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285" windowWidth="14955" windowHeight="8955" tabRatio="662" firstSheet="2" activeTab="16"/>
  </bookViews>
  <sheets>
    <sheet name="1920" sheetId="19" r:id="rId1"/>
    <sheet name="1925" sheetId="17" r:id="rId2"/>
    <sheet name="1928" sheetId="14" r:id="rId3"/>
    <sheet name="1934" sheetId="13" r:id="rId4"/>
    <sheet name="1942" sheetId="4" r:id="rId5"/>
    <sheet name="1945" sheetId="3" r:id="rId6"/>
    <sheet name="1950" sheetId="2" r:id="rId7"/>
    <sheet name="1955" sheetId="1" r:id="rId8"/>
    <sheet name="1960" sheetId="5" r:id="rId9"/>
    <sheet name="1967" sheetId="6" r:id="rId10"/>
    <sheet name="1974" sheetId="7" r:id="rId11"/>
    <sheet name="1979" sheetId="8" r:id="rId12"/>
    <sheet name="1985" sheetId="9" r:id="rId13"/>
    <sheet name="1991" sheetId="10" r:id="rId14"/>
    <sheet name="1999" sheetId="11" r:id="rId15"/>
    <sheet name="2004" sheetId="12" r:id="rId16"/>
    <sheet name="2009" sheetId="18" r:id="rId17"/>
    <sheet name="HighVotes" sheetId="15" r:id="rId18"/>
    <sheet name="Party%" sheetId="16" r:id="rId19"/>
  </sheets>
  <calcPr calcId="125725"/>
</workbook>
</file>

<file path=xl/calcChain.xml><?xml version="1.0" encoding="utf-8"?>
<calcChain xmlns="http://schemas.openxmlformats.org/spreadsheetml/2006/main">
  <c r="J29" i="5"/>
  <c r="H18"/>
  <c r="O3"/>
  <c r="E68" i="4"/>
  <c r="L40"/>
  <c r="P57"/>
  <c r="P53"/>
  <c r="H67" i="15"/>
  <c r="H62"/>
  <c r="H37"/>
  <c r="H30"/>
  <c r="F47" i="19"/>
  <c r="D47"/>
  <c r="C47"/>
  <c r="J35"/>
  <c r="J36"/>
  <c r="G25"/>
  <c r="I4"/>
  <c r="I6"/>
  <c r="B47"/>
  <c r="E48"/>
  <c r="H27"/>
  <c r="H26"/>
  <c r="H25"/>
  <c r="J6"/>
  <c r="J5"/>
  <c r="J4"/>
  <c r="G19" i="6"/>
  <c r="N3"/>
  <c r="H15" i="18"/>
  <c r="I68" i="4"/>
  <c r="P51"/>
  <c r="L38"/>
  <c r="K25"/>
  <c r="P15"/>
  <c r="I56" i="3"/>
  <c r="M42"/>
  <c r="K30"/>
  <c r="L17"/>
  <c r="K3"/>
  <c r="I64" i="2"/>
  <c r="O49"/>
  <c r="N34"/>
  <c r="K21"/>
  <c r="N3"/>
  <c r="I66" i="1"/>
  <c r="O48"/>
  <c r="L34"/>
  <c r="M20"/>
  <c r="O3"/>
  <c r="M42" i="5"/>
  <c r="I61" i="6"/>
  <c r="J29"/>
  <c r="O42"/>
  <c r="B71" i="7"/>
  <c r="I71"/>
  <c r="P59"/>
  <c r="I32"/>
  <c r="I22"/>
  <c r="P3"/>
  <c r="C74" i="9"/>
  <c r="D74"/>
  <c r="B74"/>
  <c r="J74"/>
  <c r="M43"/>
  <c r="I33"/>
  <c r="J21"/>
  <c r="O3"/>
  <c r="P57"/>
  <c r="K73" i="10"/>
  <c r="K75"/>
  <c r="N57"/>
  <c r="M41"/>
  <c r="J31"/>
  <c r="J20"/>
  <c r="K3"/>
  <c r="J69" i="11"/>
  <c r="J67"/>
  <c r="L3"/>
  <c r="L17"/>
  <c r="I30"/>
  <c r="N39"/>
  <c r="L54"/>
  <c r="I65" i="18"/>
  <c r="K37"/>
  <c r="K51"/>
  <c r="I69" i="12"/>
  <c r="I67"/>
  <c r="N53"/>
  <c r="M38"/>
  <c r="H29"/>
  <c r="J18"/>
  <c r="M3"/>
  <c r="J25" i="18"/>
  <c r="K3"/>
  <c r="H65" i="15"/>
  <c r="H63"/>
  <c r="H70"/>
  <c r="H26"/>
  <c r="H25"/>
  <c r="H19"/>
  <c r="H14"/>
  <c r="H3"/>
  <c r="H5"/>
  <c r="J27" i="18"/>
  <c r="J28"/>
  <c r="H17"/>
  <c r="I17"/>
  <c r="H19"/>
  <c r="H18"/>
  <c r="I18"/>
  <c r="K8"/>
  <c r="K6"/>
  <c r="K5"/>
  <c r="L5"/>
  <c r="B65"/>
  <c r="I67" s="1"/>
  <c r="F65"/>
  <c r="K57"/>
  <c r="K54"/>
  <c r="K53"/>
  <c r="K39"/>
  <c r="K40"/>
  <c r="K41"/>
  <c r="E65"/>
  <c r="E66"/>
  <c r="L57"/>
  <c r="K30"/>
  <c r="K31"/>
  <c r="K29"/>
  <c r="F66"/>
  <c r="L56"/>
  <c r="L43"/>
  <c r="L42"/>
  <c r="L41"/>
  <c r="L40"/>
  <c r="L39"/>
  <c r="K28"/>
  <c r="K27"/>
  <c r="L8"/>
  <c r="L7"/>
  <c r="L6"/>
  <c r="H4" i="15"/>
  <c r="H6"/>
  <c r="H7"/>
  <c r="H8"/>
  <c r="H9"/>
  <c r="H10"/>
  <c r="H11"/>
  <c r="H12"/>
  <c r="H13"/>
  <c r="H15"/>
  <c r="H16"/>
  <c r="H17"/>
  <c r="H18"/>
  <c r="H20"/>
  <c r="H21"/>
  <c r="H22"/>
  <c r="H23"/>
  <c r="H24"/>
  <c r="H27"/>
  <c r="H28"/>
  <c r="H29"/>
  <c r="H31"/>
  <c r="H32"/>
  <c r="H33"/>
  <c r="H34"/>
  <c r="H35"/>
  <c r="H36"/>
  <c r="H38"/>
  <c r="H39"/>
  <c r="H40"/>
  <c r="H41"/>
  <c r="H42"/>
  <c r="H43"/>
  <c r="H44"/>
  <c r="H45"/>
  <c r="H46"/>
  <c r="H47"/>
  <c r="H48"/>
  <c r="H49"/>
  <c r="H50"/>
  <c r="H51"/>
  <c r="H53"/>
  <c r="H54"/>
  <c r="H55"/>
  <c r="H56"/>
  <c r="H57"/>
  <c r="H58"/>
  <c r="H59"/>
  <c r="H60"/>
  <c r="H61"/>
  <c r="H66"/>
  <c r="H68"/>
  <c r="H69"/>
  <c r="H71"/>
  <c r="H72"/>
  <c r="H73"/>
  <c r="M5" i="12"/>
  <c r="N5"/>
  <c r="M6"/>
  <c r="N6"/>
  <c r="N7"/>
  <c r="N8"/>
  <c r="M9"/>
  <c r="N9"/>
  <c r="J20"/>
  <c r="K20"/>
  <c r="J21"/>
  <c r="K21"/>
  <c r="J22"/>
  <c r="K22"/>
  <c r="H31"/>
  <c r="I31"/>
  <c r="H32"/>
  <c r="I32"/>
  <c r="I33"/>
  <c r="M40"/>
  <c r="N40"/>
  <c r="M41"/>
  <c r="N41"/>
  <c r="M42"/>
  <c r="N42"/>
  <c r="N43"/>
  <c r="N44"/>
  <c r="N55"/>
  <c r="O55"/>
  <c r="N56"/>
  <c r="O56"/>
  <c r="N57"/>
  <c r="O57"/>
  <c r="O58"/>
  <c r="B67"/>
  <c r="C67"/>
  <c r="D67"/>
  <c r="E67"/>
  <c r="F67"/>
  <c r="G67"/>
  <c r="C68"/>
  <c r="D68"/>
  <c r="E68"/>
  <c r="F68"/>
  <c r="G68"/>
  <c r="L5" i="11"/>
  <c r="M5"/>
  <c r="L6"/>
  <c r="M6"/>
  <c r="L7"/>
  <c r="M7"/>
  <c r="L8"/>
  <c r="M8"/>
  <c r="L19"/>
  <c r="M19"/>
  <c r="L20"/>
  <c r="M20"/>
  <c r="L21"/>
  <c r="M21"/>
  <c r="I32"/>
  <c r="J32"/>
  <c r="I33"/>
  <c r="J33"/>
  <c r="J34"/>
  <c r="N41"/>
  <c r="O41"/>
  <c r="N42"/>
  <c r="O42"/>
  <c r="O43"/>
  <c r="O44"/>
  <c r="N45"/>
  <c r="O45"/>
  <c r="L56"/>
  <c r="M56"/>
  <c r="L57"/>
  <c r="M57"/>
  <c r="L58"/>
  <c r="M58"/>
  <c r="B67"/>
  <c r="C67"/>
  <c r="D67"/>
  <c r="E67"/>
  <c r="H67"/>
  <c r="C68"/>
  <c r="D68"/>
  <c r="E68"/>
  <c r="F68"/>
  <c r="G68"/>
  <c r="H68"/>
  <c r="K5" i="10"/>
  <c r="L5"/>
  <c r="K6"/>
  <c r="L6"/>
  <c r="L7"/>
  <c r="L8"/>
  <c r="L9"/>
  <c r="J22"/>
  <c r="K22"/>
  <c r="J23"/>
  <c r="K23"/>
  <c r="J24"/>
  <c r="K24"/>
  <c r="J33"/>
  <c r="K33"/>
  <c r="J34"/>
  <c r="K34"/>
  <c r="M43"/>
  <c r="N43"/>
  <c r="M44"/>
  <c r="N44"/>
  <c r="N45"/>
  <c r="M46"/>
  <c r="N46"/>
  <c r="N47"/>
  <c r="N48"/>
  <c r="N59"/>
  <c r="O59"/>
  <c r="N60"/>
  <c r="O60"/>
  <c r="O61"/>
  <c r="N62"/>
  <c r="O62"/>
  <c r="O63"/>
  <c r="N64"/>
  <c r="O64"/>
  <c r="B73"/>
  <c r="C73"/>
  <c r="D73"/>
  <c r="E73"/>
  <c r="H73"/>
  <c r="I73"/>
  <c r="C74"/>
  <c r="D74"/>
  <c r="E74"/>
  <c r="F74"/>
  <c r="G74"/>
  <c r="H74"/>
  <c r="I74"/>
  <c r="O5" i="9"/>
  <c r="P5"/>
  <c r="O6"/>
  <c r="P6"/>
  <c r="O7"/>
  <c r="P7"/>
  <c r="J23"/>
  <c r="K23"/>
  <c r="J24"/>
  <c r="K24"/>
  <c r="K25"/>
  <c r="I35"/>
  <c r="J35"/>
  <c r="I36"/>
  <c r="J36"/>
  <c r="M45"/>
  <c r="N45"/>
  <c r="M46"/>
  <c r="N46"/>
  <c r="N47"/>
  <c r="N48"/>
  <c r="N49"/>
  <c r="P59"/>
  <c r="Q59"/>
  <c r="P60"/>
  <c r="Q60"/>
  <c r="P61"/>
  <c r="Q61"/>
  <c r="P62"/>
  <c r="Q62"/>
  <c r="Q63"/>
  <c r="J76"/>
  <c r="E74"/>
  <c r="G74"/>
  <c r="H74"/>
  <c r="C75"/>
  <c r="D75"/>
  <c r="E75"/>
  <c r="F75"/>
  <c r="G75"/>
  <c r="H75"/>
  <c r="M4" i="8"/>
  <c r="N4"/>
  <c r="M5"/>
  <c r="N5"/>
  <c r="M6"/>
  <c r="N6"/>
  <c r="H21"/>
  <c r="I21"/>
  <c r="H22"/>
  <c r="I22"/>
  <c r="L31"/>
  <c r="M31"/>
  <c r="L32"/>
  <c r="M32"/>
  <c r="M33"/>
  <c r="L34"/>
  <c r="M34"/>
  <c r="O58"/>
  <c r="P58"/>
  <c r="O59"/>
  <c r="P59"/>
  <c r="O60"/>
  <c r="P60"/>
  <c r="P61"/>
  <c r="P62"/>
  <c r="O63"/>
  <c r="P63"/>
  <c r="B66"/>
  <c r="C66"/>
  <c r="D66"/>
  <c r="H66"/>
  <c r="C67"/>
  <c r="D67"/>
  <c r="E67"/>
  <c r="F67"/>
  <c r="G67"/>
  <c r="H67"/>
  <c r="P5" i="7"/>
  <c r="Q5"/>
  <c r="P6"/>
  <c r="Q6"/>
  <c r="Q7"/>
  <c r="Q8"/>
  <c r="P9"/>
  <c r="Q9"/>
  <c r="I24"/>
  <c r="J24"/>
  <c r="I25"/>
  <c r="J25"/>
  <c r="I34"/>
  <c r="J34"/>
  <c r="I35"/>
  <c r="J35"/>
  <c r="J36"/>
  <c r="P61"/>
  <c r="Q61"/>
  <c r="P62"/>
  <c r="Q62"/>
  <c r="P63"/>
  <c r="Q63"/>
  <c r="P64"/>
  <c r="Q64"/>
  <c r="I73"/>
  <c r="C71"/>
  <c r="D71"/>
  <c r="E71"/>
  <c r="G71"/>
  <c r="C72"/>
  <c r="D72"/>
  <c r="E72"/>
  <c r="F72"/>
  <c r="G72"/>
  <c r="N5" i="6"/>
  <c r="O5"/>
  <c r="N6"/>
  <c r="O6"/>
  <c r="O7"/>
  <c r="N8"/>
  <c r="O8"/>
  <c r="G21"/>
  <c r="H21"/>
  <c r="G22"/>
  <c r="H22"/>
  <c r="J31"/>
  <c r="K31"/>
  <c r="J32"/>
  <c r="K32"/>
  <c r="K33"/>
  <c r="O44"/>
  <c r="P44"/>
  <c r="O45"/>
  <c r="P45"/>
  <c r="O46"/>
  <c r="P46"/>
  <c r="P47"/>
  <c r="O48"/>
  <c r="P48"/>
  <c r="B61"/>
  <c r="C61"/>
  <c r="D61"/>
  <c r="F61"/>
  <c r="G61"/>
  <c r="C62"/>
  <c r="D62"/>
  <c r="E62"/>
  <c r="F62"/>
  <c r="G62"/>
  <c r="O5" i="5"/>
  <c r="P5"/>
  <c r="O6"/>
  <c r="P6"/>
  <c r="P7"/>
  <c r="O8"/>
  <c r="P8"/>
  <c r="H20"/>
  <c r="I20"/>
  <c r="H21"/>
  <c r="I21"/>
  <c r="I22"/>
  <c r="J31"/>
  <c r="K31"/>
  <c r="J32"/>
  <c r="K32"/>
  <c r="J33"/>
  <c r="K33"/>
  <c r="M44"/>
  <c r="N44"/>
  <c r="M45"/>
  <c r="N45"/>
  <c r="M46"/>
  <c r="N46"/>
  <c r="M47"/>
  <c r="N47"/>
  <c r="B57"/>
  <c r="C57"/>
  <c r="D57"/>
  <c r="E57"/>
  <c r="F57"/>
  <c r="C58"/>
  <c r="D58"/>
  <c r="E58"/>
  <c r="F58"/>
  <c r="O5" i="1"/>
  <c r="P5"/>
  <c r="O6"/>
  <c r="P6"/>
  <c r="O7"/>
  <c r="P7"/>
  <c r="M22"/>
  <c r="N22"/>
  <c r="M23"/>
  <c r="N23"/>
  <c r="N24"/>
  <c r="L36"/>
  <c r="M36"/>
  <c r="L37"/>
  <c r="M37"/>
  <c r="L38"/>
  <c r="M38"/>
  <c r="O50"/>
  <c r="P50"/>
  <c r="O51"/>
  <c r="P51"/>
  <c r="O52"/>
  <c r="P52"/>
  <c r="B66"/>
  <c r="C66"/>
  <c r="D66"/>
  <c r="E66"/>
  <c r="P53"/>
  <c r="C67"/>
  <c r="D67"/>
  <c r="E67"/>
  <c r="F67"/>
  <c r="O54"/>
  <c r="G66"/>
  <c r="G67"/>
  <c r="P54"/>
  <c r="N5" i="2"/>
  <c r="O5"/>
  <c r="N6"/>
  <c r="O6"/>
  <c r="N7"/>
  <c r="O7"/>
  <c r="K23"/>
  <c r="L23"/>
  <c r="K24"/>
  <c r="L24"/>
  <c r="K25"/>
  <c r="L25"/>
  <c r="N36"/>
  <c r="O36"/>
  <c r="N37"/>
  <c r="O37"/>
  <c r="N38"/>
  <c r="O38"/>
  <c r="N39"/>
  <c r="O39"/>
  <c r="O51"/>
  <c r="P51"/>
  <c r="O52"/>
  <c r="P52"/>
  <c r="P53"/>
  <c r="O54"/>
  <c r="P54"/>
  <c r="B64"/>
  <c r="C64"/>
  <c r="D64"/>
  <c r="F64"/>
  <c r="G64"/>
  <c r="C65"/>
  <c r="D65"/>
  <c r="E65"/>
  <c r="F65"/>
  <c r="G65"/>
  <c r="K5" i="3"/>
  <c r="L5"/>
  <c r="K6"/>
  <c r="L6"/>
  <c r="L7"/>
  <c r="L8"/>
  <c r="L19"/>
  <c r="M19"/>
  <c r="L20"/>
  <c r="M20"/>
  <c r="L21"/>
  <c r="M21"/>
  <c r="K32"/>
  <c r="L32"/>
  <c r="K33"/>
  <c r="L33"/>
  <c r="L34"/>
  <c r="L35"/>
  <c r="N44"/>
  <c r="M45"/>
  <c r="N45"/>
  <c r="N46"/>
  <c r="M47"/>
  <c r="N47"/>
  <c r="M48"/>
  <c r="N48"/>
  <c r="B56"/>
  <c r="C56"/>
  <c r="D56"/>
  <c r="F56"/>
  <c r="G56"/>
  <c r="C57"/>
  <c r="D57"/>
  <c r="E57"/>
  <c r="F57"/>
  <c r="G57"/>
  <c r="P17" i="4"/>
  <c r="Q17"/>
  <c r="P18"/>
  <c r="Q18"/>
  <c r="P19"/>
  <c r="Q19"/>
  <c r="P20"/>
  <c r="Q20"/>
  <c r="K27"/>
  <c r="L27"/>
  <c r="K28"/>
  <c r="L28"/>
  <c r="M40"/>
  <c r="L41"/>
  <c r="M41"/>
  <c r="L42"/>
  <c r="M42"/>
  <c r="Q53"/>
  <c r="P54"/>
  <c r="Q54"/>
  <c r="Q55"/>
  <c r="Q56"/>
  <c r="Q57"/>
  <c r="B68"/>
  <c r="C68"/>
  <c r="D68"/>
  <c r="G68"/>
  <c r="C69"/>
  <c r="D69"/>
  <c r="E69"/>
  <c r="F69"/>
  <c r="G69"/>
  <c r="P4" i="13"/>
  <c r="Q4"/>
  <c r="P5"/>
  <c r="Q5"/>
  <c r="M24"/>
  <c r="N24"/>
  <c r="M25"/>
  <c r="N25"/>
  <c r="N26"/>
  <c r="K39"/>
  <c r="L39"/>
  <c r="K40"/>
  <c r="L40"/>
  <c r="K41"/>
  <c r="L41"/>
  <c r="M67"/>
  <c r="N67"/>
  <c r="M68"/>
  <c r="N68"/>
  <c r="N69"/>
  <c r="M70"/>
  <c r="N70"/>
  <c r="B73"/>
  <c r="C73"/>
  <c r="D73"/>
  <c r="F73"/>
  <c r="C74"/>
  <c r="D74"/>
  <c r="E74"/>
  <c r="F74"/>
  <c r="L19" i="14"/>
  <c r="M19"/>
  <c r="L20"/>
  <c r="M20"/>
  <c r="L21"/>
  <c r="M21"/>
  <c r="M27"/>
  <c r="N27"/>
  <c r="M28"/>
  <c r="N28"/>
  <c r="N29"/>
  <c r="M44"/>
  <c r="N44"/>
  <c r="M45"/>
  <c r="N45"/>
  <c r="M46"/>
  <c r="N46"/>
  <c r="L58"/>
  <c r="M58"/>
  <c r="L59"/>
  <c r="M59"/>
  <c r="M60"/>
  <c r="B71"/>
  <c r="C71"/>
  <c r="D71"/>
  <c r="F71"/>
  <c r="C72"/>
  <c r="D72"/>
  <c r="E72"/>
  <c r="F72"/>
  <c r="H4" i="17"/>
  <c r="H5"/>
  <c r="H6"/>
  <c r="H7"/>
  <c r="P27"/>
  <c r="O28"/>
  <c r="P28"/>
  <c r="P29"/>
  <c r="M45"/>
  <c r="N45"/>
  <c r="M46"/>
  <c r="N46"/>
  <c r="M47"/>
  <c r="N47"/>
  <c r="O61"/>
  <c r="P61"/>
  <c r="O62"/>
  <c r="P62"/>
  <c r="P63"/>
  <c r="O64"/>
  <c r="P64"/>
  <c r="B78"/>
  <c r="C78"/>
  <c r="D78"/>
  <c r="F78"/>
  <c r="G78"/>
  <c r="C79"/>
  <c r="D79"/>
  <c r="E79"/>
  <c r="F79"/>
  <c r="G79"/>
  <c r="C65" i="18"/>
  <c r="C66"/>
  <c r="D65"/>
  <c r="D66"/>
  <c r="I19"/>
  <c r="L53"/>
  <c r="L54"/>
  <c r="L55"/>
  <c r="G65"/>
  <c r="G66"/>
  <c r="I70" i="4"/>
  <c r="I58" i="3"/>
  <c r="I66" i="2"/>
  <c r="I68" i="1"/>
  <c r="I63" i="6"/>
  <c r="C48" i="19"/>
  <c r="F48"/>
  <c r="D48"/>
  <c r="K35"/>
  <c r="K36"/>
  <c r="K37"/>
</calcChain>
</file>

<file path=xl/sharedStrings.xml><?xml version="1.0" encoding="utf-8"?>
<sst xmlns="http://schemas.openxmlformats.org/spreadsheetml/2006/main" count="3629" uniqueCount="627">
  <si>
    <t>Candidate</t>
  </si>
  <si>
    <t>Party</t>
  </si>
  <si>
    <t>Count 1</t>
  </si>
  <si>
    <t>Tommy Deignan*</t>
  </si>
  <si>
    <t>FF</t>
  </si>
  <si>
    <t>Patrick Rogers*</t>
  </si>
  <si>
    <t>FG</t>
  </si>
  <si>
    <t>John P. Tighe*</t>
  </si>
  <si>
    <t>Michael McDonagh*</t>
  </si>
  <si>
    <t>William Gormley*</t>
  </si>
  <si>
    <t>Ind</t>
  </si>
  <si>
    <t>Eugene Gilhawley</t>
  </si>
  <si>
    <t>Michael Jennings*</t>
  </si>
  <si>
    <t>Edward Boles*</t>
  </si>
  <si>
    <t>Michael J. Henry</t>
  </si>
  <si>
    <t>Michael Regan</t>
  </si>
  <si>
    <t>John J. McLoughlin</t>
  </si>
  <si>
    <t>-</t>
  </si>
  <si>
    <t>Thomas McDermott</t>
  </si>
  <si>
    <t>Thady McGowan</t>
  </si>
  <si>
    <t>Thomas Kelly*</t>
  </si>
  <si>
    <t>Luke Colleran*</t>
  </si>
  <si>
    <t>Peter Kivlehan</t>
  </si>
  <si>
    <t>Anthony Carty*</t>
  </si>
  <si>
    <t>Paddy Marren</t>
  </si>
  <si>
    <t>Francis Gannon*</t>
  </si>
  <si>
    <t>C. K. McDonnell*</t>
  </si>
  <si>
    <t>Michael Murtagh</t>
  </si>
  <si>
    <t>Kevin Armstrong</t>
  </si>
  <si>
    <t>Martin McEvey</t>
  </si>
  <si>
    <t>Ind FF</t>
  </si>
  <si>
    <t>Francis W. Higgins*</t>
  </si>
  <si>
    <t>Patrick O’Neill*</t>
  </si>
  <si>
    <t>John Nicholson</t>
  </si>
  <si>
    <t>George Finnerty</t>
  </si>
  <si>
    <t>William McDonagh*</t>
  </si>
  <si>
    <t>Michael J. Hanley*</t>
  </si>
  <si>
    <t>James Keaveney</t>
  </si>
  <si>
    <t>Patrick O’Hara</t>
  </si>
  <si>
    <t>Joseph Donegan*</t>
  </si>
  <si>
    <t>James McGowan</t>
  </si>
  <si>
    <t>1st</t>
  </si>
  <si>
    <t>2nd</t>
  </si>
  <si>
    <t>3rd</t>
  </si>
  <si>
    <t>4th</t>
  </si>
  <si>
    <t>5th</t>
  </si>
  <si>
    <t>Eugene Gilbride*</t>
  </si>
  <si>
    <t>Joseph Roddy*</t>
  </si>
  <si>
    <t>John Fallon</t>
  </si>
  <si>
    <t>Gerald Foley</t>
  </si>
  <si>
    <t>James Dolan</t>
  </si>
  <si>
    <t>SF</t>
  </si>
  <si>
    <t>Fred Shaw*</t>
  </si>
  <si>
    <t>Patrick Farrell</t>
  </si>
  <si>
    <t>Thomas McGoldrick</t>
  </si>
  <si>
    <t>James Gilmartin*</t>
  </si>
  <si>
    <t>James Neafsey</t>
  </si>
  <si>
    <t>James Keaveney*</t>
  </si>
  <si>
    <t>James McGoldrick</t>
  </si>
  <si>
    <t>Michael Mooney</t>
  </si>
  <si>
    <t>Lab</t>
  </si>
  <si>
    <t>Patrick McDaniel</t>
  </si>
  <si>
    <t>Patrick Ryan</t>
  </si>
  <si>
    <t>Votes</t>
  </si>
  <si>
    <t>Share</t>
  </si>
  <si>
    <t>Seats</t>
  </si>
  <si>
    <t>Total</t>
  </si>
  <si>
    <t>Oth</t>
  </si>
  <si>
    <t>Patrick J. Rogers*</t>
  </si>
  <si>
    <t>Ind F.</t>
  </si>
  <si>
    <t>James Flanagan*</t>
  </si>
  <si>
    <t>John P. Tighe</t>
  </si>
  <si>
    <t>Dominic Cosgrove</t>
  </si>
  <si>
    <t>Bernard Farry*</t>
  </si>
  <si>
    <t>James Benson</t>
  </si>
  <si>
    <t>James Garvey</t>
  </si>
  <si>
    <t>Michael F. Regan</t>
  </si>
  <si>
    <t>John Leydon</t>
  </si>
  <si>
    <t>Thomas Kelly</t>
  </si>
  <si>
    <t>Anthony Carty</t>
  </si>
  <si>
    <t>Charles K. McDonnell*</t>
  </si>
  <si>
    <t>Plunkett Foye</t>
  </si>
  <si>
    <t>William McGuinn</t>
  </si>
  <si>
    <t>Patrick O’Neill</t>
  </si>
  <si>
    <t>Martin Keveney*</t>
  </si>
  <si>
    <t>Joseph Donegan</t>
  </si>
  <si>
    <t>Roger O’Connell</t>
  </si>
  <si>
    <t>Patrick Kilgallen</t>
  </si>
  <si>
    <t>CnaP</t>
  </si>
  <si>
    <t>Hugh McDonnell</t>
  </si>
  <si>
    <t>Michael J. Devaney</t>
  </si>
  <si>
    <t>Michael Nevin*</t>
  </si>
  <si>
    <t>Thomas McGoldrick*</t>
  </si>
  <si>
    <t>Charles McCannon</t>
  </si>
  <si>
    <t>Joseph Pilkington</t>
  </si>
  <si>
    <t>Fred Shaw</t>
  </si>
  <si>
    <t>Frank Harte</t>
  </si>
  <si>
    <t>Patrick C. O’Hara*</t>
  </si>
  <si>
    <t>Thomas Kavanagh</t>
  </si>
  <si>
    <t>Turnout</t>
  </si>
  <si>
    <t>Michael McDonagh</t>
  </si>
  <si>
    <t>CnaT</t>
  </si>
  <si>
    <t>Hugh O’Donnell*</t>
  </si>
  <si>
    <t>Michael Henry</t>
  </si>
  <si>
    <t>John Leonard*</t>
  </si>
  <si>
    <t>Francis Gannon</t>
  </si>
  <si>
    <t>Frank Haran</t>
  </si>
  <si>
    <t>Thomas Henry*</t>
  </si>
  <si>
    <t>William Donoghue</t>
  </si>
  <si>
    <t>Michael E. O’Hara</t>
  </si>
  <si>
    <t>Thomas Tuffy</t>
  </si>
  <si>
    <t>Martin Henry</t>
  </si>
  <si>
    <t>Martin Roddy*</t>
  </si>
  <si>
    <t>Michael Hughes</t>
  </si>
  <si>
    <t>John Dennison</t>
  </si>
  <si>
    <t>John Gallagher</t>
  </si>
  <si>
    <t>Patrick C. O’Hara</t>
  </si>
  <si>
    <t>John McGowan*</t>
  </si>
  <si>
    <t>Thomas Mitchell</t>
  </si>
  <si>
    <t>Michael Moran</t>
  </si>
  <si>
    <t>William Gormley</t>
  </si>
  <si>
    <t>F</t>
  </si>
  <si>
    <t>Michael Jennings</t>
  </si>
  <si>
    <t>Thomas Ward</t>
  </si>
  <si>
    <t>James Benson*</t>
  </si>
  <si>
    <t>Joseph Tansey*</t>
  </si>
  <si>
    <t>John McManamy</t>
  </si>
  <si>
    <t>John Kivlehan</t>
  </si>
  <si>
    <t>Thomas Casey*</t>
  </si>
  <si>
    <t>Patrick Brennan</t>
  </si>
  <si>
    <t>John Brennan</t>
  </si>
  <si>
    <t>Frank Carty</t>
  </si>
  <si>
    <t>Luke Colleran</t>
  </si>
  <si>
    <t>John Leonard</t>
  </si>
  <si>
    <t>Charles K McDonnell*</t>
  </si>
  <si>
    <t>Henry Donohue</t>
  </si>
  <si>
    <t>Thomas Brett</t>
  </si>
  <si>
    <t>Patrick Marren</t>
  </si>
  <si>
    <t>Michael Hanley*</t>
  </si>
  <si>
    <t>Michael O’Beirne</t>
  </si>
  <si>
    <t>Martin Keveney</t>
  </si>
  <si>
    <t>William Caffrey*</t>
  </si>
  <si>
    <t>Owen O’Connell</t>
  </si>
  <si>
    <t>Edward Hannon*</t>
  </si>
  <si>
    <t>John Maughan*</t>
  </si>
  <si>
    <t>Michael Nevin</t>
  </si>
  <si>
    <t>John McGowan</t>
  </si>
  <si>
    <t>Joseph Burns</t>
  </si>
  <si>
    <t>Patrick Currid</t>
  </si>
  <si>
    <t>Martin Mulligan</t>
  </si>
  <si>
    <t>Cornelius Heraghty</t>
  </si>
  <si>
    <t>Martin Baker</t>
  </si>
  <si>
    <t>Gerard Mullaney</t>
  </si>
  <si>
    <t>Gerry Murray*</t>
  </si>
  <si>
    <t>John Sherlock</t>
  </si>
  <si>
    <t>Joe Shannon*</t>
  </si>
  <si>
    <t>Pat McGrath</t>
  </si>
  <si>
    <t>Thomas Walsh</t>
  </si>
  <si>
    <t>Alfie Parke*</t>
  </si>
  <si>
    <t>Tim Mulcahy</t>
  </si>
  <si>
    <t>Joe Gilmartin</t>
  </si>
  <si>
    <t>Michael Scanlon</t>
  </si>
  <si>
    <t>Margaret Gormley*</t>
  </si>
  <si>
    <t>Aidan Colleary*</t>
  </si>
  <si>
    <t>Michael Fleming*</t>
  </si>
  <si>
    <t>Jerry Lundy</t>
  </si>
  <si>
    <t>Brendan Kivlehan</t>
  </si>
  <si>
    <t>Joe Cawley*</t>
  </si>
  <si>
    <t>Kieran O’Dowd</t>
  </si>
  <si>
    <t xml:space="preserve"> </t>
  </si>
  <si>
    <t>Joe Queenan*</t>
  </si>
  <si>
    <t>Mary Barrett*</t>
  </si>
  <si>
    <t>Paul Conmy*</t>
  </si>
  <si>
    <t>Padraig Hallinan</t>
  </si>
  <si>
    <t>Gerry O’Connor</t>
  </si>
  <si>
    <t>Tony McLoughlin*</t>
  </si>
  <si>
    <t>Declan Bree*</t>
  </si>
  <si>
    <t>Sean MacManus*</t>
  </si>
  <si>
    <t>Jim McGarry*</t>
  </si>
  <si>
    <t>Deirdre Healy-McGowan</t>
  </si>
  <si>
    <t>Albert Higgins*</t>
  </si>
  <si>
    <t>Imelda Henry</t>
  </si>
  <si>
    <t>Roddy McGuinn*</t>
  </si>
  <si>
    <t>Francis Cadden</t>
  </si>
  <si>
    <t>Jarlath Hunt</t>
  </si>
  <si>
    <t>Jim O’Sullivan</t>
  </si>
  <si>
    <t>Joe Leonard*</t>
  </si>
  <si>
    <t>Jude Devins</t>
  </si>
  <si>
    <t>Patsy Barry*</t>
  </si>
  <si>
    <t>Veronica Cawley</t>
  </si>
  <si>
    <t>Ita Fox*</t>
  </si>
  <si>
    <t>John Peyton</t>
  </si>
  <si>
    <t>Des Skeffington</t>
  </si>
  <si>
    <t>Seamus Kilgannon*</t>
  </si>
  <si>
    <t>Padraig Branley*</t>
  </si>
  <si>
    <t>Brian McHugh</t>
  </si>
  <si>
    <t>Brian Scanlon*</t>
  </si>
  <si>
    <t>Eamon Scanlon*</t>
  </si>
  <si>
    <t>Michael Conlon*</t>
  </si>
  <si>
    <t>Leo Conlon*</t>
  </si>
  <si>
    <t>John Sherlock*</t>
  </si>
  <si>
    <t>Michael Rogers</t>
  </si>
  <si>
    <t>Alfie Parke</t>
  </si>
  <si>
    <t>Michael Lavin</t>
  </si>
  <si>
    <t>Syl Mulligan*</t>
  </si>
  <si>
    <t>Michael Fleming</t>
  </si>
  <si>
    <t>Helen Brennan</t>
  </si>
  <si>
    <t>Colm O’Donnell</t>
  </si>
  <si>
    <t>Joe Shannon</t>
  </si>
  <si>
    <t>Gabriel Healy</t>
  </si>
  <si>
    <t>Michael Clarke</t>
  </si>
  <si>
    <t>Sean MacManus</t>
  </si>
  <si>
    <t>John Perry</t>
  </si>
  <si>
    <t>Albert Higgins</t>
  </si>
  <si>
    <t>Michael McDonald</t>
  </si>
  <si>
    <t>Roddy McGuinn</t>
  </si>
  <si>
    <t>Jim Lawlor</t>
  </si>
  <si>
    <t>PD</t>
  </si>
  <si>
    <t>Tony Clarke</t>
  </si>
  <si>
    <t>Jimmy Devins*</t>
  </si>
  <si>
    <t>Brian Scanlon</t>
  </si>
  <si>
    <t>Padraig Branley</t>
  </si>
  <si>
    <t>Cyril O’Connor</t>
  </si>
  <si>
    <t>Barnes Murphy</t>
  </si>
  <si>
    <t>John Harrison</t>
  </si>
  <si>
    <t>Tommy Lavin*</t>
  </si>
  <si>
    <t>Michael Conlon</t>
  </si>
  <si>
    <t xml:space="preserve">Leo Conlon* </t>
  </si>
  <si>
    <t>Eamon Scanlon</t>
  </si>
  <si>
    <t>Gerry Murray</t>
  </si>
  <si>
    <t>Patrick Carty*</t>
  </si>
  <si>
    <t>John McCarrick</t>
  </si>
  <si>
    <t>Catherine Masiacz</t>
  </si>
  <si>
    <t>ISP</t>
  </si>
  <si>
    <t>Matt Brennan*</t>
  </si>
  <si>
    <t>Peter McKeon</t>
  </si>
  <si>
    <t>Denis O’Hara</t>
  </si>
  <si>
    <t>Paddy Conway*</t>
  </si>
  <si>
    <t>Mary Barrett</t>
  </si>
  <si>
    <t>Gerry Healy</t>
  </si>
  <si>
    <t>Jim McGarry</t>
  </si>
  <si>
    <t>Sean McManus*</t>
  </si>
  <si>
    <t>Peter Henry*</t>
  </si>
  <si>
    <t>Tommy Higgins*</t>
  </si>
  <si>
    <t>Matt Lyons</t>
  </si>
  <si>
    <t>Michael Gillen</t>
  </si>
  <si>
    <t>Pat Fallon</t>
  </si>
  <si>
    <t>Elected</t>
  </si>
  <si>
    <t>John Monaghan*</t>
  </si>
  <si>
    <t>Jimmy Devins</t>
  </si>
  <si>
    <t>Willie Farrell*</t>
  </si>
  <si>
    <t>Felim O’Rourke</t>
  </si>
  <si>
    <t>Michael Carroll*</t>
  </si>
  <si>
    <t>Stephen McDonagh</t>
  </si>
  <si>
    <t>Hugh Slevin</t>
  </si>
  <si>
    <t>John Mulrooney*</t>
  </si>
  <si>
    <t>Sheelagh Hanly</t>
  </si>
  <si>
    <t>Maureen Regan</t>
  </si>
  <si>
    <t>Frank Dobbs</t>
  </si>
  <si>
    <t>Patrick Carty</t>
  </si>
  <si>
    <t>Josie Devaney</t>
  </si>
  <si>
    <t>Eddie Cogan</t>
  </si>
  <si>
    <t>Neil Henry</t>
  </si>
  <si>
    <t>Kevin Lee</t>
  </si>
  <si>
    <t>Aidan Colleary</t>
  </si>
  <si>
    <t>Tommy O’Hara</t>
  </si>
  <si>
    <t>Patrick Walsh</t>
  </si>
  <si>
    <t>Robert Taylor</t>
  </si>
  <si>
    <t>Seamus O’Dowd</t>
  </si>
  <si>
    <t>Syl Mulligan</t>
  </si>
  <si>
    <t>Peter Kivlehan*</t>
  </si>
  <si>
    <t>Sean Tempany</t>
  </si>
  <si>
    <t>Peter Henry</t>
  </si>
  <si>
    <t>Hugh Glynn</t>
  </si>
  <si>
    <t>Imelda Allingham</t>
  </si>
  <si>
    <t>Bill Monaghan</t>
  </si>
  <si>
    <t>Paul Dunleavy</t>
  </si>
  <si>
    <t>William Farrell*</t>
  </si>
  <si>
    <t>Joe Leonard</t>
  </si>
  <si>
    <t>Michael Carroll</t>
  </si>
  <si>
    <t>Danny McHugh</t>
  </si>
  <si>
    <t>Matt Lyons*</t>
  </si>
  <si>
    <t>Kevin Gilbride</t>
  </si>
  <si>
    <t>John Watters</t>
  </si>
  <si>
    <t>Jackie McGowan</t>
  </si>
  <si>
    <t>Anne Gilmartin</t>
  </si>
  <si>
    <t>John Higgins</t>
  </si>
  <si>
    <t>Leo Conlon</t>
  </si>
  <si>
    <t>Michael Kelly</t>
  </si>
  <si>
    <t>Kevin Savage</t>
  </si>
  <si>
    <t>Abina McMorrow</t>
  </si>
  <si>
    <t>Paddy Marren*</t>
  </si>
  <si>
    <t>Eugene Owens</t>
  </si>
  <si>
    <t>Paul Conmy</t>
  </si>
  <si>
    <t>George Finnerty*</t>
  </si>
  <si>
    <t>Peter Barrett*</t>
  </si>
  <si>
    <t>Patrick Hallinan</t>
  </si>
  <si>
    <t>Jack McElduff</t>
  </si>
  <si>
    <t>Michael Maloney</t>
  </si>
  <si>
    <t>Sean McManus</t>
  </si>
  <si>
    <t>John Mulrooney</t>
  </si>
  <si>
    <t>Tom Fox</t>
  </si>
  <si>
    <t>Eugene Henry*</t>
  </si>
  <si>
    <t>John Fallon*</t>
  </si>
  <si>
    <t>James Feighney*</t>
  </si>
  <si>
    <t>Michael Brennan</t>
  </si>
  <si>
    <t>P.J. Kearney</t>
  </si>
  <si>
    <t>Dympna McNamara</t>
  </si>
  <si>
    <t>Michael Leydon</t>
  </si>
  <si>
    <t>WP</t>
  </si>
  <si>
    <t>Sidney Gallagher</t>
  </si>
  <si>
    <t>Eugene Gilhawley*</t>
  </si>
  <si>
    <t>Martin Coggins*</t>
  </si>
  <si>
    <t>Joseph Mattimoe</t>
  </si>
  <si>
    <t>Andrew Hunt</t>
  </si>
  <si>
    <t>Seamus Reid</t>
  </si>
  <si>
    <t>Brendan Lavin</t>
  </si>
  <si>
    <t>Matt Brennan</t>
  </si>
  <si>
    <t>Michael Murrin</t>
  </si>
  <si>
    <t>Edward Kilcullen</t>
  </si>
  <si>
    <t>Vincent Maloney</t>
  </si>
  <si>
    <t>Ray MacSharry*</t>
  </si>
  <si>
    <t>Tony McLoughlin</t>
  </si>
  <si>
    <t>Declan Bree</t>
  </si>
  <si>
    <t>Dan Gilmartin</t>
  </si>
  <si>
    <t>Paddy Kearns</t>
  </si>
  <si>
    <t>Sean McGloin*</t>
  </si>
  <si>
    <t>Thomas Doyle</t>
  </si>
  <si>
    <t>Seamus Kennelly</t>
  </si>
  <si>
    <t>Thomas Haran</t>
  </si>
  <si>
    <t>Martin Keaveney</t>
  </si>
  <si>
    <t>Brian Cullen</t>
  </si>
  <si>
    <t>Thomas Dykes</t>
  </si>
  <si>
    <t>Mervyn Meldrum</t>
  </si>
  <si>
    <t>Francis Walsh</t>
  </si>
  <si>
    <t>Thomas Collery*</t>
  </si>
  <si>
    <t>Martin Coggins</t>
  </si>
  <si>
    <t>Joe Cawley</t>
  </si>
  <si>
    <t>Micheal Kearins</t>
  </si>
  <si>
    <t>Patrick McCarrick</t>
  </si>
  <si>
    <t>Defeated</t>
  </si>
  <si>
    <t>Paddy Conway</t>
  </si>
  <si>
    <t>Ernie Caffrey*</t>
  </si>
  <si>
    <t>Michael Helly</t>
  </si>
  <si>
    <t>Tommy Higgins</t>
  </si>
  <si>
    <t>William Carter</t>
  </si>
  <si>
    <t>Ray MacSharry</t>
  </si>
  <si>
    <t>William Farrell</t>
  </si>
  <si>
    <t>Bernard Barry*</t>
  </si>
  <si>
    <t>Sean Byrne</t>
  </si>
  <si>
    <t>Patrick Farrell*</t>
  </si>
  <si>
    <t>Hugh Flynn</t>
  </si>
  <si>
    <t>Gerald Foley*</t>
  </si>
  <si>
    <t>James Flanagan</t>
  </si>
  <si>
    <t>Thomas Collery</t>
  </si>
  <si>
    <t>Michael Hever</t>
  </si>
  <si>
    <t>Edward Gallagher</t>
  </si>
  <si>
    <t>Roger O’Connell*</t>
  </si>
  <si>
    <t>Thomas Flynn</t>
  </si>
  <si>
    <t>Michael Benson</t>
  </si>
  <si>
    <t>Matthew Carden</t>
  </si>
  <si>
    <t>Bernard Barry</t>
  </si>
  <si>
    <t>James Feighney</t>
  </si>
  <si>
    <t>Gordon McTiernan</t>
  </si>
  <si>
    <t>Bernard Farry</t>
  </si>
  <si>
    <t>Thomas Casey</t>
  </si>
  <si>
    <t>Joseph Tansey</t>
  </si>
  <si>
    <t>Patrick Rushe*</t>
  </si>
  <si>
    <t>Peter J. McDermott</t>
  </si>
  <si>
    <t>Bernard Conlon</t>
  </si>
  <si>
    <t>John Cryan*</t>
  </si>
  <si>
    <t>John J. Curran</t>
  </si>
  <si>
    <t>Michael Dodd</t>
  </si>
  <si>
    <t>Albert Robinson*</t>
  </si>
  <si>
    <t>Charles McDonnell</t>
  </si>
  <si>
    <t>William Johnston*</t>
  </si>
  <si>
    <t>Thomas McCarrick*</t>
  </si>
  <si>
    <t>Patrick Kilcoyne*</t>
  </si>
  <si>
    <t>Thomas Henry</t>
  </si>
  <si>
    <t>Patrick Goldrick</t>
  </si>
  <si>
    <t>Henry Donoghue</t>
  </si>
  <si>
    <t>James Gilligan</t>
  </si>
  <si>
    <t>Patrick Nicholson</t>
  </si>
  <si>
    <t>Thomas Gallagher</t>
  </si>
  <si>
    <t>William Caffrey</t>
  </si>
  <si>
    <t>Michael Gallagher*</t>
  </si>
  <si>
    <t>Francis W. Higgins</t>
  </si>
  <si>
    <t>John J. Conway*</t>
  </si>
  <si>
    <t>James Tully</t>
  </si>
  <si>
    <t>Michael O’Neill</t>
  </si>
  <si>
    <t>James Bradley</t>
  </si>
  <si>
    <t>John Hennigan*</t>
  </si>
  <si>
    <t>Martin Roddy</t>
  </si>
  <si>
    <t>James Gilmartin</t>
  </si>
  <si>
    <t>John Lynch</t>
  </si>
  <si>
    <t>George Finan</t>
  </si>
  <si>
    <t>Patrick Fowley</t>
  </si>
  <si>
    <t>Hugh O’Donnell</t>
  </si>
  <si>
    <t>Thomas Fallon*</t>
  </si>
  <si>
    <t>CnaG</t>
  </si>
  <si>
    <t>John Mulligan*</t>
  </si>
  <si>
    <t>Bernard Conlon*</t>
  </si>
  <si>
    <t>John Cryan</t>
  </si>
  <si>
    <t>Thomas McKeon</t>
  </si>
  <si>
    <t>John McGettrick*</t>
  </si>
  <si>
    <t>James Wynne</t>
  </si>
  <si>
    <t>John Donegan</t>
  </si>
  <si>
    <t>M.F. O’Dowd</t>
  </si>
  <si>
    <t>Denis McLynn</t>
  </si>
  <si>
    <t>Frank Carty*</t>
  </si>
  <si>
    <t>Thomas McCarrick</t>
  </si>
  <si>
    <t>James Gilligan*</t>
  </si>
  <si>
    <t>John Anderson*</t>
  </si>
  <si>
    <t>Henry Donoghue*</t>
  </si>
  <si>
    <t>Matthew Scanlon</t>
  </si>
  <si>
    <t>Michael Gilmore</t>
  </si>
  <si>
    <t>Charles Henry</t>
  </si>
  <si>
    <t>Pat Commons</t>
  </si>
  <si>
    <t>Patrick Shiels</t>
  </si>
  <si>
    <t>John Conway</t>
  </si>
  <si>
    <t>Edward Hannon</t>
  </si>
  <si>
    <t>Michael O’Neill*</t>
  </si>
  <si>
    <t>Peter Cawley</t>
  </si>
  <si>
    <t>Matthew Clarke*</t>
  </si>
  <si>
    <t>Samuel Higgins</t>
  </si>
  <si>
    <t>B.V. Kelly</t>
  </si>
  <si>
    <t>John Jinks*</t>
  </si>
  <si>
    <t>Patrick Davey</t>
  </si>
  <si>
    <t>William Browne</t>
  </si>
  <si>
    <t>John Kerins*</t>
  </si>
  <si>
    <t>Maurice O’Regan</t>
  </si>
  <si>
    <t>James Hunt</t>
  </si>
  <si>
    <t>Vote</t>
  </si>
  <si>
    <t>Area</t>
  </si>
  <si>
    <t>Year</t>
  </si>
  <si>
    <t>Quota</t>
  </si>
  <si>
    <t>Sligo/Strandhill</t>
  </si>
  <si>
    <t>Margaret Gormley</t>
  </si>
  <si>
    <t>Tubbercurry</t>
  </si>
  <si>
    <t>Patrick Rogers</t>
  </si>
  <si>
    <t>Ballymote</t>
  </si>
  <si>
    <t>Sligo</t>
  </si>
  <si>
    <t>Eugene Gilbride</t>
  </si>
  <si>
    <t>Sligo/Drumcliffe</t>
  </si>
  <si>
    <t>Joseph Roddy</t>
  </si>
  <si>
    <t>Tommy Deignan</t>
  </si>
  <si>
    <t>Joe Queenan</t>
  </si>
  <si>
    <t>Dromore</t>
  </si>
  <si>
    <t>1,154*</t>
  </si>
  <si>
    <t>Edward Boles</t>
  </si>
  <si>
    <t>1,116*</t>
  </si>
  <si>
    <t>1,010*</t>
  </si>
  <si>
    <t>Quota level</t>
  </si>
  <si>
    <t>William Browne*</t>
  </si>
  <si>
    <t>Sligo (7 seats) Total Electorate: 12,537 Total Poll: 7,702 Valid Poll: 7,572 Quota: 947</t>
  </si>
  <si>
    <t xml:space="preserve">Tubbercurry (5 seats) Total Electorate: 6,528 Total Poll: 4,200 Valid Poll: 4,174 Quota: 696 </t>
  </si>
  <si>
    <t xml:space="preserve">Dromore (5 seats) Total Electorate: 7,634 Total Poll: 5,379 Valid Poll: 5,333 Quota: 889 </t>
  </si>
  <si>
    <t xml:space="preserve">Sligo (7 seats) Total Electorate: 13,022 Total Poll: 8,418 Valid Poll: 8,185 Quota: 996 </t>
  </si>
  <si>
    <t xml:space="preserve">Sligo (7 seats) Total Electorate: 13,322 Total Poll: 8,563 Valid Poll: 8,304 Quota: 1,039 </t>
  </si>
  <si>
    <t xml:space="preserve">Dromore (5 seats) Total Electorate: 8,014 Total Poll: 5,513 Valid Poll: 5,398 Quota: 900 </t>
  </si>
  <si>
    <t>Tubbercurry (5 seats) Total Electorate: 6,903 Total Poll: 4,812 Valid Poll: 4,709 Quota: 785</t>
  </si>
  <si>
    <t>John Lynch*</t>
  </si>
  <si>
    <t>Patrick O'Dowd</t>
  </si>
  <si>
    <t>Patrick O'Dowd*</t>
  </si>
  <si>
    <t>1985 (20 June) – Ballymote (7 seats) Total Electorate: 10,372 Total Poll: 8,071 Valid Poll: 8,006 Quota: 1,001</t>
  </si>
  <si>
    <t>Tubbercurry (4 seats) Total Electorate: 5,914 Total Poll: 4,907 Valid Poll: 4,861 Quota: 973</t>
  </si>
  <si>
    <t>Dromore (4 seats) Total Electorate: 6,186 Total Poll: 4,568 Valid Poll: 4,518 Quota: 904</t>
  </si>
  <si>
    <t>Sligo (5 seats) Total Electorate: 7,969 Total Poll: 4,820 Valid Poll: 4,720 Quota: 787</t>
  </si>
  <si>
    <t>Drumcliffe (5 seats) Total Electorate: 9,142 Total Poll: 5,805 Valid Poll: 5,679 Quota: 947</t>
  </si>
  <si>
    <t>Tubbercurry (6 seats) Total Electorate: Total Poll: 3,792 Valid Poll: 3,736 Quota: 534</t>
  </si>
  <si>
    <t>Dromore (6 seats) Total Electorate: Total Poll: 4,237 Valid Poll: 4,191 Quota: 599</t>
  </si>
  <si>
    <t xml:space="preserve">Sligo (8 seats) Total Electorate: Total Poll: 5,851 Valid Poll: 5,705 Quota: 635 </t>
  </si>
  <si>
    <t>1991 (27 June) - Ballymote (7 seats) Total Electorate: 10,555 Total Poll: 7,393 Valid Poll: 7,343 Quota: 918</t>
  </si>
  <si>
    <t>Tubbercurry (4 seats) Total Electorate: 5,618 Total Poll: 4,347 Valid Poll: 4,312 Quota: 863</t>
  </si>
  <si>
    <t>Dromore (4 seats) Total Electorate: 5,920 Total Poll: 4,236 Valid Poll: 4,206 Quota: 842</t>
  </si>
  <si>
    <t>Sligo (5 seats) Total Electorate: 8,247 Total Poll: 5,245 Valid Poll: 5,200 Quota: 867</t>
  </si>
  <si>
    <t>Drumcliffe (5 seats) Total Electorate: 9,182 Total Poll: 5,678 Valid Poll: 5,628 Quota: 939</t>
  </si>
  <si>
    <t>1955 (30 June) – Ballymote (7 seats) Total Electorate: 10,894 Total Poll: 8,389 Valid Poll: 8,337 Quota: 1,043</t>
  </si>
  <si>
    <t>Tubbercurry (5 seats) Total Electorate: 5,932 Total Poll: 4,523 Valid Poll: 4,492 Quota: 749</t>
  </si>
  <si>
    <t>Dromore (5 seats) Total Electorate: 7,155 Total Poll: 5,216 Valid Poll: 5,179 Quota: 864</t>
  </si>
  <si>
    <t>Sligo (7 seats) Total Electorate: 13,048 Total Poll: 8,334 Valid Poll: 8,190 Quota: 1,024</t>
  </si>
  <si>
    <t>1974 (18 June) – Ballymote (7 seats) Total Electorate: 9,518 Total Poll: 7,585 Valid Poll: 7,532 Quota: 942</t>
  </si>
  <si>
    <t>Tubbercurry (4 seats) Total Electorate: 5,074 Total Poll: 4,111 Valid Poll: 4,088 Quota: 818</t>
  </si>
  <si>
    <t>Dromore (4 seats) Total Electorate: 5,410 Total Poll: 4,000 Valid Poll: 3,954 Quota: 791</t>
  </si>
  <si>
    <t>Sligo (9 seats) Total Electorate: 15,371 Total Poll: 10,954 Valid Poll: 10,630 Quota: 1,064</t>
  </si>
  <si>
    <t>John Jinks</t>
  </si>
  <si>
    <t>James Higgins</t>
  </si>
  <si>
    <t>R</t>
  </si>
  <si>
    <t>Patrick Toher</t>
  </si>
  <si>
    <t>Bernard Conway</t>
  </si>
  <si>
    <t>Michael Finn</t>
  </si>
  <si>
    <t>John J. Clancy</t>
  </si>
  <si>
    <t>Michael Silke</t>
  </si>
  <si>
    <t>James O'Connell</t>
  </si>
  <si>
    <t>6th</t>
  </si>
  <si>
    <t>7th</t>
  </si>
  <si>
    <t>8th</t>
  </si>
  <si>
    <t>John Kerins</t>
  </si>
  <si>
    <t>Michael Gallagher</t>
  </si>
  <si>
    <t>John Maughan</t>
  </si>
  <si>
    <t>William Rouse</t>
  </si>
  <si>
    <t>Matthew Clarke</t>
  </si>
  <si>
    <t>William McDonagh</t>
  </si>
  <si>
    <t>Thomas Tiernan</t>
  </si>
  <si>
    <t>John Tempany</t>
  </si>
  <si>
    <t>Thomas Fallon</t>
  </si>
  <si>
    <t>John Mulligan</t>
  </si>
  <si>
    <t>Patrick Henry</t>
  </si>
  <si>
    <t>John McGettrick</t>
  </si>
  <si>
    <t>Albert Robinson</t>
  </si>
  <si>
    <t xml:space="preserve">F </t>
  </si>
  <si>
    <t>Sligo (8 seats) Total Electorate: 8,340 (est.) Total Poll: 5,154 Valid Poll: 4,972 Quota: 553</t>
  </si>
  <si>
    <t>Tubbercurry (6 seats) Total Electorate: 4,625 (est.) Total Poll: 2,891 Poll: 2,775 Quota: 397</t>
  </si>
  <si>
    <t>Dromore (6 seats) Total Electorate: 4,861 (est.) Total Poll: 3,333 Valid Poll: 3,257 Quota: 466</t>
  </si>
  <si>
    <t>515*</t>
  </si>
  <si>
    <t>n/a</t>
  </si>
  <si>
    <t>Patrick Henry*</t>
  </si>
  <si>
    <t>Patrick Hurley</t>
  </si>
  <si>
    <t>Patrick Keevans</t>
  </si>
  <si>
    <t>John Kilcoyne</t>
  </si>
  <si>
    <t>Michael Langton</t>
  </si>
  <si>
    <t>Edward Layng</t>
  </si>
  <si>
    <t>Alex McCabe</t>
  </si>
  <si>
    <t>Philip O'Beirne</t>
  </si>
  <si>
    <t>Thomas O'Donnell</t>
  </si>
  <si>
    <t>John Marren</t>
  </si>
  <si>
    <t>William Johnston</t>
  </si>
  <si>
    <t>John Burke</t>
  </si>
  <si>
    <t>James Gildea</t>
  </si>
  <si>
    <t>Austin McManus</t>
  </si>
  <si>
    <t>Patrick Connolly</t>
  </si>
  <si>
    <t>Dominic Henry</t>
  </si>
  <si>
    <t>James Maxwell</t>
  </si>
  <si>
    <t>Thomas Kane</t>
  </si>
  <si>
    <t>9th</t>
  </si>
  <si>
    <t xml:space="preserve">2004 (11 June) - Ballymote (5 seats) Total Electorate: 10,169 Total Poll: 7,280 Valid Poll: 7,204 Quota: 1,201 </t>
  </si>
  <si>
    <t>Dromore (3 seats) Total Electorate: 5,793 Total Poll: 4,104 Valid Poll: 4,056 Quota: 1,015</t>
  </si>
  <si>
    <t>Sligo/Drumcliffe (6 seats) Total Electorate: 12,221 Total Poll: 7,804 Valid Poll: 7,677 Quota: 1,097</t>
  </si>
  <si>
    <t>Sligo/Strandhill (7 seats) Total Electorate: 13,445 Total Poll: 8,703 Valid Poll: 8,514 Quota: 1,065</t>
  </si>
  <si>
    <t>Tubbercurry (4 seats) Total Electorate: 7,418 Total Poll: 5,574 Valid Poll: 5,498 Quota: 1,100</t>
  </si>
  <si>
    <t>Dromore (3 seats) Total electorate: 5,256 Total Poll: 3,896 Valid Poll: 3,843 Quota: 961</t>
  </si>
  <si>
    <t>Tubbercurry (4 seats) Total electorate: 6,582 Total Poll: 5,341 Valid Poll: 5,289 Quota: 1,058</t>
  </si>
  <si>
    <t>Sligo Drumcliffe (6 seats) Total electorate: 11,084 Total Poll: 6,966 Valid Poll: 6,811 Quota: 974</t>
  </si>
  <si>
    <t>Sligo Strandhill (7 seats) Total Electorate: 13,013 Total Poll: 8,285 Valid Poll: 8,141 Quota: 1,018</t>
  </si>
  <si>
    <t>Deirdre Healy-McGowan*</t>
  </si>
  <si>
    <t>Imelda Henry*</t>
  </si>
  <si>
    <t>Mary Dolan-McLoughlin</t>
  </si>
  <si>
    <t>David Cawley</t>
  </si>
  <si>
    <t>Rosaleen O'Grady</t>
  </si>
  <si>
    <t>Veronica Cawley*</t>
  </si>
  <si>
    <t>Hubert Keaney</t>
  </si>
  <si>
    <t>Jude Devins*</t>
  </si>
  <si>
    <t>Arthur Gibbons</t>
  </si>
  <si>
    <t>Francis Feeney</t>
  </si>
  <si>
    <t>Gerard Mullaney*</t>
  </si>
  <si>
    <t>Martin Baker*</t>
  </si>
  <si>
    <t>Thomas Healy</t>
  </si>
  <si>
    <t>Mattie Scanlon</t>
  </si>
  <si>
    <t>Dick Cahill</t>
  </si>
  <si>
    <t>Jerry Lundy*</t>
  </si>
  <si>
    <t>Roger McCarrick</t>
  </si>
  <si>
    <t>Dara Mulvey</t>
  </si>
  <si>
    <t>Alwyn Love</t>
  </si>
  <si>
    <t>Martin Wilson</t>
  </si>
  <si>
    <t>Pat McGrath*</t>
  </si>
  <si>
    <t>Sligo/Strandhill (7 seats) Total Electorate: 13,517 Total Poll: 8,226 Valid Poll: 8,121 Quota: 1,016</t>
  </si>
  <si>
    <t>1,113*</t>
  </si>
  <si>
    <t>1,047*</t>
  </si>
  <si>
    <t>1,019*</t>
  </si>
  <si>
    <t>2009 (5 June) - Ballymote (4 seats) Total Electorate: 8,628 Total Poll: 5,964 Valid Poll: 5,902 Quota: 1,181</t>
  </si>
  <si>
    <t>Dromore (4 seats) Total Electorate: 8,963 Total Poll: 6,474 Valid Poll: 6,418 Quota: 1,284</t>
  </si>
  <si>
    <t>Total Electorate</t>
  </si>
  <si>
    <t>Sligo/Drumcliffe (6 seats) Total Electorate: 12,947 Total Poll: 7,822 Valid Poll: 7,725 Quota: 1,104</t>
  </si>
  <si>
    <t>Tubbercurry (4 seats) Total Electorate: 8,294 Total Poll: 5,982 Valid Poll: 5,924 Quota: 1,185</t>
  </si>
  <si>
    <t>1967 (28 June) – Ballymote (7 seats) Total Electorate: 8,990 Total Poll: 6,943 Valid Poll: 6,916 Quota: 865</t>
  </si>
  <si>
    <t>Tubbercurry (5 seats) Total Electorate: 4,696 Total Poll: 3,406 Valid Poll: 3,376 Quota: 563</t>
  </si>
  <si>
    <t>Percy Kerr</t>
  </si>
  <si>
    <t>Henry Wood-Martin</t>
  </si>
  <si>
    <t>Denis Leonard</t>
  </si>
  <si>
    <t>Laurence McHugh</t>
  </si>
  <si>
    <t>Patrick J. Rooney</t>
  </si>
  <si>
    <t>Patrick Jordan</t>
  </si>
  <si>
    <t>Patrick McManamy*</t>
  </si>
  <si>
    <t>Patrick Gildea</t>
  </si>
  <si>
    <t>John J. McMorrow</t>
  </si>
  <si>
    <t>Michael Gray*</t>
  </si>
  <si>
    <t>John Mullarkey</t>
  </si>
  <si>
    <t>John P. Brennan</t>
  </si>
  <si>
    <t>Thomas Murricane</t>
  </si>
  <si>
    <t>A.J. Crichton</t>
  </si>
  <si>
    <t>Dudley M. Hanley</t>
  </si>
  <si>
    <t>Michael J. Hanley</t>
  </si>
  <si>
    <t>Daniel Kilcullen</t>
  </si>
  <si>
    <t>Peter Cawley*</t>
  </si>
  <si>
    <t>Unopposed</t>
  </si>
  <si>
    <t>Tubbercurry (4 seats) Total Electorate: 5,378</t>
  </si>
  <si>
    <t>Ratep.</t>
  </si>
  <si>
    <t>Sligo (6 seats) Total Electorate: 8,077 Total Poll: 6,351 Valid Poll: 6,148 Quota: 879</t>
  </si>
  <si>
    <t>Dromore (4 seats) Total Electorate: 5,302 Total Poll: 3,996 Valid Poll: 3,890 Quota: 779</t>
  </si>
  <si>
    <t>N</t>
  </si>
  <si>
    <t>John Hennigan</t>
  </si>
  <si>
    <t>John J. Clancy*</t>
  </si>
  <si>
    <t>Alex McCabe*</t>
  </si>
  <si>
    <t>Thomas O'Donnell*</t>
  </si>
  <si>
    <t xml:space="preserve">1999 (11 June) – Ballymote (5 seats) Total electorate: 9,009 Total Poll: 6,265 Valid Poll: 6,195 Quota: 1,033 </t>
  </si>
  <si>
    <t>1979 (7 June) – Ballymote (7 seats) Total Electorate: 9,400 Total Poll:  Valid Poll: 7,377 Quota: 923</t>
  </si>
  <si>
    <t>Tubbercurry (4 seats) Total Electorate:  Total Poll:  Valid Poll: 4,158 Quota: 823</t>
  </si>
  <si>
    <t>Dromore (4 seats) Total Electorate:  Total Poll:  Valid Poll: 4,002 Quota: 801</t>
  </si>
  <si>
    <t>Sligo (9 seats) Total Electorate:  Total Poll:  Valid Poll: 11,869 Quota: 1,187</t>
  </si>
  <si>
    <t>Dromore (5 seats) Total Electorate: 6,167 Total Poll:  Valid Poll: 4,480 Quota: 747</t>
  </si>
  <si>
    <t>Sligo (7 seats) Total Electorate: 12,556  Total Poll:  Valid Poll: 9,089 Quota: 1,137</t>
  </si>
  <si>
    <t>Tubbercurry (5 seats) Total Electorate: 7,008 Total Poll:  Valid Poll: 5,014 Quota: 836</t>
  </si>
  <si>
    <t xml:space="preserve">Dromore (5 seats) Total Electorate: 7,975 Total Poll:  Valid Poll: 5,738 Quota: 957 </t>
  </si>
  <si>
    <t xml:space="preserve">Sligo (7 seats) Total Electorate: 13,250 Total Poll:  Valid Poll: 8,597 Quota: 1,043 </t>
  </si>
  <si>
    <t>Tubbercurry (6 seats) Total Electorate: Total Poll:  Valid Poll: 3,268 Quota: 467</t>
  </si>
  <si>
    <t>Dromore (6 seats) Total Electorate: Total Poll:  Valid Poll: 3,710 Quota: 531</t>
  </si>
  <si>
    <t xml:space="preserve">Sligo (8 seats) Total Electorate: Total Poll:  Valid Poll: 3,850 Quota: 428 </t>
  </si>
  <si>
    <t>Tubbercurry (5 seats) Total Electorate: 5,410 Total Poll: 3,730 Valid Poll: 3,704 Quota: 618</t>
  </si>
  <si>
    <t>Dromore (5 seats) Total Electorate: 6,756 Total Poll: 4,543 Valid Poll: 4,522 Quota: 745</t>
  </si>
  <si>
    <t>1960 (29 June) – Ballymote (7 seats) Total Electorate: 9,971 Total Poll: 7,106 Valid Poll: 7,074 Quota: 885</t>
  </si>
  <si>
    <t>1925 (17 June)–Ballymote (8 seats) Total Electorate: 8,264 (est.) Total Poll: 4,780 Valid Poll: 4,628 Quota: 515</t>
  </si>
  <si>
    <t xml:space="preserve">1950 (20 September) – Ballymote (7 seats) Total Electorate: 11,943 Total Poll: 8,199 Valid Poll: 8,129 Quota: 1,017 </t>
  </si>
  <si>
    <t xml:space="preserve">1934 (26 June) – Ballymote (8 seats) Total Electorate: Total Poll: 6,900 Valid Poll: 6,838 Quota: 760 </t>
  </si>
  <si>
    <t xml:space="preserve">1942 (19 August) – Ballymote (7 seats) Total Electorate: 12,926 Total Poll:  Valid Poll: 9,069 Quota: 1,134 </t>
  </si>
  <si>
    <t xml:space="preserve">1945 (14 June) – Ballymote (7 seats) Total Electorate: 12,729 Total Poll: 8,248 Valid Poll: 8,091 Quota: 1,012 </t>
  </si>
  <si>
    <t xml:space="preserve">1928 (27 June) – Ballymote (8 seats) Total Electorate: Total Poll:  Valid Poll: 5,853 Quota: 651 </t>
  </si>
  <si>
    <t>1920 (4 June) – Ballymote (6 seats) Total Electorate: 9,285 Total Poll: 4,921 Valid Poll: 4,776 Quota: 683</t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</si>
</sst>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66">
    <font>
      <sz val="10"/>
      <name val="Arial"/>
    </font>
    <font>
      <sz val="10"/>
      <name val="Arial"/>
      <family val="2"/>
    </font>
    <font>
      <b/>
      <sz val="12"/>
      <name val="Times New Roman"/>
      <family val="1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17"/>
      <name val="Arial"/>
      <family val="2"/>
    </font>
    <font>
      <b/>
      <sz val="10"/>
      <color indexed="12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1"/>
      <color indexed="17"/>
      <name val="Times New Roman"/>
      <family val="1"/>
    </font>
    <font>
      <b/>
      <sz val="11"/>
      <color indexed="12"/>
      <name val="Times New Roman"/>
      <family val="1"/>
    </font>
    <font>
      <sz val="11"/>
      <color indexed="17"/>
      <name val="Times New Roman"/>
      <family val="1"/>
    </font>
    <font>
      <sz val="11"/>
      <color indexed="12"/>
      <name val="Times New Roman"/>
      <family val="1"/>
    </font>
    <font>
      <sz val="11"/>
      <name val="Arial"/>
      <family val="2"/>
    </font>
    <font>
      <sz val="8"/>
      <name val="Arial"/>
      <family val="2"/>
    </font>
    <font>
      <sz val="11"/>
      <color indexed="50"/>
      <name val="Times New Roman"/>
      <family val="1"/>
    </font>
    <font>
      <sz val="11"/>
      <color indexed="10"/>
      <name val="Times New Roman"/>
      <family val="1"/>
    </font>
    <font>
      <b/>
      <sz val="10"/>
      <color indexed="10"/>
      <name val="Arial"/>
      <family val="2"/>
    </font>
    <font>
      <b/>
      <sz val="10"/>
      <color indexed="50"/>
      <name val="Arial"/>
      <family val="2"/>
    </font>
    <font>
      <sz val="11"/>
      <color indexed="49"/>
      <name val="Times New Roman"/>
      <family val="1"/>
    </font>
    <font>
      <b/>
      <sz val="11"/>
      <color indexed="10"/>
      <name val="Times New Roman"/>
      <family val="1"/>
    </font>
    <font>
      <b/>
      <sz val="10"/>
      <name val="Arial"/>
      <family val="2"/>
    </font>
    <font>
      <b/>
      <sz val="11"/>
      <color indexed="8"/>
      <name val="Times New Roman"/>
      <family val="1"/>
    </font>
    <font>
      <b/>
      <sz val="10"/>
      <color indexed="17"/>
      <name val="Arial"/>
      <family val="2"/>
    </font>
    <font>
      <b/>
      <sz val="10"/>
      <color indexed="12"/>
      <name val="Arial"/>
      <family val="2"/>
    </font>
    <font>
      <b/>
      <sz val="10"/>
      <color indexed="10"/>
      <name val="Arial"/>
      <family val="2"/>
    </font>
    <font>
      <b/>
      <sz val="10"/>
      <color indexed="15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indexed="17"/>
      <name val="Arial"/>
      <family val="2"/>
    </font>
    <font>
      <b/>
      <sz val="11"/>
      <color indexed="12"/>
      <name val="Arial"/>
      <family val="2"/>
    </font>
    <font>
      <sz val="12"/>
      <name val="Times New Roman"/>
      <family val="1"/>
    </font>
    <font>
      <sz val="12"/>
      <color indexed="17"/>
      <name val="Times New Roman"/>
      <family val="1"/>
    </font>
    <font>
      <sz val="12"/>
      <color indexed="12"/>
      <name val="Times New Roman"/>
      <family val="1"/>
    </font>
    <font>
      <sz val="12"/>
      <color indexed="50"/>
      <name val="Times New Roman"/>
      <family val="1"/>
    </font>
    <font>
      <sz val="12"/>
      <color indexed="10"/>
      <name val="Times New Roman"/>
      <family val="1"/>
    </font>
    <font>
      <b/>
      <sz val="11"/>
      <color indexed="50"/>
      <name val="Times New Roman"/>
      <family val="1"/>
    </font>
    <font>
      <sz val="11"/>
      <color indexed="52"/>
      <name val="Times New Roman"/>
      <family val="1"/>
    </font>
    <font>
      <sz val="11"/>
      <color indexed="14"/>
      <name val="Times New Roman"/>
      <family val="1"/>
    </font>
    <font>
      <b/>
      <sz val="11"/>
      <color indexed="14"/>
      <name val="Times New Roman"/>
      <family val="1"/>
    </font>
    <font>
      <sz val="11"/>
      <color indexed="60"/>
      <name val="Times New Roman"/>
      <family val="1"/>
    </font>
    <font>
      <b/>
      <i/>
      <sz val="11"/>
      <color indexed="50"/>
      <name val="Times New Roman"/>
      <family val="1"/>
    </font>
    <font>
      <sz val="12"/>
      <color indexed="8"/>
      <name val="Times New Roman"/>
      <family val="1"/>
    </font>
    <font>
      <b/>
      <sz val="11"/>
      <color indexed="50"/>
      <name val="Arial"/>
      <family val="2"/>
    </font>
    <font>
      <b/>
      <sz val="11"/>
      <color indexed="10"/>
      <name val="Arial"/>
      <family val="2"/>
    </font>
    <font>
      <b/>
      <sz val="11"/>
      <color indexed="8"/>
      <name val="Arial"/>
      <family val="2"/>
    </font>
    <font>
      <b/>
      <sz val="11"/>
      <color indexed="52"/>
      <name val="Arial"/>
      <family val="2"/>
    </font>
    <font>
      <b/>
      <sz val="10"/>
      <color indexed="52"/>
      <name val="Arial"/>
      <family val="2"/>
    </font>
    <font>
      <b/>
      <sz val="11"/>
      <color indexed="14"/>
      <name val="Arial"/>
      <family val="2"/>
    </font>
    <font>
      <b/>
      <sz val="10"/>
      <color indexed="14"/>
      <name val="Arial"/>
      <family val="2"/>
    </font>
    <font>
      <b/>
      <sz val="11"/>
      <color indexed="60"/>
      <name val="Arial"/>
      <family val="2"/>
    </font>
    <font>
      <b/>
      <sz val="10"/>
      <color indexed="60"/>
      <name val="Arial"/>
      <family val="2"/>
    </font>
    <font>
      <b/>
      <sz val="11"/>
      <color indexed="15"/>
      <name val="Arial"/>
      <family val="2"/>
    </font>
    <font>
      <b/>
      <sz val="11"/>
      <color indexed="19"/>
      <name val="Arial"/>
      <family val="2"/>
    </font>
    <font>
      <b/>
      <sz val="10"/>
      <name val="Times New Roman"/>
      <family val="1"/>
    </font>
    <font>
      <b/>
      <sz val="10"/>
      <color indexed="51"/>
      <name val="Arial"/>
      <family val="2"/>
    </font>
    <font>
      <b/>
      <sz val="10"/>
      <color indexed="40"/>
      <name val="Arial"/>
      <family val="2"/>
    </font>
    <font>
      <sz val="11"/>
      <color indexed="8"/>
      <name val="Times New Roman"/>
      <family val="1"/>
    </font>
    <font>
      <b/>
      <sz val="11"/>
      <color indexed="60"/>
      <name val="Times New Roman"/>
      <family val="1"/>
    </font>
    <font>
      <sz val="10"/>
      <name val="Arial"/>
      <family val="2"/>
    </font>
    <font>
      <sz val="11"/>
      <color rgb="FFFF0000"/>
      <name val="Times New Roman"/>
      <family val="1"/>
    </font>
    <font>
      <sz val="11"/>
      <color theme="0" tint="-0.499984740745262"/>
      <name val="Times New Roman"/>
      <family val="1"/>
    </font>
    <font>
      <b/>
      <sz val="11"/>
      <color theme="0" tint="-0.499984740745262"/>
      <name val="Arial"/>
      <family val="2"/>
    </font>
    <font>
      <b/>
      <sz val="10"/>
      <color theme="0" tint="-0.499984740745262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4">
    <xf numFmtId="0" fontId="0" fillId="0" borderId="0" xfId="0"/>
    <xf numFmtId="0" fontId="2" fillId="0" borderId="0" xfId="0" applyFont="1"/>
    <xf numFmtId="3" fontId="0" fillId="0" borderId="0" xfId="0" applyNumberFormat="1"/>
    <xf numFmtId="0" fontId="4" fillId="0" borderId="0" xfId="0" applyFont="1"/>
    <xf numFmtId="0" fontId="5" fillId="0" borderId="0" xfId="0" applyFont="1"/>
    <xf numFmtId="0" fontId="3" fillId="0" borderId="0" xfId="0" applyFont="1"/>
    <xf numFmtId="0" fontId="8" fillId="0" borderId="0" xfId="0" applyFont="1"/>
    <xf numFmtId="0" fontId="9" fillId="0" borderId="0" xfId="0" applyFont="1"/>
    <xf numFmtId="0" fontId="10" fillId="0" borderId="1" xfId="0" applyFont="1" applyBorder="1" applyAlignment="1">
      <alignment vertical="top" wrapText="1"/>
    </xf>
    <xf numFmtId="0" fontId="10" fillId="0" borderId="2" xfId="0" applyFont="1" applyBorder="1" applyAlignment="1">
      <alignment vertical="top" wrapText="1"/>
    </xf>
    <xf numFmtId="0" fontId="8" fillId="0" borderId="3" xfId="0" applyFont="1" applyBorder="1" applyAlignment="1">
      <alignment vertical="top" wrapText="1"/>
    </xf>
    <xf numFmtId="0" fontId="11" fillId="0" borderId="4" xfId="0" applyFont="1" applyBorder="1" applyAlignment="1">
      <alignment vertical="top" wrapText="1"/>
    </xf>
    <xf numFmtId="3" fontId="8" fillId="0" borderId="4" xfId="0" applyNumberFormat="1" applyFont="1" applyBorder="1" applyAlignment="1">
      <alignment vertical="top" wrapText="1"/>
    </xf>
    <xf numFmtId="0" fontId="9" fillId="0" borderId="4" xfId="0" applyFont="1" applyBorder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12" fillId="0" borderId="4" xfId="0" applyFont="1" applyBorder="1" applyAlignment="1">
      <alignment vertical="top" wrapText="1"/>
    </xf>
    <xf numFmtId="3" fontId="9" fillId="0" borderId="4" xfId="0" applyNumberFormat="1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13" fillId="0" borderId="4" xfId="0" applyFont="1" applyBorder="1" applyAlignment="1">
      <alignment vertical="top" wrapText="1"/>
    </xf>
    <xf numFmtId="0" fontId="14" fillId="0" borderId="4" xfId="0" applyFont="1" applyBorder="1" applyAlignment="1">
      <alignment vertical="top" wrapText="1"/>
    </xf>
    <xf numFmtId="0" fontId="15" fillId="0" borderId="0" xfId="0" applyFont="1"/>
    <xf numFmtId="0" fontId="17" fillId="0" borderId="4" xfId="0" applyFont="1" applyBorder="1" applyAlignment="1">
      <alignment vertical="top" wrapText="1"/>
    </xf>
    <xf numFmtId="0" fontId="18" fillId="0" borderId="4" xfId="0" applyFont="1" applyBorder="1" applyAlignment="1">
      <alignment vertical="top" wrapText="1"/>
    </xf>
    <xf numFmtId="0" fontId="6" fillId="0" borderId="0" xfId="0" applyFont="1"/>
    <xf numFmtId="0" fontId="7" fillId="0" borderId="0" xfId="0" applyFont="1"/>
    <xf numFmtId="0" fontId="19" fillId="0" borderId="0" xfId="0" applyFont="1"/>
    <xf numFmtId="0" fontId="20" fillId="0" borderId="0" xfId="0" applyFont="1"/>
    <xf numFmtId="0" fontId="8" fillId="0" borderId="0" xfId="0" applyFont="1" applyFill="1" applyBorder="1" applyAlignment="1">
      <alignment vertical="top" wrapText="1"/>
    </xf>
    <xf numFmtId="10" fontId="0" fillId="0" borderId="0" xfId="1" applyNumberFormat="1" applyFont="1"/>
    <xf numFmtId="10" fontId="5" fillId="0" borderId="0" xfId="1" applyNumberFormat="1" applyFont="1"/>
    <xf numFmtId="0" fontId="21" fillId="0" borderId="4" xfId="0" applyFont="1" applyBorder="1" applyAlignment="1">
      <alignment vertical="top" wrapText="1"/>
    </xf>
    <xf numFmtId="0" fontId="22" fillId="0" borderId="4" xfId="0" applyFont="1" applyBorder="1" applyAlignment="1">
      <alignment vertical="top" wrapText="1"/>
    </xf>
    <xf numFmtId="0" fontId="23" fillId="0" borderId="0" xfId="0" applyFont="1"/>
    <xf numFmtId="0" fontId="24" fillId="0" borderId="0" xfId="0" applyFont="1" applyFill="1" applyBorder="1" applyAlignment="1">
      <alignment vertical="top" wrapText="1"/>
    </xf>
    <xf numFmtId="0" fontId="25" fillId="0" borderId="0" xfId="0" applyFont="1"/>
    <xf numFmtId="0" fontId="26" fillId="0" borderId="0" xfId="0" applyFont="1"/>
    <xf numFmtId="0" fontId="27" fillId="0" borderId="0" xfId="0" applyFont="1"/>
    <xf numFmtId="0" fontId="28" fillId="0" borderId="0" xfId="0" applyFont="1"/>
    <xf numFmtId="10" fontId="8" fillId="0" borderId="0" xfId="1" applyNumberFormat="1" applyFont="1" applyFill="1" applyBorder="1" applyAlignment="1">
      <alignment vertical="top" wrapText="1"/>
    </xf>
    <xf numFmtId="10" fontId="23" fillId="0" borderId="0" xfId="1" applyNumberFormat="1" applyFont="1"/>
    <xf numFmtId="10" fontId="15" fillId="0" borderId="0" xfId="1" applyNumberFormat="1" applyFont="1"/>
    <xf numFmtId="0" fontId="29" fillId="0" borderId="0" xfId="0" applyFont="1"/>
    <xf numFmtId="0" fontId="30" fillId="0" borderId="0" xfId="0" applyFont="1"/>
    <xf numFmtId="0" fontId="31" fillId="0" borderId="0" xfId="0" applyFont="1"/>
    <xf numFmtId="3" fontId="29" fillId="0" borderId="0" xfId="0" applyNumberFormat="1" applyFont="1"/>
    <xf numFmtId="0" fontId="32" fillId="0" borderId="0" xfId="0" applyFont="1"/>
    <xf numFmtId="10" fontId="29" fillId="0" borderId="0" xfId="1" applyNumberFormat="1" applyFont="1"/>
    <xf numFmtId="0" fontId="33" fillId="0" borderId="0" xfId="0" applyFont="1"/>
    <xf numFmtId="0" fontId="2" fillId="0" borderId="4" xfId="0" applyFont="1" applyBorder="1" applyAlignment="1">
      <alignment vertical="top" wrapText="1"/>
    </xf>
    <xf numFmtId="0" fontId="33" fillId="0" borderId="4" xfId="0" applyFont="1" applyBorder="1" applyAlignment="1">
      <alignment vertical="top" wrapText="1"/>
    </xf>
    <xf numFmtId="3" fontId="33" fillId="0" borderId="4" xfId="0" applyNumberFormat="1" applyFont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34" fillId="0" borderId="4" xfId="0" applyFont="1" applyBorder="1" applyAlignment="1">
      <alignment vertical="top" wrapText="1"/>
    </xf>
    <xf numFmtId="0" fontId="35" fillId="0" borderId="4" xfId="0" applyFont="1" applyBorder="1" applyAlignment="1">
      <alignment vertical="top" wrapText="1"/>
    </xf>
    <xf numFmtId="0" fontId="36" fillId="0" borderId="4" xfId="0" applyFont="1" applyBorder="1" applyAlignment="1">
      <alignment vertical="top" wrapText="1"/>
    </xf>
    <xf numFmtId="0" fontId="37" fillId="0" borderId="4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38" fillId="0" borderId="4" xfId="0" applyFont="1" applyBorder="1" applyAlignment="1">
      <alignment vertical="top" wrapText="1"/>
    </xf>
    <xf numFmtId="0" fontId="39" fillId="0" borderId="4" xfId="0" applyFont="1" applyBorder="1" applyAlignment="1">
      <alignment vertical="top" wrapText="1"/>
    </xf>
    <xf numFmtId="0" fontId="40" fillId="0" borderId="4" xfId="0" applyFont="1" applyBorder="1" applyAlignment="1">
      <alignment vertical="top" wrapText="1"/>
    </xf>
    <xf numFmtId="0" fontId="41" fillId="0" borderId="4" xfId="0" applyFont="1" applyBorder="1" applyAlignment="1">
      <alignment vertical="top" wrapText="1"/>
    </xf>
    <xf numFmtId="0" fontId="42" fillId="0" borderId="4" xfId="0" applyFont="1" applyBorder="1" applyAlignment="1">
      <alignment vertical="top" wrapText="1"/>
    </xf>
    <xf numFmtId="0" fontId="43" fillId="0" borderId="2" xfId="0" applyFont="1" applyBorder="1" applyAlignment="1">
      <alignment vertical="top" wrapText="1"/>
    </xf>
    <xf numFmtId="0" fontId="10" fillId="0" borderId="4" xfId="0" applyFont="1" applyBorder="1" applyAlignment="1">
      <alignment vertical="top" wrapText="1"/>
    </xf>
    <xf numFmtId="0" fontId="44" fillId="0" borderId="4" xfId="0" applyFont="1" applyBorder="1" applyAlignment="1">
      <alignment vertical="top" wrapText="1"/>
    </xf>
    <xf numFmtId="0" fontId="45" fillId="0" borderId="0" xfId="0" applyFont="1"/>
    <xf numFmtId="0" fontId="46" fillId="0" borderId="0" xfId="0" applyFont="1"/>
    <xf numFmtId="3" fontId="15" fillId="0" borderId="0" xfId="0" applyNumberFormat="1" applyFont="1"/>
    <xf numFmtId="0" fontId="47" fillId="0" borderId="0" xfId="0" applyFont="1"/>
    <xf numFmtId="0" fontId="48" fillId="0" borderId="0" xfId="0" applyFont="1"/>
    <xf numFmtId="0" fontId="49" fillId="0" borderId="0" xfId="0" applyFont="1"/>
    <xf numFmtId="0" fontId="50" fillId="0" borderId="0" xfId="0" applyFont="1"/>
    <xf numFmtId="3" fontId="30" fillId="0" borderId="0" xfId="0" applyNumberFormat="1" applyFont="1"/>
    <xf numFmtId="0" fontId="51" fillId="0" borderId="0" xfId="0" applyFont="1"/>
    <xf numFmtId="0" fontId="52" fillId="0" borderId="0" xfId="0" applyFont="1"/>
    <xf numFmtId="0" fontId="53" fillId="0" borderId="0" xfId="0" applyFont="1"/>
    <xf numFmtId="3" fontId="23" fillId="0" borderId="0" xfId="0" applyNumberFormat="1" applyFont="1"/>
    <xf numFmtId="0" fontId="54" fillId="0" borderId="0" xfId="0" applyFont="1"/>
    <xf numFmtId="0" fontId="55" fillId="0" borderId="0" xfId="0" applyFont="1"/>
    <xf numFmtId="3" fontId="2" fillId="0" borderId="3" xfId="0" applyNumberFormat="1" applyFont="1" applyBorder="1" applyAlignment="1">
      <alignment vertical="top" wrapText="1"/>
    </xf>
    <xf numFmtId="0" fontId="56" fillId="0" borderId="0" xfId="0" applyFont="1"/>
    <xf numFmtId="0" fontId="33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top" wrapText="1"/>
    </xf>
    <xf numFmtId="2" fontId="2" fillId="0" borderId="2" xfId="0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7" fillId="0" borderId="0" xfId="0" applyFont="1"/>
    <xf numFmtId="0" fontId="58" fillId="0" borderId="0" xfId="0" applyFont="1"/>
    <xf numFmtId="10" fontId="53" fillId="0" borderId="0" xfId="0" applyNumberFormat="1" applyFont="1"/>
    <xf numFmtId="10" fontId="0" fillId="0" borderId="0" xfId="0" applyNumberFormat="1"/>
    <xf numFmtId="0" fontId="59" fillId="0" borderId="4" xfId="0" applyFont="1" applyBorder="1" applyAlignment="1">
      <alignment vertical="top" wrapText="1"/>
    </xf>
    <xf numFmtId="0" fontId="24" fillId="0" borderId="4" xfId="0" applyFont="1" applyBorder="1" applyAlignment="1">
      <alignment vertical="top" wrapText="1"/>
    </xf>
    <xf numFmtId="10" fontId="1" fillId="0" borderId="0" xfId="1" applyNumberFormat="1"/>
    <xf numFmtId="0" fontId="10" fillId="0" borderId="0" xfId="0" applyFont="1" applyBorder="1" applyAlignment="1">
      <alignment vertical="top" wrapText="1"/>
    </xf>
    <xf numFmtId="0" fontId="60" fillId="0" borderId="4" xfId="0" applyFont="1" applyBorder="1" applyAlignment="1">
      <alignment vertical="top" wrapText="1"/>
    </xf>
    <xf numFmtId="0" fontId="61" fillId="0" borderId="0" xfId="0" applyFont="1"/>
    <xf numFmtId="0" fontId="62" fillId="0" borderId="4" xfId="0" applyFont="1" applyBorder="1" applyAlignment="1">
      <alignment vertical="top" wrapText="1"/>
    </xf>
    <xf numFmtId="3" fontId="5" fillId="0" borderId="0" xfId="0" applyNumberFormat="1" applyFont="1"/>
    <xf numFmtId="3" fontId="33" fillId="0" borderId="0" xfId="0" applyNumberFormat="1" applyFont="1"/>
    <xf numFmtId="3" fontId="2" fillId="0" borderId="2" xfId="0" applyNumberFormat="1" applyFont="1" applyBorder="1" applyAlignment="1">
      <alignment vertical="top" wrapText="1"/>
    </xf>
    <xf numFmtId="3" fontId="3" fillId="0" borderId="0" xfId="0" applyNumberFormat="1" applyFont="1"/>
    <xf numFmtId="3" fontId="2" fillId="0" borderId="0" xfId="0" applyNumberFormat="1" applyFont="1"/>
    <xf numFmtId="3" fontId="2" fillId="0" borderId="1" xfId="0" applyNumberFormat="1" applyFont="1" applyBorder="1" applyAlignment="1">
      <alignment vertical="top" wrapText="1"/>
    </xf>
    <xf numFmtId="3" fontId="56" fillId="0" borderId="0" xfId="0" applyNumberFormat="1" applyFont="1"/>
    <xf numFmtId="41" fontId="8" fillId="0" borderId="0" xfId="0" applyNumberFormat="1" applyFont="1" applyFill="1" applyBorder="1" applyAlignment="1">
      <alignment vertical="top" wrapText="1"/>
    </xf>
    <xf numFmtId="41" fontId="5" fillId="0" borderId="0" xfId="0" applyNumberFormat="1" applyFont="1"/>
    <xf numFmtId="41" fontId="0" fillId="0" borderId="0" xfId="0" applyNumberFormat="1"/>
    <xf numFmtId="41" fontId="23" fillId="0" borderId="0" xfId="0" applyNumberFormat="1" applyFont="1"/>
    <xf numFmtId="41" fontId="9" fillId="0" borderId="0" xfId="0" applyNumberFormat="1" applyFont="1" applyFill="1" applyBorder="1" applyAlignment="1">
      <alignment vertical="top" wrapText="1"/>
    </xf>
    <xf numFmtId="41" fontId="4" fillId="0" borderId="0" xfId="0" applyNumberFormat="1" applyFont="1" applyFill="1" applyBorder="1" applyAlignment="1">
      <alignment vertical="top" wrapText="1"/>
    </xf>
    <xf numFmtId="0" fontId="8" fillId="0" borderId="4" xfId="0" applyFont="1" applyBorder="1" applyAlignment="1">
      <alignment vertical="top"/>
    </xf>
    <xf numFmtId="0" fontId="63" fillId="0" borderId="4" xfId="0" applyFont="1" applyBorder="1" applyAlignment="1">
      <alignment vertical="top" wrapText="1"/>
    </xf>
    <xf numFmtId="0" fontId="64" fillId="0" borderId="0" xfId="0" applyFont="1"/>
    <xf numFmtId="0" fontId="65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9"/>
  <sheetViews>
    <sheetView workbookViewId="0">
      <selection activeCell="N1" sqref="N1"/>
    </sheetView>
  </sheetViews>
  <sheetFormatPr defaultRowHeight="12.75"/>
  <cols>
    <col min="1" max="1" width="22" customWidth="1"/>
    <col min="2" max="2" width="8.140625" customWidth="1"/>
    <col min="3" max="3" width="11.28515625" customWidth="1"/>
    <col min="4" max="19" width="8.7109375" customWidth="1"/>
  </cols>
  <sheetData>
    <row r="1" spans="1:11" s="20" customFormat="1" ht="16.5" customHeight="1">
      <c r="A1" s="6" t="s">
        <v>626</v>
      </c>
    </row>
    <row r="2" spans="1:11" s="20" customFormat="1" ht="10.5" customHeight="1" thickBot="1">
      <c r="A2" s="6"/>
    </row>
    <row r="3" spans="1:11" s="20" customFormat="1" ht="16.5" customHeight="1" thickBot="1">
      <c r="A3" s="8" t="s">
        <v>0</v>
      </c>
      <c r="B3" s="9" t="s">
        <v>1</v>
      </c>
      <c r="C3" s="9" t="s">
        <v>2</v>
      </c>
      <c r="D3" s="9">
        <v>2</v>
      </c>
      <c r="E3" s="9">
        <v>3</v>
      </c>
      <c r="F3" s="9">
        <v>4</v>
      </c>
      <c r="G3" s="9"/>
      <c r="H3" s="41"/>
      <c r="I3" s="42" t="s">
        <v>63</v>
      </c>
      <c r="J3" s="42" t="s">
        <v>64</v>
      </c>
      <c r="K3" s="42" t="s">
        <v>65</v>
      </c>
    </row>
    <row r="4" spans="1:11" s="20" customFormat="1" ht="15.75" thickBot="1">
      <c r="A4" s="10" t="s">
        <v>522</v>
      </c>
      <c r="B4" s="57" t="s">
        <v>51</v>
      </c>
      <c r="C4" s="12">
        <v>1056</v>
      </c>
      <c r="D4" s="12"/>
      <c r="E4" s="16"/>
      <c r="F4" s="16"/>
      <c r="G4" s="14" t="s">
        <v>41</v>
      </c>
      <c r="H4" s="65" t="s">
        <v>51</v>
      </c>
      <c r="I4" s="44">
        <f>SUM(C4:C9)</f>
        <v>4546</v>
      </c>
      <c r="J4" s="46">
        <f>SUM(I4/I7)</f>
        <v>0.9518425460636516</v>
      </c>
      <c r="K4" s="41">
        <v>6</v>
      </c>
    </row>
    <row r="5" spans="1:11" s="20" customFormat="1" ht="15.75" thickBot="1">
      <c r="A5" s="10" t="s">
        <v>369</v>
      </c>
      <c r="B5" s="57" t="s">
        <v>51</v>
      </c>
      <c r="C5" s="12">
        <v>1040</v>
      </c>
      <c r="D5" s="16"/>
      <c r="E5" s="16"/>
      <c r="F5" s="16"/>
      <c r="G5" s="14" t="s">
        <v>42</v>
      </c>
      <c r="H5" s="43" t="s">
        <v>487</v>
      </c>
      <c r="I5" s="44">
        <v>189</v>
      </c>
      <c r="J5" s="46">
        <f>SUM(I5/I7)</f>
        <v>3.9572864321608038E-2</v>
      </c>
      <c r="K5" s="41"/>
    </row>
    <row r="6" spans="1:11" s="20" customFormat="1" ht="15.75" thickBot="1">
      <c r="A6" s="10" t="s">
        <v>584</v>
      </c>
      <c r="B6" s="57" t="s">
        <v>51</v>
      </c>
      <c r="C6" s="12">
        <v>944</v>
      </c>
      <c r="D6" s="16"/>
      <c r="E6" s="16"/>
      <c r="F6" s="16"/>
      <c r="G6" s="14" t="s">
        <v>43</v>
      </c>
      <c r="H6" s="68" t="s">
        <v>67</v>
      </c>
      <c r="I6" s="67">
        <f>(C11+C12)</f>
        <v>41</v>
      </c>
      <c r="J6" s="40">
        <f>SUM(I6/I7)</f>
        <v>8.5845896147403681E-3</v>
      </c>
    </row>
    <row r="7" spans="1:11" s="20" customFormat="1" ht="15.75" thickBot="1">
      <c r="A7" s="10" t="s">
        <v>524</v>
      </c>
      <c r="B7" s="57" t="s">
        <v>51</v>
      </c>
      <c r="C7" s="12">
        <v>868</v>
      </c>
      <c r="D7" s="16"/>
      <c r="E7" s="16"/>
      <c r="F7" s="16"/>
      <c r="G7" s="14" t="s">
        <v>44</v>
      </c>
      <c r="I7" s="72">
        <v>4776</v>
      </c>
    </row>
    <row r="8" spans="1:11" s="20" customFormat="1" ht="15.75" thickBot="1">
      <c r="A8" s="10" t="s">
        <v>490</v>
      </c>
      <c r="B8" s="57" t="s">
        <v>51</v>
      </c>
      <c r="C8" s="16">
        <v>322</v>
      </c>
      <c r="D8" s="16">
        <v>439</v>
      </c>
      <c r="E8" s="12">
        <v>684</v>
      </c>
      <c r="F8" s="16"/>
      <c r="G8" s="14" t="s">
        <v>45</v>
      </c>
    </row>
    <row r="9" spans="1:11" s="20" customFormat="1" ht="15.75" thickBot="1">
      <c r="A9" s="10" t="s">
        <v>585</v>
      </c>
      <c r="B9" s="57" t="s">
        <v>51</v>
      </c>
      <c r="C9" s="16">
        <v>316</v>
      </c>
      <c r="D9" s="16">
        <v>523</v>
      </c>
      <c r="E9" s="16">
        <v>607</v>
      </c>
      <c r="F9" s="12">
        <v>841</v>
      </c>
      <c r="G9" s="14" t="s">
        <v>494</v>
      </c>
    </row>
    <row r="10" spans="1:11" s="20" customFormat="1" ht="15.75" thickBot="1">
      <c r="A10" s="17" t="s">
        <v>582</v>
      </c>
      <c r="B10" s="18" t="s">
        <v>599</v>
      </c>
      <c r="C10" s="16">
        <v>189</v>
      </c>
      <c r="D10" s="16">
        <v>226</v>
      </c>
      <c r="E10" s="16">
        <v>244</v>
      </c>
      <c r="F10" s="16">
        <v>254</v>
      </c>
      <c r="G10" s="13"/>
    </row>
    <row r="11" spans="1:11" s="20" customFormat="1" ht="15.75" thickBot="1">
      <c r="A11" s="17" t="s">
        <v>405</v>
      </c>
      <c r="B11" s="90" t="s">
        <v>10</v>
      </c>
      <c r="C11" s="16">
        <v>26</v>
      </c>
      <c r="D11" s="16">
        <v>30</v>
      </c>
      <c r="E11" s="16">
        <v>32</v>
      </c>
      <c r="F11" s="16">
        <v>38</v>
      </c>
      <c r="G11" s="16"/>
    </row>
    <row r="12" spans="1:11" s="20" customFormat="1" ht="15.75" thickBot="1">
      <c r="A12" s="17" t="s">
        <v>583</v>
      </c>
      <c r="B12" s="90" t="s">
        <v>10</v>
      </c>
      <c r="C12" s="16">
        <v>15</v>
      </c>
      <c r="D12" s="16">
        <v>23</v>
      </c>
      <c r="E12" s="16">
        <v>31</v>
      </c>
      <c r="F12" s="16">
        <v>42</v>
      </c>
      <c r="G12" s="16"/>
    </row>
    <row r="14" spans="1:11" ht="14.25">
      <c r="A14" s="6" t="s">
        <v>595</v>
      </c>
      <c r="B14" s="20"/>
      <c r="C14" s="20"/>
      <c r="D14" s="20"/>
      <c r="E14" s="20"/>
      <c r="F14" s="20"/>
      <c r="G14" s="20"/>
      <c r="H14" s="20"/>
    </row>
    <row r="15" spans="1:11" ht="10.5" customHeight="1" thickBot="1">
      <c r="A15" s="6"/>
      <c r="B15" s="20"/>
      <c r="C15" s="20"/>
      <c r="D15" s="20"/>
      <c r="E15" s="20"/>
      <c r="F15" s="20"/>
      <c r="G15" s="20"/>
      <c r="H15" s="20"/>
    </row>
    <row r="16" spans="1:11" ht="16.5" customHeight="1" thickBot="1">
      <c r="A16" s="8" t="s">
        <v>0</v>
      </c>
      <c r="B16" s="9" t="s">
        <v>1</v>
      </c>
      <c r="C16" s="9" t="s">
        <v>2</v>
      </c>
      <c r="D16" s="9"/>
      <c r="E16" s="41"/>
      <c r="F16" s="42" t="s">
        <v>65</v>
      </c>
      <c r="G16" s="42"/>
    </row>
    <row r="17" spans="1:9" ht="15.75" thickBot="1">
      <c r="A17" s="10" t="s">
        <v>587</v>
      </c>
      <c r="B17" s="57" t="s">
        <v>51</v>
      </c>
      <c r="C17" s="110" t="s">
        <v>594</v>
      </c>
      <c r="D17" s="14"/>
      <c r="E17" s="65" t="s">
        <v>51</v>
      </c>
      <c r="F17" s="41">
        <v>4</v>
      </c>
      <c r="G17" s="46"/>
    </row>
    <row r="18" spans="1:9" ht="15.75" thickBot="1">
      <c r="A18" s="10" t="s">
        <v>381</v>
      </c>
      <c r="B18" s="57" t="s">
        <v>51</v>
      </c>
      <c r="C18" s="110" t="s">
        <v>594</v>
      </c>
      <c r="D18" s="14"/>
      <c r="E18" s="45"/>
      <c r="F18" s="41"/>
      <c r="G18" s="46"/>
    </row>
    <row r="19" spans="1:9" ht="15.75" thickBot="1">
      <c r="A19" s="10" t="s">
        <v>586</v>
      </c>
      <c r="B19" s="57" t="s">
        <v>51</v>
      </c>
      <c r="C19" s="110" t="s">
        <v>594</v>
      </c>
      <c r="D19" s="14"/>
      <c r="E19" s="68"/>
      <c r="F19" s="67"/>
      <c r="G19" s="40"/>
      <c r="H19" s="20"/>
    </row>
    <row r="20" spans="1:9" ht="15.75" thickBot="1">
      <c r="A20" s="10" t="s">
        <v>588</v>
      </c>
      <c r="B20" s="57" t="s">
        <v>51</v>
      </c>
      <c r="C20" s="110" t="s">
        <v>594</v>
      </c>
      <c r="D20" s="14"/>
      <c r="E20" s="20"/>
      <c r="F20" s="72"/>
      <c r="G20" s="20"/>
      <c r="H20" s="20"/>
    </row>
    <row r="22" spans="1:9" s="20" customFormat="1" ht="14.25">
      <c r="A22" s="6" t="s">
        <v>598</v>
      </c>
    </row>
    <row r="23" spans="1:9" s="20" customFormat="1" ht="9.75" customHeight="1" thickBot="1">
      <c r="A23" s="6"/>
    </row>
    <row r="24" spans="1:9" s="20" customFormat="1" ht="16.5" customHeight="1" thickBot="1">
      <c r="A24" s="8" t="s">
        <v>0</v>
      </c>
      <c r="B24" s="9" t="s">
        <v>1</v>
      </c>
      <c r="C24" s="9" t="s">
        <v>2</v>
      </c>
      <c r="D24" s="9">
        <v>2</v>
      </c>
      <c r="E24" s="9"/>
      <c r="F24" s="41"/>
      <c r="G24" s="42" t="s">
        <v>63</v>
      </c>
      <c r="H24" s="42" t="s">
        <v>64</v>
      </c>
      <c r="I24" s="42" t="s">
        <v>65</v>
      </c>
    </row>
    <row r="25" spans="1:9" s="20" customFormat="1" ht="15.75" thickBot="1">
      <c r="A25" s="10" t="s">
        <v>591</v>
      </c>
      <c r="B25" s="57" t="s">
        <v>51</v>
      </c>
      <c r="C25" s="12">
        <v>1194</v>
      </c>
      <c r="D25" s="12"/>
      <c r="E25" s="14" t="s">
        <v>41</v>
      </c>
      <c r="F25" s="65" t="s">
        <v>51</v>
      </c>
      <c r="G25" s="44">
        <f>SUM(C25:C28)</f>
        <v>3613</v>
      </c>
      <c r="H25" s="46">
        <f>SUM(G25/G28)</f>
        <v>0.9287917737789203</v>
      </c>
      <c r="I25" s="41">
        <v>4</v>
      </c>
    </row>
    <row r="26" spans="1:9" s="20" customFormat="1" ht="15.75" thickBot="1">
      <c r="A26" s="10" t="s">
        <v>491</v>
      </c>
      <c r="B26" s="57" t="s">
        <v>51</v>
      </c>
      <c r="C26" s="12">
        <v>914</v>
      </c>
      <c r="D26" s="16"/>
      <c r="E26" s="14" t="s">
        <v>42</v>
      </c>
      <c r="F26" s="43" t="s">
        <v>599</v>
      </c>
      <c r="G26" s="44">
        <v>129</v>
      </c>
      <c r="H26" s="46">
        <f>SUM(G26/G28)</f>
        <v>3.3161953727506424E-2</v>
      </c>
      <c r="I26" s="41"/>
    </row>
    <row r="27" spans="1:9" s="20" customFormat="1" ht="15.75" thickBot="1">
      <c r="A27" s="10" t="s">
        <v>590</v>
      </c>
      <c r="B27" s="57" t="s">
        <v>51</v>
      </c>
      <c r="C27" s="12">
        <v>818</v>
      </c>
      <c r="D27" s="16"/>
      <c r="E27" s="14" t="s">
        <v>43</v>
      </c>
      <c r="F27" s="68" t="s">
        <v>67</v>
      </c>
      <c r="G27" s="67">
        <v>148</v>
      </c>
      <c r="H27" s="40">
        <f>SUM(G27/G28)</f>
        <v>3.8046272493573265E-2</v>
      </c>
    </row>
    <row r="28" spans="1:9" s="20" customFormat="1" ht="15.75" thickBot="1">
      <c r="A28" s="10" t="s">
        <v>592</v>
      </c>
      <c r="B28" s="57" t="s">
        <v>51</v>
      </c>
      <c r="C28" s="16">
        <v>687</v>
      </c>
      <c r="D28" s="12">
        <v>1086</v>
      </c>
      <c r="E28" s="14" t="s">
        <v>44</v>
      </c>
      <c r="G28" s="72">
        <v>3890</v>
      </c>
    </row>
    <row r="29" spans="1:9" s="20" customFormat="1" ht="15.75" thickBot="1">
      <c r="A29" s="17" t="s">
        <v>589</v>
      </c>
      <c r="B29" s="90" t="s">
        <v>10</v>
      </c>
      <c r="C29" s="16">
        <v>148</v>
      </c>
      <c r="D29" s="16">
        <v>155</v>
      </c>
      <c r="E29" s="14"/>
    </row>
    <row r="30" spans="1:9" s="20" customFormat="1" ht="15.75" thickBot="1">
      <c r="A30" s="17" t="s">
        <v>593</v>
      </c>
      <c r="B30" s="18" t="s">
        <v>599</v>
      </c>
      <c r="C30" s="16">
        <v>129</v>
      </c>
      <c r="D30" s="16">
        <v>138</v>
      </c>
      <c r="E30" s="14"/>
    </row>
    <row r="32" spans="1:9" ht="14.25">
      <c r="A32" s="6" t="s">
        <v>597</v>
      </c>
      <c r="B32" s="20"/>
      <c r="C32" s="20"/>
      <c r="D32" s="20"/>
      <c r="E32" s="20"/>
      <c r="F32" s="20"/>
      <c r="G32" s="20"/>
      <c r="H32" s="20"/>
    </row>
    <row r="33" spans="1:13" ht="9.75" customHeight="1" thickBot="1">
      <c r="A33" s="6"/>
      <c r="B33" s="20"/>
      <c r="C33" s="20"/>
      <c r="D33" s="20"/>
      <c r="E33" s="20"/>
      <c r="F33" s="20"/>
      <c r="G33" s="20"/>
      <c r="H33" s="20"/>
    </row>
    <row r="34" spans="1:13" ht="16.5" customHeight="1" thickBot="1">
      <c r="A34" s="8" t="s">
        <v>0</v>
      </c>
      <c r="B34" s="9" t="s">
        <v>1</v>
      </c>
      <c r="C34" s="9" t="s">
        <v>2</v>
      </c>
      <c r="D34" s="9">
        <v>2</v>
      </c>
      <c r="E34" s="9">
        <v>3</v>
      </c>
      <c r="F34" s="9">
        <v>4</v>
      </c>
      <c r="G34" s="9">
        <v>5</v>
      </c>
      <c r="H34" s="9"/>
      <c r="I34" s="41"/>
      <c r="J34" s="42" t="s">
        <v>63</v>
      </c>
      <c r="K34" s="42" t="s">
        <v>64</v>
      </c>
      <c r="L34" s="42" t="s">
        <v>65</v>
      </c>
    </row>
    <row r="35" spans="1:13" ht="15.75" thickBot="1">
      <c r="A35" s="10" t="s">
        <v>391</v>
      </c>
      <c r="B35" s="57" t="s">
        <v>51</v>
      </c>
      <c r="C35" s="12">
        <v>1256</v>
      </c>
      <c r="D35" s="16"/>
      <c r="E35" s="12"/>
      <c r="F35" s="16"/>
      <c r="G35" s="16"/>
      <c r="H35" s="14" t="s">
        <v>41</v>
      </c>
      <c r="I35" s="65" t="s">
        <v>51</v>
      </c>
      <c r="J35" s="44">
        <f>SUM(C35:C40)</f>
        <v>5458</v>
      </c>
      <c r="K35" s="46">
        <f>SUM(J35/$J$38)</f>
        <v>0.88776837996096292</v>
      </c>
      <c r="L35" s="41">
        <v>6</v>
      </c>
    </row>
    <row r="36" spans="1:13" ht="15.75" thickBot="1">
      <c r="A36" s="10" t="s">
        <v>580</v>
      </c>
      <c r="B36" s="57" t="s">
        <v>51</v>
      </c>
      <c r="C36" s="12">
        <v>957</v>
      </c>
      <c r="D36" s="16"/>
      <c r="E36" s="12"/>
      <c r="F36" s="12"/>
      <c r="G36" s="16"/>
      <c r="H36" s="14" t="s">
        <v>42</v>
      </c>
      <c r="I36" s="112" t="s">
        <v>596</v>
      </c>
      <c r="J36" s="44">
        <f>SUM(C42:C44)</f>
        <v>388</v>
      </c>
      <c r="K36" s="46">
        <f>SUM(J36/$J$38)</f>
        <v>6.3109954456733897E-2</v>
      </c>
      <c r="L36" s="41"/>
    </row>
    <row r="37" spans="1:13" ht="15.75" thickBot="1">
      <c r="A37" s="10" t="s">
        <v>394</v>
      </c>
      <c r="B37" s="57" t="s">
        <v>51</v>
      </c>
      <c r="C37" s="12">
        <v>957</v>
      </c>
      <c r="D37" s="16"/>
      <c r="E37" s="16"/>
      <c r="F37" s="12"/>
      <c r="G37" s="16"/>
      <c r="H37" s="14" t="s">
        <v>43</v>
      </c>
      <c r="I37" s="68" t="s">
        <v>67</v>
      </c>
      <c r="J37" s="44">
        <v>302</v>
      </c>
      <c r="K37" s="46">
        <f>SUM(J37/$J$38)</f>
        <v>4.9121665582303187E-2</v>
      </c>
      <c r="L37" s="41"/>
    </row>
    <row r="38" spans="1:13" ht="15.75" thickBot="1">
      <c r="A38" s="10" t="s">
        <v>578</v>
      </c>
      <c r="B38" s="57" t="s">
        <v>51</v>
      </c>
      <c r="C38" s="16">
        <v>876</v>
      </c>
      <c r="D38" s="12" t="s">
        <v>247</v>
      </c>
      <c r="E38" s="16"/>
      <c r="F38" s="16"/>
      <c r="G38" s="12"/>
      <c r="H38" s="14" t="s">
        <v>44</v>
      </c>
      <c r="I38" s="42"/>
      <c r="J38" s="72">
        <v>6148</v>
      </c>
      <c r="K38" s="40"/>
      <c r="L38" s="20"/>
    </row>
    <row r="39" spans="1:13" ht="15.75" thickBot="1">
      <c r="A39" s="10" t="s">
        <v>579</v>
      </c>
      <c r="B39" s="57" t="s">
        <v>51</v>
      </c>
      <c r="C39" s="16">
        <v>707</v>
      </c>
      <c r="D39" s="16"/>
      <c r="E39" s="16"/>
      <c r="F39" s="16"/>
      <c r="G39" s="12" t="s">
        <v>247</v>
      </c>
      <c r="H39" s="14" t="s">
        <v>494</v>
      </c>
    </row>
    <row r="40" spans="1:13" ht="15.75" thickBot="1">
      <c r="A40" s="10" t="s">
        <v>40</v>
      </c>
      <c r="B40" s="57" t="s">
        <v>51</v>
      </c>
      <c r="C40" s="16">
        <v>705</v>
      </c>
      <c r="D40" s="16"/>
      <c r="E40" s="16"/>
      <c r="F40" s="12" t="s">
        <v>247</v>
      </c>
      <c r="G40" s="16"/>
      <c r="H40" s="14" t="s">
        <v>45</v>
      </c>
    </row>
    <row r="41" spans="1:13" ht="15.75" thickBot="1">
      <c r="A41" s="17" t="s">
        <v>426</v>
      </c>
      <c r="B41" s="90" t="s">
        <v>10</v>
      </c>
      <c r="C41" s="16">
        <v>302</v>
      </c>
      <c r="D41" s="16"/>
      <c r="E41" s="16"/>
      <c r="F41" s="16"/>
      <c r="G41" s="16"/>
      <c r="H41" s="63"/>
    </row>
    <row r="42" spans="1:13" ht="15.75" thickBot="1">
      <c r="A42" s="17" t="s">
        <v>576</v>
      </c>
      <c r="B42" s="111" t="s">
        <v>596</v>
      </c>
      <c r="C42" s="16">
        <v>186</v>
      </c>
      <c r="D42" s="16"/>
      <c r="E42" s="16"/>
      <c r="F42" s="16"/>
      <c r="G42" s="16"/>
      <c r="H42" s="16"/>
    </row>
    <row r="43" spans="1:13" ht="15.75" thickBot="1">
      <c r="A43" s="17" t="s">
        <v>577</v>
      </c>
      <c r="B43" s="111" t="s">
        <v>596</v>
      </c>
      <c r="C43" s="16">
        <v>126</v>
      </c>
      <c r="D43" s="16"/>
      <c r="E43" s="16"/>
      <c r="F43" s="16"/>
      <c r="G43" s="16"/>
      <c r="H43" s="16"/>
    </row>
    <row r="44" spans="1:13" ht="15.75" thickBot="1">
      <c r="A44" s="17" t="s">
        <v>581</v>
      </c>
      <c r="B44" s="111" t="s">
        <v>596</v>
      </c>
      <c r="C44" s="16">
        <v>76</v>
      </c>
      <c r="D44" s="16"/>
      <c r="E44" s="16"/>
      <c r="F44" s="16"/>
      <c r="G44" s="16"/>
      <c r="H44" s="16"/>
      <c r="I44" s="2"/>
      <c r="J44" s="2"/>
      <c r="K44" s="2"/>
      <c r="L44" s="2"/>
      <c r="M44" s="2"/>
    </row>
    <row r="45" spans="1:13">
      <c r="C45" s="2"/>
    </row>
    <row r="46" spans="1:13" ht="14.25">
      <c r="B46" s="27" t="s">
        <v>66</v>
      </c>
      <c r="C46" s="26" t="s">
        <v>51</v>
      </c>
      <c r="D46" s="23" t="s">
        <v>599</v>
      </c>
      <c r="E46" s="113" t="s">
        <v>596</v>
      </c>
      <c r="F46" s="4" t="s">
        <v>67</v>
      </c>
      <c r="G46" s="75"/>
      <c r="M46" s="92"/>
    </row>
    <row r="47" spans="1:13" ht="14.25">
      <c r="A47" s="27" t="s">
        <v>63</v>
      </c>
      <c r="B47" s="76">
        <f>SUM(J38+G28+F20+I7)</f>
        <v>14814</v>
      </c>
      <c r="C47" s="2">
        <f>SUM(J35+G25+I4)</f>
        <v>13617</v>
      </c>
      <c r="D47" s="2">
        <f>SUM(G26+I5)</f>
        <v>318</v>
      </c>
      <c r="E47">
        <v>388</v>
      </c>
      <c r="F47" s="2">
        <f>SUM(J37+G27+I6)</f>
        <v>491</v>
      </c>
      <c r="G47" s="2"/>
    </row>
    <row r="48" spans="1:13" s="92" customFormat="1" ht="14.25">
      <c r="A48" s="38" t="s">
        <v>64</v>
      </c>
      <c r="B48" s="39">
        <v>1</v>
      </c>
      <c r="C48" s="92">
        <f>SUM(C47/$B$47)</f>
        <v>0.91919805589307413</v>
      </c>
      <c r="D48" s="92">
        <f>SUM(D47/$B$47)</f>
        <v>2.1466180639935196E-2</v>
      </c>
      <c r="E48" s="92">
        <f>SUM(E47/$B$47)</f>
        <v>2.6191440529229108E-2</v>
      </c>
      <c r="F48" s="92">
        <f>SUM(F47/$B$47)</f>
        <v>3.3144322937761574E-2</v>
      </c>
      <c r="M48"/>
    </row>
    <row r="49" spans="1:6" ht="14.25">
      <c r="A49" s="27" t="s">
        <v>65</v>
      </c>
      <c r="B49" s="32">
        <v>20</v>
      </c>
      <c r="C49">
        <v>20</v>
      </c>
      <c r="D49">
        <v>0</v>
      </c>
      <c r="E49">
        <v>0</v>
      </c>
      <c r="F49">
        <v>0</v>
      </c>
    </row>
  </sheetData>
  <sortState ref="A25:C30">
    <sortCondition descending="1" ref="C25:C30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Q80"/>
  <sheetViews>
    <sheetView workbookViewId="0">
      <selection activeCell="N1" sqref="N1"/>
    </sheetView>
  </sheetViews>
  <sheetFormatPr defaultRowHeight="12.75"/>
  <cols>
    <col min="1" max="1" width="22" customWidth="1"/>
    <col min="2" max="2" width="8.140625" customWidth="1"/>
    <col min="3" max="19" width="8.7109375" customWidth="1"/>
  </cols>
  <sheetData>
    <row r="1" spans="1:9" s="20" customFormat="1" ht="16.5" customHeight="1">
      <c r="A1" s="6" t="s">
        <v>620</v>
      </c>
    </row>
    <row r="2" spans="1:9" s="20" customFormat="1" ht="10.5" customHeight="1" thickBot="1">
      <c r="A2" s="6"/>
    </row>
    <row r="3" spans="1:9" s="20" customFormat="1" ht="16.5" customHeight="1" thickBot="1">
      <c r="A3" s="8" t="s">
        <v>0</v>
      </c>
      <c r="B3" s="9" t="s">
        <v>1</v>
      </c>
      <c r="C3" s="9" t="s">
        <v>2</v>
      </c>
      <c r="D3" s="9">
        <v>14</v>
      </c>
      <c r="E3" s="9"/>
      <c r="F3" s="41"/>
      <c r="G3" s="42" t="s">
        <v>63</v>
      </c>
      <c r="H3" s="42" t="s">
        <v>64</v>
      </c>
      <c r="I3" s="42" t="s">
        <v>65</v>
      </c>
    </row>
    <row r="4" spans="1:9" s="20" customFormat="1" ht="15.75" thickBot="1">
      <c r="A4" s="10" t="s">
        <v>505</v>
      </c>
      <c r="B4" s="15" t="s">
        <v>399</v>
      </c>
      <c r="C4" s="14">
        <v>560</v>
      </c>
      <c r="D4" s="13"/>
      <c r="E4" s="14" t="s">
        <v>41</v>
      </c>
      <c r="F4" s="43" t="s">
        <v>487</v>
      </c>
      <c r="G4" s="44"/>
      <c r="H4" s="46">
        <f>SUM(G4/G8)</f>
        <v>0</v>
      </c>
      <c r="I4" s="41">
        <v>2</v>
      </c>
    </row>
    <row r="5" spans="1:9" s="20" customFormat="1" ht="15.75" thickBot="1">
      <c r="A5" s="10" t="s">
        <v>506</v>
      </c>
      <c r="B5" s="15" t="s">
        <v>399</v>
      </c>
      <c r="C5" s="13">
        <v>476</v>
      </c>
      <c r="D5" s="14" t="s">
        <v>514</v>
      </c>
      <c r="E5" s="14" t="s">
        <v>42</v>
      </c>
      <c r="F5" s="45" t="s">
        <v>399</v>
      </c>
      <c r="G5" s="44"/>
      <c r="H5" s="46">
        <f>SUM(G5/G8)</f>
        <v>0</v>
      </c>
      <c r="I5" s="41">
        <v>5</v>
      </c>
    </row>
    <row r="6" spans="1:9" s="20" customFormat="1" ht="15.75" thickBot="1">
      <c r="A6" s="10" t="s">
        <v>13</v>
      </c>
      <c r="B6" s="11" t="s">
        <v>487</v>
      </c>
      <c r="C6" s="13">
        <v>383</v>
      </c>
      <c r="D6" s="14">
        <v>518</v>
      </c>
      <c r="E6" s="14" t="s">
        <v>43</v>
      </c>
      <c r="F6" s="74" t="s">
        <v>121</v>
      </c>
      <c r="G6" s="44"/>
      <c r="H6" s="46">
        <f>SUM(G6/G8)</f>
        <v>0</v>
      </c>
      <c r="I6" s="41">
        <v>1</v>
      </c>
    </row>
    <row r="7" spans="1:9" s="20" customFormat="1" ht="15.75" thickBot="1">
      <c r="A7" s="10" t="s">
        <v>401</v>
      </c>
      <c r="B7" s="15" t="s">
        <v>399</v>
      </c>
      <c r="C7" s="13">
        <v>374</v>
      </c>
      <c r="D7" s="14">
        <v>441</v>
      </c>
      <c r="E7" s="14" t="s">
        <v>494</v>
      </c>
      <c r="F7" s="68" t="s">
        <v>67</v>
      </c>
      <c r="G7" s="67"/>
      <c r="H7" s="40">
        <f>SUM(G7/G8)</f>
        <v>0</v>
      </c>
    </row>
    <row r="8" spans="1:9" s="20" customFormat="1" ht="15.75" thickBot="1">
      <c r="A8" s="10" t="s">
        <v>507</v>
      </c>
      <c r="B8" s="15" t="s">
        <v>399</v>
      </c>
      <c r="C8" s="13">
        <v>320</v>
      </c>
      <c r="D8" s="14">
        <v>396</v>
      </c>
      <c r="E8" s="14" t="s">
        <v>496</v>
      </c>
      <c r="G8" s="72">
        <v>4628</v>
      </c>
    </row>
    <row r="9" spans="1:9" s="20" customFormat="1" ht="15.75" thickBot="1">
      <c r="A9" s="10" t="s">
        <v>508</v>
      </c>
      <c r="B9" s="94" t="s">
        <v>510</v>
      </c>
      <c r="C9" s="13">
        <v>259</v>
      </c>
      <c r="D9" s="14">
        <v>414</v>
      </c>
      <c r="E9" s="14" t="s">
        <v>495</v>
      </c>
    </row>
    <row r="10" spans="1:9" s="20" customFormat="1" ht="15.75" thickBot="1">
      <c r="A10" s="10" t="s">
        <v>509</v>
      </c>
      <c r="B10" s="11" t="s">
        <v>487</v>
      </c>
      <c r="C10" s="13">
        <v>251</v>
      </c>
      <c r="D10" s="14">
        <v>475</v>
      </c>
      <c r="E10" s="14" t="s">
        <v>44</v>
      </c>
    </row>
    <row r="11" spans="1:9" s="20" customFormat="1" ht="15.75" thickBot="1">
      <c r="A11" s="10" t="s">
        <v>439</v>
      </c>
      <c r="B11" s="15" t="s">
        <v>399</v>
      </c>
      <c r="C11" s="13">
        <v>239</v>
      </c>
      <c r="D11" s="14">
        <v>444</v>
      </c>
      <c r="E11" s="14" t="s">
        <v>45</v>
      </c>
    </row>
    <row r="12" spans="1:9" s="20" customFormat="1" ht="15.75" thickBot="1">
      <c r="A12" s="17" t="s">
        <v>353</v>
      </c>
      <c r="B12" s="19"/>
      <c r="C12" s="13" t="s">
        <v>515</v>
      </c>
      <c r="D12" s="14"/>
    </row>
    <row r="13" spans="1:9" s="20" customFormat="1" ht="15.75" thickBot="1">
      <c r="A13" s="17" t="s">
        <v>517</v>
      </c>
      <c r="B13" s="18"/>
      <c r="C13" s="13" t="s">
        <v>515</v>
      </c>
      <c r="D13" s="13"/>
    </row>
    <row r="14" spans="1:9" s="20" customFormat="1" ht="15.75" thickBot="1">
      <c r="A14" s="17" t="s">
        <v>518</v>
      </c>
      <c r="B14" s="19" t="s">
        <v>399</v>
      </c>
      <c r="C14" s="13" t="s">
        <v>515</v>
      </c>
      <c r="D14" s="13"/>
    </row>
    <row r="15" spans="1:9" s="20" customFormat="1" ht="15.75" thickBot="1">
      <c r="A15" s="17" t="s">
        <v>519</v>
      </c>
      <c r="B15" s="18"/>
      <c r="C15" s="13" t="s">
        <v>515</v>
      </c>
      <c r="D15" s="13"/>
    </row>
    <row r="16" spans="1:9" s="20" customFormat="1" ht="15.75" thickBot="1">
      <c r="A16" s="17" t="s">
        <v>520</v>
      </c>
      <c r="B16" s="19" t="s">
        <v>399</v>
      </c>
      <c r="C16" s="13" t="s">
        <v>515</v>
      </c>
      <c r="D16" s="13"/>
    </row>
    <row r="17" spans="1:17" s="20" customFormat="1" ht="15.75" thickBot="1">
      <c r="A17" s="17" t="s">
        <v>521</v>
      </c>
      <c r="B17" s="90" t="s">
        <v>10</v>
      </c>
      <c r="C17" s="13" t="s">
        <v>515</v>
      </c>
      <c r="D17" s="13"/>
    </row>
    <row r="18" spans="1:17" s="20" customFormat="1" ht="15.75" thickBot="1">
      <c r="A18" s="17" t="s">
        <v>602</v>
      </c>
      <c r="B18" s="90" t="s">
        <v>10</v>
      </c>
      <c r="C18" s="13" t="s">
        <v>515</v>
      </c>
      <c r="D18" s="13"/>
    </row>
    <row r="19" spans="1:17" s="20" customFormat="1" ht="15.75" thickBot="1">
      <c r="A19" s="17" t="s">
        <v>403</v>
      </c>
      <c r="B19" s="18" t="s">
        <v>487</v>
      </c>
      <c r="C19" s="13" t="s">
        <v>515</v>
      </c>
      <c r="D19" s="13"/>
    </row>
    <row r="20" spans="1:17" s="20" customFormat="1" ht="15.75" thickBot="1">
      <c r="A20" s="17" t="s">
        <v>523</v>
      </c>
      <c r="B20" s="18"/>
      <c r="C20" s="13" t="s">
        <v>515</v>
      </c>
      <c r="D20" s="13"/>
    </row>
    <row r="21" spans="1:17" s="20" customFormat="1" ht="15.75" thickBot="1">
      <c r="A21" s="17" t="s">
        <v>603</v>
      </c>
      <c r="B21" s="13"/>
      <c r="C21" s="13" t="s">
        <v>515</v>
      </c>
      <c r="D21" s="13"/>
    </row>
    <row r="22" spans="1:17" s="20" customFormat="1" ht="15.75" thickBot="1">
      <c r="A22" s="17" t="s">
        <v>405</v>
      </c>
      <c r="B22" s="90" t="s">
        <v>10</v>
      </c>
      <c r="C22" s="13" t="s">
        <v>515</v>
      </c>
      <c r="D22" s="13"/>
    </row>
    <row r="24" spans="1:17" ht="14.25">
      <c r="A24" s="6" t="s">
        <v>512</v>
      </c>
      <c r="B24" s="20"/>
      <c r="C24" s="20"/>
      <c r="D24" s="20"/>
      <c r="E24" s="20"/>
      <c r="F24" s="20"/>
      <c r="G24" s="20"/>
      <c r="H24" s="20"/>
    </row>
    <row r="25" spans="1:17" ht="10.5" customHeight="1" thickBot="1">
      <c r="A25" s="6"/>
      <c r="B25" s="20"/>
      <c r="C25" s="20"/>
      <c r="D25" s="20"/>
      <c r="E25" s="20"/>
      <c r="F25" s="20"/>
      <c r="G25" s="20"/>
      <c r="H25" s="20"/>
    </row>
    <row r="26" spans="1:17" ht="16.5" customHeight="1" thickBot="1">
      <c r="A26" s="8" t="s">
        <v>0</v>
      </c>
      <c r="B26" s="9" t="s">
        <v>1</v>
      </c>
      <c r="C26" s="9" t="s">
        <v>2</v>
      </c>
      <c r="D26" s="9">
        <v>2</v>
      </c>
      <c r="E26" s="9">
        <v>3</v>
      </c>
      <c r="F26" s="9">
        <v>4</v>
      </c>
      <c r="G26" s="9">
        <v>5</v>
      </c>
      <c r="H26" s="9">
        <v>6</v>
      </c>
      <c r="I26" s="9">
        <v>7</v>
      </c>
      <c r="J26" s="9">
        <v>8</v>
      </c>
      <c r="K26" s="9">
        <v>9</v>
      </c>
      <c r="L26" s="9">
        <v>10</v>
      </c>
      <c r="M26" s="9"/>
      <c r="N26" s="41"/>
      <c r="O26" s="42" t="s">
        <v>63</v>
      </c>
      <c r="P26" s="42" t="s">
        <v>64</v>
      </c>
      <c r="Q26" s="42" t="s">
        <v>65</v>
      </c>
    </row>
    <row r="27" spans="1:17" ht="15.75" thickBot="1">
      <c r="A27" s="10" t="s">
        <v>526</v>
      </c>
      <c r="B27" s="15" t="s">
        <v>399</v>
      </c>
      <c r="C27" s="14">
        <v>475</v>
      </c>
      <c r="D27" s="14"/>
      <c r="E27" s="13"/>
      <c r="F27" s="13"/>
      <c r="G27" s="13"/>
      <c r="H27" s="14"/>
      <c r="I27" s="14"/>
      <c r="J27" s="14"/>
      <c r="K27" s="14"/>
      <c r="L27" s="14"/>
      <c r="M27" s="14" t="s">
        <v>41</v>
      </c>
      <c r="N27" s="43" t="s">
        <v>487</v>
      </c>
      <c r="O27" s="44"/>
      <c r="P27" s="46">
        <f>SUM(O27/O30)</f>
        <v>0</v>
      </c>
      <c r="Q27" s="41">
        <v>1</v>
      </c>
    </row>
    <row r="28" spans="1:17" ht="15.75" thickBot="1">
      <c r="A28" s="10" t="s">
        <v>525</v>
      </c>
      <c r="B28" s="15" t="s">
        <v>399</v>
      </c>
      <c r="C28" s="13">
        <v>358</v>
      </c>
      <c r="D28" s="13"/>
      <c r="E28" s="13"/>
      <c r="F28" s="13"/>
      <c r="G28" s="13"/>
      <c r="H28" s="13"/>
      <c r="I28" s="13"/>
      <c r="J28" s="14"/>
      <c r="K28" s="13"/>
      <c r="L28" s="14"/>
      <c r="M28" s="14"/>
      <c r="N28" s="45" t="s">
        <v>399</v>
      </c>
      <c r="O28" s="44">
        <f>SUM(C27+C28+C29+C30+C32+C34)</f>
        <v>1823</v>
      </c>
      <c r="P28" s="46">
        <f>SUM(O28/O30)</f>
        <v>0.65693693693693689</v>
      </c>
      <c r="Q28" s="41">
        <v>5</v>
      </c>
    </row>
    <row r="29" spans="1:17" ht="15.75" thickBot="1">
      <c r="A29" s="10" t="s">
        <v>527</v>
      </c>
      <c r="B29" s="15" t="s">
        <v>399</v>
      </c>
      <c r="C29" s="13">
        <v>331</v>
      </c>
      <c r="D29" s="13"/>
      <c r="E29" s="13"/>
      <c r="F29" s="13"/>
      <c r="G29" s="14"/>
      <c r="H29" s="14"/>
      <c r="I29" s="14"/>
      <c r="J29" s="13"/>
      <c r="K29" s="14"/>
      <c r="L29" s="13"/>
      <c r="M29" s="14"/>
      <c r="N29" s="68" t="s">
        <v>67</v>
      </c>
      <c r="O29" s="67"/>
      <c r="P29" s="40">
        <f>SUM(O29/O30)</f>
        <v>0</v>
      </c>
      <c r="Q29" s="20"/>
    </row>
    <row r="30" spans="1:17" ht="15.75" thickBot="1">
      <c r="A30" s="10" t="s">
        <v>411</v>
      </c>
      <c r="B30" s="15" t="s">
        <v>399</v>
      </c>
      <c r="C30" s="13">
        <v>307</v>
      </c>
      <c r="D30" s="13"/>
      <c r="E30" s="13"/>
      <c r="F30" s="13"/>
      <c r="G30" s="13"/>
      <c r="H30" s="13"/>
      <c r="I30" s="13"/>
      <c r="J30" s="14"/>
      <c r="K30" s="13"/>
      <c r="L30" s="14"/>
      <c r="M30" s="14"/>
      <c r="N30" s="20"/>
      <c r="O30" s="72">
        <v>2775</v>
      </c>
      <c r="P30" s="20"/>
      <c r="Q30" s="20"/>
    </row>
    <row r="31" spans="1:17" ht="15.75" thickBot="1">
      <c r="A31" s="10" t="s">
        <v>131</v>
      </c>
      <c r="B31" s="11" t="s">
        <v>487</v>
      </c>
      <c r="C31" s="13">
        <v>278</v>
      </c>
      <c r="D31" s="13"/>
      <c r="E31" s="13"/>
      <c r="F31" s="13"/>
      <c r="G31" s="13"/>
      <c r="H31" s="13"/>
      <c r="I31" s="13"/>
      <c r="J31" s="14"/>
      <c r="K31" s="13"/>
      <c r="L31" s="14"/>
      <c r="M31" s="14"/>
    </row>
    <row r="32" spans="1:17" ht="15.75" thickBot="1">
      <c r="A32" s="10" t="s">
        <v>380</v>
      </c>
      <c r="B32" s="15" t="s">
        <v>399</v>
      </c>
      <c r="C32" s="13">
        <v>230</v>
      </c>
      <c r="D32" s="13"/>
      <c r="E32" s="13"/>
      <c r="F32" s="13"/>
      <c r="G32" s="13"/>
      <c r="H32" s="13"/>
      <c r="I32" s="13"/>
      <c r="J32" s="14"/>
      <c r="K32" s="13"/>
      <c r="L32" s="14"/>
      <c r="M32" s="14"/>
    </row>
    <row r="33" spans="1:15" ht="15.75" thickBot="1">
      <c r="A33" s="17" t="s">
        <v>410</v>
      </c>
      <c r="B33" s="90" t="s">
        <v>10</v>
      </c>
      <c r="C33" s="13">
        <v>136</v>
      </c>
      <c r="D33" s="13"/>
      <c r="E33" s="13"/>
      <c r="F33" s="13"/>
      <c r="G33" s="13"/>
      <c r="H33" s="13"/>
      <c r="I33" s="13"/>
      <c r="J33" s="13"/>
      <c r="K33" s="13"/>
      <c r="L33" s="13"/>
      <c r="M33" s="14"/>
    </row>
    <row r="34" spans="1:15" ht="15.75" thickBot="1">
      <c r="A34" s="17" t="s">
        <v>383</v>
      </c>
      <c r="B34" s="19" t="s">
        <v>399</v>
      </c>
      <c r="C34" s="13">
        <v>122</v>
      </c>
      <c r="D34" s="13"/>
      <c r="E34" s="13"/>
      <c r="F34" s="13"/>
      <c r="G34" s="13"/>
      <c r="H34" s="13"/>
      <c r="I34" s="13"/>
      <c r="J34" s="13"/>
      <c r="K34" s="13"/>
      <c r="L34" s="13"/>
      <c r="M34" s="95"/>
    </row>
    <row r="35" spans="1:15" ht="15.75" thickBot="1">
      <c r="A35" s="17" t="s">
        <v>528</v>
      </c>
      <c r="B35" s="90"/>
      <c r="C35" s="13">
        <v>90</v>
      </c>
      <c r="D35" s="13"/>
      <c r="E35" s="13"/>
      <c r="F35" s="13"/>
      <c r="G35" s="13"/>
    </row>
    <row r="36" spans="1:15" ht="15.75" thickBot="1">
      <c r="A36" s="17" t="s">
        <v>529</v>
      </c>
      <c r="B36" s="61" t="s">
        <v>121</v>
      </c>
      <c r="C36" s="13">
        <v>88</v>
      </c>
      <c r="D36" s="13"/>
      <c r="E36" s="13"/>
      <c r="F36" s="13"/>
      <c r="G36" s="13"/>
      <c r="H36" s="13"/>
      <c r="I36" s="13"/>
    </row>
    <row r="37" spans="1:15" ht="15.75" thickBot="1">
      <c r="A37" s="17" t="s">
        <v>530</v>
      </c>
      <c r="B37" s="61" t="s">
        <v>121</v>
      </c>
      <c r="C37" s="13">
        <v>80</v>
      </c>
      <c r="D37" s="13"/>
      <c r="E37" s="13"/>
    </row>
    <row r="38" spans="1:15" ht="15.75" thickBot="1">
      <c r="A38" s="17" t="s">
        <v>531</v>
      </c>
      <c r="B38" s="19"/>
      <c r="C38" s="13">
        <v>50</v>
      </c>
      <c r="D38" s="13"/>
    </row>
    <row r="39" spans="1:15" ht="15.75" thickBot="1">
      <c r="A39" s="17" t="s">
        <v>532</v>
      </c>
      <c r="B39" s="13"/>
      <c r="C39" s="13">
        <v>45</v>
      </c>
      <c r="D39" s="13"/>
    </row>
    <row r="40" spans="1:15" ht="15.75" thickBot="1">
      <c r="A40" s="17" t="s">
        <v>533</v>
      </c>
      <c r="B40" s="13"/>
      <c r="C40" s="13">
        <v>44</v>
      </c>
      <c r="D40" s="13"/>
    </row>
    <row r="42" spans="1:15" s="20" customFormat="1" ht="14.25">
      <c r="A42" s="6" t="s">
        <v>513</v>
      </c>
    </row>
    <row r="43" spans="1:15" s="20" customFormat="1" ht="9.75" customHeight="1" thickBot="1">
      <c r="A43" s="6"/>
    </row>
    <row r="44" spans="1:15" s="20" customFormat="1" ht="16.5" customHeight="1" thickBot="1">
      <c r="A44" s="8" t="s">
        <v>0</v>
      </c>
      <c r="B44" s="9" t="s">
        <v>1</v>
      </c>
      <c r="C44" s="9" t="s">
        <v>2</v>
      </c>
      <c r="D44" s="9">
        <v>2</v>
      </c>
      <c r="E44" s="9">
        <v>3</v>
      </c>
      <c r="F44" s="9">
        <v>4</v>
      </c>
      <c r="G44" s="9">
        <v>5</v>
      </c>
      <c r="H44" s="9">
        <v>6</v>
      </c>
      <c r="I44" s="9">
        <v>7</v>
      </c>
      <c r="J44" s="9">
        <v>8</v>
      </c>
      <c r="K44" s="9"/>
      <c r="L44" s="41"/>
      <c r="M44" s="42" t="s">
        <v>63</v>
      </c>
      <c r="N44" s="42" t="s">
        <v>64</v>
      </c>
      <c r="O44" s="42" t="s">
        <v>65</v>
      </c>
    </row>
    <row r="45" spans="1:15" s="20" customFormat="1" ht="15.75" thickBot="1">
      <c r="A45" s="10" t="s">
        <v>498</v>
      </c>
      <c r="B45" s="15" t="s">
        <v>399</v>
      </c>
      <c r="C45" s="13">
        <v>416</v>
      </c>
      <c r="D45" s="14"/>
      <c r="E45" s="13"/>
      <c r="F45" s="14">
        <v>515</v>
      </c>
      <c r="G45" s="13"/>
      <c r="H45" s="14"/>
      <c r="I45" s="14"/>
      <c r="J45" s="14"/>
      <c r="K45" s="14" t="s">
        <v>41</v>
      </c>
      <c r="L45" s="43" t="s">
        <v>487</v>
      </c>
      <c r="M45" s="44">
        <f>SUM(C49+C51+C52)</f>
        <v>854</v>
      </c>
      <c r="N45" s="46">
        <f>SUM(M45/M48)</f>
        <v>0.26220448265274793</v>
      </c>
      <c r="O45" s="41">
        <v>2</v>
      </c>
    </row>
    <row r="46" spans="1:15" s="20" customFormat="1" ht="15.75" thickBot="1">
      <c r="A46" s="10" t="s">
        <v>389</v>
      </c>
      <c r="B46" s="15" t="s">
        <v>399</v>
      </c>
      <c r="C46" s="13">
        <v>332</v>
      </c>
      <c r="D46" s="13"/>
      <c r="E46" s="13"/>
      <c r="F46" s="13"/>
      <c r="G46" s="13"/>
      <c r="H46" s="13"/>
      <c r="I46" s="14"/>
      <c r="J46" s="14">
        <v>428</v>
      </c>
      <c r="K46" s="14" t="s">
        <v>44</v>
      </c>
      <c r="L46" s="45" t="s">
        <v>399</v>
      </c>
      <c r="M46" s="44">
        <f>SUM(C45+C46+C47+C50+C55+C56)</f>
        <v>1673</v>
      </c>
      <c r="N46" s="46">
        <f>SUM(M46/M48)</f>
        <v>0.51366287995087501</v>
      </c>
      <c r="O46" s="41">
        <v>3</v>
      </c>
    </row>
    <row r="47" spans="1:15" s="20" customFormat="1" ht="15.75" thickBot="1">
      <c r="A47" s="10" t="s">
        <v>499</v>
      </c>
      <c r="B47" s="15" t="s">
        <v>399</v>
      </c>
      <c r="C47" s="13">
        <v>326</v>
      </c>
      <c r="D47" s="13"/>
      <c r="E47" s="13"/>
      <c r="F47" s="13"/>
      <c r="G47" s="14"/>
      <c r="H47" s="14"/>
      <c r="I47" s="14"/>
      <c r="J47" s="14">
        <v>382</v>
      </c>
      <c r="K47" s="14" t="s">
        <v>494</v>
      </c>
      <c r="L47" s="68" t="s">
        <v>67</v>
      </c>
      <c r="M47" s="67">
        <f>SUM(C48+C53+C54)</f>
        <v>720</v>
      </c>
      <c r="N47" s="40">
        <f>SUM(M47/M48)</f>
        <v>0.22106232729505679</v>
      </c>
      <c r="O47" s="20">
        <v>1</v>
      </c>
    </row>
    <row r="48" spans="1:15" s="20" customFormat="1" ht="15.75" thickBot="1">
      <c r="A48" s="10" t="s">
        <v>500</v>
      </c>
      <c r="B48" s="91" t="s">
        <v>10</v>
      </c>
      <c r="C48" s="13">
        <v>325</v>
      </c>
      <c r="D48" s="13"/>
      <c r="E48" s="13"/>
      <c r="F48" s="13"/>
      <c r="G48" s="13"/>
      <c r="H48" s="14">
        <v>473</v>
      </c>
      <c r="I48" s="14"/>
      <c r="J48" s="13"/>
      <c r="K48" s="14" t="s">
        <v>42</v>
      </c>
      <c r="M48" s="72">
        <v>3257</v>
      </c>
    </row>
    <row r="49" spans="1:17" s="20" customFormat="1" ht="15.75" thickBot="1">
      <c r="A49" s="10" t="s">
        <v>501</v>
      </c>
      <c r="B49" s="11" t="s">
        <v>487</v>
      </c>
      <c r="C49" s="13">
        <v>320</v>
      </c>
      <c r="D49" s="13"/>
      <c r="E49" s="13"/>
      <c r="F49" s="13"/>
      <c r="G49" s="13"/>
      <c r="H49" s="13"/>
      <c r="I49" s="14">
        <v>474</v>
      </c>
      <c r="J49" s="13"/>
      <c r="K49" s="14" t="s">
        <v>43</v>
      </c>
    </row>
    <row r="50" spans="1:17" s="20" customFormat="1" ht="15.75" thickBot="1">
      <c r="A50" s="17" t="s">
        <v>419</v>
      </c>
      <c r="B50" s="19" t="s">
        <v>399</v>
      </c>
      <c r="C50" s="13">
        <v>310</v>
      </c>
      <c r="D50" s="13"/>
      <c r="E50" s="13"/>
      <c r="F50" s="13"/>
      <c r="G50" s="13"/>
      <c r="H50" s="13"/>
      <c r="I50" s="13"/>
      <c r="J50" s="13"/>
      <c r="K50" s="14"/>
    </row>
    <row r="51" spans="1:17" s="20" customFormat="1" ht="15.75" thickBot="1">
      <c r="A51" s="17" t="s">
        <v>420</v>
      </c>
      <c r="B51" s="18" t="s">
        <v>487</v>
      </c>
      <c r="C51" s="13">
        <v>268</v>
      </c>
      <c r="D51" s="13"/>
      <c r="E51" s="13"/>
      <c r="F51" s="13"/>
      <c r="G51" s="13"/>
      <c r="H51" s="13"/>
      <c r="I51" s="13" t="s">
        <v>17</v>
      </c>
    </row>
    <row r="52" spans="1:17" s="20" customFormat="1" ht="15.75" thickBot="1">
      <c r="A52" s="10" t="s">
        <v>502</v>
      </c>
      <c r="B52" s="11" t="s">
        <v>487</v>
      </c>
      <c r="C52" s="13">
        <v>266</v>
      </c>
      <c r="D52" s="13"/>
      <c r="E52" s="13"/>
      <c r="F52" s="13"/>
      <c r="G52" s="13"/>
      <c r="H52" s="13"/>
      <c r="I52" s="13"/>
      <c r="J52" s="14">
        <v>414</v>
      </c>
      <c r="K52" s="14" t="s">
        <v>45</v>
      </c>
    </row>
    <row r="53" spans="1:17" s="20" customFormat="1" ht="15.75" thickBot="1">
      <c r="A53" s="17" t="s">
        <v>422</v>
      </c>
      <c r="B53" s="13" t="s">
        <v>10</v>
      </c>
      <c r="C53" s="13">
        <v>198</v>
      </c>
      <c r="D53" s="13"/>
      <c r="E53" s="13"/>
      <c r="F53" s="13" t="s">
        <v>17</v>
      </c>
    </row>
    <row r="54" spans="1:17" s="20" customFormat="1" ht="15.75" thickBot="1">
      <c r="A54" s="17" t="s">
        <v>503</v>
      </c>
      <c r="B54" s="90" t="s">
        <v>10</v>
      </c>
      <c r="C54" s="13">
        <v>197</v>
      </c>
      <c r="D54" s="13"/>
      <c r="E54" s="13"/>
      <c r="F54" s="13"/>
      <c r="G54" s="13"/>
      <c r="H54" s="13" t="s">
        <v>17</v>
      </c>
    </row>
    <row r="55" spans="1:17" s="20" customFormat="1" ht="15.75" thickBot="1">
      <c r="A55" s="17" t="s">
        <v>504</v>
      </c>
      <c r="B55" s="19" t="s">
        <v>399</v>
      </c>
      <c r="C55" s="13">
        <v>157</v>
      </c>
      <c r="D55" s="13"/>
      <c r="E55" s="13" t="s">
        <v>17</v>
      </c>
    </row>
    <row r="56" spans="1:17" s="20" customFormat="1" ht="15.75" thickBot="1">
      <c r="A56" s="17" t="s">
        <v>272</v>
      </c>
      <c r="B56" s="19" t="s">
        <v>399</v>
      </c>
      <c r="C56" s="13">
        <v>132</v>
      </c>
      <c r="D56" s="13" t="s">
        <v>17</v>
      </c>
    </row>
    <row r="58" spans="1:17" ht="14.25">
      <c r="A58" s="6" t="s">
        <v>511</v>
      </c>
      <c r="B58" s="20"/>
      <c r="C58" s="20"/>
      <c r="D58" s="20"/>
      <c r="E58" s="20"/>
      <c r="F58" s="20"/>
      <c r="G58" s="20"/>
      <c r="H58" s="20"/>
    </row>
    <row r="59" spans="1:17" ht="9.75" customHeight="1" thickBot="1">
      <c r="A59" s="6"/>
      <c r="B59" s="20"/>
      <c r="C59" s="20"/>
      <c r="D59" s="20"/>
      <c r="E59" s="20"/>
      <c r="F59" s="20"/>
      <c r="G59" s="20"/>
      <c r="H59" s="20"/>
    </row>
    <row r="60" spans="1:17" ht="16.5" customHeight="1" thickBot="1">
      <c r="A60" s="8" t="s">
        <v>0</v>
      </c>
      <c r="B60" s="9" t="s">
        <v>1</v>
      </c>
      <c r="C60" s="9" t="s">
        <v>2</v>
      </c>
      <c r="D60" s="9">
        <v>2</v>
      </c>
      <c r="E60" s="9">
        <v>3</v>
      </c>
      <c r="F60" s="9">
        <v>4</v>
      </c>
      <c r="G60" s="9">
        <v>5</v>
      </c>
      <c r="H60" s="9">
        <v>6</v>
      </c>
      <c r="I60" s="9">
        <v>7</v>
      </c>
      <c r="J60" s="9">
        <v>8</v>
      </c>
      <c r="K60" s="9">
        <v>9</v>
      </c>
      <c r="L60" s="9">
        <v>10</v>
      </c>
      <c r="M60" s="9"/>
      <c r="N60" s="41"/>
      <c r="O60" s="42" t="s">
        <v>63</v>
      </c>
      <c r="P60" s="42" t="s">
        <v>64</v>
      </c>
      <c r="Q60" s="42" t="s">
        <v>65</v>
      </c>
    </row>
    <row r="61" spans="1:17" ht="15.75" thickBot="1">
      <c r="A61" s="10" t="s">
        <v>485</v>
      </c>
      <c r="B61" s="91" t="s">
        <v>10</v>
      </c>
      <c r="C61" s="13">
        <v>537</v>
      </c>
      <c r="D61" s="13">
        <v>550</v>
      </c>
      <c r="E61" s="14">
        <v>554</v>
      </c>
      <c r="F61" s="13"/>
      <c r="G61" s="13"/>
      <c r="H61" s="13"/>
      <c r="I61" s="14"/>
      <c r="J61" s="14"/>
      <c r="K61" s="14"/>
      <c r="L61" s="14"/>
      <c r="M61" s="14" t="s">
        <v>41</v>
      </c>
      <c r="N61" s="43" t="s">
        <v>487</v>
      </c>
      <c r="O61" s="44">
        <f>SUM(C64+C67+C69+C72+C74)</f>
        <v>1450</v>
      </c>
      <c r="P61" s="46">
        <f>SUM(O61/$O$65)</f>
        <v>0.29163314561544651</v>
      </c>
      <c r="Q61" s="41">
        <v>2</v>
      </c>
    </row>
    <row r="62" spans="1:17" ht="15.75" thickBot="1">
      <c r="A62" s="10" t="s">
        <v>392</v>
      </c>
      <c r="B62" s="15" t="s">
        <v>399</v>
      </c>
      <c r="C62" s="13">
        <v>527</v>
      </c>
      <c r="D62" s="13">
        <v>548</v>
      </c>
      <c r="E62" s="14">
        <v>553</v>
      </c>
      <c r="F62" s="14"/>
      <c r="G62" s="13"/>
      <c r="H62" s="13"/>
      <c r="I62" s="14"/>
      <c r="J62" s="14"/>
      <c r="K62" s="14"/>
      <c r="L62" s="14"/>
      <c r="M62" s="14" t="s">
        <v>42</v>
      </c>
      <c r="N62" s="45" t="s">
        <v>399</v>
      </c>
      <c r="O62" s="44">
        <f>SUM(C62+C63+C65+C66+C68+C73)</f>
        <v>2355</v>
      </c>
      <c r="P62" s="46">
        <f>SUM(O62/$O$65)</f>
        <v>0.47365245374094933</v>
      </c>
      <c r="Q62" s="41">
        <v>5</v>
      </c>
    </row>
    <row r="63" spans="1:17" ht="15.75" thickBot="1">
      <c r="A63" s="10" t="s">
        <v>486</v>
      </c>
      <c r="B63" s="15" t="s">
        <v>399</v>
      </c>
      <c r="C63" s="13">
        <v>489</v>
      </c>
      <c r="D63" s="13">
        <v>509</v>
      </c>
      <c r="E63" s="13">
        <v>509</v>
      </c>
      <c r="F63" s="14">
        <v>566</v>
      </c>
      <c r="G63" s="13"/>
      <c r="H63" s="14"/>
      <c r="I63" s="14"/>
      <c r="J63" s="14"/>
      <c r="K63" s="14"/>
      <c r="L63" s="14"/>
      <c r="M63" s="14" t="s">
        <v>43</v>
      </c>
      <c r="N63" s="66" t="s">
        <v>60</v>
      </c>
      <c r="O63" s="44">
        <v>267</v>
      </c>
      <c r="P63" s="46">
        <f>SUM(O63/$O$65)</f>
        <v>5.3700724054706356E-2</v>
      </c>
      <c r="Q63" s="41"/>
    </row>
    <row r="64" spans="1:17" ht="15.75" thickBot="1">
      <c r="A64" s="10" t="s">
        <v>145</v>
      </c>
      <c r="B64" s="11" t="s">
        <v>487</v>
      </c>
      <c r="C64" s="13">
        <v>444</v>
      </c>
      <c r="D64" s="13">
        <v>445</v>
      </c>
      <c r="E64" s="13">
        <v>519</v>
      </c>
      <c r="F64" s="13">
        <v>533</v>
      </c>
      <c r="G64" s="14">
        <v>619</v>
      </c>
      <c r="H64" s="13"/>
      <c r="I64" s="14"/>
      <c r="J64" s="14"/>
      <c r="K64" s="14"/>
      <c r="L64" s="14"/>
      <c r="M64" s="14" t="s">
        <v>44</v>
      </c>
      <c r="N64" s="68" t="s">
        <v>67</v>
      </c>
      <c r="O64" s="44">
        <f>SUM(C61+C70+C75)</f>
        <v>900</v>
      </c>
      <c r="P64" s="46">
        <f>SUM(O64/$O$65)</f>
        <v>0.18101367658889783</v>
      </c>
      <c r="Q64" s="41">
        <v>1</v>
      </c>
    </row>
    <row r="65" spans="1:17" ht="15.75" thickBot="1">
      <c r="A65" s="10" t="s">
        <v>488</v>
      </c>
      <c r="B65" s="15" t="s">
        <v>399</v>
      </c>
      <c r="C65" s="13">
        <v>442</v>
      </c>
      <c r="D65" s="13">
        <v>442</v>
      </c>
      <c r="E65" s="13">
        <v>443</v>
      </c>
      <c r="F65" s="13">
        <v>446</v>
      </c>
      <c r="G65" s="13">
        <v>455</v>
      </c>
      <c r="H65" s="13">
        <v>459</v>
      </c>
      <c r="I65" s="13">
        <v>465</v>
      </c>
      <c r="J65" s="13">
        <v>476</v>
      </c>
      <c r="K65" s="13">
        <v>492</v>
      </c>
      <c r="L65" s="14">
        <v>497</v>
      </c>
      <c r="M65" s="14" t="s">
        <v>494</v>
      </c>
      <c r="N65" s="42"/>
      <c r="O65" s="72">
        <v>4972</v>
      </c>
      <c r="P65" s="40"/>
      <c r="Q65" s="20"/>
    </row>
    <row r="66" spans="1:17" ht="15.75" thickBot="1">
      <c r="A66" s="10" t="s">
        <v>391</v>
      </c>
      <c r="B66" s="15" t="s">
        <v>399</v>
      </c>
      <c r="C66" s="13">
        <v>400</v>
      </c>
      <c r="D66" s="13">
        <v>407</v>
      </c>
      <c r="E66" s="13">
        <v>407</v>
      </c>
      <c r="F66" s="13">
        <v>429</v>
      </c>
      <c r="G66" s="13">
        <v>437</v>
      </c>
      <c r="H66" s="13">
        <v>441</v>
      </c>
      <c r="I66" s="14">
        <v>591</v>
      </c>
      <c r="J66" s="14"/>
      <c r="K66" s="14"/>
      <c r="L66" s="14"/>
      <c r="M66" s="14" t="s">
        <v>45</v>
      </c>
    </row>
    <row r="67" spans="1:17" ht="15.75" thickBot="1">
      <c r="A67" s="10" t="s">
        <v>442</v>
      </c>
      <c r="B67" s="11" t="s">
        <v>487</v>
      </c>
      <c r="C67" s="13">
        <v>380</v>
      </c>
      <c r="D67" s="13">
        <v>381</v>
      </c>
      <c r="E67" s="13">
        <v>383</v>
      </c>
      <c r="F67" s="13">
        <v>391</v>
      </c>
      <c r="G67" s="13">
        <v>399</v>
      </c>
      <c r="H67" s="13">
        <v>417</v>
      </c>
      <c r="I67" s="13">
        <v>426</v>
      </c>
      <c r="J67" s="13">
        <v>427</v>
      </c>
      <c r="K67" s="13">
        <v>444</v>
      </c>
      <c r="L67" s="14">
        <v>447</v>
      </c>
      <c r="M67" s="14" t="s">
        <v>495</v>
      </c>
    </row>
    <row r="68" spans="1:17" ht="15.75" thickBot="1">
      <c r="A68" s="10" t="s">
        <v>497</v>
      </c>
      <c r="B68" s="15" t="s">
        <v>399</v>
      </c>
      <c r="C68" s="13">
        <v>330</v>
      </c>
      <c r="D68" s="13">
        <v>331</v>
      </c>
      <c r="E68" s="13">
        <v>331</v>
      </c>
      <c r="F68" s="13">
        <v>344</v>
      </c>
      <c r="G68" s="13">
        <v>344</v>
      </c>
      <c r="H68" s="13">
        <v>345</v>
      </c>
      <c r="I68" s="13">
        <v>356</v>
      </c>
      <c r="J68" s="13">
        <v>376</v>
      </c>
      <c r="K68" s="13">
        <v>401</v>
      </c>
      <c r="L68" s="14">
        <v>405</v>
      </c>
      <c r="M68" s="14" t="s">
        <v>496</v>
      </c>
    </row>
    <row r="69" spans="1:17" ht="15.75" thickBot="1">
      <c r="A69" s="17" t="s">
        <v>489</v>
      </c>
      <c r="B69" s="18" t="s">
        <v>487</v>
      </c>
      <c r="C69" s="13">
        <v>324</v>
      </c>
      <c r="D69" s="13">
        <v>325</v>
      </c>
      <c r="E69" s="13">
        <v>331</v>
      </c>
      <c r="F69" s="13">
        <v>349</v>
      </c>
      <c r="G69" s="13">
        <v>355</v>
      </c>
      <c r="H69" s="13">
        <v>368</v>
      </c>
      <c r="I69" s="13">
        <v>373</v>
      </c>
      <c r="J69" s="13">
        <v>375</v>
      </c>
      <c r="K69" s="13">
        <v>390</v>
      </c>
      <c r="L69" s="13">
        <v>391</v>
      </c>
      <c r="M69" s="63"/>
    </row>
    <row r="70" spans="1:17" ht="15.75" thickBot="1">
      <c r="A70" s="17" t="s">
        <v>490</v>
      </c>
      <c r="B70" s="61" t="s">
        <v>121</v>
      </c>
      <c r="C70" s="13">
        <v>270</v>
      </c>
      <c r="D70" s="13">
        <v>271</v>
      </c>
      <c r="E70" s="13">
        <v>272</v>
      </c>
      <c r="F70" s="13">
        <v>284</v>
      </c>
      <c r="G70" s="13">
        <v>286</v>
      </c>
      <c r="H70" s="13">
        <v>287</v>
      </c>
      <c r="I70" s="13" t="s">
        <v>17</v>
      </c>
    </row>
    <row r="71" spans="1:17" ht="15.75" thickBot="1">
      <c r="A71" s="17" t="s">
        <v>431</v>
      </c>
      <c r="B71" s="22" t="s">
        <v>60</v>
      </c>
      <c r="C71" s="13">
        <v>267</v>
      </c>
      <c r="D71" s="13">
        <v>270</v>
      </c>
      <c r="E71" s="13">
        <v>270</v>
      </c>
      <c r="F71" s="13">
        <v>283</v>
      </c>
      <c r="G71" s="13">
        <v>328</v>
      </c>
      <c r="H71" s="13">
        <v>338</v>
      </c>
      <c r="I71" s="13">
        <v>347</v>
      </c>
      <c r="J71" s="13">
        <v>351</v>
      </c>
      <c r="K71" s="13" t="s">
        <v>17</v>
      </c>
      <c r="M71" s="93"/>
    </row>
    <row r="72" spans="1:17" ht="15.75" thickBot="1">
      <c r="A72" s="17" t="s">
        <v>461</v>
      </c>
      <c r="B72" s="18" t="s">
        <v>487</v>
      </c>
      <c r="C72" s="13">
        <v>186</v>
      </c>
      <c r="D72" s="13">
        <v>187</v>
      </c>
      <c r="E72" s="13">
        <v>203</v>
      </c>
      <c r="F72" s="13">
        <v>207</v>
      </c>
      <c r="G72" s="13" t="s">
        <v>17</v>
      </c>
    </row>
    <row r="73" spans="1:17" ht="15.75" thickBot="1">
      <c r="A73" s="17" t="s">
        <v>601</v>
      </c>
      <c r="B73" s="19" t="s">
        <v>399</v>
      </c>
      <c r="C73" s="13">
        <v>167</v>
      </c>
      <c r="D73" s="13">
        <v>185</v>
      </c>
      <c r="E73" s="13">
        <v>187</v>
      </c>
      <c r="F73" s="13" t="s">
        <v>17</v>
      </c>
    </row>
    <row r="74" spans="1:17" ht="15.75" thickBot="1">
      <c r="A74" s="17" t="s">
        <v>492</v>
      </c>
      <c r="B74" s="18" t="s">
        <v>487</v>
      </c>
      <c r="C74" s="13">
        <v>116</v>
      </c>
      <c r="D74" s="13">
        <v>116</v>
      </c>
      <c r="E74" s="13" t="s">
        <v>17</v>
      </c>
    </row>
    <row r="75" spans="1:17" ht="15.75" thickBot="1">
      <c r="A75" s="17" t="s">
        <v>493</v>
      </c>
      <c r="B75" s="90" t="s">
        <v>10</v>
      </c>
      <c r="C75" s="13">
        <v>93</v>
      </c>
      <c r="D75" s="13" t="s">
        <v>17</v>
      </c>
    </row>
    <row r="77" spans="1:17" ht="14.25">
      <c r="B77" s="27" t="s">
        <v>66</v>
      </c>
      <c r="C77" s="23" t="s">
        <v>4</v>
      </c>
      <c r="D77" s="24" t="s">
        <v>6</v>
      </c>
      <c r="E77" s="25" t="s">
        <v>60</v>
      </c>
      <c r="F77" s="4" t="s">
        <v>67</v>
      </c>
      <c r="G77" s="75" t="s">
        <v>121</v>
      </c>
      <c r="M77" s="2"/>
    </row>
    <row r="78" spans="1:17" ht="14.25">
      <c r="A78" s="27" t="s">
        <v>63</v>
      </c>
      <c r="B78" s="76">
        <f>SUM(O65+M48+O30+G8)</f>
        <v>15632</v>
      </c>
      <c r="C78" s="2">
        <f>SUM(O61+M45+O27+G4)</f>
        <v>2304</v>
      </c>
      <c r="D78" s="2">
        <f>SUM(O62+M46+O28+G5)</f>
        <v>5851</v>
      </c>
      <c r="E78">
        <v>267</v>
      </c>
      <c r="F78" s="2">
        <f>SUM(O64+M47+O29+G7)</f>
        <v>1620</v>
      </c>
      <c r="G78" s="2">
        <f>SUM(P64+N47+P29+H7)</f>
        <v>0.40207600388395459</v>
      </c>
    </row>
    <row r="79" spans="1:17" s="92" customFormat="1" ht="14.25">
      <c r="A79" s="38" t="s">
        <v>64</v>
      </c>
      <c r="B79" s="39">
        <v>1</v>
      </c>
      <c r="C79" s="92">
        <f>SUM(C78/$B$78)</f>
        <v>0.14738996929375639</v>
      </c>
      <c r="D79" s="92">
        <f>SUM(D78/$B$78)</f>
        <v>0.37429631525076767</v>
      </c>
      <c r="E79" s="92">
        <f>SUM(E78/$B$78)</f>
        <v>1.7080348004094165E-2</v>
      </c>
      <c r="F79" s="92">
        <f>SUM(F78/$B$78)</f>
        <v>0.10363357215967246</v>
      </c>
      <c r="G79" s="92">
        <f>SUM(G78/$B$78)</f>
        <v>2.5721341087765776E-5</v>
      </c>
    </row>
    <row r="80" spans="1:17" ht="14.25">
      <c r="A80" s="27" t="s">
        <v>65</v>
      </c>
      <c r="B80" s="32">
        <v>28</v>
      </c>
      <c r="C80">
        <v>7</v>
      </c>
      <c r="D80">
        <v>18</v>
      </c>
      <c r="E80">
        <v>0</v>
      </c>
      <c r="F80">
        <v>2</v>
      </c>
      <c r="G80">
        <v>1</v>
      </c>
    </row>
  </sheetData>
  <phoneticPr fontId="16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P73"/>
  <sheetViews>
    <sheetView workbookViewId="0">
      <selection activeCell="N1" sqref="N1"/>
    </sheetView>
  </sheetViews>
  <sheetFormatPr defaultRowHeight="12.75"/>
  <cols>
    <col min="1" max="1" width="22" customWidth="1"/>
    <col min="2" max="2" width="8.140625" customWidth="1"/>
    <col min="3" max="19" width="8.7109375" customWidth="1"/>
  </cols>
  <sheetData>
    <row r="1" spans="1:16" s="20" customFormat="1" ht="16.5" customHeight="1">
      <c r="A1" s="6" t="s">
        <v>625</v>
      </c>
    </row>
    <row r="2" spans="1:16" s="20" customFormat="1" ht="10.5" customHeight="1" thickBot="1">
      <c r="A2" s="6"/>
    </row>
    <row r="3" spans="1:16" s="20" customFormat="1" ht="16.5" customHeight="1" thickBot="1">
      <c r="A3" s="8" t="s">
        <v>0</v>
      </c>
      <c r="B3" s="9" t="s">
        <v>1</v>
      </c>
      <c r="C3" s="9" t="s">
        <v>2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9">
        <v>7</v>
      </c>
      <c r="J3" s="9">
        <v>8</v>
      </c>
      <c r="K3" s="9">
        <v>9</v>
      </c>
      <c r="L3" s="9">
        <v>10</v>
      </c>
      <c r="M3" s="9">
        <v>11</v>
      </c>
      <c r="N3" s="9">
        <v>12</v>
      </c>
      <c r="O3" s="9">
        <v>13</v>
      </c>
      <c r="P3" s="9"/>
    </row>
    <row r="4" spans="1:16" s="20" customFormat="1" ht="15.75" thickBot="1">
      <c r="A4" s="10" t="s">
        <v>397</v>
      </c>
      <c r="B4" s="14" t="s">
        <v>10</v>
      </c>
      <c r="C4" s="14">
        <v>659</v>
      </c>
      <c r="D4" s="13"/>
      <c r="E4" s="14"/>
      <c r="F4" s="13"/>
      <c r="G4" s="13"/>
      <c r="H4" s="13"/>
      <c r="I4" s="14"/>
      <c r="J4" s="13"/>
      <c r="K4" s="14"/>
      <c r="L4" s="13"/>
      <c r="M4" s="13"/>
      <c r="N4" s="13"/>
      <c r="O4" s="14"/>
      <c r="P4" s="14" t="s">
        <v>41</v>
      </c>
    </row>
    <row r="5" spans="1:16" s="20" customFormat="1" ht="15.75" thickBot="1">
      <c r="A5" s="10" t="s">
        <v>398</v>
      </c>
      <c r="B5" s="15" t="s">
        <v>399</v>
      </c>
      <c r="C5" s="13">
        <v>549</v>
      </c>
      <c r="D5" s="13">
        <v>590</v>
      </c>
      <c r="E5" s="13">
        <v>590</v>
      </c>
      <c r="F5" s="13">
        <v>590</v>
      </c>
      <c r="G5" s="13">
        <v>613</v>
      </c>
      <c r="H5" s="13">
        <v>613</v>
      </c>
      <c r="I5" s="13">
        <v>613</v>
      </c>
      <c r="J5" s="14">
        <v>671</v>
      </c>
      <c r="K5" s="13"/>
      <c r="L5" s="13"/>
      <c r="M5" s="13"/>
      <c r="N5" s="13"/>
      <c r="O5" s="14"/>
      <c r="P5" s="14" t="s">
        <v>42</v>
      </c>
    </row>
    <row r="6" spans="1:16" s="20" customFormat="1" ht="15.75" thickBot="1">
      <c r="A6" s="10" t="s">
        <v>68</v>
      </c>
      <c r="B6" s="15" t="s">
        <v>399</v>
      </c>
      <c r="C6" s="13">
        <v>489</v>
      </c>
      <c r="D6" s="13">
        <v>492</v>
      </c>
      <c r="E6" s="13">
        <v>492</v>
      </c>
      <c r="F6" s="13">
        <v>494</v>
      </c>
      <c r="G6" s="13">
        <v>532</v>
      </c>
      <c r="H6" s="13">
        <v>552</v>
      </c>
      <c r="I6" s="13">
        <v>552</v>
      </c>
      <c r="J6" s="13">
        <v>564</v>
      </c>
      <c r="K6" s="13">
        <v>566</v>
      </c>
      <c r="L6" s="14">
        <v>701</v>
      </c>
      <c r="M6" s="13"/>
      <c r="N6" s="13"/>
      <c r="O6" s="14"/>
      <c r="P6" s="14" t="s">
        <v>44</v>
      </c>
    </row>
    <row r="7" spans="1:16" s="20" customFormat="1" ht="15.75" thickBot="1">
      <c r="A7" s="10" t="s">
        <v>13</v>
      </c>
      <c r="B7" s="11" t="s">
        <v>4</v>
      </c>
      <c r="C7" s="13">
        <v>477</v>
      </c>
      <c r="D7" s="13">
        <v>496</v>
      </c>
      <c r="E7" s="13">
        <v>497</v>
      </c>
      <c r="F7" s="13">
        <v>503</v>
      </c>
      <c r="G7" s="13">
        <v>512</v>
      </c>
      <c r="H7" s="13">
        <v>619</v>
      </c>
      <c r="I7" s="13">
        <v>625</v>
      </c>
      <c r="J7" s="14">
        <v>654</v>
      </c>
      <c r="K7" s="13"/>
      <c r="L7" s="13"/>
      <c r="M7" s="13"/>
      <c r="N7" s="13"/>
      <c r="O7" s="14"/>
      <c r="P7" s="14" t="s">
        <v>43</v>
      </c>
    </row>
    <row r="8" spans="1:16" s="20" customFormat="1" ht="15.75" thickBot="1">
      <c r="A8" s="10" t="s">
        <v>400</v>
      </c>
      <c r="B8" s="14" t="s">
        <v>10</v>
      </c>
      <c r="C8" s="13">
        <v>450</v>
      </c>
      <c r="D8" s="13">
        <v>483</v>
      </c>
      <c r="E8" s="13">
        <v>483</v>
      </c>
      <c r="F8" s="13">
        <v>483</v>
      </c>
      <c r="G8" s="13">
        <v>484</v>
      </c>
      <c r="H8" s="13">
        <v>498</v>
      </c>
      <c r="I8" s="13">
        <v>499</v>
      </c>
      <c r="J8" s="13">
        <v>513</v>
      </c>
      <c r="K8" s="13">
        <v>520</v>
      </c>
      <c r="L8" s="13">
        <v>532</v>
      </c>
      <c r="M8" s="13">
        <v>534</v>
      </c>
      <c r="N8" s="13">
        <v>542</v>
      </c>
      <c r="O8" s="14">
        <v>566</v>
      </c>
      <c r="P8" s="14" t="s">
        <v>495</v>
      </c>
    </row>
    <row r="9" spans="1:16" s="20" customFormat="1" ht="15.75" thickBot="1">
      <c r="A9" s="17" t="s">
        <v>401</v>
      </c>
      <c r="B9" s="19" t="s">
        <v>399</v>
      </c>
      <c r="C9" s="13">
        <v>367</v>
      </c>
      <c r="D9" s="13">
        <v>375</v>
      </c>
      <c r="E9" s="13">
        <v>375</v>
      </c>
      <c r="F9" s="13">
        <v>376</v>
      </c>
      <c r="G9" s="13">
        <v>377</v>
      </c>
      <c r="H9" s="13">
        <v>408</v>
      </c>
      <c r="I9" s="13">
        <v>409</v>
      </c>
      <c r="J9" s="13">
        <v>414</v>
      </c>
      <c r="K9" s="13">
        <v>417</v>
      </c>
      <c r="L9" s="13">
        <v>428</v>
      </c>
      <c r="M9" s="13">
        <v>430</v>
      </c>
      <c r="N9" s="13">
        <v>434</v>
      </c>
      <c r="O9" s="13">
        <v>470</v>
      </c>
      <c r="P9" s="14"/>
    </row>
    <row r="10" spans="1:16" s="20" customFormat="1" ht="15.75" thickBot="1">
      <c r="A10" s="10" t="s">
        <v>373</v>
      </c>
      <c r="B10" s="11" t="s">
        <v>4</v>
      </c>
      <c r="C10" s="13">
        <v>340</v>
      </c>
      <c r="D10" s="13">
        <v>346</v>
      </c>
      <c r="E10" s="13">
        <v>348</v>
      </c>
      <c r="F10" s="13">
        <v>368</v>
      </c>
      <c r="G10" s="13">
        <v>395</v>
      </c>
      <c r="H10" s="13">
        <v>399</v>
      </c>
      <c r="I10" s="13">
        <v>457</v>
      </c>
      <c r="J10" s="13">
        <v>465</v>
      </c>
      <c r="K10" s="13">
        <v>467</v>
      </c>
      <c r="L10" s="13">
        <v>491</v>
      </c>
      <c r="M10" s="13">
        <v>499</v>
      </c>
      <c r="N10" s="13">
        <v>582</v>
      </c>
      <c r="O10" s="14">
        <v>607</v>
      </c>
      <c r="P10" s="14" t="s">
        <v>494</v>
      </c>
    </row>
    <row r="11" spans="1:16" s="20" customFormat="1" ht="15.75" thickBot="1">
      <c r="A11" s="10" t="s">
        <v>402</v>
      </c>
      <c r="B11" s="11" t="s">
        <v>4</v>
      </c>
      <c r="C11" s="13">
        <v>298</v>
      </c>
      <c r="D11" s="13">
        <v>298</v>
      </c>
      <c r="E11" s="13">
        <v>298</v>
      </c>
      <c r="F11" s="13">
        <v>303</v>
      </c>
      <c r="G11" s="13">
        <v>358</v>
      </c>
      <c r="H11" s="13">
        <v>360</v>
      </c>
      <c r="I11" s="13">
        <v>430</v>
      </c>
      <c r="J11" s="13">
        <v>433</v>
      </c>
      <c r="K11" s="13">
        <v>433</v>
      </c>
      <c r="L11" s="13">
        <v>467</v>
      </c>
      <c r="M11" s="13">
        <v>496</v>
      </c>
      <c r="N11" s="13">
        <v>579</v>
      </c>
      <c r="O11" s="14">
        <v>613</v>
      </c>
      <c r="P11" s="14" t="s">
        <v>45</v>
      </c>
    </row>
    <row r="12" spans="1:16" s="20" customFormat="1" ht="15.75" thickBot="1">
      <c r="A12" s="17" t="s">
        <v>353</v>
      </c>
      <c r="B12" s="19" t="s">
        <v>399</v>
      </c>
      <c r="C12" s="13">
        <v>277</v>
      </c>
      <c r="D12" s="13">
        <v>278</v>
      </c>
      <c r="E12" s="13">
        <v>278</v>
      </c>
      <c r="F12" s="13">
        <v>279</v>
      </c>
      <c r="G12" s="13">
        <v>283</v>
      </c>
      <c r="H12" s="13">
        <v>283</v>
      </c>
      <c r="I12" s="13">
        <v>289</v>
      </c>
      <c r="J12" s="13">
        <v>299</v>
      </c>
      <c r="K12" s="13">
        <v>303</v>
      </c>
      <c r="L12" s="13" t="s">
        <v>17</v>
      </c>
    </row>
    <row r="13" spans="1:16" s="20" customFormat="1" ht="15.75" thickBot="1">
      <c r="A13" s="10" t="s">
        <v>462</v>
      </c>
      <c r="B13" s="11" t="s">
        <v>4</v>
      </c>
      <c r="C13" s="13">
        <v>270</v>
      </c>
      <c r="D13" s="13">
        <v>270</v>
      </c>
      <c r="E13" s="13">
        <v>271</v>
      </c>
      <c r="F13" s="13">
        <v>356</v>
      </c>
      <c r="G13" s="13">
        <v>364</v>
      </c>
      <c r="H13" s="13">
        <v>369</v>
      </c>
      <c r="I13" s="13">
        <v>371</v>
      </c>
      <c r="J13" s="13">
        <v>375</v>
      </c>
      <c r="K13" s="13">
        <v>376</v>
      </c>
      <c r="L13" s="13">
        <v>380</v>
      </c>
      <c r="M13" s="13">
        <v>380</v>
      </c>
      <c r="N13" s="13">
        <v>427</v>
      </c>
      <c r="O13" s="14">
        <v>514</v>
      </c>
      <c r="P13" s="14" t="s">
        <v>496</v>
      </c>
    </row>
    <row r="14" spans="1:16" s="20" customFormat="1" ht="15.75" thickBot="1">
      <c r="A14" s="17" t="s">
        <v>122</v>
      </c>
      <c r="B14" s="18" t="s">
        <v>4</v>
      </c>
      <c r="C14" s="13">
        <v>250</v>
      </c>
      <c r="D14" s="13">
        <v>262</v>
      </c>
      <c r="E14" s="13">
        <v>262</v>
      </c>
      <c r="F14" s="13">
        <v>263</v>
      </c>
      <c r="G14" s="13">
        <v>265</v>
      </c>
      <c r="H14" s="13">
        <v>268</v>
      </c>
      <c r="I14" s="13">
        <v>268</v>
      </c>
      <c r="J14" s="13" t="s">
        <v>17</v>
      </c>
    </row>
    <row r="15" spans="1:16" s="20" customFormat="1" ht="15.75" thickBot="1">
      <c r="A15" s="17" t="s">
        <v>403</v>
      </c>
      <c r="B15" s="18" t="s">
        <v>4</v>
      </c>
      <c r="C15" s="13">
        <v>246</v>
      </c>
      <c r="D15" s="13">
        <v>250</v>
      </c>
      <c r="E15" s="13">
        <v>250</v>
      </c>
      <c r="F15" s="13">
        <v>253</v>
      </c>
      <c r="G15" s="13">
        <v>254</v>
      </c>
      <c r="H15" s="13">
        <v>259</v>
      </c>
      <c r="I15" s="13">
        <v>270</v>
      </c>
      <c r="J15" s="13">
        <v>340</v>
      </c>
      <c r="K15" s="13">
        <v>340</v>
      </c>
      <c r="L15" s="13">
        <v>359</v>
      </c>
      <c r="M15" s="13">
        <v>363</v>
      </c>
      <c r="N15" s="13">
        <v>369</v>
      </c>
      <c r="O15" s="13" t="s">
        <v>17</v>
      </c>
    </row>
    <row r="16" spans="1:16" s="20" customFormat="1" ht="15.75" thickBot="1">
      <c r="A16" s="17" t="s">
        <v>404</v>
      </c>
      <c r="B16" s="19" t="s">
        <v>399</v>
      </c>
      <c r="C16" s="13">
        <v>235</v>
      </c>
      <c r="D16" s="13">
        <v>236</v>
      </c>
      <c r="E16" s="13">
        <v>237</v>
      </c>
      <c r="F16" s="13">
        <v>267</v>
      </c>
      <c r="G16" s="13">
        <v>301</v>
      </c>
      <c r="H16" s="13">
        <v>302</v>
      </c>
      <c r="I16" s="13">
        <v>317</v>
      </c>
      <c r="J16" s="13">
        <v>322</v>
      </c>
      <c r="K16" s="13">
        <v>323</v>
      </c>
      <c r="L16" s="13">
        <v>332</v>
      </c>
      <c r="M16" s="13">
        <v>337</v>
      </c>
      <c r="N16" s="13" t="s">
        <v>17</v>
      </c>
    </row>
    <row r="17" spans="1:15" s="20" customFormat="1" ht="15.75" thickBot="1">
      <c r="A17" s="17" t="s">
        <v>516</v>
      </c>
      <c r="B17" s="19" t="s">
        <v>399</v>
      </c>
      <c r="C17" s="13">
        <v>204</v>
      </c>
      <c r="D17" s="13">
        <v>206</v>
      </c>
      <c r="E17" s="13">
        <v>206</v>
      </c>
      <c r="F17" s="13">
        <v>208</v>
      </c>
      <c r="G17" s="13">
        <v>208</v>
      </c>
      <c r="H17" s="13">
        <v>210</v>
      </c>
      <c r="I17" s="13" t="s">
        <v>17</v>
      </c>
    </row>
    <row r="18" spans="1:15" s="20" customFormat="1" ht="15.75" thickBot="1">
      <c r="A18" s="17" t="s">
        <v>371</v>
      </c>
      <c r="B18" s="18" t="s">
        <v>4</v>
      </c>
      <c r="C18" s="13">
        <v>202</v>
      </c>
      <c r="D18" s="13">
        <v>205</v>
      </c>
      <c r="E18" s="13">
        <v>205</v>
      </c>
      <c r="F18" s="13">
        <v>205</v>
      </c>
      <c r="G18" s="13">
        <v>206</v>
      </c>
      <c r="H18" s="13" t="s">
        <v>17</v>
      </c>
      <c r="K18" s="41"/>
      <c r="L18" s="42" t="s">
        <v>63</v>
      </c>
      <c r="M18" s="42" t="s">
        <v>64</v>
      </c>
      <c r="N18" s="42" t="s">
        <v>65</v>
      </c>
    </row>
    <row r="19" spans="1:15" s="20" customFormat="1" ht="15.75" thickBot="1">
      <c r="A19" s="17" t="s">
        <v>405</v>
      </c>
      <c r="B19" s="90" t="s">
        <v>10</v>
      </c>
      <c r="C19" s="13">
        <v>198</v>
      </c>
      <c r="D19" s="13">
        <v>200</v>
      </c>
      <c r="E19" s="13">
        <v>200</v>
      </c>
      <c r="F19" s="13">
        <v>201</v>
      </c>
      <c r="G19" s="13" t="s">
        <v>17</v>
      </c>
      <c r="K19" s="43" t="s">
        <v>4</v>
      </c>
      <c r="L19" s="44">
        <f>SUM(C7+C10+C11+C13+C15+C14+C18+C20)</f>
        <v>2273</v>
      </c>
      <c r="M19" s="46">
        <f>SUM(L19/L22)</f>
        <v>0.38834785580044423</v>
      </c>
      <c r="N19" s="41">
        <v>4</v>
      </c>
    </row>
    <row r="20" spans="1:15" s="20" customFormat="1" ht="15.75" thickBot="1">
      <c r="A20" s="17" t="s">
        <v>406</v>
      </c>
      <c r="B20" s="18" t="s">
        <v>4</v>
      </c>
      <c r="C20" s="13">
        <v>190</v>
      </c>
      <c r="D20" s="13">
        <v>196</v>
      </c>
      <c r="E20" s="13">
        <v>199</v>
      </c>
      <c r="F20" s="13" t="s">
        <v>17</v>
      </c>
      <c r="K20" s="45" t="s">
        <v>399</v>
      </c>
      <c r="L20" s="44">
        <f>SUM(C5+C6+C9+C12+C16+C17+C22)</f>
        <v>2181</v>
      </c>
      <c r="M20" s="46">
        <f>SUM(L20/L22)</f>
        <v>0.37262942080984113</v>
      </c>
      <c r="N20" s="41">
        <v>2</v>
      </c>
    </row>
    <row r="21" spans="1:15" s="20" customFormat="1" ht="15.75" thickBot="1">
      <c r="A21" s="17" t="s">
        <v>407</v>
      </c>
      <c r="B21" s="13" t="s">
        <v>10</v>
      </c>
      <c r="C21" s="13">
        <v>92</v>
      </c>
      <c r="D21" s="13" t="s">
        <v>17</v>
      </c>
      <c r="K21" s="68" t="s">
        <v>67</v>
      </c>
      <c r="L21" s="67">
        <f>SUM(C4+C8+C21+C19)</f>
        <v>1399</v>
      </c>
      <c r="M21" s="40">
        <f>SUM(L21/L22)</f>
        <v>0.23902272338971467</v>
      </c>
      <c r="N21" s="20">
        <v>2</v>
      </c>
    </row>
    <row r="22" spans="1:15" s="20" customFormat="1" ht="15.75" thickBot="1">
      <c r="A22" s="17" t="s">
        <v>408</v>
      </c>
      <c r="B22" s="19" t="s">
        <v>399</v>
      </c>
      <c r="C22" s="13">
        <v>60</v>
      </c>
      <c r="D22" s="13" t="s">
        <v>17</v>
      </c>
      <c r="L22" s="72">
        <v>5853</v>
      </c>
    </row>
    <row r="24" spans="1:15" ht="14.25">
      <c r="A24" s="6" t="s">
        <v>614</v>
      </c>
      <c r="B24" s="20"/>
      <c r="C24" s="20"/>
      <c r="D24" s="20"/>
      <c r="E24" s="20"/>
      <c r="F24" s="20"/>
      <c r="G24" s="20"/>
      <c r="H24" s="20"/>
    </row>
    <row r="25" spans="1:15" ht="10.5" customHeight="1" thickBot="1">
      <c r="A25" s="6"/>
      <c r="B25" s="20"/>
      <c r="C25" s="20"/>
      <c r="D25" s="20"/>
      <c r="E25" s="20"/>
      <c r="F25" s="20"/>
      <c r="G25" s="20"/>
      <c r="H25" s="20"/>
    </row>
    <row r="26" spans="1:15" ht="16.5" customHeight="1" thickBot="1">
      <c r="A26" s="8" t="s">
        <v>0</v>
      </c>
      <c r="B26" s="9" t="s">
        <v>1</v>
      </c>
      <c r="C26" s="9" t="s">
        <v>2</v>
      </c>
      <c r="D26" s="9">
        <v>2</v>
      </c>
      <c r="E26" s="9">
        <v>3</v>
      </c>
      <c r="F26" s="9">
        <v>4</v>
      </c>
      <c r="G26" s="9">
        <v>5</v>
      </c>
      <c r="H26" s="9">
        <v>6</v>
      </c>
      <c r="I26" s="9">
        <v>7</v>
      </c>
      <c r="J26" s="9">
        <v>8</v>
      </c>
      <c r="K26" s="9"/>
      <c r="L26" s="41"/>
      <c r="M26" s="42" t="s">
        <v>63</v>
      </c>
      <c r="N26" s="42" t="s">
        <v>64</v>
      </c>
      <c r="O26" s="42" t="s">
        <v>65</v>
      </c>
    </row>
    <row r="27" spans="1:15" ht="15.75" thickBot="1">
      <c r="A27" s="10" t="s">
        <v>409</v>
      </c>
      <c r="B27" s="11" t="s">
        <v>4</v>
      </c>
      <c r="C27" s="13">
        <v>463</v>
      </c>
      <c r="D27" s="14">
        <v>486</v>
      </c>
      <c r="E27" s="13"/>
      <c r="F27" s="13"/>
      <c r="G27" s="13"/>
      <c r="H27" s="14"/>
      <c r="I27" s="14"/>
      <c r="J27" s="14"/>
      <c r="K27" s="14" t="s">
        <v>41</v>
      </c>
      <c r="L27" s="43" t="s">
        <v>4</v>
      </c>
      <c r="M27" s="44">
        <f>SUM(C27+C29+C34+C36+C37+C35)</f>
        <v>1666</v>
      </c>
      <c r="N27" s="46">
        <f>SUM(M27/M30)</f>
        <v>0.50979192166462672</v>
      </c>
      <c r="O27" s="41">
        <v>3</v>
      </c>
    </row>
    <row r="28" spans="1:15" ht="15.75" thickBot="1">
      <c r="A28" s="10" t="s">
        <v>375</v>
      </c>
      <c r="B28" s="15" t="s">
        <v>399</v>
      </c>
      <c r="C28" s="13">
        <v>366</v>
      </c>
      <c r="D28" s="13">
        <v>372</v>
      </c>
      <c r="E28" s="13">
        <v>375</v>
      </c>
      <c r="F28" s="13">
        <v>375</v>
      </c>
      <c r="G28" s="13">
        <v>382</v>
      </c>
      <c r="H28" s="13">
        <v>385</v>
      </c>
      <c r="I28" s="13">
        <v>401</v>
      </c>
      <c r="J28" s="14">
        <v>420</v>
      </c>
      <c r="K28" s="14" t="s">
        <v>45</v>
      </c>
      <c r="L28" s="45" t="s">
        <v>399</v>
      </c>
      <c r="M28" s="44">
        <f>SUM(C28+C30+C31+C32+C33+C38)</f>
        <v>1566</v>
      </c>
      <c r="N28" s="46">
        <f>SUM(M28/M30)</f>
        <v>0.47919216646266832</v>
      </c>
      <c r="O28" s="41">
        <v>3</v>
      </c>
    </row>
    <row r="29" spans="1:15" ht="15.75" thickBot="1">
      <c r="A29" s="10" t="s">
        <v>410</v>
      </c>
      <c r="B29" s="11" t="s">
        <v>4</v>
      </c>
      <c r="C29" s="13">
        <v>350</v>
      </c>
      <c r="D29" s="13">
        <v>361</v>
      </c>
      <c r="E29" s="13">
        <v>433</v>
      </c>
      <c r="F29" s="13">
        <v>435</v>
      </c>
      <c r="G29" s="14">
        <v>505</v>
      </c>
      <c r="H29" s="14"/>
      <c r="I29" s="14"/>
      <c r="J29" s="13"/>
      <c r="K29" s="14" t="s">
        <v>42</v>
      </c>
      <c r="L29" s="68" t="s">
        <v>67</v>
      </c>
      <c r="M29" s="67">
        <v>36</v>
      </c>
      <c r="N29" s="40">
        <f>SUM(M29/M30)</f>
        <v>1.1015911872705019E-2</v>
      </c>
      <c r="O29" s="20"/>
    </row>
    <row r="30" spans="1:15" ht="15.75" thickBot="1">
      <c r="A30" s="10" t="s">
        <v>377</v>
      </c>
      <c r="B30" s="15" t="s">
        <v>399</v>
      </c>
      <c r="C30" s="13">
        <v>328</v>
      </c>
      <c r="D30" s="13">
        <v>331</v>
      </c>
      <c r="E30" s="13">
        <v>341</v>
      </c>
      <c r="F30" s="13">
        <v>342</v>
      </c>
      <c r="G30" s="13">
        <v>352</v>
      </c>
      <c r="H30" s="13">
        <v>354</v>
      </c>
      <c r="I30" s="13">
        <v>377</v>
      </c>
      <c r="J30" s="14">
        <v>385</v>
      </c>
      <c r="K30" s="14" t="s">
        <v>494</v>
      </c>
      <c r="L30" s="20"/>
      <c r="M30" s="72">
        <v>3268</v>
      </c>
      <c r="N30" s="20"/>
      <c r="O30" s="20"/>
    </row>
    <row r="31" spans="1:15" ht="15.75" thickBot="1">
      <c r="A31" s="10" t="s">
        <v>411</v>
      </c>
      <c r="B31" s="15" t="s">
        <v>399</v>
      </c>
      <c r="C31" s="13">
        <v>261</v>
      </c>
      <c r="D31" s="13">
        <v>334</v>
      </c>
      <c r="E31" s="13">
        <v>335</v>
      </c>
      <c r="F31" s="13">
        <v>342</v>
      </c>
      <c r="G31" s="13">
        <v>402</v>
      </c>
      <c r="H31" s="13">
        <v>407</v>
      </c>
      <c r="I31" s="13">
        <v>453</v>
      </c>
      <c r="J31" s="14">
        <v>459</v>
      </c>
      <c r="K31" s="14" t="s">
        <v>43</v>
      </c>
    </row>
    <row r="32" spans="1:15" ht="15.75" thickBot="1">
      <c r="A32" s="17" t="s">
        <v>412</v>
      </c>
      <c r="B32" s="19" t="s">
        <v>399</v>
      </c>
      <c r="C32" s="13">
        <v>242</v>
      </c>
      <c r="D32" s="13">
        <v>245</v>
      </c>
      <c r="E32" s="13">
        <v>245</v>
      </c>
      <c r="F32" s="13">
        <v>245</v>
      </c>
      <c r="G32" s="13">
        <v>257</v>
      </c>
      <c r="H32" s="13">
        <v>258</v>
      </c>
      <c r="I32" s="13" t="s">
        <v>17</v>
      </c>
      <c r="K32" s="95"/>
    </row>
    <row r="33" spans="1:15" ht="15.75" thickBot="1">
      <c r="A33" s="17" t="s">
        <v>413</v>
      </c>
      <c r="B33" s="19" t="s">
        <v>399</v>
      </c>
      <c r="C33" s="13">
        <v>239</v>
      </c>
      <c r="D33" s="13">
        <v>259</v>
      </c>
      <c r="E33" s="13">
        <v>266</v>
      </c>
      <c r="F33" s="13">
        <v>270</v>
      </c>
      <c r="G33" s="13">
        <v>286</v>
      </c>
      <c r="H33" s="13">
        <v>289</v>
      </c>
      <c r="I33" s="13">
        <v>374</v>
      </c>
      <c r="J33" s="13">
        <v>377</v>
      </c>
      <c r="K33" s="14"/>
    </row>
    <row r="34" spans="1:15" ht="15.75" thickBot="1">
      <c r="A34" s="17" t="s">
        <v>414</v>
      </c>
      <c r="B34" s="18" t="s">
        <v>4</v>
      </c>
      <c r="C34" s="13">
        <v>230</v>
      </c>
      <c r="D34" s="13">
        <v>238</v>
      </c>
      <c r="E34" s="13">
        <v>238</v>
      </c>
      <c r="F34" s="13">
        <v>241</v>
      </c>
      <c r="G34" s="13" t="s">
        <v>17</v>
      </c>
      <c r="K34" s="95"/>
    </row>
    <row r="35" spans="1:15" ht="15.75" thickBot="1">
      <c r="A35" s="10" t="s">
        <v>415</v>
      </c>
      <c r="B35" s="11" t="s">
        <v>4</v>
      </c>
      <c r="C35" s="13">
        <v>229</v>
      </c>
      <c r="D35" s="13">
        <v>235</v>
      </c>
      <c r="E35" s="13">
        <v>260</v>
      </c>
      <c r="F35" s="13">
        <v>261</v>
      </c>
      <c r="G35" s="13">
        <v>266</v>
      </c>
      <c r="H35" s="13">
        <v>268</v>
      </c>
      <c r="I35" s="13">
        <v>305</v>
      </c>
      <c r="J35" s="14">
        <v>424</v>
      </c>
      <c r="K35" s="14" t="s">
        <v>44</v>
      </c>
    </row>
    <row r="36" spans="1:15" ht="15.75" thickBot="1">
      <c r="A36" s="17" t="s">
        <v>416</v>
      </c>
      <c r="B36" s="18" t="s">
        <v>4</v>
      </c>
      <c r="C36" s="13">
        <v>221</v>
      </c>
      <c r="D36" s="13">
        <v>221</v>
      </c>
      <c r="E36" s="13">
        <v>248</v>
      </c>
      <c r="F36" s="13">
        <v>249</v>
      </c>
      <c r="G36" s="13">
        <v>257</v>
      </c>
      <c r="H36" s="13">
        <v>279</v>
      </c>
      <c r="I36" s="13">
        <v>282</v>
      </c>
      <c r="J36" s="13" t="s">
        <v>17</v>
      </c>
    </row>
    <row r="37" spans="1:15" ht="15.75" thickBot="1">
      <c r="A37" s="17" t="s">
        <v>417</v>
      </c>
      <c r="B37" s="18" t="s">
        <v>4</v>
      </c>
      <c r="C37" s="13">
        <v>173</v>
      </c>
      <c r="D37" s="13">
        <v>175</v>
      </c>
      <c r="E37" s="13" t="s">
        <v>17</v>
      </c>
    </row>
    <row r="38" spans="1:15" ht="15.75" thickBot="1">
      <c r="A38" s="17" t="s">
        <v>383</v>
      </c>
      <c r="B38" s="19" t="s">
        <v>399</v>
      </c>
      <c r="C38" s="13">
        <v>130</v>
      </c>
      <c r="D38" s="13" t="s">
        <v>17</v>
      </c>
    </row>
    <row r="39" spans="1:15" ht="15.75" thickBot="1">
      <c r="A39" s="17" t="s">
        <v>418</v>
      </c>
      <c r="B39" s="13" t="s">
        <v>10</v>
      </c>
      <c r="C39" s="13">
        <v>36</v>
      </c>
      <c r="D39" s="13" t="s">
        <v>17</v>
      </c>
    </row>
    <row r="41" spans="1:15" s="20" customFormat="1" ht="14.25">
      <c r="A41" s="6" t="s">
        <v>615</v>
      </c>
    </row>
    <row r="42" spans="1:15" s="20" customFormat="1" ht="9.75" customHeight="1" thickBot="1">
      <c r="A42" s="6"/>
    </row>
    <row r="43" spans="1:15" s="20" customFormat="1" ht="16.5" customHeight="1" thickBot="1">
      <c r="A43" s="8" t="s">
        <v>0</v>
      </c>
      <c r="B43" s="9" t="s">
        <v>1</v>
      </c>
      <c r="C43" s="9" t="s">
        <v>2</v>
      </c>
      <c r="D43" s="9">
        <v>2</v>
      </c>
      <c r="E43" s="9">
        <v>3</v>
      </c>
      <c r="F43" s="9">
        <v>4</v>
      </c>
      <c r="G43" s="9">
        <v>5</v>
      </c>
      <c r="H43" s="9">
        <v>6</v>
      </c>
      <c r="I43" s="9">
        <v>7</v>
      </c>
      <c r="J43" s="9">
        <v>8</v>
      </c>
      <c r="K43" s="9"/>
      <c r="L43" s="41"/>
      <c r="M43" s="42" t="s">
        <v>63</v>
      </c>
      <c r="N43" s="42" t="s">
        <v>64</v>
      </c>
      <c r="O43" s="42" t="s">
        <v>65</v>
      </c>
    </row>
    <row r="44" spans="1:15" s="20" customFormat="1" ht="15.75" thickBot="1">
      <c r="A44" s="10" t="s">
        <v>419</v>
      </c>
      <c r="B44" s="15" t="s">
        <v>399</v>
      </c>
      <c r="C44" s="14">
        <v>578</v>
      </c>
      <c r="D44" s="14"/>
      <c r="E44" s="13"/>
      <c r="F44" s="13"/>
      <c r="G44" s="13"/>
      <c r="H44" s="14"/>
      <c r="I44" s="14"/>
      <c r="J44" s="14"/>
      <c r="K44" s="14" t="s">
        <v>41</v>
      </c>
      <c r="L44" s="43" t="s">
        <v>4</v>
      </c>
      <c r="M44" s="44">
        <f>SUM(C45+C46+C50+C51)</f>
        <v>1630</v>
      </c>
      <c r="N44" s="46">
        <f>SUM(M44/M47)</f>
        <v>0.43935309973045822</v>
      </c>
      <c r="O44" s="41">
        <v>3</v>
      </c>
    </row>
    <row r="45" spans="1:15" s="20" customFormat="1" ht="15.75" thickBot="1">
      <c r="A45" s="10" t="s">
        <v>420</v>
      </c>
      <c r="B45" s="11" t="s">
        <v>4</v>
      </c>
      <c r="C45" s="14">
        <v>570</v>
      </c>
      <c r="D45" s="13"/>
      <c r="E45" s="13"/>
      <c r="F45" s="13"/>
      <c r="G45" s="13"/>
      <c r="H45" s="13"/>
      <c r="I45" s="14"/>
      <c r="J45" s="13"/>
      <c r="K45" s="14" t="s">
        <v>42</v>
      </c>
      <c r="L45" s="45" t="s">
        <v>399</v>
      </c>
      <c r="M45" s="44">
        <f>SUM(C44+C47+C48+C49)</f>
        <v>1747</v>
      </c>
      <c r="N45" s="46">
        <f>SUM(M45/M47)</f>
        <v>0.47088948787061996</v>
      </c>
      <c r="O45" s="41">
        <v>3</v>
      </c>
    </row>
    <row r="46" spans="1:15" s="20" customFormat="1" ht="15.75" thickBot="1">
      <c r="A46" s="10" t="s">
        <v>35</v>
      </c>
      <c r="B46" s="11" t="s">
        <v>4</v>
      </c>
      <c r="C46" s="13">
        <v>472</v>
      </c>
      <c r="D46" s="13">
        <v>477</v>
      </c>
      <c r="E46" s="13">
        <v>488</v>
      </c>
      <c r="F46" s="13">
        <v>505</v>
      </c>
      <c r="G46" s="14">
        <v>553</v>
      </c>
      <c r="H46" s="14"/>
      <c r="I46" s="14"/>
      <c r="J46" s="13"/>
      <c r="K46" s="14" t="s">
        <v>43</v>
      </c>
      <c r="L46" s="68" t="s">
        <v>67</v>
      </c>
      <c r="M46" s="67">
        <f>SUM(C52+C53)</f>
        <v>333</v>
      </c>
      <c r="N46" s="40">
        <f>SUM(M46/M47)</f>
        <v>8.9757412398921835E-2</v>
      </c>
    </row>
    <row r="47" spans="1:15" s="20" customFormat="1" ht="15.75" thickBot="1">
      <c r="A47" s="10" t="s">
        <v>385</v>
      </c>
      <c r="B47" s="15" t="s">
        <v>399</v>
      </c>
      <c r="C47" s="13">
        <v>447</v>
      </c>
      <c r="D47" s="13">
        <v>450</v>
      </c>
      <c r="E47" s="13">
        <v>454</v>
      </c>
      <c r="F47" s="13">
        <v>455</v>
      </c>
      <c r="G47" s="13">
        <v>496</v>
      </c>
      <c r="H47" s="13">
        <v>503</v>
      </c>
      <c r="I47" s="14">
        <v>532</v>
      </c>
      <c r="J47" s="13"/>
      <c r="K47" s="14" t="s">
        <v>45</v>
      </c>
      <c r="M47" s="72">
        <v>3710</v>
      </c>
    </row>
    <row r="48" spans="1:15" s="20" customFormat="1" ht="15.75" thickBot="1">
      <c r="A48" s="10" t="s">
        <v>144</v>
      </c>
      <c r="B48" s="15" t="s">
        <v>399</v>
      </c>
      <c r="C48" s="13">
        <v>407</v>
      </c>
      <c r="D48" s="13">
        <v>410</v>
      </c>
      <c r="E48" s="13">
        <v>420</v>
      </c>
      <c r="F48" s="13">
        <v>429</v>
      </c>
      <c r="G48" s="13">
        <v>442</v>
      </c>
      <c r="H48" s="13">
        <v>443</v>
      </c>
      <c r="I48" s="14">
        <v>610</v>
      </c>
      <c r="J48" s="13"/>
      <c r="K48" s="14" t="s">
        <v>44</v>
      </c>
    </row>
    <row r="49" spans="1:15" s="20" customFormat="1" ht="15.75" thickBot="1">
      <c r="A49" s="17" t="s">
        <v>421</v>
      </c>
      <c r="B49" s="19" t="s">
        <v>399</v>
      </c>
      <c r="C49" s="13">
        <v>315</v>
      </c>
      <c r="D49" s="13">
        <v>316</v>
      </c>
      <c r="E49" s="13">
        <v>330</v>
      </c>
      <c r="F49" s="13">
        <v>338</v>
      </c>
      <c r="G49" s="13">
        <v>346</v>
      </c>
      <c r="H49" s="13">
        <v>350</v>
      </c>
      <c r="I49" s="13" t="s">
        <v>17</v>
      </c>
    </row>
    <row r="50" spans="1:15" s="20" customFormat="1" ht="15.75" thickBot="1">
      <c r="A50" s="17" t="s">
        <v>422</v>
      </c>
      <c r="B50" s="18" t="s">
        <v>4</v>
      </c>
      <c r="C50" s="13">
        <v>301</v>
      </c>
      <c r="D50" s="13">
        <v>336</v>
      </c>
      <c r="E50" s="13">
        <v>338</v>
      </c>
      <c r="F50" s="13">
        <v>339</v>
      </c>
      <c r="G50" s="13">
        <v>366</v>
      </c>
      <c r="H50" s="13">
        <v>368</v>
      </c>
      <c r="I50" s="13">
        <v>376</v>
      </c>
      <c r="J50" s="13">
        <v>380</v>
      </c>
      <c r="K50" s="14"/>
    </row>
    <row r="51" spans="1:15" s="20" customFormat="1" ht="15.75" thickBot="1">
      <c r="A51" s="10" t="s">
        <v>423</v>
      </c>
      <c r="B51" s="11" t="s">
        <v>4</v>
      </c>
      <c r="C51" s="13">
        <v>287</v>
      </c>
      <c r="D51" s="13">
        <v>302</v>
      </c>
      <c r="E51" s="13">
        <v>304</v>
      </c>
      <c r="F51" s="13">
        <v>306</v>
      </c>
      <c r="G51" s="13">
        <v>401</v>
      </c>
      <c r="H51" s="13">
        <v>405</v>
      </c>
      <c r="I51" s="13">
        <v>419</v>
      </c>
      <c r="J51" s="14">
        <v>426</v>
      </c>
      <c r="K51" s="14" t="s">
        <v>494</v>
      </c>
    </row>
    <row r="52" spans="1:15" s="20" customFormat="1" ht="15.75" thickBot="1">
      <c r="A52" s="17" t="s">
        <v>424</v>
      </c>
      <c r="B52" s="13" t="s">
        <v>10</v>
      </c>
      <c r="C52" s="13">
        <v>265</v>
      </c>
      <c r="D52" s="13">
        <v>268</v>
      </c>
      <c r="E52" s="13">
        <v>272</v>
      </c>
      <c r="F52" s="13">
        <v>273</v>
      </c>
      <c r="G52" s="13" t="s">
        <v>17</v>
      </c>
    </row>
    <row r="53" spans="1:15" s="20" customFormat="1" ht="15.75" thickBot="1">
      <c r="A53" s="17" t="s">
        <v>425</v>
      </c>
      <c r="B53" s="13" t="s">
        <v>10</v>
      </c>
      <c r="C53" s="13">
        <v>68</v>
      </c>
      <c r="D53" s="13" t="s">
        <v>17</v>
      </c>
    </row>
    <row r="55" spans="1:15" ht="14.25">
      <c r="A55" s="6" t="s">
        <v>616</v>
      </c>
      <c r="B55" s="20"/>
      <c r="C55" s="20"/>
      <c r="D55" s="20"/>
      <c r="E55" s="20"/>
      <c r="F55" s="20"/>
      <c r="G55" s="20"/>
      <c r="H55" s="20"/>
    </row>
    <row r="56" spans="1:15" ht="9.75" customHeight="1" thickBot="1">
      <c r="A56" s="6"/>
      <c r="B56" s="20"/>
      <c r="C56" s="20"/>
      <c r="D56" s="20"/>
      <c r="E56" s="20"/>
      <c r="F56" s="20"/>
      <c r="G56" s="20"/>
      <c r="H56" s="20"/>
    </row>
    <row r="57" spans="1:15" ht="16.5" customHeight="1" thickBot="1">
      <c r="A57" s="8" t="s">
        <v>0</v>
      </c>
      <c r="B57" s="9" t="s">
        <v>1</v>
      </c>
      <c r="C57" s="9" t="s">
        <v>2</v>
      </c>
      <c r="D57" s="9">
        <v>2</v>
      </c>
      <c r="E57" s="9">
        <v>3</v>
      </c>
      <c r="F57" s="9">
        <v>4</v>
      </c>
      <c r="G57" s="9">
        <v>5</v>
      </c>
      <c r="H57" s="9">
        <v>6</v>
      </c>
      <c r="I57" s="9">
        <v>7</v>
      </c>
      <c r="J57" s="9"/>
      <c r="K57" s="41"/>
      <c r="L57" s="42" t="s">
        <v>63</v>
      </c>
      <c r="M57" s="42" t="s">
        <v>64</v>
      </c>
      <c r="N57" s="42" t="s">
        <v>65</v>
      </c>
    </row>
    <row r="58" spans="1:15" ht="15.75" thickBot="1">
      <c r="A58" s="10" t="s">
        <v>391</v>
      </c>
      <c r="B58" s="15" t="s">
        <v>399</v>
      </c>
      <c r="C58" s="14">
        <v>631</v>
      </c>
      <c r="D58" s="13"/>
      <c r="E58" s="14"/>
      <c r="F58" s="13"/>
      <c r="G58" s="13"/>
      <c r="H58" s="13"/>
      <c r="I58" s="14"/>
      <c r="J58" s="14" t="s">
        <v>41</v>
      </c>
      <c r="K58" s="43" t="s">
        <v>4</v>
      </c>
      <c r="L58" s="44">
        <f>SUM(C62+C63+C65+C61)</f>
        <v>1517</v>
      </c>
      <c r="M58" s="46">
        <f>SUM(L58/$L$61)</f>
        <v>0.394025974025974</v>
      </c>
      <c r="N58" s="41">
        <v>4</v>
      </c>
    </row>
    <row r="59" spans="1:15" ht="15.75" thickBot="1">
      <c r="A59" s="10" t="s">
        <v>426</v>
      </c>
      <c r="B59" s="15" t="s">
        <v>399</v>
      </c>
      <c r="C59" s="14">
        <v>573</v>
      </c>
      <c r="D59" s="13"/>
      <c r="E59" s="13"/>
      <c r="F59" s="14"/>
      <c r="G59" s="13"/>
      <c r="H59" s="13"/>
      <c r="I59" s="14"/>
      <c r="J59" s="14" t="s">
        <v>42</v>
      </c>
      <c r="K59" s="45" t="s">
        <v>399</v>
      </c>
      <c r="L59" s="44">
        <f>SUM(C58+C59+C60+C64+C66)</f>
        <v>2169</v>
      </c>
      <c r="M59" s="46">
        <f>SUM(L59/$L$61)</f>
        <v>0.56337662337662342</v>
      </c>
      <c r="N59" s="41">
        <v>4</v>
      </c>
    </row>
    <row r="60" spans="1:15" ht="15.75" thickBot="1">
      <c r="A60" s="10" t="s">
        <v>54</v>
      </c>
      <c r="B60" s="15" t="s">
        <v>399</v>
      </c>
      <c r="C60" s="14">
        <v>467</v>
      </c>
      <c r="D60" s="13"/>
      <c r="E60" s="13"/>
      <c r="F60" s="13"/>
      <c r="G60" s="13"/>
      <c r="H60" s="14"/>
      <c r="I60" s="14"/>
      <c r="J60" s="14" t="s">
        <v>43</v>
      </c>
      <c r="K60" s="66" t="s">
        <v>60</v>
      </c>
      <c r="L60" s="44">
        <v>168</v>
      </c>
      <c r="M60" s="46">
        <f>SUM(L60/$L$61)</f>
        <v>4.363636363636364E-2</v>
      </c>
      <c r="N60" s="41"/>
    </row>
    <row r="61" spans="1:15" ht="15.75" thickBot="1">
      <c r="A61" s="10" t="s">
        <v>394</v>
      </c>
      <c r="B61" s="11" t="s">
        <v>4</v>
      </c>
      <c r="C61" s="13">
        <v>408</v>
      </c>
      <c r="D61" s="13">
        <v>418</v>
      </c>
      <c r="E61" s="14">
        <v>462</v>
      </c>
      <c r="F61" s="13"/>
      <c r="G61" s="13"/>
      <c r="H61" s="13"/>
      <c r="I61" s="14"/>
      <c r="J61" s="14" t="s">
        <v>44</v>
      </c>
      <c r="K61" s="68"/>
      <c r="L61" s="72">
        <v>3850</v>
      </c>
      <c r="M61" s="46"/>
      <c r="N61" s="41"/>
    </row>
    <row r="62" spans="1:15" ht="15.75" thickBot="1">
      <c r="A62" s="10" t="s">
        <v>91</v>
      </c>
      <c r="B62" s="11" t="s">
        <v>4</v>
      </c>
      <c r="C62" s="13">
        <v>394</v>
      </c>
      <c r="D62" s="13">
        <v>404</v>
      </c>
      <c r="E62" s="14">
        <v>436</v>
      </c>
      <c r="F62" s="13"/>
      <c r="G62" s="13"/>
      <c r="H62" s="13"/>
      <c r="I62" s="14"/>
      <c r="J62" s="14" t="s">
        <v>45</v>
      </c>
      <c r="L62" s="42"/>
      <c r="N62" s="40"/>
      <c r="O62" s="20"/>
    </row>
    <row r="63" spans="1:15" ht="15.75" thickBot="1">
      <c r="A63" s="10" t="s">
        <v>46</v>
      </c>
      <c r="B63" s="11" t="s">
        <v>4</v>
      </c>
      <c r="C63" s="13">
        <v>390</v>
      </c>
      <c r="D63" s="13">
        <v>415</v>
      </c>
      <c r="E63" s="13">
        <v>421</v>
      </c>
      <c r="F63" s="13">
        <v>423</v>
      </c>
      <c r="G63" s="13">
        <v>424</v>
      </c>
      <c r="H63" s="14">
        <v>430</v>
      </c>
      <c r="I63" s="14"/>
      <c r="J63" s="14" t="s">
        <v>494</v>
      </c>
    </row>
    <row r="64" spans="1:15" ht="15.75" thickBot="1">
      <c r="A64" s="10" t="s">
        <v>427</v>
      </c>
      <c r="B64" s="15" t="s">
        <v>399</v>
      </c>
      <c r="C64" s="13">
        <v>334</v>
      </c>
      <c r="D64" s="13">
        <v>370</v>
      </c>
      <c r="E64" s="13">
        <v>388</v>
      </c>
      <c r="F64" s="13">
        <v>407</v>
      </c>
      <c r="G64" s="13">
        <v>409</v>
      </c>
      <c r="H64" s="13">
        <v>411</v>
      </c>
      <c r="I64" s="14">
        <v>423</v>
      </c>
      <c r="J64" s="14" t="s">
        <v>495</v>
      </c>
    </row>
    <row r="65" spans="1:13" ht="15.75" thickBot="1">
      <c r="A65" s="10" t="s">
        <v>428</v>
      </c>
      <c r="B65" s="11" t="s">
        <v>4</v>
      </c>
      <c r="C65" s="13">
        <v>325</v>
      </c>
      <c r="D65" s="13">
        <v>333</v>
      </c>
      <c r="E65" s="13">
        <v>349</v>
      </c>
      <c r="F65" s="13">
        <v>355</v>
      </c>
      <c r="G65" s="13">
        <v>363</v>
      </c>
      <c r="H65" s="13">
        <v>376</v>
      </c>
      <c r="I65" s="14">
        <v>415</v>
      </c>
      <c r="J65" s="14" t="s">
        <v>496</v>
      </c>
    </row>
    <row r="66" spans="1:13" ht="15.75" thickBot="1">
      <c r="A66" s="17" t="s">
        <v>429</v>
      </c>
      <c r="B66" s="19" t="s">
        <v>399</v>
      </c>
      <c r="C66" s="13">
        <v>164</v>
      </c>
      <c r="D66" s="13">
        <v>266</v>
      </c>
      <c r="E66" s="13">
        <v>281</v>
      </c>
      <c r="F66" s="13">
        <v>290</v>
      </c>
      <c r="G66" s="13">
        <v>292</v>
      </c>
      <c r="H66" s="13">
        <v>301</v>
      </c>
      <c r="I66" s="13">
        <v>309</v>
      </c>
      <c r="J66" s="63"/>
    </row>
    <row r="67" spans="1:13" ht="15.75" thickBot="1">
      <c r="A67" s="17" t="s">
        <v>430</v>
      </c>
      <c r="B67" s="22" t="s">
        <v>60</v>
      </c>
      <c r="C67" s="13">
        <v>104</v>
      </c>
      <c r="D67" s="13">
        <v>107</v>
      </c>
      <c r="E67" s="13">
        <v>135</v>
      </c>
      <c r="F67" s="13">
        <v>136</v>
      </c>
      <c r="G67" s="13">
        <v>138</v>
      </c>
      <c r="H67" s="13">
        <v>177</v>
      </c>
      <c r="I67" s="13" t="s">
        <v>17</v>
      </c>
    </row>
    <row r="68" spans="1:13" ht="15.75" thickBot="1">
      <c r="A68" s="17" t="s">
        <v>431</v>
      </c>
      <c r="B68" s="22" t="s">
        <v>60</v>
      </c>
      <c r="C68" s="13">
        <v>64</v>
      </c>
      <c r="D68" s="13">
        <v>73</v>
      </c>
      <c r="E68" s="13">
        <v>79</v>
      </c>
      <c r="F68" s="13">
        <v>81</v>
      </c>
      <c r="G68" s="13">
        <v>83</v>
      </c>
      <c r="H68" s="13" t="s">
        <v>17</v>
      </c>
    </row>
    <row r="70" spans="1:13" ht="14.25">
      <c r="B70" s="27" t="s">
        <v>66</v>
      </c>
      <c r="C70" s="23" t="s">
        <v>4</v>
      </c>
      <c r="D70" s="24" t="s">
        <v>399</v>
      </c>
      <c r="E70" s="25" t="s">
        <v>60</v>
      </c>
      <c r="F70" s="4" t="s">
        <v>67</v>
      </c>
      <c r="M70" s="2"/>
    </row>
    <row r="71" spans="1:13" ht="14.25">
      <c r="A71" s="27" t="s">
        <v>63</v>
      </c>
      <c r="B71" s="76">
        <f>SUM(L61+M47+M30+L22)</f>
        <v>16681</v>
      </c>
      <c r="C71" s="2">
        <f>SUM(L58+M44+M27+L19)</f>
        <v>7086</v>
      </c>
      <c r="D71" s="2">
        <f>SUM(L59+M45+M28+L20)</f>
        <v>7663</v>
      </c>
      <c r="E71">
        <v>168</v>
      </c>
      <c r="F71" s="2">
        <f>SUM(M46+M29+L21)</f>
        <v>1768</v>
      </c>
    </row>
    <row r="72" spans="1:13" s="28" customFormat="1" ht="14.25">
      <c r="A72" s="38" t="s">
        <v>64</v>
      </c>
      <c r="B72" s="39">
        <v>1</v>
      </c>
      <c r="C72" s="28">
        <f>SUM(C71/$B$71)</f>
        <v>0.42479467657814279</v>
      </c>
      <c r="D72" s="28">
        <f>SUM(D71/$B$71)</f>
        <v>0.45938492896109345</v>
      </c>
      <c r="E72" s="28">
        <f>SUM(E71/$B$71)</f>
        <v>1.0071338648762064E-2</v>
      </c>
      <c r="F72" s="28">
        <f>SUM(F71/$B$71)</f>
        <v>0.10598884958935316</v>
      </c>
    </row>
    <row r="73" spans="1:13" ht="14.25">
      <c r="A73" s="27" t="s">
        <v>65</v>
      </c>
      <c r="B73" s="32">
        <v>28</v>
      </c>
      <c r="C73">
        <v>14</v>
      </c>
      <c r="D73">
        <v>12</v>
      </c>
      <c r="E73">
        <v>0</v>
      </c>
      <c r="F73">
        <v>2</v>
      </c>
    </row>
  </sheetData>
  <phoneticPr fontId="16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R75"/>
  <sheetViews>
    <sheetView workbookViewId="0">
      <selection activeCell="N1" sqref="N1"/>
    </sheetView>
  </sheetViews>
  <sheetFormatPr defaultRowHeight="12.75"/>
  <cols>
    <col min="1" max="1" width="22" customWidth="1"/>
    <col min="2" max="14" width="8.7109375" customWidth="1"/>
  </cols>
  <sheetData>
    <row r="1" spans="1:18" s="20" customFormat="1" ht="16.5" customHeight="1">
      <c r="A1" s="6" t="s">
        <v>622</v>
      </c>
    </row>
    <row r="2" spans="1:18" s="20" customFormat="1" ht="10.5" customHeight="1" thickBot="1">
      <c r="A2" s="6"/>
    </row>
    <row r="3" spans="1:18" s="20" customFormat="1" ht="15.75" thickBot="1">
      <c r="A3" s="8" t="s">
        <v>0</v>
      </c>
      <c r="B3" s="9" t="s">
        <v>1</v>
      </c>
      <c r="C3" s="9" t="s">
        <v>2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9">
        <v>7</v>
      </c>
      <c r="J3" s="9">
        <v>8</v>
      </c>
      <c r="K3" s="9">
        <v>9</v>
      </c>
      <c r="L3" s="9">
        <v>10</v>
      </c>
      <c r="M3" s="9">
        <v>11</v>
      </c>
      <c r="N3" s="9"/>
      <c r="O3" s="41"/>
      <c r="P3" s="42" t="s">
        <v>63</v>
      </c>
      <c r="Q3" s="42" t="s">
        <v>64</v>
      </c>
      <c r="R3" s="42" t="s">
        <v>65</v>
      </c>
    </row>
    <row r="4" spans="1:18" s="20" customFormat="1" ht="15.75" thickBot="1">
      <c r="A4" s="10" t="s">
        <v>68</v>
      </c>
      <c r="B4" s="15" t="s">
        <v>6</v>
      </c>
      <c r="C4" s="14">
        <v>865</v>
      </c>
      <c r="D4" s="13"/>
      <c r="E4" s="14"/>
      <c r="F4" s="13"/>
      <c r="G4" s="13"/>
      <c r="H4" s="13"/>
      <c r="I4" s="14"/>
      <c r="J4" s="13"/>
      <c r="K4" s="14"/>
      <c r="L4" s="13"/>
      <c r="M4" s="13"/>
      <c r="N4" s="14" t="s">
        <v>41</v>
      </c>
      <c r="O4" s="43" t="s">
        <v>4</v>
      </c>
      <c r="P4" s="44">
        <f>SUM(C6+C8+C10+C11+C15+C16+C17+C19)</f>
        <v>2909</v>
      </c>
      <c r="Q4" s="46">
        <f>SUM(P4/P6)</f>
        <v>0.42541678853465925</v>
      </c>
      <c r="R4" s="41">
        <v>3</v>
      </c>
    </row>
    <row r="5" spans="1:18" s="20" customFormat="1" ht="15.75" thickBot="1">
      <c r="A5" s="10" t="s">
        <v>353</v>
      </c>
      <c r="B5" s="15" t="s">
        <v>6</v>
      </c>
      <c r="C5" s="13">
        <v>722</v>
      </c>
      <c r="D5" s="13">
        <v>723</v>
      </c>
      <c r="E5" s="13">
        <v>723</v>
      </c>
      <c r="F5" s="13">
        <v>733</v>
      </c>
      <c r="G5" s="13">
        <v>735</v>
      </c>
      <c r="H5" s="13">
        <v>737</v>
      </c>
      <c r="I5" s="13">
        <v>737</v>
      </c>
      <c r="J5" s="13">
        <v>738</v>
      </c>
      <c r="K5" s="13">
        <v>742</v>
      </c>
      <c r="L5" s="14">
        <v>927</v>
      </c>
      <c r="M5" s="13"/>
      <c r="N5" s="14" t="s">
        <v>44</v>
      </c>
      <c r="O5" s="45" t="s">
        <v>6</v>
      </c>
      <c r="P5" s="44">
        <f>SUM(C4+C5+C7+C9+C12+C13+C14+C18)</f>
        <v>3929</v>
      </c>
      <c r="Q5" s="46">
        <f>SUM(P5/P6)</f>
        <v>0.57458321146534075</v>
      </c>
      <c r="R5" s="41">
        <v>5</v>
      </c>
    </row>
    <row r="6" spans="1:18" s="20" customFormat="1" ht="15.75" thickBot="1">
      <c r="A6" s="10" t="s">
        <v>13</v>
      </c>
      <c r="B6" s="11" t="s">
        <v>4</v>
      </c>
      <c r="C6" s="13">
        <v>557</v>
      </c>
      <c r="D6" s="13">
        <v>559</v>
      </c>
      <c r="E6" s="13">
        <v>563</v>
      </c>
      <c r="F6" s="13">
        <v>571</v>
      </c>
      <c r="G6" s="13">
        <v>746</v>
      </c>
      <c r="H6" s="14">
        <v>775</v>
      </c>
      <c r="I6" s="14"/>
      <c r="J6" s="13"/>
      <c r="K6" s="13"/>
      <c r="L6" s="13"/>
      <c r="M6" s="13"/>
      <c r="N6" s="14" t="s">
        <v>42</v>
      </c>
      <c r="O6" s="42"/>
      <c r="P6" s="72">
        <v>6838</v>
      </c>
      <c r="Q6" s="40"/>
    </row>
    <row r="7" spans="1:18" s="20" customFormat="1" ht="15.75" thickBot="1">
      <c r="A7" s="10" t="s">
        <v>102</v>
      </c>
      <c r="B7" s="15" t="s">
        <v>6</v>
      </c>
      <c r="C7" s="13">
        <v>503</v>
      </c>
      <c r="D7" s="13">
        <v>509</v>
      </c>
      <c r="E7" s="13">
        <v>518</v>
      </c>
      <c r="F7" s="13">
        <v>520</v>
      </c>
      <c r="G7" s="13">
        <v>520</v>
      </c>
      <c r="H7" s="13">
        <v>522</v>
      </c>
      <c r="I7" s="13">
        <v>538</v>
      </c>
      <c r="J7" s="13">
        <v>539</v>
      </c>
      <c r="K7" s="13">
        <v>689</v>
      </c>
      <c r="L7" s="13">
        <v>704</v>
      </c>
      <c r="M7" s="14">
        <v>747</v>
      </c>
      <c r="N7" s="14" t="s">
        <v>496</v>
      </c>
    </row>
    <row r="8" spans="1:18" s="20" customFormat="1" ht="15.75" thickBot="1">
      <c r="A8" s="10" t="s">
        <v>364</v>
      </c>
      <c r="B8" s="11" t="s">
        <v>4</v>
      </c>
      <c r="C8" s="13">
        <v>489</v>
      </c>
      <c r="D8" s="13">
        <v>496</v>
      </c>
      <c r="E8" s="13">
        <v>524</v>
      </c>
      <c r="F8" s="13">
        <v>530</v>
      </c>
      <c r="G8" s="13">
        <v>531</v>
      </c>
      <c r="H8" s="13">
        <v>646</v>
      </c>
      <c r="I8" s="13">
        <v>706</v>
      </c>
      <c r="J8" s="13">
        <v>741</v>
      </c>
      <c r="K8" s="13">
        <v>759</v>
      </c>
      <c r="L8" s="14">
        <v>762</v>
      </c>
      <c r="M8" s="13"/>
      <c r="N8" s="14" t="s">
        <v>45</v>
      </c>
    </row>
    <row r="9" spans="1:18" s="20" customFormat="1" ht="15.75" thickBot="1">
      <c r="A9" s="10" t="s">
        <v>365</v>
      </c>
      <c r="B9" s="15" t="s">
        <v>6</v>
      </c>
      <c r="C9" s="13">
        <v>487</v>
      </c>
      <c r="D9" s="13">
        <v>499</v>
      </c>
      <c r="E9" s="13">
        <v>502</v>
      </c>
      <c r="F9" s="13">
        <v>519</v>
      </c>
      <c r="G9" s="13">
        <v>522</v>
      </c>
      <c r="H9" s="13">
        <v>524</v>
      </c>
      <c r="I9" s="13">
        <v>526</v>
      </c>
      <c r="J9" s="13">
        <v>526</v>
      </c>
      <c r="K9" s="13">
        <v>537</v>
      </c>
      <c r="L9" s="13">
        <v>663</v>
      </c>
      <c r="M9" s="14">
        <v>754</v>
      </c>
      <c r="N9" s="14" t="s">
        <v>495</v>
      </c>
    </row>
    <row r="10" spans="1:18" s="20" customFormat="1" ht="15.75" thickBot="1">
      <c r="A10" s="10" t="s">
        <v>366</v>
      </c>
      <c r="B10" s="11" t="s">
        <v>4</v>
      </c>
      <c r="C10" s="13">
        <v>483</v>
      </c>
      <c r="D10" s="13">
        <v>483</v>
      </c>
      <c r="E10" s="13">
        <v>494</v>
      </c>
      <c r="F10" s="13">
        <v>509</v>
      </c>
      <c r="G10" s="13">
        <v>509</v>
      </c>
      <c r="H10" s="13">
        <v>522</v>
      </c>
      <c r="I10" s="14">
        <v>800</v>
      </c>
      <c r="J10" s="13"/>
      <c r="K10" s="13"/>
      <c r="L10" s="13"/>
      <c r="M10" s="13"/>
      <c r="N10" s="14" t="s">
        <v>43</v>
      </c>
    </row>
    <row r="11" spans="1:18" s="20" customFormat="1" ht="15.75" thickBot="1">
      <c r="A11" s="17" t="s">
        <v>367</v>
      </c>
      <c r="B11" s="18" t="s">
        <v>4</v>
      </c>
      <c r="C11" s="13">
        <v>430</v>
      </c>
      <c r="D11" s="13">
        <v>431</v>
      </c>
      <c r="E11" s="13">
        <v>433</v>
      </c>
      <c r="F11" s="13">
        <v>438</v>
      </c>
      <c r="G11" s="13">
        <v>451</v>
      </c>
      <c r="H11" s="13">
        <v>499</v>
      </c>
      <c r="I11" s="13">
        <v>506</v>
      </c>
      <c r="J11" s="13">
        <v>509</v>
      </c>
      <c r="K11" s="13">
        <v>513</v>
      </c>
      <c r="L11" s="13">
        <v>523</v>
      </c>
      <c r="M11" s="13">
        <v>525</v>
      </c>
      <c r="N11" s="14"/>
    </row>
    <row r="12" spans="1:18" s="20" customFormat="1" ht="15.75" thickBot="1">
      <c r="A12" s="17" t="s">
        <v>368</v>
      </c>
      <c r="B12" s="19" t="s">
        <v>6</v>
      </c>
      <c r="C12" s="13">
        <v>396</v>
      </c>
      <c r="D12" s="13">
        <v>407</v>
      </c>
      <c r="E12" s="13">
        <v>410</v>
      </c>
      <c r="F12" s="13">
        <v>412</v>
      </c>
      <c r="G12" s="13">
        <v>412</v>
      </c>
      <c r="H12" s="13">
        <v>415</v>
      </c>
      <c r="I12" s="13">
        <v>420</v>
      </c>
      <c r="J12" s="13">
        <v>420</v>
      </c>
      <c r="K12" s="13" t="s">
        <v>17</v>
      </c>
    </row>
    <row r="13" spans="1:18" s="20" customFormat="1" ht="15.75" thickBot="1">
      <c r="A13" s="17" t="s">
        <v>369</v>
      </c>
      <c r="B13" s="19" t="s">
        <v>6</v>
      </c>
      <c r="C13" s="13">
        <v>388</v>
      </c>
      <c r="D13" s="13">
        <v>390</v>
      </c>
      <c r="E13" s="13">
        <v>392</v>
      </c>
      <c r="F13" s="13">
        <v>447</v>
      </c>
      <c r="G13" s="13">
        <v>458</v>
      </c>
      <c r="H13" s="13">
        <v>460</v>
      </c>
      <c r="I13" s="13">
        <v>462</v>
      </c>
      <c r="J13" s="13">
        <v>462</v>
      </c>
      <c r="K13" s="13">
        <v>469</v>
      </c>
      <c r="L13" s="13" t="s">
        <v>17</v>
      </c>
    </row>
    <row r="14" spans="1:18" s="20" customFormat="1" ht="15.75" thickBot="1">
      <c r="A14" s="10" t="s">
        <v>74</v>
      </c>
      <c r="B14" s="15" t="s">
        <v>6</v>
      </c>
      <c r="C14" s="13">
        <v>365</v>
      </c>
      <c r="D14" s="13">
        <v>421</v>
      </c>
      <c r="E14" s="13">
        <v>430</v>
      </c>
      <c r="F14" s="13">
        <v>500</v>
      </c>
      <c r="G14" s="13">
        <v>504</v>
      </c>
      <c r="H14" s="13">
        <v>538</v>
      </c>
      <c r="I14" s="13">
        <v>538</v>
      </c>
      <c r="J14" s="13">
        <v>538</v>
      </c>
      <c r="K14" s="13">
        <v>696</v>
      </c>
      <c r="L14" s="14">
        <v>760</v>
      </c>
      <c r="M14" s="13"/>
      <c r="N14" s="14" t="s">
        <v>494</v>
      </c>
    </row>
    <row r="15" spans="1:18" s="20" customFormat="1" ht="15.75" thickBot="1">
      <c r="A15" s="17" t="s">
        <v>463</v>
      </c>
      <c r="B15" s="18" t="s">
        <v>4</v>
      </c>
      <c r="C15" s="13">
        <v>354</v>
      </c>
      <c r="D15" s="13">
        <v>354</v>
      </c>
      <c r="E15" s="13">
        <v>365</v>
      </c>
      <c r="F15" s="13">
        <v>368</v>
      </c>
      <c r="G15" s="13">
        <v>369</v>
      </c>
      <c r="H15" s="13">
        <v>399</v>
      </c>
      <c r="I15" s="13" t="s">
        <v>17</v>
      </c>
    </row>
    <row r="16" spans="1:18" s="20" customFormat="1" ht="15.75" thickBot="1">
      <c r="A16" s="17" t="s">
        <v>370</v>
      </c>
      <c r="B16" s="18" t="s">
        <v>4</v>
      </c>
      <c r="C16" s="13">
        <v>260</v>
      </c>
      <c r="D16" s="13">
        <v>262</v>
      </c>
      <c r="E16" s="13">
        <v>293</v>
      </c>
      <c r="F16" s="13">
        <v>294</v>
      </c>
      <c r="G16" s="13">
        <v>298</v>
      </c>
      <c r="H16" s="13" t="s">
        <v>17</v>
      </c>
    </row>
    <row r="17" spans="1:15" s="20" customFormat="1" ht="15.75" thickBot="1">
      <c r="A17" s="17" t="s">
        <v>371</v>
      </c>
      <c r="B17" s="18" t="s">
        <v>4</v>
      </c>
      <c r="C17" s="13">
        <v>217</v>
      </c>
      <c r="D17" s="13">
        <v>217</v>
      </c>
      <c r="E17" s="13">
        <v>217</v>
      </c>
      <c r="F17" s="13">
        <v>220</v>
      </c>
      <c r="G17" s="13" t="s">
        <v>17</v>
      </c>
    </row>
    <row r="18" spans="1:15" s="20" customFormat="1" ht="15.75" thickBot="1">
      <c r="A18" s="17" t="s">
        <v>372</v>
      </c>
      <c r="B18" s="19" t="s">
        <v>6</v>
      </c>
      <c r="C18" s="13">
        <v>203</v>
      </c>
      <c r="D18" s="13">
        <v>207</v>
      </c>
      <c r="E18" s="13">
        <v>210</v>
      </c>
      <c r="F18" s="13" t="s">
        <v>17</v>
      </c>
    </row>
    <row r="19" spans="1:15" s="20" customFormat="1" ht="15.75" thickBot="1">
      <c r="A19" s="17" t="s">
        <v>373</v>
      </c>
      <c r="B19" s="18" t="s">
        <v>4</v>
      </c>
      <c r="C19" s="13">
        <v>119</v>
      </c>
      <c r="D19" s="13">
        <v>120</v>
      </c>
      <c r="E19" s="13" t="s">
        <v>17</v>
      </c>
    </row>
    <row r="21" spans="1:15" ht="14.25">
      <c r="A21" s="6" t="s">
        <v>469</v>
      </c>
      <c r="B21" s="20"/>
      <c r="C21" s="20"/>
      <c r="D21" s="20"/>
      <c r="E21" s="20"/>
      <c r="F21" s="20"/>
      <c r="G21" s="20"/>
      <c r="H21" s="20"/>
    </row>
    <row r="22" spans="1:15" ht="10.5" customHeight="1" thickBot="1">
      <c r="A22" s="6"/>
      <c r="B22" s="20"/>
      <c r="C22" s="20"/>
      <c r="D22" s="20"/>
      <c r="E22" s="20"/>
      <c r="F22" s="20"/>
      <c r="G22" s="20"/>
      <c r="H22" s="20"/>
    </row>
    <row r="23" spans="1:15" ht="15.75" thickBot="1">
      <c r="A23" s="8" t="s">
        <v>0</v>
      </c>
      <c r="B23" s="9" t="s">
        <v>1</v>
      </c>
      <c r="C23" s="9" t="s">
        <v>2</v>
      </c>
      <c r="D23" s="9">
        <v>2</v>
      </c>
      <c r="E23" s="9">
        <v>3</v>
      </c>
      <c r="F23" s="9">
        <v>4</v>
      </c>
      <c r="G23" s="9">
        <v>5</v>
      </c>
      <c r="H23" s="9">
        <v>6</v>
      </c>
      <c r="I23" s="9">
        <v>7</v>
      </c>
      <c r="J23" s="9">
        <v>8</v>
      </c>
      <c r="K23" s="9"/>
      <c r="L23" s="41"/>
      <c r="M23" s="42" t="s">
        <v>63</v>
      </c>
      <c r="N23" s="42" t="s">
        <v>64</v>
      </c>
      <c r="O23" s="42" t="s">
        <v>65</v>
      </c>
    </row>
    <row r="24" spans="1:15" ht="15.75" thickBot="1">
      <c r="A24" s="10" t="s">
        <v>374</v>
      </c>
      <c r="B24" s="15" t="s">
        <v>6</v>
      </c>
      <c r="C24" s="14">
        <v>545</v>
      </c>
      <c r="D24" s="13"/>
      <c r="E24" s="13"/>
      <c r="F24" s="13"/>
      <c r="G24" s="13"/>
      <c r="H24" s="14"/>
      <c r="I24" s="14"/>
      <c r="J24" s="13"/>
      <c r="K24" s="14" t="s">
        <v>41</v>
      </c>
      <c r="L24" s="43" t="s">
        <v>4</v>
      </c>
      <c r="M24" s="44">
        <f>SUM(C26+C28+C29+C32)</f>
        <v>1384</v>
      </c>
      <c r="N24" s="46">
        <f>SUM(M24/M27)</f>
        <v>0.37044967880085655</v>
      </c>
      <c r="O24" s="41">
        <v>2</v>
      </c>
    </row>
    <row r="25" spans="1:15" ht="15.75" thickBot="1">
      <c r="A25" s="10" t="s">
        <v>375</v>
      </c>
      <c r="B25" s="15" t="s">
        <v>6</v>
      </c>
      <c r="C25" s="13">
        <v>437</v>
      </c>
      <c r="D25" s="13">
        <v>439</v>
      </c>
      <c r="E25" s="13">
        <v>445</v>
      </c>
      <c r="F25" s="13">
        <v>447</v>
      </c>
      <c r="G25" s="13">
        <v>450</v>
      </c>
      <c r="H25" s="13">
        <v>452</v>
      </c>
      <c r="I25" s="13">
        <v>479</v>
      </c>
      <c r="J25" s="14">
        <v>574</v>
      </c>
      <c r="K25" s="14" t="s">
        <v>44</v>
      </c>
      <c r="L25" s="45" t="s">
        <v>6</v>
      </c>
      <c r="M25" s="44">
        <f>SUM(C24+C25+C27+C30+C31+C33)</f>
        <v>2230</v>
      </c>
      <c r="N25" s="46">
        <f>SUM(M25/M27)</f>
        <v>0.59689507494646676</v>
      </c>
      <c r="O25" s="41">
        <v>4</v>
      </c>
    </row>
    <row r="26" spans="1:15" ht="16.5" customHeight="1" thickBot="1">
      <c r="A26" s="10" t="s">
        <v>376</v>
      </c>
      <c r="B26" s="11" t="s">
        <v>4</v>
      </c>
      <c r="C26" s="13">
        <v>434</v>
      </c>
      <c r="D26" s="13">
        <v>479</v>
      </c>
      <c r="E26" s="13">
        <v>483</v>
      </c>
      <c r="F26" s="14">
        <v>648</v>
      </c>
      <c r="G26" s="14"/>
      <c r="H26" s="14"/>
      <c r="I26" s="14"/>
      <c r="J26" s="13"/>
      <c r="K26" s="14" t="s">
        <v>42</v>
      </c>
      <c r="L26" s="68" t="s">
        <v>67</v>
      </c>
      <c r="M26" s="67">
        <v>122</v>
      </c>
      <c r="N26" s="40">
        <f>SUM(M26/M27)</f>
        <v>3.2655246252676656E-2</v>
      </c>
      <c r="O26" s="20"/>
    </row>
    <row r="27" spans="1:15" ht="15.75" thickBot="1">
      <c r="A27" s="10" t="s">
        <v>377</v>
      </c>
      <c r="B27" s="15" t="s">
        <v>6</v>
      </c>
      <c r="C27" s="13">
        <v>418</v>
      </c>
      <c r="D27" s="13">
        <v>418</v>
      </c>
      <c r="E27" s="13">
        <v>421</v>
      </c>
      <c r="F27" s="13">
        <v>424</v>
      </c>
      <c r="G27" s="13">
        <v>426</v>
      </c>
      <c r="H27" s="13">
        <v>430</v>
      </c>
      <c r="I27" s="13">
        <v>483</v>
      </c>
      <c r="J27" s="14">
        <v>547</v>
      </c>
      <c r="K27" s="14" t="s">
        <v>45</v>
      </c>
      <c r="L27" s="20"/>
      <c r="M27" s="72">
        <v>3736</v>
      </c>
      <c r="N27" s="20"/>
      <c r="O27" s="20"/>
    </row>
    <row r="28" spans="1:15" ht="15.75" thickBot="1">
      <c r="A28" s="10" t="s">
        <v>378</v>
      </c>
      <c r="B28" s="11" t="s">
        <v>4</v>
      </c>
      <c r="C28" s="13">
        <v>399</v>
      </c>
      <c r="D28" s="13">
        <v>409</v>
      </c>
      <c r="E28" s="13">
        <v>411</v>
      </c>
      <c r="F28" s="13">
        <v>416</v>
      </c>
      <c r="G28" s="13">
        <v>416</v>
      </c>
      <c r="H28" s="13">
        <v>507</v>
      </c>
      <c r="I28" s="13">
        <v>516</v>
      </c>
      <c r="J28" s="14">
        <v>519</v>
      </c>
      <c r="K28" s="14" t="s">
        <v>494</v>
      </c>
    </row>
    <row r="29" spans="1:15" ht="15.75" thickBot="1">
      <c r="A29" s="17" t="s">
        <v>379</v>
      </c>
      <c r="B29" s="18" t="s">
        <v>4</v>
      </c>
      <c r="C29" s="13">
        <v>362</v>
      </c>
      <c r="D29" s="13">
        <v>381</v>
      </c>
      <c r="E29" s="13">
        <v>383</v>
      </c>
      <c r="F29" s="13">
        <v>390</v>
      </c>
      <c r="G29" s="13">
        <v>390</v>
      </c>
      <c r="H29" s="13">
        <v>402</v>
      </c>
      <c r="I29" s="13">
        <v>411</v>
      </c>
      <c r="J29" s="13">
        <v>418</v>
      </c>
      <c r="K29" s="14"/>
    </row>
    <row r="30" spans="1:15" ht="15.75" thickBot="1">
      <c r="A30" s="17" t="s">
        <v>380</v>
      </c>
      <c r="B30" s="19" t="s">
        <v>6</v>
      </c>
      <c r="C30" s="13">
        <v>353</v>
      </c>
      <c r="D30" s="13">
        <v>363</v>
      </c>
      <c r="E30" s="13">
        <v>381</v>
      </c>
      <c r="F30" s="13">
        <v>384</v>
      </c>
      <c r="G30" s="13">
        <v>387</v>
      </c>
      <c r="H30" s="13">
        <v>390</v>
      </c>
      <c r="I30" s="13" t="s">
        <v>17</v>
      </c>
    </row>
    <row r="31" spans="1:15" ht="15.75" thickBot="1">
      <c r="A31" s="10" t="s">
        <v>381</v>
      </c>
      <c r="B31" s="15" t="s">
        <v>6</v>
      </c>
      <c r="C31" s="13">
        <v>303</v>
      </c>
      <c r="D31" s="13">
        <v>315</v>
      </c>
      <c r="E31" s="13">
        <v>450</v>
      </c>
      <c r="F31" s="13">
        <v>459</v>
      </c>
      <c r="G31" s="13">
        <v>462</v>
      </c>
      <c r="H31" s="13">
        <v>464</v>
      </c>
      <c r="I31" s="14">
        <v>703</v>
      </c>
      <c r="J31" s="13"/>
      <c r="K31" s="14" t="s">
        <v>43</v>
      </c>
    </row>
    <row r="32" spans="1:15" ht="15.75" thickBot="1">
      <c r="A32" s="17" t="s">
        <v>382</v>
      </c>
      <c r="B32" s="18" t="s">
        <v>4</v>
      </c>
      <c r="C32" s="13">
        <v>189</v>
      </c>
      <c r="D32" s="13">
        <v>200</v>
      </c>
      <c r="E32" s="13">
        <v>205</v>
      </c>
      <c r="F32" s="13" t="s">
        <v>17</v>
      </c>
    </row>
    <row r="33" spans="1:13" ht="15.75" thickBot="1">
      <c r="A33" s="17" t="s">
        <v>383</v>
      </c>
      <c r="B33" s="19" t="s">
        <v>6</v>
      </c>
      <c r="C33" s="13">
        <v>174</v>
      </c>
      <c r="D33" s="13">
        <v>178</v>
      </c>
      <c r="E33" s="13" t="s">
        <v>17</v>
      </c>
    </row>
    <row r="34" spans="1:13" ht="15.75" thickBot="1">
      <c r="A34" s="17" t="s">
        <v>105</v>
      </c>
      <c r="B34" s="13" t="s">
        <v>10</v>
      </c>
      <c r="C34" s="13">
        <v>122</v>
      </c>
      <c r="D34" s="13" t="s">
        <v>17</v>
      </c>
    </row>
    <row r="36" spans="1:13" ht="14.25">
      <c r="A36" s="6" t="s">
        <v>470</v>
      </c>
      <c r="B36" s="20"/>
      <c r="C36" s="20"/>
      <c r="D36" s="20"/>
      <c r="E36" s="20"/>
      <c r="F36" s="20"/>
      <c r="G36" s="20"/>
      <c r="H36" s="20"/>
      <c r="I36" s="20"/>
    </row>
    <row r="37" spans="1:13" ht="10.5" customHeight="1" thickBot="1">
      <c r="A37" s="6"/>
      <c r="B37" s="20"/>
      <c r="C37" s="20"/>
      <c r="D37" s="20"/>
      <c r="E37" s="20"/>
      <c r="F37" s="20"/>
      <c r="G37" s="20"/>
      <c r="H37" s="20"/>
      <c r="I37" s="20"/>
    </row>
    <row r="38" spans="1:13" ht="15.75" thickBot="1">
      <c r="A38" s="8" t="s">
        <v>0</v>
      </c>
      <c r="B38" s="9" t="s">
        <v>1</v>
      </c>
      <c r="C38" s="9" t="s">
        <v>2</v>
      </c>
      <c r="D38" s="9">
        <v>2</v>
      </c>
      <c r="E38" s="9">
        <v>3</v>
      </c>
      <c r="F38" s="9">
        <v>4</v>
      </c>
      <c r="G38" s="9">
        <v>5</v>
      </c>
      <c r="H38" s="9">
        <v>6</v>
      </c>
      <c r="I38" s="9"/>
      <c r="J38" s="41"/>
      <c r="K38" s="42" t="s">
        <v>63</v>
      </c>
      <c r="L38" s="42" t="s">
        <v>64</v>
      </c>
      <c r="M38" s="42" t="s">
        <v>65</v>
      </c>
    </row>
    <row r="39" spans="1:13" ht="15.75" thickBot="1">
      <c r="A39" s="10" t="s">
        <v>384</v>
      </c>
      <c r="B39" s="15" t="s">
        <v>6</v>
      </c>
      <c r="C39" s="13">
        <v>533</v>
      </c>
      <c r="D39" s="14">
        <v>599</v>
      </c>
      <c r="E39" s="13"/>
      <c r="F39" s="13"/>
      <c r="G39" s="13"/>
      <c r="H39" s="14"/>
      <c r="I39" s="14" t="s">
        <v>41</v>
      </c>
      <c r="J39" s="43" t="s">
        <v>4</v>
      </c>
      <c r="K39" s="44">
        <f>SUM(C40+C42+C43+C47)</f>
        <v>1743</v>
      </c>
      <c r="L39" s="46">
        <f>SUM(K39/K42)</f>
        <v>0.41589119541875447</v>
      </c>
      <c r="M39" s="41">
        <v>2</v>
      </c>
    </row>
    <row r="40" spans="1:13" ht="15.75" thickBot="1">
      <c r="A40" s="17" t="s">
        <v>139</v>
      </c>
      <c r="B40" s="18" t="s">
        <v>4</v>
      </c>
      <c r="C40" s="13">
        <v>513</v>
      </c>
      <c r="D40" s="13">
        <v>524</v>
      </c>
      <c r="E40" s="13">
        <v>539</v>
      </c>
      <c r="F40" s="13">
        <v>544</v>
      </c>
      <c r="G40" s="13">
        <v>552</v>
      </c>
      <c r="H40" s="13">
        <v>553</v>
      </c>
      <c r="I40" s="14"/>
      <c r="J40" s="45" t="s">
        <v>6</v>
      </c>
      <c r="K40" s="44">
        <f>SUM(C39+C41+C44+C45+C46)</f>
        <v>2206</v>
      </c>
      <c r="L40" s="46">
        <f>SUM(K40/K42)</f>
        <v>0.52636602242901454</v>
      </c>
      <c r="M40" s="41">
        <v>4</v>
      </c>
    </row>
    <row r="41" spans="1:13" ht="15.75" thickBot="1">
      <c r="A41" s="10" t="s">
        <v>385</v>
      </c>
      <c r="B41" s="15" t="s">
        <v>6</v>
      </c>
      <c r="C41" s="13">
        <v>510</v>
      </c>
      <c r="D41" s="13">
        <v>512</v>
      </c>
      <c r="E41" s="13">
        <v>515</v>
      </c>
      <c r="F41" s="13">
        <v>515</v>
      </c>
      <c r="G41" s="13">
        <v>543</v>
      </c>
      <c r="H41" s="14">
        <v>566</v>
      </c>
      <c r="I41" s="14" t="s">
        <v>494</v>
      </c>
      <c r="J41" s="68" t="s">
        <v>67</v>
      </c>
      <c r="K41" s="67">
        <f>SUM(C48+C49)</f>
        <v>242</v>
      </c>
      <c r="L41" s="40">
        <f>SUM(K41/K42)</f>
        <v>5.774278215223097E-2</v>
      </c>
      <c r="M41" s="20"/>
    </row>
    <row r="42" spans="1:13" ht="15.75" thickBot="1">
      <c r="A42" s="10" t="s">
        <v>143</v>
      </c>
      <c r="B42" s="11" t="s">
        <v>4</v>
      </c>
      <c r="C42" s="13">
        <v>471</v>
      </c>
      <c r="D42" s="13">
        <v>551</v>
      </c>
      <c r="E42" s="14">
        <v>665</v>
      </c>
      <c r="F42" s="13"/>
      <c r="G42" s="13"/>
      <c r="H42" s="13"/>
      <c r="I42" s="14" t="s">
        <v>42</v>
      </c>
      <c r="J42" s="20"/>
      <c r="K42" s="72">
        <v>4191</v>
      </c>
      <c r="L42" s="20"/>
      <c r="M42" s="20"/>
    </row>
    <row r="43" spans="1:13" ht="15.75" thickBot="1">
      <c r="A43" s="10" t="s">
        <v>35</v>
      </c>
      <c r="B43" s="11" t="s">
        <v>4</v>
      </c>
      <c r="C43" s="13">
        <v>431</v>
      </c>
      <c r="D43" s="13">
        <v>437</v>
      </c>
      <c r="E43" s="13">
        <v>553</v>
      </c>
      <c r="F43" s="14">
        <v>607</v>
      </c>
      <c r="G43" s="13"/>
      <c r="H43" s="13"/>
      <c r="I43" s="14" t="s">
        <v>43</v>
      </c>
      <c r="L43" s="2"/>
    </row>
    <row r="44" spans="1:13" ht="15.75" thickBot="1">
      <c r="A44" s="10" t="s">
        <v>386</v>
      </c>
      <c r="B44" s="15" t="s">
        <v>6</v>
      </c>
      <c r="C44" s="13">
        <v>421</v>
      </c>
      <c r="D44" s="13">
        <v>428</v>
      </c>
      <c r="E44" s="13">
        <v>440</v>
      </c>
      <c r="F44" s="13">
        <v>441</v>
      </c>
      <c r="G44" s="13">
        <v>514</v>
      </c>
      <c r="H44" s="14">
        <v>580</v>
      </c>
      <c r="I44" s="14" t="s">
        <v>45</v>
      </c>
    </row>
    <row r="45" spans="1:13" ht="15.75" thickBot="1">
      <c r="A45" s="10" t="s">
        <v>387</v>
      </c>
      <c r="B45" s="15" t="s">
        <v>6</v>
      </c>
      <c r="C45" s="13">
        <v>379</v>
      </c>
      <c r="D45" s="13">
        <v>401</v>
      </c>
      <c r="E45" s="13">
        <v>444</v>
      </c>
      <c r="F45" s="13">
        <v>448</v>
      </c>
      <c r="G45" s="14">
        <v>689</v>
      </c>
      <c r="H45" s="13"/>
      <c r="I45" s="14" t="s">
        <v>44</v>
      </c>
    </row>
    <row r="46" spans="1:13" ht="15.75" thickBot="1">
      <c r="A46" s="17" t="s">
        <v>144</v>
      </c>
      <c r="B46" s="19" t="s">
        <v>6</v>
      </c>
      <c r="C46" s="13">
        <v>363</v>
      </c>
      <c r="D46" s="13">
        <v>384</v>
      </c>
      <c r="E46" s="13">
        <v>393</v>
      </c>
      <c r="F46" s="13">
        <v>425</v>
      </c>
      <c r="G46" s="13" t="s">
        <v>17</v>
      </c>
    </row>
    <row r="47" spans="1:13" ht="15.75" thickBot="1">
      <c r="A47" s="17" t="s">
        <v>388</v>
      </c>
      <c r="B47" s="18" t="s">
        <v>4</v>
      </c>
      <c r="C47" s="13">
        <v>328</v>
      </c>
      <c r="D47" s="13">
        <v>342</v>
      </c>
      <c r="E47" s="13" t="s">
        <v>17</v>
      </c>
    </row>
    <row r="48" spans="1:13" ht="15.75" thickBot="1">
      <c r="A48" s="17" t="s">
        <v>389</v>
      </c>
      <c r="B48" s="13" t="s">
        <v>10</v>
      </c>
      <c r="C48" s="13">
        <v>213</v>
      </c>
      <c r="D48" s="13" t="s">
        <v>17</v>
      </c>
    </row>
    <row r="49" spans="1:17" ht="15.75" thickBot="1">
      <c r="A49" s="17" t="s">
        <v>390</v>
      </c>
      <c r="B49" s="13" t="s">
        <v>10</v>
      </c>
      <c r="C49" s="13">
        <v>29</v>
      </c>
      <c r="D49" s="13" t="s">
        <v>17</v>
      </c>
    </row>
    <row r="51" spans="1:17" ht="14.25">
      <c r="A51" s="6" t="s">
        <v>471</v>
      </c>
      <c r="B51" s="20"/>
      <c r="C51" s="20"/>
      <c r="D51" s="20"/>
      <c r="E51" s="20"/>
      <c r="F51" s="20"/>
      <c r="G51" s="20"/>
      <c r="H51" s="20"/>
    </row>
    <row r="52" spans="1:17" ht="9" customHeight="1" thickBot="1">
      <c r="A52" s="6"/>
      <c r="B52" s="20"/>
      <c r="C52" s="20"/>
      <c r="D52" s="20"/>
      <c r="E52" s="20"/>
      <c r="F52" s="20"/>
      <c r="G52" s="20"/>
      <c r="H52" s="20"/>
    </row>
    <row r="53" spans="1:17" ht="15.75" thickBot="1">
      <c r="A53" s="8" t="s">
        <v>0</v>
      </c>
      <c r="B53" s="9" t="s">
        <v>1</v>
      </c>
      <c r="C53" s="9" t="s">
        <v>2</v>
      </c>
      <c r="D53" s="9">
        <v>2</v>
      </c>
      <c r="E53" s="9">
        <v>3</v>
      </c>
      <c r="F53" s="9">
        <v>4</v>
      </c>
      <c r="G53" s="9">
        <v>5</v>
      </c>
      <c r="H53" s="9">
        <v>6</v>
      </c>
      <c r="I53" s="9">
        <v>7</v>
      </c>
      <c r="J53" s="9">
        <v>8</v>
      </c>
      <c r="K53" s="9">
        <v>9</v>
      </c>
      <c r="L53" s="9">
        <v>10</v>
      </c>
      <c r="M53" s="9">
        <v>11</v>
      </c>
      <c r="N53" s="9">
        <v>12</v>
      </c>
      <c r="O53" s="9">
        <v>13</v>
      </c>
      <c r="P53" s="9">
        <v>14</v>
      </c>
      <c r="Q53" s="9"/>
    </row>
    <row r="54" spans="1:17" ht="15.75" thickBot="1">
      <c r="A54" s="10" t="s">
        <v>46</v>
      </c>
      <c r="B54" s="11" t="s">
        <v>4</v>
      </c>
      <c r="C54" s="14">
        <v>707</v>
      </c>
      <c r="D54" s="13"/>
      <c r="E54" s="14"/>
      <c r="F54" s="13"/>
      <c r="G54" s="13"/>
      <c r="H54" s="13"/>
      <c r="I54" s="14"/>
      <c r="J54" s="13"/>
      <c r="K54" s="14"/>
      <c r="L54" s="13"/>
      <c r="M54" s="13"/>
      <c r="N54" s="13"/>
      <c r="O54" s="14"/>
      <c r="P54" s="13"/>
      <c r="Q54" s="14" t="s">
        <v>41</v>
      </c>
    </row>
    <row r="55" spans="1:17" ht="15.75" thickBot="1">
      <c r="A55" s="10" t="s">
        <v>391</v>
      </c>
      <c r="B55" s="15" t="s">
        <v>6</v>
      </c>
      <c r="C55" s="14">
        <v>640</v>
      </c>
      <c r="D55" s="13"/>
      <c r="E55" s="13"/>
      <c r="F55" s="14"/>
      <c r="G55" s="13"/>
      <c r="H55" s="13"/>
      <c r="I55" s="14"/>
      <c r="J55" s="13"/>
      <c r="K55" s="13"/>
      <c r="L55" s="14"/>
      <c r="M55" s="13"/>
      <c r="N55" s="13"/>
      <c r="O55" s="14"/>
      <c r="P55" s="13"/>
      <c r="Q55" s="14" t="s">
        <v>42</v>
      </c>
    </row>
    <row r="56" spans="1:17" ht="15.75" thickBot="1">
      <c r="A56" s="10" t="s">
        <v>392</v>
      </c>
      <c r="B56" s="15" t="s">
        <v>6</v>
      </c>
      <c r="C56" s="14">
        <v>635</v>
      </c>
      <c r="D56" s="13"/>
      <c r="E56" s="13"/>
      <c r="F56" s="13"/>
      <c r="G56" s="13"/>
      <c r="H56" s="14"/>
      <c r="I56" s="14"/>
      <c r="J56" s="13"/>
      <c r="K56" s="13"/>
      <c r="L56" s="13"/>
      <c r="M56" s="13"/>
      <c r="N56" s="14"/>
      <c r="O56" s="14"/>
      <c r="P56" s="13"/>
      <c r="Q56" s="14" t="s">
        <v>43</v>
      </c>
    </row>
    <row r="57" spans="1:17" ht="15.75" thickBot="1">
      <c r="A57" s="10" t="s">
        <v>426</v>
      </c>
      <c r="B57" s="15" t="s">
        <v>6</v>
      </c>
      <c r="C57" s="13">
        <v>537</v>
      </c>
      <c r="D57" s="13">
        <v>541</v>
      </c>
      <c r="E57" s="13">
        <v>547</v>
      </c>
      <c r="F57" s="13">
        <v>552</v>
      </c>
      <c r="G57" s="13">
        <v>595</v>
      </c>
      <c r="H57" s="13">
        <v>597</v>
      </c>
      <c r="I57" s="14">
        <v>639</v>
      </c>
      <c r="J57" s="13"/>
      <c r="K57" s="13"/>
      <c r="L57" s="13"/>
      <c r="M57" s="13"/>
      <c r="N57" s="13"/>
      <c r="O57" s="14"/>
      <c r="P57" s="13"/>
      <c r="Q57" s="14" t="s">
        <v>44</v>
      </c>
    </row>
    <row r="58" spans="1:17" ht="15.75" thickBot="1">
      <c r="A58" s="10" t="s">
        <v>393</v>
      </c>
      <c r="B58" s="15" t="s">
        <v>6</v>
      </c>
      <c r="C58" s="13">
        <v>509</v>
      </c>
      <c r="D58" s="13">
        <v>513</v>
      </c>
      <c r="E58" s="13">
        <v>516</v>
      </c>
      <c r="F58" s="13">
        <v>517</v>
      </c>
      <c r="G58" s="13">
        <v>538</v>
      </c>
      <c r="H58" s="13">
        <v>539</v>
      </c>
      <c r="I58" s="13">
        <v>540</v>
      </c>
      <c r="J58" s="13">
        <v>548</v>
      </c>
      <c r="K58" s="13">
        <v>552</v>
      </c>
      <c r="L58" s="14">
        <v>639</v>
      </c>
      <c r="M58" s="13"/>
      <c r="N58" s="13"/>
      <c r="O58" s="14"/>
      <c r="P58" s="13"/>
      <c r="Q58" s="14" t="s">
        <v>494</v>
      </c>
    </row>
    <row r="59" spans="1:17" ht="15.75" customHeight="1" thickBot="1">
      <c r="A59" s="10" t="s">
        <v>92</v>
      </c>
      <c r="B59" s="15" t="s">
        <v>6</v>
      </c>
      <c r="C59" s="13">
        <v>491</v>
      </c>
      <c r="D59" s="13">
        <v>492</v>
      </c>
      <c r="E59" s="13">
        <v>492</v>
      </c>
      <c r="F59" s="13">
        <v>499</v>
      </c>
      <c r="G59" s="13">
        <v>508</v>
      </c>
      <c r="H59" s="13">
        <v>509</v>
      </c>
      <c r="I59" s="13">
        <v>524</v>
      </c>
      <c r="J59" s="13">
        <v>534</v>
      </c>
      <c r="K59" s="13">
        <v>549</v>
      </c>
      <c r="L59" s="14">
        <v>656</v>
      </c>
      <c r="M59" s="13"/>
      <c r="N59" s="13"/>
      <c r="O59" s="14"/>
      <c r="P59" s="13"/>
      <c r="Q59" s="14" t="s">
        <v>45</v>
      </c>
    </row>
    <row r="60" spans="1:17" ht="15.75" thickBot="1">
      <c r="A60" s="10" t="s">
        <v>91</v>
      </c>
      <c r="B60" s="11" t="s">
        <v>4</v>
      </c>
      <c r="C60" s="13">
        <v>395</v>
      </c>
      <c r="D60" s="13">
        <v>397</v>
      </c>
      <c r="E60" s="13">
        <v>399</v>
      </c>
      <c r="F60" s="13">
        <v>415</v>
      </c>
      <c r="G60" s="13">
        <v>416</v>
      </c>
      <c r="H60" s="13">
        <v>416</v>
      </c>
      <c r="I60" s="13">
        <v>426</v>
      </c>
      <c r="J60" s="13">
        <v>447</v>
      </c>
      <c r="K60" s="13">
        <v>510</v>
      </c>
      <c r="L60" s="13">
        <v>519</v>
      </c>
      <c r="M60" s="13">
        <v>623</v>
      </c>
      <c r="N60" s="13">
        <v>626</v>
      </c>
      <c r="O60" s="13">
        <v>627</v>
      </c>
      <c r="P60" s="14">
        <v>627</v>
      </c>
      <c r="Q60" s="14" t="s">
        <v>495</v>
      </c>
    </row>
    <row r="61" spans="1:17" ht="15.75" thickBot="1">
      <c r="A61" s="10" t="s">
        <v>453</v>
      </c>
      <c r="B61" s="14" t="s">
        <v>10</v>
      </c>
      <c r="C61" s="13">
        <v>389</v>
      </c>
      <c r="D61" s="13">
        <v>394</v>
      </c>
      <c r="E61" s="13">
        <v>399</v>
      </c>
      <c r="F61" s="13">
        <v>408</v>
      </c>
      <c r="G61" s="13">
        <v>408</v>
      </c>
      <c r="H61" s="13">
        <v>408</v>
      </c>
      <c r="I61" s="13">
        <v>426</v>
      </c>
      <c r="J61" s="13">
        <v>436</v>
      </c>
      <c r="K61" s="13">
        <v>470</v>
      </c>
      <c r="L61" s="13">
        <v>470</v>
      </c>
      <c r="M61" s="13">
        <v>504</v>
      </c>
      <c r="N61" s="13">
        <v>504</v>
      </c>
      <c r="O61" s="13">
        <v>505</v>
      </c>
      <c r="P61" s="14">
        <v>505</v>
      </c>
      <c r="Q61" s="14" t="s">
        <v>496</v>
      </c>
    </row>
    <row r="62" spans="1:17" ht="15.75" thickBot="1">
      <c r="A62" s="17" t="s">
        <v>461</v>
      </c>
      <c r="B62" s="13" t="s">
        <v>10</v>
      </c>
      <c r="C62" s="13">
        <v>331</v>
      </c>
      <c r="D62" s="13">
        <v>339</v>
      </c>
      <c r="E62" s="13">
        <v>340</v>
      </c>
      <c r="F62" s="13">
        <v>342</v>
      </c>
      <c r="G62" s="13">
        <v>342</v>
      </c>
      <c r="H62" s="13">
        <v>342</v>
      </c>
      <c r="I62" s="13">
        <v>362</v>
      </c>
      <c r="J62" s="13">
        <v>381</v>
      </c>
      <c r="K62" s="13">
        <v>409</v>
      </c>
      <c r="L62" s="13">
        <v>416</v>
      </c>
      <c r="M62" s="13">
        <v>492</v>
      </c>
      <c r="N62" s="13">
        <v>499</v>
      </c>
      <c r="O62" s="13">
        <v>501</v>
      </c>
      <c r="P62" s="13">
        <v>502</v>
      </c>
      <c r="Q62" s="13"/>
    </row>
    <row r="63" spans="1:17" ht="15.75" thickBot="1">
      <c r="A63" s="17" t="s">
        <v>146</v>
      </c>
      <c r="B63" s="18" t="s">
        <v>4</v>
      </c>
      <c r="C63" s="13">
        <v>216</v>
      </c>
      <c r="D63" s="13">
        <v>254</v>
      </c>
      <c r="E63" s="13">
        <v>255</v>
      </c>
      <c r="F63" s="13">
        <v>257</v>
      </c>
      <c r="G63" s="13">
        <v>257</v>
      </c>
      <c r="H63" s="13">
        <v>257</v>
      </c>
      <c r="I63" s="13">
        <v>260</v>
      </c>
      <c r="J63" s="13">
        <v>296</v>
      </c>
      <c r="K63" s="13">
        <v>316</v>
      </c>
      <c r="L63" s="13">
        <v>323</v>
      </c>
      <c r="M63" s="13" t="s">
        <v>17</v>
      </c>
    </row>
    <row r="64" spans="1:17" ht="15.75" thickBot="1">
      <c r="A64" s="17" t="s">
        <v>149</v>
      </c>
      <c r="B64" s="19" t="s">
        <v>6</v>
      </c>
      <c r="C64" s="13">
        <v>213</v>
      </c>
      <c r="D64" s="13">
        <v>214</v>
      </c>
      <c r="E64" s="13">
        <v>214</v>
      </c>
      <c r="F64" s="13">
        <v>214</v>
      </c>
      <c r="G64" s="13">
        <v>223</v>
      </c>
      <c r="H64" s="13">
        <v>224</v>
      </c>
      <c r="I64" s="13">
        <v>226</v>
      </c>
      <c r="J64" s="13">
        <v>228</v>
      </c>
      <c r="K64" s="13">
        <v>231</v>
      </c>
      <c r="L64" s="13" t="s">
        <v>17</v>
      </c>
    </row>
    <row r="65" spans="1:15" ht="15.75" thickBot="1">
      <c r="A65" s="17" t="s">
        <v>113</v>
      </c>
      <c r="B65" s="18" t="s">
        <v>4</v>
      </c>
      <c r="C65" s="13">
        <v>172</v>
      </c>
      <c r="D65" s="13">
        <v>174</v>
      </c>
      <c r="E65" s="13">
        <v>178</v>
      </c>
      <c r="F65" s="13">
        <v>203</v>
      </c>
      <c r="G65" s="13">
        <v>208</v>
      </c>
      <c r="H65" s="13">
        <v>208</v>
      </c>
      <c r="I65" s="13">
        <v>212</v>
      </c>
      <c r="J65" s="13">
        <v>217</v>
      </c>
      <c r="K65" s="13" t="s">
        <v>17</v>
      </c>
    </row>
    <row r="66" spans="1:15" ht="15.75" thickBot="1">
      <c r="A66" s="17" t="s">
        <v>226</v>
      </c>
      <c r="B66" s="22" t="s">
        <v>60</v>
      </c>
      <c r="C66" s="13">
        <v>126</v>
      </c>
      <c r="D66" s="13">
        <v>126</v>
      </c>
      <c r="E66" s="13">
        <v>126</v>
      </c>
      <c r="F66" s="13">
        <v>127</v>
      </c>
      <c r="G66" s="13">
        <v>136</v>
      </c>
      <c r="H66" s="13">
        <v>136</v>
      </c>
      <c r="I66" s="13" t="s">
        <v>17</v>
      </c>
      <c r="L66" s="41"/>
      <c r="M66" s="42" t="s">
        <v>63</v>
      </c>
      <c r="N66" s="42" t="s">
        <v>64</v>
      </c>
      <c r="O66" s="42" t="s">
        <v>65</v>
      </c>
    </row>
    <row r="67" spans="1:15" ht="15.75" thickBot="1">
      <c r="A67" s="17" t="s">
        <v>118</v>
      </c>
      <c r="B67" s="13" t="s">
        <v>10</v>
      </c>
      <c r="C67" s="13">
        <v>126</v>
      </c>
      <c r="D67" s="13">
        <v>131</v>
      </c>
      <c r="E67" s="13">
        <v>131</v>
      </c>
      <c r="F67" s="13">
        <v>137</v>
      </c>
      <c r="G67" s="13">
        <v>137</v>
      </c>
      <c r="H67" s="13">
        <v>137</v>
      </c>
      <c r="I67" s="13">
        <v>138</v>
      </c>
      <c r="J67" s="13" t="s">
        <v>17</v>
      </c>
      <c r="L67" s="43" t="s">
        <v>4</v>
      </c>
      <c r="M67" s="44">
        <f>SUM(C54+C60+C63+C65+C69)</f>
        <v>1570</v>
      </c>
      <c r="N67" s="46">
        <f>SUM(M67/$M$71)</f>
        <v>0.27519719544259419</v>
      </c>
      <c r="O67" s="41">
        <v>2</v>
      </c>
    </row>
    <row r="68" spans="1:15" ht="15.75" thickBot="1">
      <c r="A68" s="17" t="s">
        <v>395</v>
      </c>
      <c r="B68" s="19" t="s">
        <v>6</v>
      </c>
      <c r="C68" s="13">
        <v>113</v>
      </c>
      <c r="D68" s="13">
        <v>113</v>
      </c>
      <c r="E68" s="13">
        <v>113</v>
      </c>
      <c r="F68" s="13">
        <v>114</v>
      </c>
      <c r="G68" s="13" t="s">
        <v>17</v>
      </c>
      <c r="L68" s="45" t="s">
        <v>6</v>
      </c>
      <c r="M68" s="44">
        <f>SUM(C55+C56+C57+C58+C59+C64+C68)</f>
        <v>3138</v>
      </c>
      <c r="N68" s="46">
        <f>SUM(M68/$M$71)</f>
        <v>0.55004382120946538</v>
      </c>
      <c r="O68" s="41">
        <v>5</v>
      </c>
    </row>
    <row r="69" spans="1:15" ht="15.75" thickBot="1">
      <c r="A69" s="17" t="s">
        <v>98</v>
      </c>
      <c r="B69" s="18" t="s">
        <v>4</v>
      </c>
      <c r="C69" s="13">
        <v>80</v>
      </c>
      <c r="D69" s="13">
        <v>82</v>
      </c>
      <c r="E69" s="13">
        <v>84</v>
      </c>
      <c r="F69" s="13" t="s">
        <v>17</v>
      </c>
      <c r="L69" s="66" t="s">
        <v>60</v>
      </c>
      <c r="M69" s="44">
        <v>126</v>
      </c>
      <c r="N69" s="46">
        <f>SUM(M69/$M$71)</f>
        <v>2.2085889570552148E-2</v>
      </c>
      <c r="O69" s="41"/>
    </row>
    <row r="70" spans="1:15" ht="15.75" thickBot="1">
      <c r="A70" s="17" t="s">
        <v>396</v>
      </c>
      <c r="B70" s="13" t="s">
        <v>10</v>
      </c>
      <c r="C70" s="13">
        <v>25</v>
      </c>
      <c r="D70" s="13">
        <v>25</v>
      </c>
      <c r="E70" s="13" t="s">
        <v>17</v>
      </c>
      <c r="L70" s="68" t="s">
        <v>67</v>
      </c>
      <c r="M70" s="44">
        <f>SUM(C70+C67+C62+C61)</f>
        <v>871</v>
      </c>
      <c r="N70" s="46">
        <f>SUM(M70/$M$71)</f>
        <v>0.15267309377738825</v>
      </c>
      <c r="O70" s="41">
        <v>1</v>
      </c>
    </row>
    <row r="71" spans="1:15" ht="15">
      <c r="L71" s="42"/>
      <c r="M71" s="72">
        <v>5705</v>
      </c>
      <c r="N71" s="40"/>
      <c r="O71" s="20"/>
    </row>
    <row r="72" spans="1:15" ht="14.25">
      <c r="B72" s="27" t="s">
        <v>66</v>
      </c>
      <c r="C72" s="23" t="s">
        <v>4</v>
      </c>
      <c r="D72" s="24" t="s">
        <v>6</v>
      </c>
      <c r="E72" s="25" t="s">
        <v>60</v>
      </c>
      <c r="F72" s="4" t="s">
        <v>67</v>
      </c>
      <c r="M72" s="2"/>
    </row>
    <row r="73" spans="1:15" ht="14.25">
      <c r="A73" s="27" t="s">
        <v>63</v>
      </c>
      <c r="B73" s="76">
        <f>SUM(M71+K42+M27+P6)</f>
        <v>20470</v>
      </c>
      <c r="C73" s="2">
        <f>SUM(M67+K39+M24+P4)</f>
        <v>7606</v>
      </c>
      <c r="D73" s="2">
        <f>SUM(M68+K40+M25+P5)</f>
        <v>11503</v>
      </c>
      <c r="E73">
        <v>126</v>
      </c>
      <c r="F73" s="2">
        <f>SUM(M70+K41+M26)</f>
        <v>1235</v>
      </c>
    </row>
    <row r="74" spans="1:15" s="28" customFormat="1" ht="14.25">
      <c r="A74" s="38" t="s">
        <v>64</v>
      </c>
      <c r="B74" s="39">
        <v>1</v>
      </c>
      <c r="C74" s="28">
        <f>SUM(C73/$B$73)</f>
        <v>0.37156814851001463</v>
      </c>
      <c r="D74" s="28">
        <f>SUM(D73/$B$73)</f>
        <v>0.56194430874450418</v>
      </c>
      <c r="E74" s="28">
        <f>SUM(E73/$B$73)</f>
        <v>6.1553492916463113E-3</v>
      </c>
      <c r="F74" s="28">
        <f>SUM(F73/$B$73)</f>
        <v>6.0332193453834879E-2</v>
      </c>
    </row>
    <row r="75" spans="1:15" ht="14.25">
      <c r="A75" s="27" t="s">
        <v>65</v>
      </c>
      <c r="B75" s="32">
        <v>28</v>
      </c>
      <c r="C75">
        <v>9</v>
      </c>
      <c r="D75">
        <v>18</v>
      </c>
      <c r="E75">
        <v>0</v>
      </c>
      <c r="F75">
        <v>1</v>
      </c>
    </row>
  </sheetData>
  <phoneticPr fontId="16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72"/>
  <sheetViews>
    <sheetView workbookViewId="0">
      <selection activeCell="O1" sqref="O1"/>
    </sheetView>
  </sheetViews>
  <sheetFormatPr defaultRowHeight="12.75"/>
  <cols>
    <col min="1" max="1" width="23.140625" customWidth="1"/>
    <col min="2" max="2" width="7.7109375" customWidth="1"/>
    <col min="3" max="20" width="8.7109375" customWidth="1"/>
  </cols>
  <sheetData>
    <row r="1" spans="1:18" s="20" customFormat="1" ht="16.5" customHeight="1">
      <c r="A1" s="6" t="s">
        <v>623</v>
      </c>
    </row>
    <row r="2" spans="1:18" s="40" customFormat="1" ht="10.5" customHeight="1" thickBot="1">
      <c r="A2" s="6"/>
      <c r="B2" s="20"/>
      <c r="C2" s="20"/>
      <c r="D2" s="20"/>
      <c r="E2" s="20"/>
      <c r="F2" s="20"/>
      <c r="G2" s="20"/>
      <c r="H2" s="20"/>
    </row>
    <row r="3" spans="1:18" s="20" customFormat="1" ht="16.5" customHeight="1" thickBot="1">
      <c r="A3" s="8" t="s">
        <v>0</v>
      </c>
      <c r="B3" s="9" t="s">
        <v>1</v>
      </c>
      <c r="C3" s="9" t="s">
        <v>2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9">
        <v>7</v>
      </c>
      <c r="J3" s="9">
        <v>8</v>
      </c>
      <c r="K3" s="9">
        <v>9</v>
      </c>
      <c r="L3" s="9">
        <v>10</v>
      </c>
      <c r="M3" s="9">
        <v>11</v>
      </c>
      <c r="N3" s="9">
        <v>12</v>
      </c>
      <c r="O3" s="9">
        <v>13</v>
      </c>
      <c r="P3" s="9">
        <v>14</v>
      </c>
      <c r="Q3" s="9"/>
    </row>
    <row r="4" spans="1:18" s="20" customFormat="1" ht="16.5" customHeight="1" thickBot="1">
      <c r="A4" s="10" t="s">
        <v>68</v>
      </c>
      <c r="B4" s="15" t="s">
        <v>6</v>
      </c>
      <c r="C4" s="12">
        <v>1686</v>
      </c>
      <c r="D4" s="13"/>
      <c r="E4" s="14"/>
      <c r="F4" s="13"/>
      <c r="G4" s="13"/>
      <c r="H4" s="13"/>
      <c r="I4" s="14"/>
      <c r="J4" s="13"/>
      <c r="K4" s="14"/>
      <c r="L4" s="13"/>
      <c r="M4" s="13"/>
      <c r="N4" s="13"/>
      <c r="O4" s="14"/>
      <c r="P4" s="13"/>
      <c r="Q4" s="14" t="s">
        <v>41</v>
      </c>
    </row>
    <row r="5" spans="1:18" s="20" customFormat="1" ht="16.5" customHeight="1" thickBot="1">
      <c r="A5" s="10" t="s">
        <v>13</v>
      </c>
      <c r="B5" s="11" t="s">
        <v>4</v>
      </c>
      <c r="C5" s="13">
        <v>923</v>
      </c>
      <c r="D5" s="13">
        <v>948</v>
      </c>
      <c r="E5" s="13">
        <v>969</v>
      </c>
      <c r="F5" s="13">
        <v>999</v>
      </c>
      <c r="G5" s="16">
        <v>1002</v>
      </c>
      <c r="H5" s="16">
        <v>1061</v>
      </c>
      <c r="I5" s="16">
        <v>1082</v>
      </c>
      <c r="J5" s="16">
        <v>1104</v>
      </c>
      <c r="K5" s="12">
        <v>1223</v>
      </c>
      <c r="L5" s="13"/>
      <c r="M5" s="13"/>
      <c r="N5" s="13"/>
      <c r="O5" s="14"/>
      <c r="P5" s="13"/>
      <c r="Q5" s="14" t="s">
        <v>42</v>
      </c>
    </row>
    <row r="6" spans="1:18" s="20" customFormat="1" ht="16.5" customHeight="1" thickBot="1">
      <c r="A6" s="10" t="s">
        <v>70</v>
      </c>
      <c r="B6" s="15" t="s">
        <v>6</v>
      </c>
      <c r="C6" s="13">
        <v>625</v>
      </c>
      <c r="D6" s="13">
        <v>637</v>
      </c>
      <c r="E6" s="13">
        <v>650</v>
      </c>
      <c r="F6" s="13">
        <v>716</v>
      </c>
      <c r="G6" s="13">
        <v>719</v>
      </c>
      <c r="H6" s="13">
        <v>748</v>
      </c>
      <c r="I6" s="13">
        <v>755</v>
      </c>
      <c r="J6" s="13">
        <v>762</v>
      </c>
      <c r="K6" s="13">
        <v>822</v>
      </c>
      <c r="L6" s="13">
        <v>837</v>
      </c>
      <c r="M6" s="13">
        <v>974</v>
      </c>
      <c r="N6" s="12">
        <v>1232</v>
      </c>
      <c r="O6" s="14"/>
      <c r="P6" s="13"/>
      <c r="Q6" s="14" t="s">
        <v>43</v>
      </c>
    </row>
    <row r="7" spans="1:18" s="20" customFormat="1" ht="16.5" customHeight="1" thickBot="1">
      <c r="A7" s="17" t="s">
        <v>119</v>
      </c>
      <c r="B7" s="13" t="s">
        <v>10</v>
      </c>
      <c r="C7" s="13">
        <v>595</v>
      </c>
      <c r="D7" s="13">
        <v>596</v>
      </c>
      <c r="E7" s="13">
        <v>597</v>
      </c>
      <c r="F7" s="13">
        <v>603</v>
      </c>
      <c r="G7" s="13">
        <v>603</v>
      </c>
      <c r="H7" s="13">
        <v>607</v>
      </c>
      <c r="I7" s="13">
        <v>607</v>
      </c>
      <c r="J7" s="13">
        <v>610</v>
      </c>
      <c r="K7" s="13">
        <v>615</v>
      </c>
      <c r="L7" s="13">
        <v>617</v>
      </c>
      <c r="M7" s="13">
        <v>636</v>
      </c>
      <c r="N7" s="13" t="s">
        <v>17</v>
      </c>
    </row>
    <row r="8" spans="1:18" s="20" customFormat="1" ht="16.5" customHeight="1" thickBot="1">
      <c r="A8" s="10" t="s">
        <v>120</v>
      </c>
      <c r="B8" s="94" t="s">
        <v>121</v>
      </c>
      <c r="C8" s="13">
        <v>555</v>
      </c>
      <c r="D8" s="13">
        <v>618</v>
      </c>
      <c r="E8" s="13">
        <v>626</v>
      </c>
      <c r="F8" s="13">
        <v>627</v>
      </c>
      <c r="G8" s="13">
        <v>649</v>
      </c>
      <c r="H8" s="13">
        <v>682</v>
      </c>
      <c r="I8" s="13">
        <v>716</v>
      </c>
      <c r="J8" s="13">
        <v>728</v>
      </c>
      <c r="K8" s="13">
        <v>833</v>
      </c>
      <c r="L8" s="13">
        <v>844</v>
      </c>
      <c r="M8" s="13">
        <v>978</v>
      </c>
      <c r="N8" s="13">
        <v>995</v>
      </c>
      <c r="O8" s="16">
        <v>1004</v>
      </c>
      <c r="P8" s="12">
        <v>1023</v>
      </c>
      <c r="Q8" s="14" t="s">
        <v>45</v>
      </c>
    </row>
    <row r="9" spans="1:18" s="20" customFormat="1" ht="16.5" customHeight="1" thickBot="1">
      <c r="A9" s="10" t="s">
        <v>122</v>
      </c>
      <c r="B9" s="14" t="s">
        <v>10</v>
      </c>
      <c r="C9" s="13">
        <v>537</v>
      </c>
      <c r="D9" s="13">
        <v>555</v>
      </c>
      <c r="E9" s="13">
        <v>555</v>
      </c>
      <c r="F9" s="13">
        <v>579</v>
      </c>
      <c r="G9" s="13">
        <v>580</v>
      </c>
      <c r="H9" s="13">
        <v>592</v>
      </c>
      <c r="I9" s="13">
        <v>606</v>
      </c>
      <c r="J9" s="13">
        <v>610</v>
      </c>
      <c r="K9" s="13">
        <v>629</v>
      </c>
      <c r="L9" s="13">
        <v>636</v>
      </c>
      <c r="M9" s="13">
        <v>648</v>
      </c>
      <c r="N9" s="13">
        <v>802</v>
      </c>
      <c r="O9" s="13">
        <v>854</v>
      </c>
      <c r="P9" s="14">
        <v>858</v>
      </c>
      <c r="Q9" s="14" t="s">
        <v>495</v>
      </c>
    </row>
    <row r="10" spans="1:18" s="20" customFormat="1" ht="16.5" customHeight="1" thickBot="1">
      <c r="A10" s="10" t="s">
        <v>102</v>
      </c>
      <c r="B10" s="15" t="s">
        <v>6</v>
      </c>
      <c r="C10" s="13">
        <v>535</v>
      </c>
      <c r="D10" s="13">
        <v>597</v>
      </c>
      <c r="E10" s="13">
        <v>604</v>
      </c>
      <c r="F10" s="13">
        <v>611</v>
      </c>
      <c r="G10" s="13">
        <v>657</v>
      </c>
      <c r="H10" s="13">
        <v>666</v>
      </c>
      <c r="I10" s="13">
        <v>680</v>
      </c>
      <c r="J10" s="13">
        <v>757</v>
      </c>
      <c r="K10" s="13">
        <v>768</v>
      </c>
      <c r="L10" s="13">
        <v>770</v>
      </c>
      <c r="M10" s="13">
        <v>782</v>
      </c>
      <c r="N10" s="13">
        <v>791</v>
      </c>
      <c r="O10" s="13">
        <v>807</v>
      </c>
      <c r="P10" s="14">
        <v>908</v>
      </c>
      <c r="Q10" s="14" t="s">
        <v>494</v>
      </c>
    </row>
    <row r="11" spans="1:18" s="20" customFormat="1" ht="16.5" customHeight="1" thickBot="1">
      <c r="A11" s="17" t="s">
        <v>123</v>
      </c>
      <c r="B11" s="13" t="s">
        <v>10</v>
      </c>
      <c r="C11" s="13">
        <v>493</v>
      </c>
      <c r="D11" s="13">
        <v>498</v>
      </c>
      <c r="E11" s="13">
        <v>503</v>
      </c>
      <c r="F11" s="13">
        <v>506</v>
      </c>
      <c r="G11" s="13">
        <v>508</v>
      </c>
      <c r="H11" s="13">
        <v>519</v>
      </c>
      <c r="I11" s="13">
        <v>520</v>
      </c>
      <c r="J11" s="13">
        <v>522</v>
      </c>
      <c r="K11" s="13">
        <v>549</v>
      </c>
      <c r="L11" s="13">
        <v>554</v>
      </c>
      <c r="M11" s="13" t="s">
        <v>17</v>
      </c>
    </row>
    <row r="12" spans="1:18" s="20" customFormat="1" ht="16.5" customHeight="1" thickBot="1">
      <c r="A12" s="17" t="s">
        <v>124</v>
      </c>
      <c r="B12" s="19" t="s">
        <v>6</v>
      </c>
      <c r="C12" s="13">
        <v>389</v>
      </c>
      <c r="D12" s="13">
        <v>478</v>
      </c>
      <c r="E12" s="13">
        <v>503</v>
      </c>
      <c r="F12" s="13">
        <v>509</v>
      </c>
      <c r="G12" s="13">
        <v>512</v>
      </c>
      <c r="H12" s="13">
        <v>525</v>
      </c>
      <c r="I12" s="13">
        <v>597</v>
      </c>
      <c r="J12" s="13">
        <v>609</v>
      </c>
      <c r="K12" s="13">
        <v>632</v>
      </c>
      <c r="L12" s="13">
        <v>637</v>
      </c>
      <c r="M12" s="13">
        <v>664</v>
      </c>
      <c r="N12" s="13">
        <v>685</v>
      </c>
      <c r="O12" s="13">
        <v>699</v>
      </c>
      <c r="P12" s="13">
        <v>711</v>
      </c>
      <c r="Q12" s="13"/>
    </row>
    <row r="13" spans="1:18" s="20" customFormat="1" ht="16.5" customHeight="1" thickBot="1">
      <c r="A13" s="10" t="s">
        <v>73</v>
      </c>
      <c r="B13" s="11" t="s">
        <v>4</v>
      </c>
      <c r="C13" s="13">
        <v>389</v>
      </c>
      <c r="D13" s="13">
        <v>487</v>
      </c>
      <c r="E13" s="13">
        <v>500</v>
      </c>
      <c r="F13" s="13">
        <v>515</v>
      </c>
      <c r="G13" s="13">
        <v>527</v>
      </c>
      <c r="H13" s="13">
        <v>598</v>
      </c>
      <c r="I13" s="13">
        <v>695</v>
      </c>
      <c r="J13" s="13">
        <v>788</v>
      </c>
      <c r="K13" s="13">
        <v>816</v>
      </c>
      <c r="L13" s="13">
        <v>833</v>
      </c>
      <c r="M13" s="13">
        <v>841</v>
      </c>
      <c r="N13" s="13">
        <v>857</v>
      </c>
      <c r="O13" s="13">
        <v>862</v>
      </c>
      <c r="P13" s="12">
        <v>1095</v>
      </c>
      <c r="Q13" s="14" t="s">
        <v>44</v>
      </c>
    </row>
    <row r="14" spans="1:18" s="20" customFormat="1" ht="16.5" customHeight="1" thickBot="1">
      <c r="A14" s="17" t="s">
        <v>125</v>
      </c>
      <c r="B14" s="18" t="s">
        <v>4</v>
      </c>
      <c r="C14" s="13">
        <v>382</v>
      </c>
      <c r="D14" s="13">
        <v>397</v>
      </c>
      <c r="E14" s="13">
        <v>400</v>
      </c>
      <c r="F14" s="13">
        <v>401</v>
      </c>
      <c r="G14" s="13">
        <v>488</v>
      </c>
      <c r="H14" s="13">
        <v>496</v>
      </c>
      <c r="I14" s="13">
        <v>506</v>
      </c>
      <c r="J14" s="13">
        <v>657</v>
      </c>
      <c r="K14" s="13">
        <v>665</v>
      </c>
      <c r="L14" s="13">
        <v>668</v>
      </c>
      <c r="M14" s="13">
        <v>677</v>
      </c>
      <c r="N14" s="13">
        <v>680</v>
      </c>
      <c r="O14" s="13">
        <v>682</v>
      </c>
      <c r="P14" s="13" t="s">
        <v>17</v>
      </c>
    </row>
    <row r="15" spans="1:18" s="20" customFormat="1" ht="16.5" customHeight="1" thickBot="1">
      <c r="A15" s="17" t="s">
        <v>126</v>
      </c>
      <c r="B15" s="18" t="s">
        <v>4</v>
      </c>
      <c r="C15" s="13">
        <v>359</v>
      </c>
      <c r="D15" s="13">
        <v>372</v>
      </c>
      <c r="E15" s="13">
        <v>373</v>
      </c>
      <c r="F15" s="13">
        <v>375</v>
      </c>
      <c r="G15" s="13">
        <v>397</v>
      </c>
      <c r="H15" s="13">
        <v>410</v>
      </c>
      <c r="I15" s="13">
        <v>436</v>
      </c>
      <c r="J15" s="13" t="s">
        <v>17</v>
      </c>
      <c r="O15" s="42" t="s">
        <v>99</v>
      </c>
      <c r="P15" s="40">
        <f>SUM(9069/12926)</f>
        <v>0.70160915983289496</v>
      </c>
    </row>
    <row r="16" spans="1:18" s="20" customFormat="1" ht="16.5" customHeight="1" thickBot="1">
      <c r="A16" s="17" t="s">
        <v>11</v>
      </c>
      <c r="B16" s="61" t="s">
        <v>121</v>
      </c>
      <c r="C16" s="13">
        <v>351</v>
      </c>
      <c r="D16" s="13">
        <v>374</v>
      </c>
      <c r="E16" s="13">
        <v>392</v>
      </c>
      <c r="F16" s="13">
        <v>440</v>
      </c>
      <c r="G16" s="13">
        <v>440</v>
      </c>
      <c r="H16" s="13">
        <v>462</v>
      </c>
      <c r="I16" s="13">
        <v>482</v>
      </c>
      <c r="J16" s="13">
        <v>482</v>
      </c>
      <c r="K16" s="13" t="s">
        <v>17</v>
      </c>
      <c r="O16" s="41"/>
      <c r="P16" s="42" t="s">
        <v>63</v>
      </c>
      <c r="Q16" s="42" t="s">
        <v>64</v>
      </c>
      <c r="R16" s="42" t="s">
        <v>65</v>
      </c>
    </row>
    <row r="17" spans="1:18" s="20" customFormat="1" ht="16.5" customHeight="1" thickBot="1">
      <c r="A17" s="17" t="s">
        <v>127</v>
      </c>
      <c r="B17" s="13" t="s">
        <v>10</v>
      </c>
      <c r="C17" s="13">
        <v>309</v>
      </c>
      <c r="D17" s="13">
        <v>346</v>
      </c>
      <c r="E17" s="13">
        <v>355</v>
      </c>
      <c r="F17" s="13">
        <v>359</v>
      </c>
      <c r="G17" s="13">
        <v>361</v>
      </c>
      <c r="H17" s="13" t="s">
        <v>17</v>
      </c>
      <c r="O17" s="43" t="s">
        <v>4</v>
      </c>
      <c r="P17" s="44">
        <f>SUM(C5+C13+C14+C15)</f>
        <v>2053</v>
      </c>
      <c r="Q17" s="46">
        <f>SUM(P17/P21)</f>
        <v>0.22637556511191972</v>
      </c>
      <c r="R17" s="41">
        <v>2</v>
      </c>
    </row>
    <row r="18" spans="1:18" s="20" customFormat="1" ht="16.5" customHeight="1" thickBot="1">
      <c r="A18" s="17" t="s">
        <v>15</v>
      </c>
      <c r="B18" s="90" t="s">
        <v>10</v>
      </c>
      <c r="C18" s="13">
        <v>301</v>
      </c>
      <c r="D18" s="13">
        <v>343</v>
      </c>
      <c r="E18" s="13">
        <v>362</v>
      </c>
      <c r="F18" s="13">
        <v>364</v>
      </c>
      <c r="G18" s="13">
        <v>376</v>
      </c>
      <c r="H18" s="13">
        <v>405</v>
      </c>
      <c r="I18" s="13" t="s">
        <v>17</v>
      </c>
      <c r="O18" s="45" t="s">
        <v>6</v>
      </c>
      <c r="P18" s="44">
        <f>SUM(C4+C6+C10+C12+C20+C21)</f>
        <v>3598</v>
      </c>
      <c r="Q18" s="46">
        <f>SUM(P18/P21)</f>
        <v>0.39673613408314035</v>
      </c>
      <c r="R18" s="41">
        <v>3</v>
      </c>
    </row>
    <row r="19" spans="1:18" s="20" customFormat="1" ht="16.5" customHeight="1" thickBot="1">
      <c r="A19" s="17" t="s">
        <v>462</v>
      </c>
      <c r="B19" s="13" t="s">
        <v>10</v>
      </c>
      <c r="C19" s="13">
        <v>277</v>
      </c>
      <c r="D19" s="13">
        <v>288</v>
      </c>
      <c r="E19" s="13">
        <v>294</v>
      </c>
      <c r="F19" s="13">
        <v>296</v>
      </c>
      <c r="G19" s="13" t="s">
        <v>17</v>
      </c>
      <c r="O19" s="74" t="s">
        <v>121</v>
      </c>
      <c r="P19" s="44">
        <f>SUM(C8+C16)</f>
        <v>906</v>
      </c>
      <c r="Q19" s="46">
        <f>SUM(P19/P21)</f>
        <v>9.9900760833608993E-2</v>
      </c>
      <c r="R19" s="41">
        <v>1</v>
      </c>
    </row>
    <row r="20" spans="1:18" s="20" customFormat="1" ht="16.5" customHeight="1" thickBot="1">
      <c r="A20" s="17" t="s">
        <v>128</v>
      </c>
      <c r="B20" s="19" t="s">
        <v>6</v>
      </c>
      <c r="C20" s="13">
        <v>218</v>
      </c>
      <c r="D20" s="13">
        <v>232</v>
      </c>
      <c r="E20" s="13">
        <v>236</v>
      </c>
      <c r="F20" s="13" t="s">
        <v>17</v>
      </c>
      <c r="O20" s="68" t="s">
        <v>67</v>
      </c>
      <c r="P20" s="44">
        <f>SUM(C7+C9+C11+C17+C19+C18)</f>
        <v>2512</v>
      </c>
      <c r="Q20" s="46">
        <f>SUM(P20/P21)</f>
        <v>0.27698753997133091</v>
      </c>
      <c r="R20" s="41">
        <v>1</v>
      </c>
    </row>
    <row r="21" spans="1:18" s="20" customFormat="1" ht="16.5" customHeight="1" thickBot="1">
      <c r="A21" s="17" t="s">
        <v>129</v>
      </c>
      <c r="B21" s="19" t="s">
        <v>6</v>
      </c>
      <c r="C21" s="13">
        <v>145</v>
      </c>
      <c r="D21" s="13">
        <v>169</v>
      </c>
      <c r="E21" s="13" t="s">
        <v>17</v>
      </c>
      <c r="O21" s="42"/>
      <c r="P21" s="72">
        <v>9069</v>
      </c>
      <c r="Q21" s="40"/>
    </row>
    <row r="22" spans="1:18" s="20" customFormat="1" ht="8.25" customHeight="1">
      <c r="A22" s="6"/>
    </row>
    <row r="23" spans="1:18" ht="16.5" customHeight="1">
      <c r="A23" s="6" t="s">
        <v>611</v>
      </c>
      <c r="B23" s="20"/>
      <c r="C23" s="20"/>
      <c r="D23" s="20"/>
      <c r="E23" s="20"/>
      <c r="F23" s="20"/>
      <c r="G23" s="20"/>
      <c r="H23" s="20"/>
      <c r="I23" s="20"/>
    </row>
    <row r="24" spans="1:18" ht="9.75" customHeight="1" thickBot="1">
      <c r="A24" s="6"/>
      <c r="B24" s="20"/>
      <c r="C24" s="20"/>
      <c r="D24" s="20"/>
      <c r="E24" s="20"/>
      <c r="F24" s="20"/>
      <c r="G24" s="20"/>
      <c r="H24" s="20"/>
      <c r="I24" s="20"/>
    </row>
    <row r="25" spans="1:18" ht="16.5" customHeight="1" thickBot="1">
      <c r="A25" s="8" t="s">
        <v>0</v>
      </c>
      <c r="B25" s="9" t="s">
        <v>1</v>
      </c>
      <c r="C25" s="9" t="s">
        <v>2</v>
      </c>
      <c r="D25" s="9">
        <v>2</v>
      </c>
      <c r="E25" s="9">
        <v>3</v>
      </c>
      <c r="F25" s="9">
        <v>4</v>
      </c>
      <c r="G25" s="9">
        <v>5</v>
      </c>
      <c r="H25" s="9">
        <v>6</v>
      </c>
      <c r="I25" s="9"/>
      <c r="J25" s="42" t="s">
        <v>99</v>
      </c>
      <c r="K25" s="40">
        <f>SUM(5014/7008)</f>
        <v>0.71546803652968038</v>
      </c>
      <c r="M25" s="20"/>
    </row>
    <row r="26" spans="1:18" ht="16.5" customHeight="1" thickBot="1">
      <c r="A26" s="10" t="s">
        <v>130</v>
      </c>
      <c r="B26" s="11" t="s">
        <v>4</v>
      </c>
      <c r="C26" s="12">
        <v>1004</v>
      </c>
      <c r="D26" s="13"/>
      <c r="E26" s="13"/>
      <c r="F26" s="13"/>
      <c r="G26" s="13"/>
      <c r="H26" s="14"/>
      <c r="I26" s="14" t="s">
        <v>41</v>
      </c>
      <c r="J26" s="41"/>
      <c r="K26" s="4" t="s">
        <v>63</v>
      </c>
      <c r="L26" s="4" t="s">
        <v>64</v>
      </c>
      <c r="M26" s="4" t="s">
        <v>65</v>
      </c>
    </row>
    <row r="27" spans="1:18" ht="16.5" customHeight="1" thickBot="1">
      <c r="A27" s="10" t="s">
        <v>131</v>
      </c>
      <c r="B27" s="11" t="s">
        <v>4</v>
      </c>
      <c r="C27" s="14">
        <v>901</v>
      </c>
      <c r="D27" s="13"/>
      <c r="E27" s="13"/>
      <c r="F27" s="13"/>
      <c r="G27" s="14"/>
      <c r="H27" s="13"/>
      <c r="I27" s="14" t="s">
        <v>42</v>
      </c>
      <c r="J27" s="43" t="s">
        <v>4</v>
      </c>
      <c r="K27" s="44">
        <f>SUM(C26+C27+C29+C31)</f>
        <v>2974</v>
      </c>
      <c r="L27" s="46">
        <f>SUM(K27/K29)</f>
        <v>0.59313921021140803</v>
      </c>
      <c r="M27" s="41">
        <v>3</v>
      </c>
    </row>
    <row r="28" spans="1:18" ht="16.5" customHeight="1" thickBot="1">
      <c r="A28" s="10" t="s">
        <v>132</v>
      </c>
      <c r="B28" s="15" t="s">
        <v>6</v>
      </c>
      <c r="C28" s="13">
        <v>766</v>
      </c>
      <c r="D28" s="13">
        <v>794</v>
      </c>
      <c r="E28" s="13">
        <v>803</v>
      </c>
      <c r="F28" s="13">
        <v>820</v>
      </c>
      <c r="G28" s="14">
        <v>929</v>
      </c>
      <c r="H28" s="14"/>
      <c r="I28" s="14" t="s">
        <v>43</v>
      </c>
      <c r="J28" s="45" t="s">
        <v>6</v>
      </c>
      <c r="K28" s="44">
        <f>SUM(C28+C30+C33+C34+C32)</f>
        <v>2040</v>
      </c>
      <c r="L28" s="46">
        <f>SUM(K28/K29)</f>
        <v>0.40686078978859197</v>
      </c>
      <c r="M28" s="41">
        <v>2</v>
      </c>
    </row>
    <row r="29" spans="1:18" ht="16.5" customHeight="1" thickBot="1">
      <c r="A29" s="10" t="s">
        <v>133</v>
      </c>
      <c r="B29" s="11" t="s">
        <v>4</v>
      </c>
      <c r="C29" s="13">
        <v>640</v>
      </c>
      <c r="D29" s="13">
        <v>725</v>
      </c>
      <c r="E29" s="13">
        <v>742</v>
      </c>
      <c r="F29" s="13">
        <v>748</v>
      </c>
      <c r="G29" s="13">
        <v>766</v>
      </c>
      <c r="H29" s="14">
        <v>803</v>
      </c>
      <c r="I29" s="14" t="s">
        <v>45</v>
      </c>
      <c r="J29" s="68"/>
      <c r="K29" s="72">
        <v>5014</v>
      </c>
      <c r="L29" s="46"/>
      <c r="M29" s="41"/>
    </row>
    <row r="30" spans="1:18" ht="16.5" customHeight="1" thickBot="1">
      <c r="A30" s="10" t="s">
        <v>134</v>
      </c>
      <c r="B30" s="15" t="s">
        <v>6</v>
      </c>
      <c r="C30" s="13">
        <v>541</v>
      </c>
      <c r="D30" s="13">
        <v>549</v>
      </c>
      <c r="E30" s="13">
        <v>559</v>
      </c>
      <c r="F30" s="13">
        <v>632</v>
      </c>
      <c r="G30" s="13">
        <v>686</v>
      </c>
      <c r="H30" s="14">
        <v>853</v>
      </c>
      <c r="I30" s="14" t="s">
        <v>44</v>
      </c>
    </row>
    <row r="31" spans="1:18" ht="16.5" customHeight="1" thickBot="1">
      <c r="A31" s="17" t="s">
        <v>107</v>
      </c>
      <c r="B31" s="18" t="s">
        <v>4</v>
      </c>
      <c r="C31" s="13">
        <v>429</v>
      </c>
      <c r="D31" s="13">
        <v>441</v>
      </c>
      <c r="E31" s="13">
        <v>450</v>
      </c>
      <c r="F31" s="13">
        <v>457</v>
      </c>
      <c r="G31" s="13">
        <v>498</v>
      </c>
      <c r="H31" s="13">
        <v>514</v>
      </c>
      <c r="I31" s="14"/>
    </row>
    <row r="32" spans="1:18" ht="16.5" customHeight="1" thickBot="1">
      <c r="A32" s="17" t="s">
        <v>135</v>
      </c>
      <c r="B32" s="19" t="s">
        <v>6</v>
      </c>
      <c r="C32" s="13">
        <v>276</v>
      </c>
      <c r="D32" s="13">
        <v>298</v>
      </c>
      <c r="E32" s="13">
        <v>304</v>
      </c>
      <c r="F32" s="13">
        <v>367</v>
      </c>
      <c r="G32" s="13">
        <v>397</v>
      </c>
      <c r="H32" s="13" t="s">
        <v>17</v>
      </c>
    </row>
    <row r="33" spans="1:14" ht="16.5" customHeight="1" thickBot="1">
      <c r="A33" s="17" t="s">
        <v>136</v>
      </c>
      <c r="B33" s="19" t="s">
        <v>6</v>
      </c>
      <c r="C33" s="13">
        <v>260</v>
      </c>
      <c r="D33" s="13">
        <v>264</v>
      </c>
      <c r="E33" s="13">
        <v>267</v>
      </c>
      <c r="F33" s="13">
        <v>273</v>
      </c>
      <c r="G33" s="13" t="s">
        <v>17</v>
      </c>
    </row>
    <row r="34" spans="1:14" ht="16.5" customHeight="1" thickBot="1">
      <c r="A34" s="17" t="s">
        <v>137</v>
      </c>
      <c r="B34" s="19" t="s">
        <v>6</v>
      </c>
      <c r="C34" s="13">
        <v>197</v>
      </c>
      <c r="D34" s="13">
        <v>206</v>
      </c>
      <c r="E34" s="13">
        <v>217</v>
      </c>
      <c r="F34" s="13" t="s">
        <v>17</v>
      </c>
    </row>
    <row r="36" spans="1:14" ht="16.5" customHeight="1">
      <c r="A36" s="6" t="s">
        <v>612</v>
      </c>
      <c r="B36" s="20"/>
      <c r="C36" s="20"/>
      <c r="D36" s="20"/>
      <c r="E36" s="20"/>
      <c r="F36" s="20"/>
      <c r="G36" s="20"/>
      <c r="H36" s="20"/>
    </row>
    <row r="37" spans="1:14" ht="10.5" customHeight="1" thickBot="1">
      <c r="A37" s="6"/>
      <c r="B37" s="20"/>
      <c r="C37" s="20"/>
      <c r="D37" s="20"/>
      <c r="E37" s="20"/>
      <c r="F37" s="20"/>
      <c r="G37" s="20"/>
      <c r="H37" s="20"/>
    </row>
    <row r="38" spans="1:14" ht="16.5" customHeight="1" thickBot="1">
      <c r="A38" s="8" t="s">
        <v>0</v>
      </c>
      <c r="B38" s="9" t="s">
        <v>1</v>
      </c>
      <c r="C38" s="9" t="s">
        <v>2</v>
      </c>
      <c r="D38" s="9">
        <v>2</v>
      </c>
      <c r="E38" s="9">
        <v>3</v>
      </c>
      <c r="F38" s="9">
        <v>4</v>
      </c>
      <c r="G38" s="9">
        <v>5</v>
      </c>
      <c r="H38" s="9">
        <v>6</v>
      </c>
      <c r="I38" s="9">
        <v>7</v>
      </c>
      <c r="J38" s="9"/>
      <c r="K38" s="42" t="s">
        <v>99</v>
      </c>
      <c r="L38" s="40">
        <f>SUM(5738/7975)</f>
        <v>0.71949843260188084</v>
      </c>
      <c r="N38" s="20"/>
    </row>
    <row r="39" spans="1:14" ht="16.5" customHeight="1" thickBot="1">
      <c r="A39" s="10" t="s">
        <v>138</v>
      </c>
      <c r="B39" s="14" t="s">
        <v>10</v>
      </c>
      <c r="C39" s="14">
        <v>998</v>
      </c>
      <c r="D39" s="13"/>
      <c r="E39" s="13"/>
      <c r="F39" s="13"/>
      <c r="G39" s="13"/>
      <c r="H39" s="14"/>
      <c r="I39" s="14"/>
      <c r="J39" s="14" t="s">
        <v>41</v>
      </c>
      <c r="K39" s="41"/>
      <c r="L39" s="42" t="s">
        <v>63</v>
      </c>
      <c r="M39" s="42" t="s">
        <v>64</v>
      </c>
      <c r="N39" s="42" t="s">
        <v>65</v>
      </c>
    </row>
    <row r="40" spans="1:14" ht="16.5" customHeight="1" thickBot="1">
      <c r="A40" s="10" t="s">
        <v>35</v>
      </c>
      <c r="B40" s="11" t="s">
        <v>4</v>
      </c>
      <c r="C40" s="13">
        <v>865</v>
      </c>
      <c r="D40" s="13">
        <v>870</v>
      </c>
      <c r="E40" s="13">
        <v>880</v>
      </c>
      <c r="F40" s="14">
        <v>981</v>
      </c>
      <c r="G40" s="14"/>
      <c r="H40" s="13"/>
      <c r="I40" s="14"/>
      <c r="J40" s="14" t="s">
        <v>43</v>
      </c>
      <c r="K40" s="43" t="s">
        <v>4</v>
      </c>
      <c r="L40" s="44">
        <f>SUM(C40+C41+C42+C46)</f>
        <v>2649</v>
      </c>
      <c r="M40" s="46">
        <f>SUM(L40/L43)</f>
        <v>0.46165911467410248</v>
      </c>
      <c r="N40" s="41">
        <v>2</v>
      </c>
    </row>
    <row r="41" spans="1:14" ht="16.5" customHeight="1" thickBot="1">
      <c r="A41" s="17" t="s">
        <v>139</v>
      </c>
      <c r="B41" s="18" t="s">
        <v>4</v>
      </c>
      <c r="C41" s="13">
        <v>704</v>
      </c>
      <c r="D41" s="13">
        <v>704</v>
      </c>
      <c r="E41" s="13">
        <v>704</v>
      </c>
      <c r="F41" s="13">
        <v>710</v>
      </c>
      <c r="G41" s="13">
        <v>835</v>
      </c>
      <c r="H41" s="13">
        <v>836</v>
      </c>
      <c r="I41" s="13">
        <v>848</v>
      </c>
      <c r="J41" s="14"/>
      <c r="K41" s="45" t="s">
        <v>6</v>
      </c>
      <c r="L41" s="44">
        <f>SUM(C43+C44+C47)</f>
        <v>1569</v>
      </c>
      <c r="M41" s="46">
        <f>SUM(L41/L43)</f>
        <v>0.27344022307424187</v>
      </c>
      <c r="N41" s="41">
        <v>2</v>
      </c>
    </row>
    <row r="42" spans="1:14" ht="16.5" customHeight="1" thickBot="1">
      <c r="A42" s="10" t="s">
        <v>140</v>
      </c>
      <c r="B42" s="11" t="s">
        <v>4</v>
      </c>
      <c r="C42" s="13">
        <v>679</v>
      </c>
      <c r="D42" s="13">
        <v>684</v>
      </c>
      <c r="E42" s="13">
        <v>697</v>
      </c>
      <c r="F42" s="13">
        <v>767</v>
      </c>
      <c r="G42" s="13">
        <v>825</v>
      </c>
      <c r="H42" s="13">
        <v>839</v>
      </c>
      <c r="I42" s="14">
        <v>850</v>
      </c>
      <c r="J42" s="14" t="s">
        <v>45</v>
      </c>
      <c r="K42" s="68" t="s">
        <v>67</v>
      </c>
      <c r="L42" s="44">
        <f>SUM(C39+C45)</f>
        <v>1520</v>
      </c>
      <c r="M42" s="46">
        <f>SUM(L42/L43)</f>
        <v>0.26490066225165565</v>
      </c>
      <c r="N42" s="41">
        <v>1</v>
      </c>
    </row>
    <row r="43" spans="1:14" ht="16.5" customHeight="1" thickBot="1">
      <c r="A43" s="10" t="s">
        <v>31</v>
      </c>
      <c r="B43" s="15" t="s">
        <v>6</v>
      </c>
      <c r="C43" s="13">
        <v>648</v>
      </c>
      <c r="D43" s="13">
        <v>651</v>
      </c>
      <c r="E43" s="13">
        <v>669</v>
      </c>
      <c r="F43" s="13">
        <v>679</v>
      </c>
      <c r="G43" s="13">
        <v>842</v>
      </c>
      <c r="H43" s="13">
        <v>853</v>
      </c>
      <c r="I43" s="14">
        <v>854</v>
      </c>
      <c r="J43" s="14" t="s">
        <v>44</v>
      </c>
      <c r="K43" s="42"/>
      <c r="L43" s="72">
        <v>5738</v>
      </c>
      <c r="M43" s="40"/>
      <c r="N43" s="20"/>
    </row>
    <row r="44" spans="1:14" ht="16.5" customHeight="1" thickBot="1">
      <c r="A44" s="10" t="s">
        <v>141</v>
      </c>
      <c r="B44" s="15" t="s">
        <v>6</v>
      </c>
      <c r="C44" s="13">
        <v>634</v>
      </c>
      <c r="D44" s="13">
        <v>644</v>
      </c>
      <c r="E44" s="13">
        <v>824</v>
      </c>
      <c r="F44" s="14">
        <v>983</v>
      </c>
      <c r="G44" s="13"/>
      <c r="H44" s="13"/>
      <c r="I44" s="14"/>
      <c r="J44" s="14" t="s">
        <v>42</v>
      </c>
    </row>
    <row r="45" spans="1:14" ht="16.5" customHeight="1" thickBot="1">
      <c r="A45" s="17" t="s">
        <v>142</v>
      </c>
      <c r="B45" s="13" t="s">
        <v>10</v>
      </c>
      <c r="C45" s="13">
        <v>522</v>
      </c>
      <c r="D45" s="13">
        <v>523</v>
      </c>
      <c r="E45" s="13">
        <v>523</v>
      </c>
      <c r="F45" s="13">
        <v>533</v>
      </c>
      <c r="G45" s="13" t="s">
        <v>17</v>
      </c>
    </row>
    <row r="46" spans="1:14" ht="16.5" customHeight="1" thickBot="1">
      <c r="A46" s="17" t="s">
        <v>143</v>
      </c>
      <c r="B46" s="18" t="s">
        <v>4</v>
      </c>
      <c r="C46" s="13">
        <v>401</v>
      </c>
      <c r="D46" s="13">
        <v>414</v>
      </c>
      <c r="E46" s="13">
        <v>458</v>
      </c>
      <c r="F46" s="13" t="s">
        <v>17</v>
      </c>
    </row>
    <row r="47" spans="1:14" ht="16.5" customHeight="1" thickBot="1">
      <c r="A47" s="17" t="s">
        <v>144</v>
      </c>
      <c r="B47" s="19" t="s">
        <v>6</v>
      </c>
      <c r="C47" s="13">
        <v>287</v>
      </c>
      <c r="D47" s="13">
        <v>291</v>
      </c>
      <c r="E47" s="13" t="s">
        <v>17</v>
      </c>
    </row>
    <row r="48" spans="1:14" ht="12" customHeight="1"/>
    <row r="49" spans="1:18" ht="16.5" customHeight="1">
      <c r="A49" s="6" t="s">
        <v>613</v>
      </c>
      <c r="B49" s="20"/>
      <c r="C49" s="20"/>
      <c r="D49" s="20"/>
      <c r="E49" s="20"/>
      <c r="F49" s="20"/>
      <c r="G49" s="20"/>
      <c r="H49" s="20"/>
    </row>
    <row r="50" spans="1:18" ht="10.5" customHeight="1" thickBot="1">
      <c r="A50" s="6"/>
      <c r="B50" s="20"/>
      <c r="C50" s="20"/>
      <c r="D50" s="20"/>
      <c r="E50" s="20"/>
      <c r="F50" s="20"/>
      <c r="G50" s="20"/>
      <c r="H50" s="20"/>
    </row>
    <row r="51" spans="1:18" ht="16.5" customHeight="1" thickBot="1">
      <c r="A51" s="8" t="s">
        <v>0</v>
      </c>
      <c r="B51" s="9" t="s">
        <v>1</v>
      </c>
      <c r="C51" s="9" t="s">
        <v>2</v>
      </c>
      <c r="D51" s="9">
        <v>2</v>
      </c>
      <c r="E51" s="9">
        <v>3</v>
      </c>
      <c r="F51" s="9">
        <v>4</v>
      </c>
      <c r="G51" s="9">
        <v>5</v>
      </c>
      <c r="H51" s="9">
        <v>6</v>
      </c>
      <c r="I51" s="9">
        <v>7</v>
      </c>
      <c r="J51" s="9">
        <v>8</v>
      </c>
      <c r="K51" s="9">
        <v>9</v>
      </c>
      <c r="L51" s="9">
        <v>10</v>
      </c>
      <c r="M51" s="9">
        <v>11</v>
      </c>
      <c r="N51" s="9"/>
      <c r="O51" s="42" t="s">
        <v>99</v>
      </c>
      <c r="P51" s="40">
        <f>SUM(8597/13250)</f>
        <v>0.64883018867924525</v>
      </c>
      <c r="R51" s="20"/>
    </row>
    <row r="52" spans="1:18" ht="16.5" customHeight="1" thickBot="1">
      <c r="A52" s="10" t="s">
        <v>112</v>
      </c>
      <c r="B52" s="15" t="s">
        <v>6</v>
      </c>
      <c r="C52" s="12">
        <v>1414</v>
      </c>
      <c r="D52" s="13"/>
      <c r="E52" s="14"/>
      <c r="F52" s="13"/>
      <c r="G52" s="13"/>
      <c r="H52" s="13"/>
      <c r="I52" s="14"/>
      <c r="J52" s="13"/>
      <c r="K52" s="14"/>
      <c r="L52" s="13"/>
      <c r="M52" s="13"/>
      <c r="N52" s="14" t="s">
        <v>41</v>
      </c>
      <c r="O52" s="41"/>
      <c r="P52" s="42" t="s">
        <v>63</v>
      </c>
      <c r="Q52" s="42" t="s">
        <v>64</v>
      </c>
      <c r="R52" s="42" t="s">
        <v>65</v>
      </c>
    </row>
    <row r="53" spans="1:18" ht="16.5" customHeight="1" thickBot="1">
      <c r="A53" s="10" t="s">
        <v>92</v>
      </c>
      <c r="B53" s="15" t="s">
        <v>6</v>
      </c>
      <c r="C53" s="12">
        <v>1252</v>
      </c>
      <c r="D53" s="13"/>
      <c r="E53" s="13"/>
      <c r="F53" s="14"/>
      <c r="G53" s="13"/>
      <c r="H53" s="13"/>
      <c r="I53" s="14"/>
      <c r="J53" s="13"/>
      <c r="K53" s="13"/>
      <c r="L53" s="14"/>
      <c r="M53" s="13"/>
      <c r="N53" s="14" t="s">
        <v>42</v>
      </c>
      <c r="O53" s="43" t="s">
        <v>4</v>
      </c>
      <c r="P53" s="44">
        <f>(C54+C55+C56+C57+C59)</f>
        <v>3451</v>
      </c>
      <c r="Q53" s="46">
        <f>SUM(P53/P58)</f>
        <v>0.40141909968593698</v>
      </c>
      <c r="R53" s="41">
        <v>4</v>
      </c>
    </row>
    <row r="54" spans="1:18" ht="16.5" customHeight="1" thickBot="1">
      <c r="A54" s="10" t="s">
        <v>46</v>
      </c>
      <c r="B54" s="11" t="s">
        <v>4</v>
      </c>
      <c r="C54" s="13">
        <v>958</v>
      </c>
      <c r="D54" s="13">
        <v>973</v>
      </c>
      <c r="E54" s="13">
        <v>986</v>
      </c>
      <c r="F54" s="13">
        <v>987</v>
      </c>
      <c r="G54" s="16">
        <v>1003</v>
      </c>
      <c r="H54" s="12">
        <v>1063</v>
      </c>
      <c r="I54" s="14"/>
      <c r="J54" s="13"/>
      <c r="K54" s="13"/>
      <c r="L54" s="13"/>
      <c r="M54" s="13"/>
      <c r="N54" s="14" t="s">
        <v>44</v>
      </c>
      <c r="O54" s="45" t="s">
        <v>6</v>
      </c>
      <c r="P54" s="44">
        <f>SUM(C52+C53+C58+C64)</f>
        <v>3408</v>
      </c>
      <c r="Q54" s="46">
        <f>SUM(P54/P58)</f>
        <v>0.39641735489124114</v>
      </c>
      <c r="R54" s="41">
        <v>3</v>
      </c>
    </row>
    <row r="55" spans="1:18" ht="16.5" customHeight="1" thickBot="1">
      <c r="A55" s="10" t="s">
        <v>145</v>
      </c>
      <c r="B55" s="11" t="s">
        <v>4</v>
      </c>
      <c r="C55" s="13">
        <v>942</v>
      </c>
      <c r="D55" s="16">
        <v>1008</v>
      </c>
      <c r="E55" s="12">
        <v>1055</v>
      </c>
      <c r="F55" s="13"/>
      <c r="G55" s="13"/>
      <c r="H55" s="13"/>
      <c r="I55" s="14"/>
      <c r="J55" s="13"/>
      <c r="K55" s="14"/>
      <c r="L55" s="13"/>
      <c r="M55" s="13"/>
      <c r="N55" s="14" t="s">
        <v>43</v>
      </c>
      <c r="O55" s="74" t="s">
        <v>121</v>
      </c>
      <c r="P55" s="44">
        <v>362</v>
      </c>
      <c r="Q55" s="46">
        <f>SUM(P55/P58)</f>
        <v>4.2107711992555544E-2</v>
      </c>
      <c r="R55" s="41"/>
    </row>
    <row r="56" spans="1:18" ht="16.5" customHeight="1" thickBot="1">
      <c r="A56" s="10" t="s">
        <v>453</v>
      </c>
      <c r="B56" s="11" t="s">
        <v>4</v>
      </c>
      <c r="C56" s="13">
        <v>557</v>
      </c>
      <c r="D56" s="13">
        <v>603</v>
      </c>
      <c r="E56" s="13">
        <v>624</v>
      </c>
      <c r="F56" s="13">
        <v>626</v>
      </c>
      <c r="G56" s="13">
        <v>657</v>
      </c>
      <c r="H56" s="13">
        <v>659</v>
      </c>
      <c r="I56" s="13">
        <v>659</v>
      </c>
      <c r="J56" s="13">
        <v>674</v>
      </c>
      <c r="K56" s="13">
        <v>718</v>
      </c>
      <c r="L56" s="13">
        <v>846</v>
      </c>
      <c r="M56" s="12">
        <v>1020</v>
      </c>
      <c r="N56" s="14" t="s">
        <v>45</v>
      </c>
      <c r="O56" s="66" t="s">
        <v>60</v>
      </c>
      <c r="P56" s="20">
        <v>198</v>
      </c>
      <c r="Q56" s="46">
        <f>SUM(P56/P58)</f>
        <v>2.3031289984878446E-2</v>
      </c>
    </row>
    <row r="57" spans="1:18" ht="16.5" customHeight="1" thickBot="1">
      <c r="A57" s="17" t="s">
        <v>146</v>
      </c>
      <c r="B57" s="18" t="s">
        <v>4</v>
      </c>
      <c r="C57" s="13">
        <v>532</v>
      </c>
      <c r="D57" s="13">
        <v>538</v>
      </c>
      <c r="E57" s="13">
        <v>544</v>
      </c>
      <c r="F57" s="13">
        <v>544</v>
      </c>
      <c r="G57" s="13">
        <v>570</v>
      </c>
      <c r="H57" s="13">
        <v>655</v>
      </c>
      <c r="I57" s="13">
        <v>667</v>
      </c>
      <c r="J57" s="13">
        <v>673</v>
      </c>
      <c r="K57" s="13">
        <v>704</v>
      </c>
      <c r="L57" s="13">
        <v>735</v>
      </c>
      <c r="M57" s="13">
        <v>753</v>
      </c>
      <c r="N57" s="14"/>
      <c r="O57" s="68" t="s">
        <v>67</v>
      </c>
      <c r="P57" s="44">
        <f>(C60+C62+C63)</f>
        <v>920</v>
      </c>
      <c r="Q57" s="46">
        <f>SUM(P57/P58)</f>
        <v>0.10701407467721298</v>
      </c>
      <c r="R57" s="41"/>
    </row>
    <row r="58" spans="1:18" ht="16.5" customHeight="1" thickBot="1">
      <c r="A58" s="10" t="s">
        <v>55</v>
      </c>
      <c r="B58" s="15" t="s">
        <v>6</v>
      </c>
      <c r="C58" s="13">
        <v>520</v>
      </c>
      <c r="D58" s="13">
        <v>542</v>
      </c>
      <c r="E58" s="13">
        <v>557</v>
      </c>
      <c r="F58" s="13">
        <v>558</v>
      </c>
      <c r="G58" s="13">
        <v>558</v>
      </c>
      <c r="H58" s="13">
        <v>632</v>
      </c>
      <c r="I58" s="13">
        <v>637</v>
      </c>
      <c r="J58" s="13">
        <v>665</v>
      </c>
      <c r="K58" s="13">
        <v>716</v>
      </c>
      <c r="L58" s="13">
        <v>789</v>
      </c>
      <c r="M58" s="14">
        <v>807</v>
      </c>
      <c r="N58" s="14" t="s">
        <v>494</v>
      </c>
      <c r="O58" s="42"/>
      <c r="P58" s="72">
        <v>8597</v>
      </c>
      <c r="Q58" s="40"/>
      <c r="R58" s="20"/>
    </row>
    <row r="59" spans="1:18" ht="16.5" customHeight="1" thickBot="1">
      <c r="A59" s="10" t="s">
        <v>147</v>
      </c>
      <c r="B59" s="11" t="s">
        <v>4</v>
      </c>
      <c r="C59" s="13">
        <v>462</v>
      </c>
      <c r="D59" s="13">
        <v>510</v>
      </c>
      <c r="E59" s="13">
        <v>522</v>
      </c>
      <c r="F59" s="13">
        <v>525</v>
      </c>
      <c r="G59" s="13">
        <v>551</v>
      </c>
      <c r="H59" s="13">
        <v>552</v>
      </c>
      <c r="I59" s="13">
        <v>552</v>
      </c>
      <c r="J59" s="13">
        <v>595</v>
      </c>
      <c r="K59" s="13">
        <v>632</v>
      </c>
      <c r="L59" s="13">
        <v>666</v>
      </c>
      <c r="M59" s="14">
        <v>797</v>
      </c>
      <c r="N59" s="14" t="s">
        <v>495</v>
      </c>
    </row>
    <row r="60" spans="1:18" ht="16.5" customHeight="1" thickBot="1">
      <c r="A60" s="17" t="s">
        <v>113</v>
      </c>
      <c r="B60" s="13" t="s">
        <v>10</v>
      </c>
      <c r="C60" s="13">
        <v>387</v>
      </c>
      <c r="D60" s="13">
        <v>417</v>
      </c>
      <c r="E60" s="13">
        <v>432</v>
      </c>
      <c r="F60" s="13">
        <v>434</v>
      </c>
      <c r="G60" s="13">
        <v>469</v>
      </c>
      <c r="H60" s="13">
        <v>471</v>
      </c>
      <c r="I60" s="13">
        <v>472</v>
      </c>
      <c r="J60" s="13">
        <v>537</v>
      </c>
      <c r="K60" s="13">
        <v>571</v>
      </c>
      <c r="L60" s="13">
        <v>607</v>
      </c>
      <c r="M60" s="13" t="s">
        <v>17</v>
      </c>
    </row>
    <row r="61" spans="1:18" ht="16.5" customHeight="1" thickBot="1">
      <c r="A61" s="17" t="s">
        <v>114</v>
      </c>
      <c r="B61" s="61" t="s">
        <v>121</v>
      </c>
      <c r="C61" s="13">
        <v>362</v>
      </c>
      <c r="D61" s="13">
        <v>392</v>
      </c>
      <c r="E61" s="13">
        <v>416</v>
      </c>
      <c r="F61" s="13">
        <v>416</v>
      </c>
      <c r="G61" s="13">
        <v>426</v>
      </c>
      <c r="H61" s="13">
        <v>434</v>
      </c>
      <c r="I61" s="13">
        <v>434</v>
      </c>
      <c r="J61" s="13">
        <v>457</v>
      </c>
      <c r="K61" s="13">
        <v>516</v>
      </c>
      <c r="L61" s="13" t="s">
        <v>17</v>
      </c>
    </row>
    <row r="62" spans="1:18" ht="16.5" customHeight="1" thickBot="1">
      <c r="A62" s="17" t="s">
        <v>148</v>
      </c>
      <c r="B62" s="13" t="s">
        <v>10</v>
      </c>
      <c r="C62" s="13">
        <v>269</v>
      </c>
      <c r="D62" s="13">
        <v>273</v>
      </c>
      <c r="E62" s="13">
        <v>276</v>
      </c>
      <c r="F62" s="13">
        <v>276</v>
      </c>
      <c r="G62" s="13">
        <v>287</v>
      </c>
      <c r="H62" s="13" t="s">
        <v>17</v>
      </c>
    </row>
    <row r="63" spans="1:18" ht="16.5" customHeight="1" thickBot="1">
      <c r="A63" s="17" t="s">
        <v>149</v>
      </c>
      <c r="B63" s="13" t="s">
        <v>10</v>
      </c>
      <c r="C63" s="13">
        <v>264</v>
      </c>
      <c r="D63" s="13">
        <v>289</v>
      </c>
      <c r="E63" s="13">
        <v>319</v>
      </c>
      <c r="F63" s="13">
        <v>320</v>
      </c>
      <c r="G63" s="13">
        <v>327</v>
      </c>
      <c r="H63" s="13">
        <v>345</v>
      </c>
      <c r="I63" s="13">
        <v>347</v>
      </c>
      <c r="J63" s="13">
        <v>380</v>
      </c>
      <c r="K63" s="13" t="s">
        <v>17</v>
      </c>
    </row>
    <row r="64" spans="1:18" ht="16.5" customHeight="1" thickBot="1">
      <c r="A64" s="17" t="s">
        <v>116</v>
      </c>
      <c r="B64" s="19" t="s">
        <v>6</v>
      </c>
      <c r="C64" s="13">
        <v>222</v>
      </c>
      <c r="D64" s="13">
        <v>291</v>
      </c>
      <c r="E64" s="13">
        <v>308</v>
      </c>
      <c r="F64" s="13">
        <v>310</v>
      </c>
      <c r="G64" s="13">
        <v>326</v>
      </c>
      <c r="H64" s="13">
        <v>335</v>
      </c>
      <c r="I64" s="13">
        <v>335</v>
      </c>
      <c r="J64" s="13" t="s">
        <v>17</v>
      </c>
    </row>
    <row r="65" spans="1:9" ht="16.5" customHeight="1" thickBot="1">
      <c r="A65" s="17" t="s">
        <v>150</v>
      </c>
      <c r="B65" s="22" t="s">
        <v>60</v>
      </c>
      <c r="C65" s="13">
        <v>198</v>
      </c>
      <c r="D65" s="13">
        <v>208</v>
      </c>
      <c r="E65" s="13">
        <v>214</v>
      </c>
      <c r="F65" s="13">
        <v>214</v>
      </c>
      <c r="G65" s="13" t="s">
        <v>17</v>
      </c>
    </row>
    <row r="67" spans="1:9" ht="14.25">
      <c r="B67" s="27" t="s">
        <v>66</v>
      </c>
      <c r="C67" s="23" t="s">
        <v>4</v>
      </c>
      <c r="D67" s="24" t="s">
        <v>6</v>
      </c>
      <c r="E67" s="75" t="s">
        <v>121</v>
      </c>
      <c r="F67" s="25" t="s">
        <v>60</v>
      </c>
      <c r="G67" s="4" t="s">
        <v>67</v>
      </c>
      <c r="I67" s="4" t="s">
        <v>571</v>
      </c>
    </row>
    <row r="68" spans="1:9" ht="14.25">
      <c r="A68" s="27" t="s">
        <v>63</v>
      </c>
      <c r="B68" s="76">
        <f>SUM(8597+5738+5014+9069)</f>
        <v>28418</v>
      </c>
      <c r="C68" s="2">
        <f>SUM(P53+L40+K27+P17)</f>
        <v>11127</v>
      </c>
      <c r="D68" s="2">
        <f>SUM(P54+L41+K28+P18)</f>
        <v>10615</v>
      </c>
      <c r="E68" s="2">
        <f>SUM(P55+P19)</f>
        <v>1268</v>
      </c>
      <c r="F68" s="2">
        <v>198</v>
      </c>
      <c r="G68" s="2">
        <f>SUM(P57+L42+P20)</f>
        <v>4952</v>
      </c>
      <c r="I68" s="106">
        <f>SUM(13250+7975+7008+12926)</f>
        <v>41159</v>
      </c>
    </row>
    <row r="69" spans="1:9" s="28" customFormat="1" ht="14.25">
      <c r="A69" s="38" t="s">
        <v>64</v>
      </c>
      <c r="B69" s="39">
        <v>1</v>
      </c>
      <c r="C69" s="28">
        <f>SUM(C68/$B$68)</f>
        <v>0.39154761066929411</v>
      </c>
      <c r="D69" s="28">
        <f>SUM(D68/$B$68)</f>
        <v>0.37353086072207753</v>
      </c>
      <c r="E69" s="28">
        <f>SUM(E68/$B$68)</f>
        <v>4.4619607291153496E-2</v>
      </c>
      <c r="F69" s="28">
        <f>SUM(F68/$B$68)</f>
        <v>6.9674150186501511E-3</v>
      </c>
      <c r="G69" s="28">
        <f>SUM(G68/$B$68)</f>
        <v>0.1742557533957351</v>
      </c>
      <c r="I69" s="4" t="s">
        <v>99</v>
      </c>
    </row>
    <row r="70" spans="1:9" ht="14.25">
      <c r="A70" s="27" t="s">
        <v>65</v>
      </c>
      <c r="B70" s="32">
        <v>24</v>
      </c>
      <c r="C70">
        <v>11</v>
      </c>
      <c r="D70">
        <v>10</v>
      </c>
      <c r="E70">
        <v>1</v>
      </c>
      <c r="F70">
        <v>0</v>
      </c>
      <c r="G70">
        <v>2</v>
      </c>
      <c r="I70" s="28">
        <f>SUM(B68/I68)</f>
        <v>0.6904443742559343</v>
      </c>
    </row>
    <row r="71" spans="1:9" ht="14.25">
      <c r="A71" s="27"/>
      <c r="B71" s="39"/>
    </row>
    <row r="72" spans="1:9" ht="14.25">
      <c r="A72" s="27"/>
      <c r="B72" s="3"/>
    </row>
  </sheetData>
  <phoneticPr fontId="16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O60"/>
  <sheetViews>
    <sheetView workbookViewId="0">
      <selection activeCell="O1" sqref="O1"/>
    </sheetView>
  </sheetViews>
  <sheetFormatPr defaultRowHeight="12.75"/>
  <cols>
    <col min="1" max="1" width="23.42578125" customWidth="1"/>
    <col min="2" max="2" width="8.140625" customWidth="1"/>
    <col min="3" max="19" width="8.7109375" customWidth="1"/>
  </cols>
  <sheetData>
    <row r="1" spans="1:13" ht="16.5" customHeight="1">
      <c r="A1" s="6" t="s">
        <v>624</v>
      </c>
      <c r="B1" s="20"/>
      <c r="C1" s="20"/>
      <c r="D1" s="20"/>
      <c r="E1" s="20"/>
      <c r="F1" s="20"/>
      <c r="G1" s="20"/>
      <c r="H1" s="20"/>
      <c r="I1" s="20"/>
    </row>
    <row r="2" spans="1:13" ht="9.75" customHeight="1" thickBot="1">
      <c r="A2" s="6"/>
      <c r="B2" s="20"/>
      <c r="C2" s="20"/>
      <c r="D2" s="20"/>
      <c r="E2" s="20"/>
      <c r="F2" s="20"/>
      <c r="G2" s="20"/>
      <c r="H2" s="20"/>
      <c r="I2" s="20"/>
    </row>
    <row r="3" spans="1:13" ht="16.5" customHeight="1" thickBot="1">
      <c r="A3" s="8" t="s">
        <v>0</v>
      </c>
      <c r="B3" s="9" t="s">
        <v>1</v>
      </c>
      <c r="C3" s="9" t="s">
        <v>2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9"/>
      <c r="J3" s="42" t="s">
        <v>99</v>
      </c>
      <c r="K3" s="40">
        <f>SUM(8248/12729)</f>
        <v>0.64796920417943282</v>
      </c>
      <c r="M3" s="20"/>
    </row>
    <row r="4" spans="1:13" ht="16.5" customHeight="1" thickBot="1">
      <c r="A4" s="10" t="s">
        <v>68</v>
      </c>
      <c r="B4" s="15" t="s">
        <v>6</v>
      </c>
      <c r="C4" s="12">
        <v>1766</v>
      </c>
      <c r="D4" s="13"/>
      <c r="E4" s="14"/>
      <c r="F4" s="13"/>
      <c r="G4" s="13"/>
      <c r="H4" s="13"/>
      <c r="I4" s="14" t="s">
        <v>41</v>
      </c>
      <c r="J4" s="41"/>
      <c r="K4" s="42" t="s">
        <v>63</v>
      </c>
      <c r="L4" s="42" t="s">
        <v>64</v>
      </c>
      <c r="M4" s="42" t="s">
        <v>65</v>
      </c>
    </row>
    <row r="5" spans="1:13" ht="16.5" customHeight="1" thickBot="1">
      <c r="A5" s="10" t="s">
        <v>13</v>
      </c>
      <c r="B5" s="11" t="s">
        <v>4</v>
      </c>
      <c r="C5" s="12">
        <v>1124</v>
      </c>
      <c r="D5" s="13"/>
      <c r="E5" s="13"/>
      <c r="F5" s="14"/>
      <c r="G5" s="13"/>
      <c r="H5" s="13"/>
      <c r="I5" s="14" t="s">
        <v>42</v>
      </c>
      <c r="J5" s="43" t="s">
        <v>4</v>
      </c>
      <c r="K5" s="44">
        <f>SUM(C5+C8+C10+C12)</f>
        <v>2903</v>
      </c>
      <c r="L5" s="46">
        <f>SUM(K5/K9)</f>
        <v>0.35861642989499692</v>
      </c>
      <c r="M5" s="41">
        <v>3</v>
      </c>
    </row>
    <row r="6" spans="1:13" ht="16.5" customHeight="1" thickBot="1">
      <c r="A6" s="10" t="s">
        <v>70</v>
      </c>
      <c r="B6" s="15" t="s">
        <v>6</v>
      </c>
      <c r="C6" s="13">
        <v>945</v>
      </c>
      <c r="D6" s="12">
        <v>1024</v>
      </c>
      <c r="E6" s="13"/>
      <c r="F6" s="13"/>
      <c r="G6" s="13"/>
      <c r="H6" s="13"/>
      <c r="I6" s="14" t="s">
        <v>43</v>
      </c>
      <c r="J6" s="45" t="s">
        <v>6</v>
      </c>
      <c r="K6" s="44">
        <f>SUM(C4+C6+C11+C13)</f>
        <v>3627</v>
      </c>
      <c r="L6" s="46">
        <f>SUM(K6/K9)</f>
        <v>0.44805435453983938</v>
      </c>
      <c r="M6" s="41">
        <v>2</v>
      </c>
    </row>
    <row r="7" spans="1:13" ht="16.5" customHeight="1" thickBot="1">
      <c r="A7" s="10" t="s">
        <v>12</v>
      </c>
      <c r="B7" s="14" t="s">
        <v>10</v>
      </c>
      <c r="C7" s="13">
        <v>856</v>
      </c>
      <c r="D7" s="13">
        <v>899</v>
      </c>
      <c r="E7" s="13">
        <v>920</v>
      </c>
      <c r="F7" s="13">
        <v>923</v>
      </c>
      <c r="G7" s="13">
        <v>927</v>
      </c>
      <c r="H7" s="14">
        <v>950</v>
      </c>
      <c r="I7" s="14" t="s">
        <v>494</v>
      </c>
      <c r="J7" s="78" t="s">
        <v>101</v>
      </c>
      <c r="K7" s="44">
        <v>705</v>
      </c>
      <c r="L7" s="46">
        <f>SUM(K7/K9)</f>
        <v>8.7090796788140828E-2</v>
      </c>
      <c r="M7" s="41">
        <v>1</v>
      </c>
    </row>
    <row r="8" spans="1:13" ht="16.5" customHeight="1" thickBot="1">
      <c r="A8" s="10" t="s">
        <v>100</v>
      </c>
      <c r="B8" s="11" t="s">
        <v>4</v>
      </c>
      <c r="C8" s="13">
        <v>798</v>
      </c>
      <c r="D8" s="13">
        <v>826</v>
      </c>
      <c r="E8" s="13">
        <v>832</v>
      </c>
      <c r="F8" s="13">
        <v>832</v>
      </c>
      <c r="G8" s="13">
        <v>871</v>
      </c>
      <c r="H8" s="14">
        <v>930</v>
      </c>
      <c r="I8" s="14" t="s">
        <v>495</v>
      </c>
      <c r="J8" s="68" t="s">
        <v>67</v>
      </c>
      <c r="K8" s="44">
        <v>856</v>
      </c>
      <c r="L8" s="46">
        <f>SUM(K8/K9)</f>
        <v>0.10574428659666461</v>
      </c>
      <c r="M8" s="41">
        <v>1</v>
      </c>
    </row>
    <row r="9" spans="1:13" ht="16.5" customHeight="1" thickBot="1">
      <c r="A9" s="10" t="s">
        <v>9</v>
      </c>
      <c r="B9" s="94" t="s">
        <v>101</v>
      </c>
      <c r="C9" s="13">
        <v>705</v>
      </c>
      <c r="D9" s="13">
        <v>858</v>
      </c>
      <c r="E9" s="13">
        <v>888</v>
      </c>
      <c r="F9" s="13">
        <v>893</v>
      </c>
      <c r="G9" s="13">
        <v>969</v>
      </c>
      <c r="H9" s="12">
        <v>1017</v>
      </c>
      <c r="I9" s="14" t="s">
        <v>45</v>
      </c>
      <c r="J9" s="42"/>
      <c r="K9" s="72">
        <v>8095</v>
      </c>
      <c r="L9" s="40"/>
      <c r="M9" s="20"/>
    </row>
    <row r="10" spans="1:13" ht="16.5" customHeight="1" thickBot="1">
      <c r="A10" s="10" t="s">
        <v>73</v>
      </c>
      <c r="B10" s="11" t="s">
        <v>4</v>
      </c>
      <c r="C10" s="13">
        <v>537</v>
      </c>
      <c r="D10" s="13">
        <v>714</v>
      </c>
      <c r="E10" s="13">
        <v>754</v>
      </c>
      <c r="F10" s="13">
        <v>755</v>
      </c>
      <c r="G10" s="13">
        <v>794</v>
      </c>
      <c r="H10" s="12">
        <v>1039</v>
      </c>
      <c r="I10" s="14" t="s">
        <v>44</v>
      </c>
    </row>
    <row r="11" spans="1:13" ht="16.5" customHeight="1" thickBot="1">
      <c r="A11" s="17" t="s">
        <v>102</v>
      </c>
      <c r="B11" s="19" t="s">
        <v>6</v>
      </c>
      <c r="C11" s="13">
        <v>475</v>
      </c>
      <c r="D11" s="13">
        <v>601</v>
      </c>
      <c r="E11" s="13">
        <v>603</v>
      </c>
      <c r="F11" s="13">
        <v>604</v>
      </c>
      <c r="G11" s="13">
        <v>701</v>
      </c>
      <c r="H11" s="13">
        <v>716</v>
      </c>
      <c r="I11" s="13"/>
    </row>
    <row r="12" spans="1:13" ht="16.5" customHeight="1" thickBot="1">
      <c r="A12" s="17" t="s">
        <v>76</v>
      </c>
      <c r="B12" s="18" t="s">
        <v>4</v>
      </c>
      <c r="C12" s="13">
        <v>444</v>
      </c>
      <c r="D12" s="13">
        <v>520</v>
      </c>
      <c r="E12" s="13">
        <v>528</v>
      </c>
      <c r="F12" s="13">
        <v>529</v>
      </c>
      <c r="G12" s="13">
        <v>621</v>
      </c>
      <c r="H12" s="13" t="s">
        <v>17</v>
      </c>
    </row>
    <row r="13" spans="1:13" ht="16.5" customHeight="1" thickBot="1">
      <c r="A13" s="17" t="s">
        <v>103</v>
      </c>
      <c r="B13" s="19" t="s">
        <v>6</v>
      </c>
      <c r="C13" s="13">
        <v>441</v>
      </c>
      <c r="D13" s="13">
        <v>513</v>
      </c>
      <c r="E13" s="13">
        <v>518</v>
      </c>
      <c r="F13" s="13">
        <v>519</v>
      </c>
      <c r="G13" s="13" t="s">
        <v>17</v>
      </c>
    </row>
    <row r="14" spans="1:13" ht="9.75" customHeight="1"/>
    <row r="15" spans="1:13" ht="16.5" customHeight="1">
      <c r="A15" s="6" t="s">
        <v>460</v>
      </c>
      <c r="B15" s="20"/>
      <c r="C15" s="20"/>
      <c r="D15" s="20"/>
      <c r="E15" s="20"/>
      <c r="F15" s="20"/>
      <c r="G15" s="20"/>
      <c r="H15" s="20"/>
    </row>
    <row r="16" spans="1:13" ht="8.25" customHeight="1" thickBot="1">
      <c r="A16" s="6"/>
      <c r="B16" s="20"/>
      <c r="C16" s="20"/>
      <c r="D16" s="20"/>
      <c r="E16" s="20"/>
      <c r="F16" s="20"/>
      <c r="G16" s="20"/>
      <c r="H16" s="20"/>
    </row>
    <row r="17" spans="1:14" ht="16.5" customHeight="1" thickBot="1">
      <c r="A17" s="8" t="s">
        <v>0</v>
      </c>
      <c r="B17" s="9" t="s">
        <v>1</v>
      </c>
      <c r="C17" s="9" t="s">
        <v>2</v>
      </c>
      <c r="D17" s="9">
        <v>2</v>
      </c>
      <c r="E17" s="9">
        <v>3</v>
      </c>
      <c r="F17" s="9">
        <v>4</v>
      </c>
      <c r="G17" s="9">
        <v>5</v>
      </c>
      <c r="H17" s="9">
        <v>6</v>
      </c>
      <c r="I17" s="9">
        <v>7</v>
      </c>
      <c r="J17" s="9"/>
      <c r="K17" s="42" t="s">
        <v>99</v>
      </c>
      <c r="L17" s="40">
        <f>SUM(4812/6903)</f>
        <v>0.69708822251195135</v>
      </c>
      <c r="N17" s="20"/>
    </row>
    <row r="18" spans="1:14" ht="16.5" customHeight="1" thickBot="1">
      <c r="A18" s="10" t="s">
        <v>21</v>
      </c>
      <c r="B18" s="15" t="s">
        <v>6</v>
      </c>
      <c r="C18" s="14">
        <v>890</v>
      </c>
      <c r="D18" s="13"/>
      <c r="E18" s="13"/>
      <c r="F18" s="13"/>
      <c r="G18" s="13"/>
      <c r="H18" s="14"/>
      <c r="I18" s="14"/>
      <c r="J18" s="14" t="s">
        <v>41</v>
      </c>
      <c r="K18" s="41"/>
      <c r="L18" s="4" t="s">
        <v>63</v>
      </c>
      <c r="M18" s="4" t="s">
        <v>64</v>
      </c>
      <c r="N18" s="4" t="s">
        <v>65</v>
      </c>
    </row>
    <row r="19" spans="1:14" ht="16.5" customHeight="1" thickBot="1">
      <c r="A19" s="10" t="s">
        <v>104</v>
      </c>
      <c r="B19" s="11" t="s">
        <v>4</v>
      </c>
      <c r="C19" s="13">
        <v>733</v>
      </c>
      <c r="D19" s="13">
        <v>738</v>
      </c>
      <c r="E19" s="13">
        <v>746</v>
      </c>
      <c r="F19" s="13">
        <v>761</v>
      </c>
      <c r="G19" s="14">
        <v>893</v>
      </c>
      <c r="H19" s="13"/>
      <c r="I19" s="14"/>
      <c r="J19" s="14" t="s">
        <v>44</v>
      </c>
      <c r="K19" s="43" t="s">
        <v>4</v>
      </c>
      <c r="L19" s="44">
        <f>SUM(C19+C21+C24)</f>
        <v>1824</v>
      </c>
      <c r="M19" s="46">
        <f>SUM(L19/L22)</f>
        <v>0.38734338500743259</v>
      </c>
      <c r="N19" s="41">
        <v>2</v>
      </c>
    </row>
    <row r="20" spans="1:14" ht="16.5" customHeight="1" thickBot="1">
      <c r="A20" s="10" t="s">
        <v>105</v>
      </c>
      <c r="B20" s="94" t="s">
        <v>101</v>
      </c>
      <c r="C20" s="13">
        <v>711</v>
      </c>
      <c r="D20" s="13">
        <v>719</v>
      </c>
      <c r="E20" s="13">
        <v>746</v>
      </c>
      <c r="F20" s="14">
        <v>809</v>
      </c>
      <c r="G20" s="13"/>
      <c r="H20" s="14"/>
      <c r="I20" s="14"/>
      <c r="J20" s="14" t="s">
        <v>42</v>
      </c>
      <c r="K20" s="45" t="s">
        <v>6</v>
      </c>
      <c r="L20" s="44">
        <f>SUM(C18+C22+C23+C25)</f>
        <v>2011</v>
      </c>
      <c r="M20" s="46">
        <f>SUM(L20/L22)</f>
        <v>0.42705457634317262</v>
      </c>
      <c r="N20" s="41">
        <v>2</v>
      </c>
    </row>
    <row r="21" spans="1:14" ht="16.5" customHeight="1" thickBot="1">
      <c r="A21" s="10" t="s">
        <v>106</v>
      </c>
      <c r="B21" s="11" t="s">
        <v>4</v>
      </c>
      <c r="C21" s="13">
        <v>686</v>
      </c>
      <c r="D21" s="13">
        <v>696</v>
      </c>
      <c r="E21" s="13">
        <v>730</v>
      </c>
      <c r="F21" s="13">
        <v>738</v>
      </c>
      <c r="G21" s="14">
        <v>898</v>
      </c>
      <c r="H21" s="13"/>
      <c r="I21" s="14"/>
      <c r="J21" s="14" t="s">
        <v>43</v>
      </c>
      <c r="K21" s="78" t="s">
        <v>101</v>
      </c>
      <c r="L21" s="41">
        <f>SUM(C20+C26)</f>
        <v>874</v>
      </c>
      <c r="M21" s="46">
        <f>SUM(L21/L22)</f>
        <v>0.18560203864939478</v>
      </c>
      <c r="N21" s="41">
        <v>1</v>
      </c>
    </row>
    <row r="22" spans="1:14" ht="16.5" customHeight="1" thickBot="1">
      <c r="A22" s="10" t="s">
        <v>80</v>
      </c>
      <c r="B22" s="15" t="s">
        <v>6</v>
      </c>
      <c r="C22" s="13">
        <v>508</v>
      </c>
      <c r="D22" s="13">
        <v>518</v>
      </c>
      <c r="E22" s="13">
        <v>527</v>
      </c>
      <c r="F22" s="13">
        <v>591</v>
      </c>
      <c r="G22" s="13">
        <v>599</v>
      </c>
      <c r="H22" s="13">
        <v>604</v>
      </c>
      <c r="I22" s="14">
        <v>615</v>
      </c>
      <c r="J22" s="14" t="s">
        <v>45</v>
      </c>
      <c r="K22" s="41"/>
      <c r="L22" s="72">
        <v>4709</v>
      </c>
      <c r="M22" s="41"/>
      <c r="N22" s="41"/>
    </row>
    <row r="23" spans="1:14" ht="16.5" customHeight="1" thickBot="1">
      <c r="A23" s="17" t="s">
        <v>38</v>
      </c>
      <c r="B23" s="19" t="s">
        <v>6</v>
      </c>
      <c r="C23" s="13">
        <v>428</v>
      </c>
      <c r="D23" s="13">
        <v>459</v>
      </c>
      <c r="E23" s="13">
        <v>510</v>
      </c>
      <c r="F23" s="13">
        <v>531</v>
      </c>
      <c r="G23" s="13">
        <v>543</v>
      </c>
      <c r="H23" s="13">
        <v>545</v>
      </c>
      <c r="I23" s="13">
        <v>548</v>
      </c>
      <c r="J23" s="13"/>
    </row>
    <row r="24" spans="1:14" ht="16.5" customHeight="1" thickBot="1">
      <c r="A24" s="17" t="s">
        <v>107</v>
      </c>
      <c r="B24" s="18" t="s">
        <v>4</v>
      </c>
      <c r="C24" s="13">
        <v>405</v>
      </c>
      <c r="D24" s="13">
        <v>432</v>
      </c>
      <c r="E24" s="13">
        <v>433</v>
      </c>
      <c r="F24" s="13">
        <v>434</v>
      </c>
      <c r="G24" s="13" t="s">
        <v>17</v>
      </c>
    </row>
    <row r="25" spans="1:14" ht="16.5" customHeight="1" thickBot="1">
      <c r="A25" s="17" t="s">
        <v>108</v>
      </c>
      <c r="B25" s="19" t="s">
        <v>6</v>
      </c>
      <c r="C25" s="13">
        <v>185</v>
      </c>
      <c r="D25" s="13">
        <v>195</v>
      </c>
      <c r="E25" s="13">
        <v>197</v>
      </c>
      <c r="F25" s="13" t="s">
        <v>17</v>
      </c>
    </row>
    <row r="26" spans="1:14" ht="16.5" customHeight="1" thickBot="1">
      <c r="A26" s="17" t="s">
        <v>109</v>
      </c>
      <c r="B26" s="61" t="s">
        <v>101</v>
      </c>
      <c r="C26" s="13">
        <v>163</v>
      </c>
      <c r="D26" s="13">
        <v>167</v>
      </c>
      <c r="E26" s="13" t="s">
        <v>17</v>
      </c>
    </row>
    <row r="27" spans="1:14" ht="8.25" customHeight="1"/>
    <row r="28" spans="1:14" ht="16.5" customHeight="1">
      <c r="A28" s="6" t="s">
        <v>459</v>
      </c>
      <c r="B28" s="20"/>
      <c r="C28" s="20"/>
      <c r="D28" s="20"/>
      <c r="E28" s="20"/>
      <c r="F28" s="20"/>
      <c r="G28" s="20"/>
      <c r="H28" s="20"/>
      <c r="I28" s="20"/>
    </row>
    <row r="29" spans="1:14" ht="9" customHeight="1" thickBot="1">
      <c r="A29" s="6"/>
      <c r="B29" s="20"/>
      <c r="C29" s="20"/>
      <c r="D29" s="20"/>
      <c r="E29" s="20"/>
      <c r="F29" s="20"/>
      <c r="G29" s="20"/>
      <c r="H29" s="20"/>
      <c r="I29" s="20"/>
    </row>
    <row r="30" spans="1:14" ht="16.5" customHeight="1" thickBot="1">
      <c r="A30" s="8" t="s">
        <v>0</v>
      </c>
      <c r="B30" s="9" t="s">
        <v>1</v>
      </c>
      <c r="C30" s="9" t="s">
        <v>2</v>
      </c>
      <c r="D30" s="9">
        <v>2</v>
      </c>
      <c r="E30" s="9">
        <v>3</v>
      </c>
      <c r="F30" s="9">
        <v>4</v>
      </c>
      <c r="G30" s="9">
        <v>5</v>
      </c>
      <c r="H30" s="9">
        <v>6</v>
      </c>
      <c r="I30" s="9"/>
      <c r="J30" s="42" t="s">
        <v>99</v>
      </c>
      <c r="K30" s="40">
        <f>SUM(5513/8014)</f>
        <v>0.6879211380084852</v>
      </c>
      <c r="M30" s="20"/>
    </row>
    <row r="31" spans="1:14" ht="16.5" customHeight="1" thickBot="1">
      <c r="A31" s="10" t="s">
        <v>110</v>
      </c>
      <c r="B31" s="11" t="s">
        <v>4</v>
      </c>
      <c r="C31" s="14">
        <v>991</v>
      </c>
      <c r="D31" s="13"/>
      <c r="E31" s="13"/>
      <c r="F31" s="13"/>
      <c r="G31" s="13"/>
      <c r="H31" s="14"/>
      <c r="I31" s="14" t="s">
        <v>41</v>
      </c>
      <c r="J31" s="41"/>
      <c r="K31" s="42" t="s">
        <v>63</v>
      </c>
      <c r="L31" s="42" t="s">
        <v>64</v>
      </c>
      <c r="M31" s="42" t="s">
        <v>65</v>
      </c>
    </row>
    <row r="32" spans="1:14" ht="16.5" customHeight="1" thickBot="1">
      <c r="A32" s="10" t="s">
        <v>35</v>
      </c>
      <c r="B32" s="11" t="s">
        <v>4</v>
      </c>
      <c r="C32" s="13">
        <v>896</v>
      </c>
      <c r="D32" s="14">
        <v>912</v>
      </c>
      <c r="E32" s="13"/>
      <c r="F32" s="13"/>
      <c r="G32" s="14"/>
      <c r="H32" s="13"/>
      <c r="I32" s="14" t="s">
        <v>42</v>
      </c>
      <c r="J32" s="43" t="s">
        <v>4</v>
      </c>
      <c r="K32" s="44">
        <f>SUM(C31+C32+C35)</f>
        <v>2605</v>
      </c>
      <c r="L32" s="46">
        <f>SUM(K32/K36)</f>
        <v>0.48258614301593183</v>
      </c>
      <c r="M32" s="41">
        <v>3</v>
      </c>
    </row>
    <row r="33" spans="1:15" ht="16.5" customHeight="1" thickBot="1">
      <c r="A33" s="10" t="s">
        <v>31</v>
      </c>
      <c r="B33" s="15" t="s">
        <v>6</v>
      </c>
      <c r="C33" s="13">
        <v>854</v>
      </c>
      <c r="D33" s="13">
        <v>855</v>
      </c>
      <c r="E33" s="13">
        <v>855</v>
      </c>
      <c r="F33" s="13">
        <v>884</v>
      </c>
      <c r="G33" s="12">
        <v>1054</v>
      </c>
      <c r="H33" s="13"/>
      <c r="I33" s="14" t="s">
        <v>43</v>
      </c>
      <c r="J33" s="45" t="s">
        <v>6</v>
      </c>
      <c r="K33" s="44">
        <f>SUM(C33+C36+C37)</f>
        <v>1859</v>
      </c>
      <c r="L33" s="46">
        <f>SUM(K33/K36)</f>
        <v>0.34438680992960358</v>
      </c>
      <c r="M33" s="41">
        <v>1</v>
      </c>
    </row>
    <row r="34" spans="1:15" ht="16.5" customHeight="1" thickBot="1">
      <c r="A34" s="10" t="s">
        <v>36</v>
      </c>
      <c r="B34" s="14" t="s">
        <v>10</v>
      </c>
      <c r="C34" s="13">
        <v>795</v>
      </c>
      <c r="D34" s="13">
        <v>826</v>
      </c>
      <c r="E34" s="13">
        <v>826</v>
      </c>
      <c r="F34" s="13">
        <v>838</v>
      </c>
      <c r="G34" s="14">
        <v>947</v>
      </c>
      <c r="H34" s="13"/>
      <c r="I34" s="14" t="s">
        <v>44</v>
      </c>
      <c r="J34" s="78" t="s">
        <v>101</v>
      </c>
      <c r="K34" s="44">
        <v>140</v>
      </c>
      <c r="L34" s="46">
        <f>SUM(K34/K36)</f>
        <v>2.5935531678399407E-2</v>
      </c>
      <c r="M34" s="41"/>
    </row>
    <row r="35" spans="1:15" ht="16.5" customHeight="1" thickBot="1">
      <c r="A35" s="10" t="s">
        <v>84</v>
      </c>
      <c r="B35" s="11" t="s">
        <v>4</v>
      </c>
      <c r="C35" s="13">
        <v>718</v>
      </c>
      <c r="D35" s="13">
        <v>743</v>
      </c>
      <c r="E35" s="13">
        <v>754</v>
      </c>
      <c r="F35" s="13">
        <v>765</v>
      </c>
      <c r="G35" s="13">
        <v>842</v>
      </c>
      <c r="H35" s="14">
        <v>858</v>
      </c>
      <c r="I35" s="14" t="s">
        <v>45</v>
      </c>
      <c r="J35" s="68" t="s">
        <v>67</v>
      </c>
      <c r="K35" s="44">
        <v>795</v>
      </c>
      <c r="L35" s="46">
        <f>SUM(K35/K36)</f>
        <v>0.14727676917376806</v>
      </c>
      <c r="M35" s="41">
        <v>1</v>
      </c>
    </row>
    <row r="36" spans="1:15" ht="16.5" customHeight="1" thickBot="1">
      <c r="A36" s="17" t="s">
        <v>86</v>
      </c>
      <c r="B36" s="19" t="s">
        <v>6</v>
      </c>
      <c r="C36" s="13">
        <v>602</v>
      </c>
      <c r="D36" s="13">
        <v>605</v>
      </c>
      <c r="E36" s="13">
        <v>605</v>
      </c>
      <c r="F36" s="13">
        <v>660</v>
      </c>
      <c r="G36" s="13">
        <v>662</v>
      </c>
      <c r="H36" s="13">
        <v>702</v>
      </c>
      <c r="I36" s="13"/>
      <c r="J36" s="42"/>
      <c r="K36" s="72">
        <v>5398</v>
      </c>
      <c r="L36" s="40"/>
      <c r="M36" s="20"/>
    </row>
    <row r="37" spans="1:15" ht="16.5" customHeight="1" thickBot="1">
      <c r="A37" s="17" t="s">
        <v>83</v>
      </c>
      <c r="B37" s="19" t="s">
        <v>6</v>
      </c>
      <c r="C37" s="13">
        <v>403</v>
      </c>
      <c r="D37" s="13">
        <v>415</v>
      </c>
      <c r="E37" s="13">
        <v>415</v>
      </c>
      <c r="F37" s="13">
        <v>425</v>
      </c>
      <c r="G37" s="13" t="s">
        <v>17</v>
      </c>
    </row>
    <row r="38" spans="1:15" ht="16.5" customHeight="1" thickBot="1">
      <c r="A38" s="17" t="s">
        <v>111</v>
      </c>
      <c r="B38" s="61" t="s">
        <v>101</v>
      </c>
      <c r="C38" s="13">
        <v>140</v>
      </c>
      <c r="D38" s="13">
        <v>142</v>
      </c>
      <c r="E38" s="13">
        <v>142</v>
      </c>
      <c r="F38" s="13" t="s">
        <v>17</v>
      </c>
    </row>
    <row r="39" spans="1:15" ht="9" customHeight="1"/>
    <row r="40" spans="1:15" ht="16.5" customHeight="1">
      <c r="A40" s="6" t="s">
        <v>458</v>
      </c>
      <c r="B40" s="20"/>
      <c r="C40" s="20"/>
      <c r="D40" s="20"/>
      <c r="E40" s="20"/>
      <c r="F40" s="20"/>
      <c r="G40" s="20"/>
      <c r="H40" s="20"/>
    </row>
    <row r="41" spans="1:15" ht="9.75" customHeight="1" thickBot="1">
      <c r="A41" s="6"/>
      <c r="B41" s="20"/>
      <c r="C41" s="20"/>
      <c r="D41" s="20"/>
      <c r="E41" s="20"/>
      <c r="F41" s="20"/>
      <c r="G41" s="20"/>
      <c r="H41" s="20"/>
    </row>
    <row r="42" spans="1:15" ht="16.5" customHeight="1" thickBot="1">
      <c r="A42" s="8" t="s">
        <v>0</v>
      </c>
      <c r="B42" s="9" t="s">
        <v>1</v>
      </c>
      <c r="C42" s="9" t="s">
        <v>2</v>
      </c>
      <c r="D42" s="9">
        <v>2</v>
      </c>
      <c r="E42" s="9">
        <v>3</v>
      </c>
      <c r="F42" s="9">
        <v>4</v>
      </c>
      <c r="G42" s="9">
        <v>5</v>
      </c>
      <c r="H42" s="9">
        <v>6</v>
      </c>
      <c r="I42" s="9">
        <v>7</v>
      </c>
      <c r="J42" s="9">
        <v>8</v>
      </c>
      <c r="K42" s="9"/>
      <c r="L42" s="42" t="s">
        <v>99</v>
      </c>
      <c r="M42" s="40">
        <f>SUM(8563/13322)</f>
        <v>0.64277135565230448</v>
      </c>
      <c r="O42" s="20"/>
    </row>
    <row r="43" spans="1:15" ht="16.5" customHeight="1" thickBot="1">
      <c r="A43" s="10" t="s">
        <v>112</v>
      </c>
      <c r="B43" s="15" t="s">
        <v>6</v>
      </c>
      <c r="C43" s="12">
        <v>1698</v>
      </c>
      <c r="D43" s="13"/>
      <c r="E43" s="14"/>
      <c r="F43" s="13"/>
      <c r="G43" s="13"/>
      <c r="H43" s="13"/>
      <c r="I43" s="14"/>
      <c r="J43" s="13"/>
      <c r="K43" s="14" t="s">
        <v>41</v>
      </c>
      <c r="L43" s="41"/>
      <c r="M43" s="42" t="s">
        <v>63</v>
      </c>
      <c r="N43" s="42" t="s">
        <v>64</v>
      </c>
      <c r="O43" s="42" t="s">
        <v>65</v>
      </c>
    </row>
    <row r="44" spans="1:15" ht="16.5" customHeight="1" thickBot="1">
      <c r="A44" s="10" t="s">
        <v>91</v>
      </c>
      <c r="B44" s="31" t="s">
        <v>60</v>
      </c>
      <c r="C44" s="12">
        <v>1188</v>
      </c>
      <c r="D44" s="13"/>
      <c r="E44" s="13"/>
      <c r="F44" s="14"/>
      <c r="G44" s="13"/>
      <c r="H44" s="13"/>
      <c r="I44" s="14"/>
      <c r="J44" s="13"/>
      <c r="K44" s="14" t="s">
        <v>42</v>
      </c>
      <c r="L44" s="43" t="s">
        <v>4</v>
      </c>
      <c r="M44" s="44">
        <v>1066</v>
      </c>
      <c r="N44" s="46">
        <f>SUM(M44/M49)</f>
        <v>0.1283718689788054</v>
      </c>
      <c r="O44" s="41">
        <v>1</v>
      </c>
    </row>
    <row r="45" spans="1:15" ht="16.5" customHeight="1" thickBot="1">
      <c r="A45" s="10" t="s">
        <v>92</v>
      </c>
      <c r="B45" s="15" t="s">
        <v>6</v>
      </c>
      <c r="C45" s="12">
        <v>1074</v>
      </c>
      <c r="D45" s="13"/>
      <c r="E45" s="13"/>
      <c r="F45" s="13"/>
      <c r="G45" s="13"/>
      <c r="H45" s="13"/>
      <c r="I45" s="14"/>
      <c r="J45" s="13"/>
      <c r="K45" s="14" t="s">
        <v>43</v>
      </c>
      <c r="L45" s="45" t="s">
        <v>6</v>
      </c>
      <c r="M45" s="44">
        <f>SUM(C43+C45+C49+C51)</f>
        <v>3717</v>
      </c>
      <c r="N45" s="46">
        <f>SUM(M45/M49)</f>
        <v>0.44761560693641617</v>
      </c>
      <c r="O45" s="41">
        <v>4</v>
      </c>
    </row>
    <row r="46" spans="1:15" ht="16.5" customHeight="1" thickBot="1">
      <c r="A46" s="10" t="s">
        <v>46</v>
      </c>
      <c r="B46" s="11" t="s">
        <v>4</v>
      </c>
      <c r="C46" s="12">
        <v>1066</v>
      </c>
      <c r="D46" s="13"/>
      <c r="E46" s="13"/>
      <c r="F46" s="13"/>
      <c r="G46" s="13"/>
      <c r="H46" s="13"/>
      <c r="I46" s="14"/>
      <c r="J46" s="13"/>
      <c r="K46" s="14" t="s">
        <v>44</v>
      </c>
      <c r="L46" s="66" t="s">
        <v>60</v>
      </c>
      <c r="M46" s="44">
        <v>1188</v>
      </c>
      <c r="N46" s="46">
        <f>SUM(M46/M49)</f>
        <v>0.1430635838150289</v>
      </c>
      <c r="O46" s="41">
        <v>1</v>
      </c>
    </row>
    <row r="47" spans="1:15" ht="16.5" customHeight="1" thickBot="1">
      <c r="A47" s="10" t="s">
        <v>113</v>
      </c>
      <c r="B47" s="14" t="s">
        <v>10</v>
      </c>
      <c r="C47" s="13">
        <v>633</v>
      </c>
      <c r="D47" s="13">
        <v>750</v>
      </c>
      <c r="E47" s="13">
        <v>799</v>
      </c>
      <c r="F47" s="13">
        <v>805</v>
      </c>
      <c r="G47" s="13">
        <v>809</v>
      </c>
      <c r="H47" s="13">
        <v>925</v>
      </c>
      <c r="I47" s="13">
        <v>961</v>
      </c>
      <c r="J47" s="12">
        <v>1020</v>
      </c>
      <c r="K47" s="14" t="s">
        <v>45</v>
      </c>
      <c r="L47" s="78" t="s">
        <v>101</v>
      </c>
      <c r="M47" s="41">
        <f>SUM(C48+C50)</f>
        <v>973</v>
      </c>
      <c r="N47" s="46">
        <f>SUM(M47/M49)</f>
        <v>0.11717244701348747</v>
      </c>
      <c r="O47" s="41"/>
    </row>
    <row r="48" spans="1:15" ht="16.5" customHeight="1" thickBot="1">
      <c r="A48" s="17" t="s">
        <v>114</v>
      </c>
      <c r="B48" s="61" t="s">
        <v>101</v>
      </c>
      <c r="C48" s="13">
        <v>540</v>
      </c>
      <c r="D48" s="13">
        <v>612</v>
      </c>
      <c r="E48" s="13">
        <v>623</v>
      </c>
      <c r="F48" s="13">
        <v>632</v>
      </c>
      <c r="G48" s="13">
        <v>633</v>
      </c>
      <c r="H48" s="13">
        <v>658</v>
      </c>
      <c r="I48" s="13">
        <v>718</v>
      </c>
      <c r="J48" s="13">
        <v>802</v>
      </c>
      <c r="K48" s="14"/>
      <c r="L48" s="42" t="s">
        <v>67</v>
      </c>
      <c r="M48" s="41">
        <f>SUM(C47+C52+C53)</f>
        <v>1360</v>
      </c>
      <c r="N48" s="46">
        <f>SUM(M48/M49)</f>
        <v>0.16377649325626203</v>
      </c>
      <c r="O48" s="41">
        <v>1</v>
      </c>
    </row>
    <row r="49" spans="1:15" ht="16.5" customHeight="1" thickBot="1">
      <c r="A49" s="10" t="s">
        <v>55</v>
      </c>
      <c r="B49" s="15" t="s">
        <v>6</v>
      </c>
      <c r="C49" s="13">
        <v>531</v>
      </c>
      <c r="D49" s="13">
        <v>608</v>
      </c>
      <c r="E49" s="13">
        <v>613</v>
      </c>
      <c r="F49" s="13">
        <v>617</v>
      </c>
      <c r="G49" s="13">
        <v>626</v>
      </c>
      <c r="H49" s="13">
        <v>658</v>
      </c>
      <c r="I49" s="13">
        <v>733</v>
      </c>
      <c r="J49" s="14">
        <v>846</v>
      </c>
      <c r="K49" s="14" t="s">
        <v>495</v>
      </c>
      <c r="L49" s="41"/>
      <c r="M49" s="72">
        <v>8304</v>
      </c>
      <c r="N49" s="41"/>
      <c r="O49" s="41"/>
    </row>
    <row r="50" spans="1:15" ht="16.5" customHeight="1" thickBot="1">
      <c r="A50" s="17" t="s">
        <v>115</v>
      </c>
      <c r="B50" s="61" t="s">
        <v>101</v>
      </c>
      <c r="C50" s="13">
        <v>433</v>
      </c>
      <c r="D50" s="13">
        <v>471</v>
      </c>
      <c r="E50" s="13">
        <v>486</v>
      </c>
      <c r="F50" s="13">
        <v>488</v>
      </c>
      <c r="G50" s="13">
        <v>491</v>
      </c>
      <c r="H50" s="13">
        <v>528</v>
      </c>
      <c r="I50" s="13">
        <v>579</v>
      </c>
      <c r="J50" s="13" t="s">
        <v>17</v>
      </c>
    </row>
    <row r="51" spans="1:15" ht="16.5" customHeight="1" thickBot="1">
      <c r="A51" s="10" t="s">
        <v>116</v>
      </c>
      <c r="B51" s="15" t="s">
        <v>6</v>
      </c>
      <c r="C51" s="13">
        <v>414</v>
      </c>
      <c r="D51" s="13">
        <v>689</v>
      </c>
      <c r="E51" s="13">
        <v>734</v>
      </c>
      <c r="F51" s="13">
        <v>743</v>
      </c>
      <c r="G51" s="13">
        <v>744</v>
      </c>
      <c r="H51" s="13">
        <v>817</v>
      </c>
      <c r="I51" s="13">
        <v>829</v>
      </c>
      <c r="J51" s="14">
        <v>861</v>
      </c>
      <c r="K51" s="14" t="s">
        <v>494</v>
      </c>
    </row>
    <row r="52" spans="1:15" ht="16.5" customHeight="1" thickBot="1">
      <c r="A52" s="17" t="s">
        <v>117</v>
      </c>
      <c r="B52" s="13" t="s">
        <v>10</v>
      </c>
      <c r="C52" s="13">
        <v>387</v>
      </c>
      <c r="D52" s="13">
        <v>418</v>
      </c>
      <c r="E52" s="13">
        <v>424</v>
      </c>
      <c r="F52" s="13">
        <v>426</v>
      </c>
      <c r="G52" s="13">
        <v>432</v>
      </c>
      <c r="H52" s="13">
        <v>458</v>
      </c>
      <c r="I52" s="13" t="s">
        <v>17</v>
      </c>
    </row>
    <row r="53" spans="1:15" ht="16.5" customHeight="1" thickBot="1">
      <c r="A53" s="17" t="s">
        <v>118</v>
      </c>
      <c r="B53" s="13" t="s">
        <v>10</v>
      </c>
      <c r="C53" s="13">
        <v>340</v>
      </c>
      <c r="D53" s="13">
        <v>389</v>
      </c>
      <c r="E53" s="13">
        <v>407</v>
      </c>
      <c r="F53" s="13">
        <v>410</v>
      </c>
      <c r="G53" s="13">
        <v>413</v>
      </c>
      <c r="H53" s="13" t="s">
        <v>17</v>
      </c>
    </row>
    <row r="54" spans="1:15" ht="12" customHeight="1">
      <c r="A54" s="7"/>
      <c r="B54" s="20"/>
      <c r="C54" s="20"/>
      <c r="D54" s="20"/>
      <c r="E54" s="20"/>
      <c r="F54" s="20"/>
      <c r="G54" s="20"/>
      <c r="H54" s="20"/>
    </row>
    <row r="55" spans="1:15" s="4" customFormat="1" ht="13.5" customHeight="1">
      <c r="B55" s="4" t="s">
        <v>66</v>
      </c>
      <c r="C55" s="23" t="s">
        <v>4</v>
      </c>
      <c r="D55" s="24" t="s">
        <v>6</v>
      </c>
      <c r="E55" s="25" t="s">
        <v>60</v>
      </c>
      <c r="F55" s="75" t="s">
        <v>101</v>
      </c>
      <c r="G55" s="4" t="s">
        <v>67</v>
      </c>
      <c r="I55" s="4" t="s">
        <v>571</v>
      </c>
    </row>
    <row r="56" spans="1:15" ht="13.5" customHeight="1">
      <c r="A56" s="4" t="s">
        <v>63</v>
      </c>
      <c r="B56" s="105">
        <f>SUM(8304+5398+4709+8095)</f>
        <v>26506</v>
      </c>
      <c r="C56" s="106">
        <f>SUM(M44+K32+L19+K5)</f>
        <v>8398</v>
      </c>
      <c r="D56" s="106">
        <f>SUM(M45+K33+L20+K6)</f>
        <v>11214</v>
      </c>
      <c r="E56" s="109">
        <v>1188</v>
      </c>
      <c r="F56" s="106">
        <f>SUM(M47+K34+L21+K7)</f>
        <v>2692</v>
      </c>
      <c r="G56" s="106">
        <f>SUM(M48+K35+K8)</f>
        <v>3011</v>
      </c>
      <c r="I56" s="106">
        <f>SUM(13322+8014+6903+12729)</f>
        <v>40968</v>
      </c>
    </row>
    <row r="57" spans="1:15" s="28" customFormat="1" ht="13.5" customHeight="1">
      <c r="A57" s="29" t="s">
        <v>64</v>
      </c>
      <c r="B57" s="29">
        <v>1</v>
      </c>
      <c r="C57" s="28">
        <f>SUM(C56/$B$56)</f>
        <v>0.31683392439447672</v>
      </c>
      <c r="D57" s="28">
        <f>SUM(D56/$B$56)</f>
        <v>0.42307402097638269</v>
      </c>
      <c r="E57" s="28">
        <f>SUM(E56/$B$56)</f>
        <v>4.4820040745491584E-2</v>
      </c>
      <c r="F57" s="28">
        <f>SUM(F56/$B$56)</f>
        <v>0.10156191051082773</v>
      </c>
      <c r="G57" s="28">
        <f>SUM(G56/$B$56)</f>
        <v>0.11359692145174677</v>
      </c>
      <c r="I57" s="4" t="s">
        <v>99</v>
      </c>
    </row>
    <row r="58" spans="1:15" ht="13.5" customHeight="1">
      <c r="A58" s="4" t="s">
        <v>65</v>
      </c>
      <c r="B58" s="4">
        <v>24</v>
      </c>
      <c r="C58">
        <v>9</v>
      </c>
      <c r="D58">
        <v>9</v>
      </c>
      <c r="E58">
        <v>1</v>
      </c>
      <c r="F58">
        <v>2</v>
      </c>
      <c r="G58">
        <v>3</v>
      </c>
      <c r="I58" s="28">
        <f>SUM(B56/I56)</f>
        <v>0.64699277484866236</v>
      </c>
    </row>
    <row r="59" spans="1:15">
      <c r="A59" s="4"/>
      <c r="B59" s="29"/>
    </row>
    <row r="60" spans="1:15">
      <c r="A60" s="3"/>
    </row>
  </sheetData>
  <phoneticPr fontId="16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Q67"/>
  <sheetViews>
    <sheetView workbookViewId="0">
      <selection activeCell="P1" sqref="P1"/>
    </sheetView>
  </sheetViews>
  <sheetFormatPr defaultRowHeight="12.75"/>
  <cols>
    <col min="1" max="1" width="23.140625" customWidth="1"/>
    <col min="2" max="2" width="8.140625" customWidth="1"/>
    <col min="3" max="19" width="8.7109375" customWidth="1"/>
  </cols>
  <sheetData>
    <row r="1" spans="1:16" s="7" customFormat="1" ht="16.5" customHeight="1">
      <c r="A1" s="6" t="s">
        <v>621</v>
      </c>
    </row>
    <row r="2" spans="1:16" s="7" customFormat="1" ht="6.75" customHeight="1" thickBot="1">
      <c r="A2" s="6"/>
    </row>
    <row r="3" spans="1:16" s="7" customFormat="1" ht="16.5" customHeight="1" thickBot="1">
      <c r="A3" s="8" t="s">
        <v>0</v>
      </c>
      <c r="B3" s="9" t="s">
        <v>1</v>
      </c>
      <c r="C3" s="9" t="s">
        <v>2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9">
        <v>7</v>
      </c>
      <c r="J3" s="9">
        <v>8</v>
      </c>
      <c r="K3" s="9">
        <v>9</v>
      </c>
      <c r="L3" s="9"/>
      <c r="M3" s="42" t="s">
        <v>99</v>
      </c>
      <c r="N3" s="40">
        <f>SUM(8199/11943)</f>
        <v>0.68651092690278825</v>
      </c>
      <c r="P3" s="20"/>
    </row>
    <row r="4" spans="1:16" s="7" customFormat="1" ht="16.5" customHeight="1" thickBot="1">
      <c r="A4" s="10" t="s">
        <v>8</v>
      </c>
      <c r="B4" s="11" t="s">
        <v>4</v>
      </c>
      <c r="C4" s="12">
        <v>1029</v>
      </c>
      <c r="D4" s="13"/>
      <c r="E4" s="14"/>
      <c r="F4" s="13"/>
      <c r="G4" s="13"/>
      <c r="H4" s="13"/>
      <c r="I4" s="14"/>
      <c r="J4" s="14"/>
      <c r="K4" s="13"/>
      <c r="L4" s="14" t="s">
        <v>41</v>
      </c>
      <c r="M4" s="41"/>
      <c r="N4" s="4" t="s">
        <v>63</v>
      </c>
      <c r="O4" s="4" t="s">
        <v>64</v>
      </c>
      <c r="P4" s="4" t="s">
        <v>65</v>
      </c>
    </row>
    <row r="5" spans="1:16" s="7" customFormat="1" ht="16.5" customHeight="1" thickBot="1">
      <c r="A5" s="10" t="s">
        <v>68</v>
      </c>
      <c r="B5" s="15" t="s">
        <v>6</v>
      </c>
      <c r="C5" s="16">
        <v>1010</v>
      </c>
      <c r="D5" s="16">
        <v>1011</v>
      </c>
      <c r="E5" s="12">
        <v>1027</v>
      </c>
      <c r="F5" s="14"/>
      <c r="G5" s="13"/>
      <c r="H5" s="13"/>
      <c r="I5" s="14"/>
      <c r="J5" s="13"/>
      <c r="K5" s="14"/>
      <c r="L5" s="14" t="s">
        <v>42</v>
      </c>
      <c r="M5" s="43" t="s">
        <v>4</v>
      </c>
      <c r="N5" s="44">
        <f>SUM(C4+C6+C13)</f>
        <v>2259</v>
      </c>
      <c r="O5" s="46">
        <f>SUM(N5/N8)</f>
        <v>0.27789395989666626</v>
      </c>
      <c r="P5" s="41">
        <v>2</v>
      </c>
    </row>
    <row r="6" spans="1:16" s="7" customFormat="1" ht="16.5" customHeight="1" thickBot="1">
      <c r="A6" s="10" t="s">
        <v>13</v>
      </c>
      <c r="B6" s="11" t="s">
        <v>4</v>
      </c>
      <c r="C6" s="13">
        <v>844</v>
      </c>
      <c r="D6" s="13">
        <v>845</v>
      </c>
      <c r="E6" s="13">
        <v>847</v>
      </c>
      <c r="F6" s="13">
        <v>847</v>
      </c>
      <c r="G6" s="13">
        <v>855</v>
      </c>
      <c r="H6" s="13">
        <v>929</v>
      </c>
      <c r="I6" s="13">
        <v>954</v>
      </c>
      <c r="J6" s="13">
        <v>980</v>
      </c>
      <c r="K6" s="12">
        <v>1090</v>
      </c>
      <c r="L6" s="14" t="s">
        <v>44</v>
      </c>
      <c r="M6" s="45" t="s">
        <v>6</v>
      </c>
      <c r="N6" s="44">
        <f>SUM(C5+C8+C10+C12+C14+C15)</f>
        <v>3424</v>
      </c>
      <c r="O6" s="46">
        <f>SUM(N6/N8)</f>
        <v>0.42120802066674867</v>
      </c>
      <c r="P6" s="41">
        <v>3</v>
      </c>
    </row>
    <row r="7" spans="1:16" s="7" customFormat="1" ht="16.5" customHeight="1" thickBot="1">
      <c r="A7" s="10" t="s">
        <v>9</v>
      </c>
      <c r="B7" s="14" t="s">
        <v>69</v>
      </c>
      <c r="C7" s="13">
        <v>830</v>
      </c>
      <c r="D7" s="13">
        <v>831</v>
      </c>
      <c r="E7" s="13">
        <v>855</v>
      </c>
      <c r="F7" s="13">
        <v>856</v>
      </c>
      <c r="G7" s="13">
        <v>884</v>
      </c>
      <c r="H7" s="13">
        <v>937</v>
      </c>
      <c r="I7" s="13">
        <v>979</v>
      </c>
      <c r="J7" s="16">
        <v>1003</v>
      </c>
      <c r="K7" s="12">
        <v>1098</v>
      </c>
      <c r="L7" s="14" t="s">
        <v>43</v>
      </c>
      <c r="M7" s="42" t="s">
        <v>67</v>
      </c>
      <c r="N7" s="41">
        <f>SUM(C7+C9+C11+C16+C17)</f>
        <v>2446</v>
      </c>
      <c r="O7" s="46">
        <f>SUM(N7/N8)</f>
        <v>0.30089801943658506</v>
      </c>
      <c r="P7" s="41">
        <v>2</v>
      </c>
    </row>
    <row r="8" spans="1:16" s="7" customFormat="1" ht="16.5" customHeight="1" thickBot="1">
      <c r="A8" s="10" t="s">
        <v>70</v>
      </c>
      <c r="B8" s="15" t="s">
        <v>6</v>
      </c>
      <c r="C8" s="13">
        <v>752</v>
      </c>
      <c r="D8" s="13">
        <v>752</v>
      </c>
      <c r="E8" s="13">
        <v>752</v>
      </c>
      <c r="F8" s="13">
        <v>752</v>
      </c>
      <c r="G8" s="13">
        <v>753</v>
      </c>
      <c r="H8" s="13">
        <v>808</v>
      </c>
      <c r="I8" s="13">
        <v>825</v>
      </c>
      <c r="J8" s="16">
        <v>1014</v>
      </c>
      <c r="K8" s="12">
        <v>1021</v>
      </c>
      <c r="L8" s="14" t="s">
        <v>45</v>
      </c>
      <c r="M8" s="41"/>
      <c r="N8" s="72">
        <v>8129</v>
      </c>
      <c r="O8" s="41"/>
      <c r="P8" s="41"/>
    </row>
    <row r="9" spans="1:16" s="7" customFormat="1" ht="16.5" customHeight="1" thickBot="1">
      <c r="A9" s="10" t="s">
        <v>12</v>
      </c>
      <c r="B9" s="14" t="s">
        <v>10</v>
      </c>
      <c r="C9" s="13">
        <v>751</v>
      </c>
      <c r="D9" s="13">
        <v>751</v>
      </c>
      <c r="E9" s="13">
        <v>753</v>
      </c>
      <c r="F9" s="13">
        <v>753</v>
      </c>
      <c r="G9" s="13">
        <v>758</v>
      </c>
      <c r="H9" s="13">
        <v>759</v>
      </c>
      <c r="I9" s="13">
        <v>765</v>
      </c>
      <c r="J9" s="13">
        <v>848</v>
      </c>
      <c r="K9" s="14">
        <v>905</v>
      </c>
      <c r="L9" s="14" t="s">
        <v>495</v>
      </c>
    </row>
    <row r="10" spans="1:16" s="7" customFormat="1" ht="16.5" customHeight="1" thickBot="1">
      <c r="A10" s="10" t="s">
        <v>71</v>
      </c>
      <c r="B10" s="15" t="s">
        <v>6</v>
      </c>
      <c r="C10" s="13">
        <v>708</v>
      </c>
      <c r="D10" s="13">
        <v>711</v>
      </c>
      <c r="E10" s="13">
        <v>765</v>
      </c>
      <c r="F10" s="13">
        <v>773</v>
      </c>
      <c r="G10" s="13">
        <v>783</v>
      </c>
      <c r="H10" s="13">
        <v>806</v>
      </c>
      <c r="I10" s="13">
        <v>864</v>
      </c>
      <c r="J10" s="13">
        <v>892</v>
      </c>
      <c r="K10" s="14">
        <v>931</v>
      </c>
      <c r="L10" s="14" t="s">
        <v>494</v>
      </c>
    </row>
    <row r="11" spans="1:16" s="7" customFormat="1" ht="16.5" customHeight="1" thickBot="1">
      <c r="A11" s="17" t="s">
        <v>72</v>
      </c>
      <c r="B11" s="13" t="s">
        <v>10</v>
      </c>
      <c r="C11" s="13">
        <v>518</v>
      </c>
      <c r="D11" s="13">
        <v>519</v>
      </c>
      <c r="E11" s="13">
        <v>522</v>
      </c>
      <c r="F11" s="13">
        <v>522</v>
      </c>
      <c r="G11" s="13">
        <v>540</v>
      </c>
      <c r="H11" s="13">
        <v>563</v>
      </c>
      <c r="I11" s="13">
        <v>644</v>
      </c>
      <c r="J11" s="13">
        <v>649</v>
      </c>
      <c r="K11" s="13">
        <v>689</v>
      </c>
      <c r="L11" s="13"/>
    </row>
    <row r="12" spans="1:16" s="7" customFormat="1" ht="16.5" customHeight="1" thickBot="1">
      <c r="A12" s="17" t="s">
        <v>16</v>
      </c>
      <c r="B12" s="19" t="s">
        <v>6</v>
      </c>
      <c r="C12" s="13">
        <v>391</v>
      </c>
      <c r="D12" s="13">
        <v>391</v>
      </c>
      <c r="E12" s="13">
        <v>391</v>
      </c>
      <c r="F12" s="13">
        <v>391</v>
      </c>
      <c r="G12" s="13">
        <v>393</v>
      </c>
      <c r="H12" s="13">
        <v>404</v>
      </c>
      <c r="I12" s="13">
        <v>410</v>
      </c>
      <c r="J12" s="13" t="s">
        <v>17</v>
      </c>
    </row>
    <row r="13" spans="1:16" s="7" customFormat="1" ht="16.5" customHeight="1" thickBot="1">
      <c r="A13" s="17" t="s">
        <v>73</v>
      </c>
      <c r="B13" s="18" t="s">
        <v>4</v>
      </c>
      <c r="C13" s="13">
        <v>386</v>
      </c>
      <c r="D13" s="13">
        <v>390</v>
      </c>
      <c r="E13" s="13">
        <v>398</v>
      </c>
      <c r="F13" s="13">
        <v>398</v>
      </c>
      <c r="G13" s="13">
        <v>464</v>
      </c>
      <c r="H13" s="13">
        <v>466</v>
      </c>
      <c r="I13" s="13">
        <v>518</v>
      </c>
      <c r="J13" s="13">
        <v>525</v>
      </c>
      <c r="K13" s="13" t="s">
        <v>17</v>
      </c>
    </row>
    <row r="14" spans="1:16" s="7" customFormat="1" ht="16.5" customHeight="1" thickBot="1">
      <c r="A14" s="17" t="s">
        <v>74</v>
      </c>
      <c r="B14" s="19" t="s">
        <v>6</v>
      </c>
      <c r="C14" s="13">
        <v>284</v>
      </c>
      <c r="D14" s="13">
        <v>284</v>
      </c>
      <c r="E14" s="13">
        <v>284</v>
      </c>
      <c r="F14" s="13">
        <v>285</v>
      </c>
      <c r="G14" s="13">
        <v>316</v>
      </c>
      <c r="H14" s="13">
        <v>337</v>
      </c>
      <c r="I14" s="13" t="s">
        <v>17</v>
      </c>
    </row>
    <row r="15" spans="1:16" s="7" customFormat="1" ht="16.5" customHeight="1" thickBot="1">
      <c r="A15" s="17" t="s">
        <v>75</v>
      </c>
      <c r="B15" s="19" t="s">
        <v>6</v>
      </c>
      <c r="C15" s="13">
        <v>279</v>
      </c>
      <c r="D15" s="13">
        <v>279</v>
      </c>
      <c r="E15" s="13">
        <v>279</v>
      </c>
      <c r="F15" s="13">
        <v>279</v>
      </c>
      <c r="G15" s="13">
        <v>281</v>
      </c>
      <c r="H15" s="13" t="s">
        <v>17</v>
      </c>
    </row>
    <row r="16" spans="1:16" s="7" customFormat="1" ht="16.5" customHeight="1" thickBot="1">
      <c r="A16" s="17" t="s">
        <v>76</v>
      </c>
      <c r="B16" s="13" t="s">
        <v>10</v>
      </c>
      <c r="C16" s="13">
        <v>200</v>
      </c>
      <c r="D16" s="13">
        <v>200</v>
      </c>
      <c r="E16" s="13">
        <v>204</v>
      </c>
      <c r="F16" s="13">
        <v>204</v>
      </c>
      <c r="G16" s="13" t="s">
        <v>17</v>
      </c>
    </row>
    <row r="17" spans="1:13" s="7" customFormat="1" ht="16.5" customHeight="1" thickBot="1">
      <c r="A17" s="17" t="s">
        <v>77</v>
      </c>
      <c r="B17" s="13" t="s">
        <v>10</v>
      </c>
      <c r="C17" s="13">
        <v>147</v>
      </c>
      <c r="D17" s="13">
        <v>148</v>
      </c>
      <c r="E17" s="13" t="s">
        <v>17</v>
      </c>
    </row>
    <row r="18" spans="1:13" ht="7.5" customHeight="1"/>
    <row r="19" spans="1:13" ht="16.5" customHeight="1">
      <c r="A19" s="6" t="s">
        <v>455</v>
      </c>
      <c r="B19" s="20"/>
      <c r="C19" s="20"/>
      <c r="D19" s="20"/>
      <c r="E19" s="20"/>
      <c r="F19" s="20"/>
      <c r="G19" s="20"/>
      <c r="H19" s="20"/>
      <c r="I19" s="20"/>
    </row>
    <row r="20" spans="1:13" ht="9" customHeight="1" thickBot="1">
      <c r="A20" s="6"/>
      <c r="B20" s="20"/>
      <c r="C20" s="20"/>
      <c r="D20" s="20"/>
      <c r="E20" s="20"/>
      <c r="F20" s="20"/>
      <c r="G20" s="20"/>
      <c r="H20" s="20"/>
      <c r="I20" s="20"/>
    </row>
    <row r="21" spans="1:13" ht="16.5" customHeight="1" thickBot="1">
      <c r="A21" s="8" t="s">
        <v>0</v>
      </c>
      <c r="B21" s="9" t="s">
        <v>1</v>
      </c>
      <c r="C21" s="9" t="s">
        <v>2</v>
      </c>
      <c r="D21" s="9">
        <v>2</v>
      </c>
      <c r="E21" s="9">
        <v>3</v>
      </c>
      <c r="F21" s="9">
        <v>4</v>
      </c>
      <c r="G21" s="9">
        <v>5</v>
      </c>
      <c r="H21" s="9">
        <v>6</v>
      </c>
      <c r="I21" s="9"/>
      <c r="J21" s="42" t="s">
        <v>99</v>
      </c>
      <c r="K21" s="40">
        <f>SUM(4200/6528)</f>
        <v>0.64338235294117652</v>
      </c>
      <c r="M21" s="20"/>
    </row>
    <row r="22" spans="1:13" ht="16.5" customHeight="1" thickBot="1">
      <c r="A22" s="10" t="s">
        <v>21</v>
      </c>
      <c r="B22" s="15" t="s">
        <v>6</v>
      </c>
      <c r="C22" s="14">
        <v>727</v>
      </c>
      <c r="D22" s="13"/>
      <c r="E22" s="13"/>
      <c r="F22" s="13"/>
      <c r="G22" s="13"/>
      <c r="H22" s="14"/>
      <c r="I22" s="14" t="s">
        <v>41</v>
      </c>
      <c r="J22" s="41"/>
      <c r="K22" s="4" t="s">
        <v>63</v>
      </c>
      <c r="L22" s="4" t="s">
        <v>64</v>
      </c>
      <c r="M22" s="4" t="s">
        <v>65</v>
      </c>
    </row>
    <row r="23" spans="1:13" ht="16.5" customHeight="1" thickBot="1">
      <c r="A23" s="10" t="s">
        <v>25</v>
      </c>
      <c r="B23" s="14" t="s">
        <v>69</v>
      </c>
      <c r="C23" s="13">
        <v>640</v>
      </c>
      <c r="D23" s="13">
        <v>644</v>
      </c>
      <c r="E23" s="13">
        <v>669</v>
      </c>
      <c r="F23" s="14">
        <v>767</v>
      </c>
      <c r="G23" s="13"/>
      <c r="H23" s="13"/>
      <c r="I23" s="14" t="s">
        <v>42</v>
      </c>
      <c r="J23" s="43" t="s">
        <v>4</v>
      </c>
      <c r="K23" s="44">
        <f>SUM(C24+C25+C29)</f>
        <v>1440</v>
      </c>
      <c r="L23" s="46">
        <f>SUM(K23/K26)</f>
        <v>0.34499281264973647</v>
      </c>
      <c r="M23" s="41">
        <v>2</v>
      </c>
    </row>
    <row r="24" spans="1:13" ht="16.5" customHeight="1" thickBot="1">
      <c r="A24" s="10" t="s">
        <v>78</v>
      </c>
      <c r="B24" s="11" t="s">
        <v>4</v>
      </c>
      <c r="C24" s="13">
        <v>631</v>
      </c>
      <c r="D24" s="13">
        <v>633</v>
      </c>
      <c r="E24" s="13">
        <v>651</v>
      </c>
      <c r="F24" s="13">
        <v>672</v>
      </c>
      <c r="G24" s="13">
        <v>690</v>
      </c>
      <c r="H24" s="14">
        <v>731</v>
      </c>
      <c r="I24" s="14" t="s">
        <v>43</v>
      </c>
      <c r="J24" s="45" t="s">
        <v>6</v>
      </c>
      <c r="K24" s="44">
        <f>SUM(C22+C26+C27+C28)</f>
        <v>1968</v>
      </c>
      <c r="L24" s="46">
        <f>SUM(K24/K26)</f>
        <v>0.47149017728797316</v>
      </c>
      <c r="M24" s="41">
        <v>2</v>
      </c>
    </row>
    <row r="25" spans="1:13" ht="16.5" customHeight="1" thickBot="1">
      <c r="A25" s="10" t="s">
        <v>79</v>
      </c>
      <c r="B25" s="11" t="s">
        <v>4</v>
      </c>
      <c r="C25" s="13">
        <v>549</v>
      </c>
      <c r="D25" s="13">
        <v>550</v>
      </c>
      <c r="E25" s="13">
        <v>557</v>
      </c>
      <c r="F25" s="13">
        <v>563</v>
      </c>
      <c r="G25" s="13">
        <v>564</v>
      </c>
      <c r="H25" s="14">
        <v>692</v>
      </c>
      <c r="I25" s="14" t="s">
        <v>44</v>
      </c>
      <c r="J25" s="42" t="s">
        <v>67</v>
      </c>
      <c r="K25" s="41">
        <f>SUM(C23+C30)</f>
        <v>766</v>
      </c>
      <c r="L25" s="46">
        <f>SUM(K25/K26)</f>
        <v>0.18351701006229038</v>
      </c>
      <c r="M25" s="41">
        <v>1</v>
      </c>
    </row>
    <row r="26" spans="1:13" ht="16.5" customHeight="1" thickBot="1">
      <c r="A26" s="10" t="s">
        <v>80</v>
      </c>
      <c r="B26" s="15" t="s">
        <v>6</v>
      </c>
      <c r="C26" s="13">
        <v>498</v>
      </c>
      <c r="D26" s="13">
        <v>502</v>
      </c>
      <c r="E26" s="13">
        <v>514</v>
      </c>
      <c r="F26" s="13">
        <v>628</v>
      </c>
      <c r="G26" s="13">
        <v>668</v>
      </c>
      <c r="H26" s="14">
        <v>674</v>
      </c>
      <c r="I26" s="14" t="s">
        <v>45</v>
      </c>
      <c r="J26" s="41"/>
      <c r="K26" s="72">
        <v>4174</v>
      </c>
      <c r="L26" s="41"/>
      <c r="M26" s="41"/>
    </row>
    <row r="27" spans="1:13" ht="16.5" customHeight="1" thickBot="1">
      <c r="A27" s="17" t="s">
        <v>38</v>
      </c>
      <c r="B27" s="19" t="s">
        <v>6</v>
      </c>
      <c r="C27" s="13">
        <v>459</v>
      </c>
      <c r="D27" s="13">
        <v>466</v>
      </c>
      <c r="E27" s="13">
        <v>467</v>
      </c>
      <c r="F27" s="13">
        <v>504</v>
      </c>
      <c r="G27" s="13">
        <v>511</v>
      </c>
      <c r="H27" s="13">
        <v>532</v>
      </c>
      <c r="I27" s="13"/>
    </row>
    <row r="28" spans="1:13" ht="16.5" customHeight="1" thickBot="1">
      <c r="A28" s="17" t="s">
        <v>81</v>
      </c>
      <c r="B28" s="19" t="s">
        <v>6</v>
      </c>
      <c r="C28" s="13">
        <v>284</v>
      </c>
      <c r="D28" s="13">
        <v>286</v>
      </c>
      <c r="E28" s="13">
        <v>288</v>
      </c>
      <c r="F28" s="13" t="s">
        <v>17</v>
      </c>
    </row>
    <row r="29" spans="1:13" ht="16.5" customHeight="1" thickBot="1">
      <c r="A29" s="17" t="s">
        <v>82</v>
      </c>
      <c r="B29" s="18" t="s">
        <v>4</v>
      </c>
      <c r="C29" s="13">
        <v>260</v>
      </c>
      <c r="D29" s="13">
        <v>267</v>
      </c>
      <c r="E29" s="13">
        <v>310</v>
      </c>
      <c r="F29" s="13">
        <v>311</v>
      </c>
      <c r="G29" s="13">
        <v>313</v>
      </c>
      <c r="H29" s="13" t="s">
        <v>17</v>
      </c>
    </row>
    <row r="30" spans="1:13" ht="16.5" customHeight="1" thickBot="1">
      <c r="A30" s="17" t="s">
        <v>29</v>
      </c>
      <c r="B30" s="13" t="s">
        <v>10</v>
      </c>
      <c r="C30" s="13">
        <v>126</v>
      </c>
      <c r="D30" s="13">
        <v>130</v>
      </c>
      <c r="E30" s="13" t="s">
        <v>17</v>
      </c>
    </row>
    <row r="31" spans="1:13" ht="8.25" customHeight="1"/>
    <row r="32" spans="1:13" ht="16.5" customHeight="1">
      <c r="A32" s="6" t="s">
        <v>456</v>
      </c>
      <c r="B32" s="20"/>
      <c r="C32" s="20"/>
      <c r="D32" s="20"/>
      <c r="E32" s="20"/>
      <c r="F32" s="20"/>
      <c r="G32" s="20"/>
      <c r="H32" s="20"/>
    </row>
    <row r="33" spans="1:16" ht="8.25" customHeight="1" thickBot="1">
      <c r="A33" s="6"/>
      <c r="B33" s="20"/>
      <c r="C33" s="20"/>
      <c r="D33" s="20"/>
      <c r="E33" s="20"/>
      <c r="F33" s="20"/>
      <c r="G33" s="20"/>
      <c r="H33" s="20"/>
    </row>
    <row r="34" spans="1:16" ht="16.5" customHeight="1" thickBot="1">
      <c r="A34" s="8" t="s">
        <v>0</v>
      </c>
      <c r="B34" s="9" t="s">
        <v>1</v>
      </c>
      <c r="C34" s="9" t="s">
        <v>2</v>
      </c>
      <c r="D34" s="9">
        <v>2</v>
      </c>
      <c r="E34" s="9">
        <v>3</v>
      </c>
      <c r="F34" s="9">
        <v>4</v>
      </c>
      <c r="G34" s="9">
        <v>5</v>
      </c>
      <c r="H34" s="9">
        <v>6</v>
      </c>
      <c r="I34" s="9">
        <v>7</v>
      </c>
      <c r="J34" s="9">
        <v>8</v>
      </c>
      <c r="K34" s="9">
        <v>9</v>
      </c>
      <c r="L34" s="9"/>
      <c r="M34" s="42" t="s">
        <v>99</v>
      </c>
      <c r="N34" s="40">
        <f>SUM(5379/7634)</f>
        <v>0.70461095100864557</v>
      </c>
      <c r="P34" s="20"/>
    </row>
    <row r="35" spans="1:16" ht="16.5" customHeight="1" thickBot="1">
      <c r="A35" s="10" t="s">
        <v>31</v>
      </c>
      <c r="B35" s="15" t="s">
        <v>6</v>
      </c>
      <c r="C35" s="13">
        <v>857</v>
      </c>
      <c r="D35" s="13">
        <v>864</v>
      </c>
      <c r="E35" s="13">
        <v>874</v>
      </c>
      <c r="F35" s="14">
        <v>908</v>
      </c>
      <c r="G35" s="13"/>
      <c r="H35" s="14"/>
      <c r="I35" s="14"/>
      <c r="J35" s="14"/>
      <c r="K35" s="14"/>
      <c r="L35" s="14" t="s">
        <v>42</v>
      </c>
      <c r="M35" s="41"/>
      <c r="N35" s="42" t="s">
        <v>63</v>
      </c>
      <c r="O35" s="42" t="s">
        <v>64</v>
      </c>
      <c r="P35" s="42" t="s">
        <v>65</v>
      </c>
    </row>
    <row r="36" spans="1:16" ht="16.5" customHeight="1" thickBot="1">
      <c r="A36" s="10" t="s">
        <v>35</v>
      </c>
      <c r="B36" s="11" t="s">
        <v>4</v>
      </c>
      <c r="C36" s="13">
        <v>742</v>
      </c>
      <c r="D36" s="13">
        <v>808</v>
      </c>
      <c r="E36" s="13">
        <v>812</v>
      </c>
      <c r="F36" s="13">
        <v>844</v>
      </c>
      <c r="G36" s="13">
        <v>854</v>
      </c>
      <c r="H36" s="13">
        <v>857</v>
      </c>
      <c r="I36" s="13">
        <v>869</v>
      </c>
      <c r="J36" s="12">
        <v>1016</v>
      </c>
      <c r="K36" s="14"/>
      <c r="L36" s="14" t="s">
        <v>43</v>
      </c>
      <c r="M36" s="43" t="s">
        <v>4</v>
      </c>
      <c r="N36" s="44">
        <f>SUM(C36+C38+C40+C41)</f>
        <v>2153</v>
      </c>
      <c r="O36" s="46">
        <f>SUM(N36/N40)</f>
        <v>0.40371273204575286</v>
      </c>
      <c r="P36" s="41">
        <v>2</v>
      </c>
    </row>
    <row r="37" spans="1:16" ht="16.5" customHeight="1" thickBot="1">
      <c r="A37" s="10" t="s">
        <v>36</v>
      </c>
      <c r="B37" s="14" t="s">
        <v>10</v>
      </c>
      <c r="C37" s="13">
        <v>657</v>
      </c>
      <c r="D37" s="13">
        <v>679</v>
      </c>
      <c r="E37" s="13">
        <v>796</v>
      </c>
      <c r="F37" s="14">
        <v>942</v>
      </c>
      <c r="G37" s="13"/>
      <c r="H37" s="13"/>
      <c r="I37" s="14"/>
      <c r="J37" s="13"/>
      <c r="K37" s="13"/>
      <c r="L37" s="14" t="s">
        <v>41</v>
      </c>
      <c r="M37" s="45" t="s">
        <v>6</v>
      </c>
      <c r="N37" s="44">
        <f>SUM(C35+C39+C42)</f>
        <v>1783</v>
      </c>
      <c r="O37" s="46">
        <f>SUM(N37/N40)</f>
        <v>0.33433339583723981</v>
      </c>
      <c r="P37" s="41">
        <v>2</v>
      </c>
    </row>
    <row r="38" spans="1:16" ht="16.5" customHeight="1" thickBot="1">
      <c r="A38" s="17" t="s">
        <v>33</v>
      </c>
      <c r="B38" s="18" t="s">
        <v>4</v>
      </c>
      <c r="C38" s="13">
        <v>526</v>
      </c>
      <c r="D38" s="13">
        <v>526</v>
      </c>
      <c r="E38" s="13">
        <v>526</v>
      </c>
      <c r="F38" s="13">
        <v>538</v>
      </c>
      <c r="G38" s="13">
        <v>539</v>
      </c>
      <c r="H38" s="13">
        <v>540</v>
      </c>
      <c r="I38" s="13">
        <v>624</v>
      </c>
      <c r="J38" s="13">
        <v>638</v>
      </c>
      <c r="K38" s="13">
        <v>660</v>
      </c>
      <c r="L38" s="14"/>
      <c r="M38" s="77" t="s">
        <v>88</v>
      </c>
      <c r="N38" s="44">
        <f>SUM(C43+C45)</f>
        <v>505</v>
      </c>
      <c r="O38" s="46">
        <f>SUM(N38/N40)</f>
        <v>9.4693418338646168E-2</v>
      </c>
      <c r="P38" s="41"/>
    </row>
    <row r="39" spans="1:16" ht="16.5" customHeight="1" thickBot="1">
      <c r="A39" s="10" t="s">
        <v>83</v>
      </c>
      <c r="B39" s="15" t="s">
        <v>6</v>
      </c>
      <c r="C39" s="13">
        <v>489</v>
      </c>
      <c r="D39" s="13">
        <v>495</v>
      </c>
      <c r="E39" s="13">
        <v>527</v>
      </c>
      <c r="F39" s="13">
        <v>569</v>
      </c>
      <c r="G39" s="13">
        <v>580</v>
      </c>
      <c r="H39" s="13">
        <v>586</v>
      </c>
      <c r="I39" s="13">
        <v>821</v>
      </c>
      <c r="J39" s="14">
        <v>942</v>
      </c>
      <c r="K39" s="14"/>
      <c r="L39" s="14" t="s">
        <v>44</v>
      </c>
      <c r="M39" s="68" t="s">
        <v>67</v>
      </c>
      <c r="N39" s="44">
        <f>SUM(C37+C44)</f>
        <v>892</v>
      </c>
      <c r="O39" s="46">
        <f>SUM(N39/N40)</f>
        <v>0.16726045377836116</v>
      </c>
      <c r="P39" s="41">
        <v>1</v>
      </c>
    </row>
    <row r="40" spans="1:16" ht="16.5" customHeight="1" thickBot="1">
      <c r="A40" s="17" t="s">
        <v>84</v>
      </c>
      <c r="B40" s="18" t="s">
        <v>4</v>
      </c>
      <c r="C40" s="13">
        <v>443</v>
      </c>
      <c r="D40" s="13">
        <v>450</v>
      </c>
      <c r="E40" s="13">
        <v>467</v>
      </c>
      <c r="F40" s="13">
        <v>500</v>
      </c>
      <c r="G40" s="13">
        <v>506</v>
      </c>
      <c r="H40" s="13">
        <v>508</v>
      </c>
      <c r="I40" s="13">
        <v>524</v>
      </c>
      <c r="J40" s="13" t="s">
        <v>17</v>
      </c>
      <c r="M40" s="42"/>
      <c r="N40" s="72">
        <v>5333</v>
      </c>
      <c r="O40" s="40"/>
      <c r="P40" s="20"/>
    </row>
    <row r="41" spans="1:16" ht="16.5" customHeight="1" thickBot="1">
      <c r="A41" s="10" t="s">
        <v>85</v>
      </c>
      <c r="B41" s="11" t="s">
        <v>4</v>
      </c>
      <c r="C41" s="13">
        <v>442</v>
      </c>
      <c r="D41" s="13">
        <v>454</v>
      </c>
      <c r="E41" s="13">
        <v>472</v>
      </c>
      <c r="F41" s="13">
        <v>507</v>
      </c>
      <c r="G41" s="13">
        <v>530</v>
      </c>
      <c r="H41" s="13">
        <v>533</v>
      </c>
      <c r="I41" s="13">
        <v>538</v>
      </c>
      <c r="J41" s="13">
        <v>669</v>
      </c>
      <c r="K41" s="14">
        <v>772</v>
      </c>
      <c r="L41" s="14" t="s">
        <v>45</v>
      </c>
    </row>
    <row r="42" spans="1:16" ht="16.5" customHeight="1" thickBot="1">
      <c r="A42" s="17" t="s">
        <v>86</v>
      </c>
      <c r="B42" s="19" t="s">
        <v>6</v>
      </c>
      <c r="C42" s="13">
        <v>437</v>
      </c>
      <c r="D42" s="13">
        <v>438</v>
      </c>
      <c r="E42" s="13">
        <v>442</v>
      </c>
      <c r="F42" s="13">
        <v>452</v>
      </c>
      <c r="G42" s="13">
        <v>454</v>
      </c>
      <c r="H42" s="13">
        <v>458</v>
      </c>
      <c r="I42" s="14" t="s">
        <v>17</v>
      </c>
    </row>
    <row r="43" spans="1:16" ht="16.5" customHeight="1" thickBot="1">
      <c r="A43" s="17" t="s">
        <v>87</v>
      </c>
      <c r="B43" s="30" t="s">
        <v>88</v>
      </c>
      <c r="C43" s="13">
        <v>356</v>
      </c>
      <c r="D43" s="13">
        <v>370</v>
      </c>
      <c r="E43" s="13">
        <v>400</v>
      </c>
      <c r="F43" s="13" t="s">
        <v>17</v>
      </c>
    </row>
    <row r="44" spans="1:16" ht="16.5" customHeight="1" thickBot="1">
      <c r="A44" s="17" t="s">
        <v>89</v>
      </c>
      <c r="B44" s="13" t="s">
        <v>10</v>
      </c>
      <c r="C44" s="13">
        <v>235</v>
      </c>
      <c r="D44" s="13">
        <v>239</v>
      </c>
      <c r="E44" s="13" t="s">
        <v>17</v>
      </c>
    </row>
    <row r="45" spans="1:16" ht="16.5" customHeight="1" thickBot="1">
      <c r="A45" s="17" t="s">
        <v>90</v>
      </c>
      <c r="B45" s="30" t="s">
        <v>88</v>
      </c>
      <c r="C45" s="13">
        <v>149</v>
      </c>
      <c r="D45" s="13" t="s">
        <v>17</v>
      </c>
    </row>
    <row r="46" spans="1:16" ht="9.75" customHeight="1"/>
    <row r="47" spans="1:16" ht="16.5" customHeight="1">
      <c r="A47" s="6" t="s">
        <v>457</v>
      </c>
      <c r="B47" s="20"/>
      <c r="C47" s="20"/>
      <c r="D47" s="20"/>
      <c r="E47" s="20"/>
      <c r="F47" s="20"/>
      <c r="G47" s="20"/>
      <c r="H47" s="20"/>
    </row>
    <row r="48" spans="1:16" ht="9.75" customHeight="1" thickBot="1">
      <c r="A48" s="6"/>
      <c r="B48" s="20"/>
      <c r="C48" s="20"/>
      <c r="D48" s="20"/>
      <c r="E48" s="20"/>
      <c r="F48" s="20"/>
      <c r="G48" s="20"/>
      <c r="H48" s="20"/>
    </row>
    <row r="49" spans="1:17" ht="16.5" customHeight="1" thickBot="1">
      <c r="A49" s="8" t="s">
        <v>0</v>
      </c>
      <c r="B49" s="9" t="s">
        <v>1</v>
      </c>
      <c r="C49" s="9" t="s">
        <v>2</v>
      </c>
      <c r="D49" s="9">
        <v>2</v>
      </c>
      <c r="E49" s="9">
        <v>3</v>
      </c>
      <c r="F49" s="9">
        <v>4</v>
      </c>
      <c r="G49" s="9">
        <v>5</v>
      </c>
      <c r="H49" s="9">
        <v>6</v>
      </c>
      <c r="I49" s="9">
        <v>7</v>
      </c>
      <c r="J49" s="9">
        <v>8</v>
      </c>
      <c r="K49" s="9">
        <v>9</v>
      </c>
      <c r="L49" s="9">
        <v>10</v>
      </c>
      <c r="M49" s="9"/>
      <c r="N49" s="42" t="s">
        <v>99</v>
      </c>
      <c r="O49" s="40">
        <f>SUM(8418/13022)</f>
        <v>0.64644447857471965</v>
      </c>
      <c r="Q49" s="20"/>
    </row>
    <row r="50" spans="1:17" ht="16.5" customHeight="1" thickBot="1">
      <c r="A50" s="10" t="s">
        <v>46</v>
      </c>
      <c r="B50" s="11" t="s">
        <v>4</v>
      </c>
      <c r="C50" s="12">
        <v>1591</v>
      </c>
      <c r="D50" s="13"/>
      <c r="E50" s="14"/>
      <c r="F50" s="13"/>
      <c r="G50" s="13"/>
      <c r="H50" s="13"/>
      <c r="I50" s="14"/>
      <c r="J50" s="13"/>
      <c r="K50" s="14"/>
      <c r="L50" s="13"/>
      <c r="M50" s="14" t="s">
        <v>41</v>
      </c>
      <c r="N50" s="41"/>
      <c r="O50" s="42" t="s">
        <v>63</v>
      </c>
      <c r="P50" s="42" t="s">
        <v>64</v>
      </c>
      <c r="Q50" s="42" t="s">
        <v>65</v>
      </c>
    </row>
    <row r="51" spans="1:17" ht="16.5" customHeight="1" thickBot="1">
      <c r="A51" s="10" t="s">
        <v>91</v>
      </c>
      <c r="B51" s="14" t="s">
        <v>10</v>
      </c>
      <c r="C51" s="12">
        <v>1467</v>
      </c>
      <c r="D51" s="13"/>
      <c r="E51" s="13"/>
      <c r="F51" s="14"/>
      <c r="G51" s="13"/>
      <c r="H51" s="13"/>
      <c r="I51" s="14"/>
      <c r="J51" s="13"/>
      <c r="K51" s="13"/>
      <c r="L51" s="14"/>
      <c r="M51" s="14" t="s">
        <v>42</v>
      </c>
      <c r="N51" s="43" t="s">
        <v>4</v>
      </c>
      <c r="O51" s="44">
        <f>SUM(C50+C58+C59+C61)</f>
        <v>2196</v>
      </c>
      <c r="P51" s="46">
        <f>SUM(O51/O55)</f>
        <v>0.26829566279780087</v>
      </c>
      <c r="Q51" s="41">
        <v>1</v>
      </c>
    </row>
    <row r="52" spans="1:17" ht="16.5" customHeight="1" thickBot="1">
      <c r="A52" s="10" t="s">
        <v>47</v>
      </c>
      <c r="B52" s="15" t="s">
        <v>6</v>
      </c>
      <c r="C52" s="12">
        <v>1429</v>
      </c>
      <c r="D52" s="13"/>
      <c r="E52" s="13"/>
      <c r="F52" s="13"/>
      <c r="G52" s="13"/>
      <c r="H52" s="13"/>
      <c r="I52" s="14"/>
      <c r="J52" s="13"/>
      <c r="K52" s="13"/>
      <c r="L52" s="14"/>
      <c r="M52" s="14" t="s">
        <v>43</v>
      </c>
      <c r="N52" s="45" t="s">
        <v>6</v>
      </c>
      <c r="O52" s="44">
        <f>SUM(C52+C53+C54+C60)</f>
        <v>3056</v>
      </c>
      <c r="P52" s="46">
        <f>SUM(O52/O55)</f>
        <v>0.37336591325595603</v>
      </c>
      <c r="Q52" s="41">
        <v>3</v>
      </c>
    </row>
    <row r="53" spans="1:17" ht="16.5" customHeight="1" thickBot="1">
      <c r="A53" s="10" t="s">
        <v>92</v>
      </c>
      <c r="B53" s="15" t="s">
        <v>6</v>
      </c>
      <c r="C53" s="13">
        <v>940</v>
      </c>
      <c r="D53" s="13">
        <v>992</v>
      </c>
      <c r="E53" s="12">
        <v>1116</v>
      </c>
      <c r="F53" s="13"/>
      <c r="G53" s="13"/>
      <c r="H53" s="13"/>
      <c r="I53" s="14"/>
      <c r="J53" s="13"/>
      <c r="K53" s="13"/>
      <c r="L53" s="14"/>
      <c r="M53" s="14" t="s">
        <v>44</v>
      </c>
      <c r="N53" s="66" t="s">
        <v>60</v>
      </c>
      <c r="O53" s="44">
        <v>449</v>
      </c>
      <c r="P53" s="46">
        <f>SUM(O53/O55)</f>
        <v>5.4856444715943802E-2</v>
      </c>
      <c r="Q53" s="41">
        <v>1</v>
      </c>
    </row>
    <row r="54" spans="1:17" ht="16.5" customHeight="1" thickBot="1">
      <c r="A54" s="10" t="s">
        <v>55</v>
      </c>
      <c r="B54" s="15" t="s">
        <v>6</v>
      </c>
      <c r="C54" s="13">
        <v>499</v>
      </c>
      <c r="D54" s="13">
        <v>682</v>
      </c>
      <c r="E54" s="13">
        <v>695</v>
      </c>
      <c r="F54" s="13">
        <v>774</v>
      </c>
      <c r="G54" s="13">
        <v>784</v>
      </c>
      <c r="H54" s="13">
        <v>792</v>
      </c>
      <c r="I54" s="13">
        <v>816</v>
      </c>
      <c r="J54" s="13">
        <v>872</v>
      </c>
      <c r="K54" s="12">
        <v>1054</v>
      </c>
      <c r="L54" s="13"/>
      <c r="M54" s="14" t="s">
        <v>45</v>
      </c>
      <c r="N54" s="68" t="s">
        <v>67</v>
      </c>
      <c r="O54" s="44">
        <f>SUM(C51+C57+C55)</f>
        <v>2261</v>
      </c>
      <c r="P54" s="46">
        <f>SUM(O54/O55)</f>
        <v>0.27623701893708003</v>
      </c>
      <c r="Q54" s="41">
        <v>2</v>
      </c>
    </row>
    <row r="55" spans="1:17" ht="16.5" customHeight="1" thickBot="1">
      <c r="A55" s="17" t="s">
        <v>93</v>
      </c>
      <c r="B55" s="13" t="s">
        <v>10</v>
      </c>
      <c r="C55" s="13">
        <v>466</v>
      </c>
      <c r="D55" s="13">
        <v>503</v>
      </c>
      <c r="E55" s="13">
        <v>514</v>
      </c>
      <c r="F55" s="13">
        <v>529</v>
      </c>
      <c r="G55" s="13">
        <v>532</v>
      </c>
      <c r="H55" s="13">
        <v>534</v>
      </c>
      <c r="I55" s="13">
        <v>543</v>
      </c>
      <c r="J55" s="13">
        <v>559</v>
      </c>
      <c r="K55" s="13" t="s">
        <v>17</v>
      </c>
      <c r="N55" s="42"/>
      <c r="O55" s="72">
        <v>8185</v>
      </c>
      <c r="P55" s="40"/>
      <c r="Q55" s="20"/>
    </row>
    <row r="56" spans="1:17" ht="16.5" customHeight="1" thickBot="1">
      <c r="A56" s="10" t="s">
        <v>94</v>
      </c>
      <c r="B56" s="31" t="s">
        <v>60</v>
      </c>
      <c r="C56" s="13">
        <v>449</v>
      </c>
      <c r="D56" s="13">
        <v>477</v>
      </c>
      <c r="E56" s="13">
        <v>557</v>
      </c>
      <c r="F56" s="13">
        <v>589</v>
      </c>
      <c r="G56" s="13">
        <v>602</v>
      </c>
      <c r="H56" s="13">
        <v>625</v>
      </c>
      <c r="I56" s="13">
        <v>667</v>
      </c>
      <c r="J56" s="13">
        <v>745</v>
      </c>
      <c r="K56" s="13">
        <v>792</v>
      </c>
      <c r="L56" s="14">
        <v>804</v>
      </c>
      <c r="M56" s="14" t="s">
        <v>494</v>
      </c>
    </row>
    <row r="57" spans="1:17" ht="16.5" customHeight="1" thickBot="1">
      <c r="A57" s="10" t="s">
        <v>95</v>
      </c>
      <c r="B57" s="14" t="s">
        <v>10</v>
      </c>
      <c r="C57" s="13">
        <v>328</v>
      </c>
      <c r="D57" s="13">
        <v>348</v>
      </c>
      <c r="E57" s="13">
        <v>419</v>
      </c>
      <c r="F57" s="13">
        <v>477</v>
      </c>
      <c r="G57" s="13">
        <v>501</v>
      </c>
      <c r="H57" s="13">
        <v>541</v>
      </c>
      <c r="I57" s="13">
        <v>572</v>
      </c>
      <c r="J57" s="13">
        <v>696</v>
      </c>
      <c r="K57" s="13">
        <v>727</v>
      </c>
      <c r="L57" s="14">
        <v>729</v>
      </c>
      <c r="M57" s="14" t="s">
        <v>495</v>
      </c>
    </row>
    <row r="58" spans="1:17" ht="16.5" customHeight="1" thickBot="1">
      <c r="A58" s="17" t="s">
        <v>57</v>
      </c>
      <c r="B58" s="18" t="s">
        <v>4</v>
      </c>
      <c r="C58" s="13">
        <v>258</v>
      </c>
      <c r="D58" s="13">
        <v>345</v>
      </c>
      <c r="E58" s="13">
        <v>395</v>
      </c>
      <c r="F58" s="13">
        <v>415</v>
      </c>
      <c r="G58" s="13">
        <v>423</v>
      </c>
      <c r="H58" s="13">
        <v>509</v>
      </c>
      <c r="I58" s="13">
        <v>642</v>
      </c>
      <c r="J58" s="13">
        <v>681</v>
      </c>
      <c r="K58" s="13">
        <v>692</v>
      </c>
      <c r="L58" s="13">
        <v>700</v>
      </c>
      <c r="M58" s="14"/>
    </row>
    <row r="59" spans="1:17" ht="16.5" customHeight="1" thickBot="1">
      <c r="A59" s="17" t="s">
        <v>96</v>
      </c>
      <c r="B59" s="18" t="s">
        <v>4</v>
      </c>
      <c r="C59" s="13">
        <v>192</v>
      </c>
      <c r="D59" s="13">
        <v>322</v>
      </c>
      <c r="E59" s="13">
        <v>348</v>
      </c>
      <c r="F59" s="13">
        <v>410</v>
      </c>
      <c r="G59" s="13">
        <v>415</v>
      </c>
      <c r="H59" s="13">
        <v>432</v>
      </c>
      <c r="I59" s="13" t="s">
        <v>17</v>
      </c>
    </row>
    <row r="60" spans="1:17" ht="16.5" customHeight="1" thickBot="1">
      <c r="A60" s="17" t="s">
        <v>97</v>
      </c>
      <c r="B60" s="19" t="s">
        <v>6</v>
      </c>
      <c r="C60" s="13">
        <v>188</v>
      </c>
      <c r="D60" s="13">
        <v>201</v>
      </c>
      <c r="E60" s="13">
        <v>279</v>
      </c>
      <c r="F60" s="13">
        <v>438</v>
      </c>
      <c r="G60" s="13">
        <v>457</v>
      </c>
      <c r="H60" s="13">
        <v>468</v>
      </c>
      <c r="I60" s="13">
        <v>524</v>
      </c>
      <c r="J60" s="13" t="s">
        <v>17</v>
      </c>
    </row>
    <row r="61" spans="1:17" ht="16.5" customHeight="1" thickBot="1">
      <c r="A61" s="17" t="s">
        <v>98</v>
      </c>
      <c r="B61" s="18" t="s">
        <v>4</v>
      </c>
      <c r="C61" s="13">
        <v>155</v>
      </c>
      <c r="D61" s="13">
        <v>200</v>
      </c>
      <c r="E61" s="13">
        <v>218</v>
      </c>
      <c r="F61" s="13">
        <v>226</v>
      </c>
      <c r="G61" s="13">
        <v>229</v>
      </c>
      <c r="H61" s="13" t="s">
        <v>17</v>
      </c>
    </row>
    <row r="63" spans="1:17" s="32" customFormat="1" ht="14.25">
      <c r="B63" s="33" t="s">
        <v>66</v>
      </c>
      <c r="C63" s="34" t="s">
        <v>4</v>
      </c>
      <c r="D63" s="35" t="s">
        <v>6</v>
      </c>
      <c r="E63" s="36" t="s">
        <v>60</v>
      </c>
      <c r="F63" s="37" t="s">
        <v>88</v>
      </c>
      <c r="G63" s="32" t="s">
        <v>67</v>
      </c>
      <c r="I63" s="4" t="s">
        <v>571</v>
      </c>
    </row>
    <row r="64" spans="1:17" ht="15">
      <c r="A64" s="27" t="s">
        <v>63</v>
      </c>
      <c r="B64" s="107">
        <f>SUM(8185+5333+4174+8129)</f>
        <v>25821</v>
      </c>
      <c r="C64" s="106">
        <f>SUM(O51+N36+K23+N5)</f>
        <v>8048</v>
      </c>
      <c r="D64" s="106">
        <f>SUM(O52+N37+K24+N6)</f>
        <v>10231</v>
      </c>
      <c r="E64" s="108">
        <v>449</v>
      </c>
      <c r="F64" s="106">
        <f>SUM(C43+C45)</f>
        <v>505</v>
      </c>
      <c r="G64" s="106">
        <f>SUM(O54+N39+K25+N7)</f>
        <v>6365</v>
      </c>
      <c r="I64" s="106">
        <f>SUM(13022+7634+6528+11943)</f>
        <v>39127</v>
      </c>
    </row>
    <row r="65" spans="1:9" s="28" customFormat="1" ht="14.25">
      <c r="A65" s="38" t="s">
        <v>64</v>
      </c>
      <c r="B65" s="39">
        <v>1</v>
      </c>
      <c r="C65" s="28">
        <f>SUM(C64/$B$64)</f>
        <v>0.3116842879826498</v>
      </c>
      <c r="D65" s="28">
        <f>SUM(D64/$B$64)</f>
        <v>0.39622787653460362</v>
      </c>
      <c r="E65" s="28">
        <f>SUM(E64/$B$64)</f>
        <v>1.7388946981139384E-2</v>
      </c>
      <c r="F65" s="28">
        <f>SUM(F64/$B$64)</f>
        <v>1.9557724332907322E-2</v>
      </c>
      <c r="G65" s="28">
        <f>SUM(G64/$B$64)</f>
        <v>0.24650478292862399</v>
      </c>
      <c r="I65" s="4" t="s">
        <v>99</v>
      </c>
    </row>
    <row r="66" spans="1:9" ht="14.25">
      <c r="A66" s="27" t="s">
        <v>65</v>
      </c>
      <c r="B66" s="32">
        <v>24</v>
      </c>
      <c r="C66">
        <v>7</v>
      </c>
      <c r="D66">
        <v>10</v>
      </c>
      <c r="E66">
        <v>1</v>
      </c>
      <c r="F66">
        <v>0</v>
      </c>
      <c r="G66">
        <v>6</v>
      </c>
      <c r="I66" s="28">
        <f>SUM(B64/I64)</f>
        <v>0.65992792700692615</v>
      </c>
    </row>
    <row r="67" spans="1:9">
      <c r="A67" s="4"/>
      <c r="B67" s="29"/>
    </row>
  </sheetData>
  <phoneticPr fontId="16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Q68"/>
  <sheetViews>
    <sheetView workbookViewId="0">
      <selection activeCell="O15" sqref="O15"/>
    </sheetView>
  </sheetViews>
  <sheetFormatPr defaultRowHeight="12.75"/>
  <cols>
    <col min="1" max="1" width="20.7109375" customWidth="1"/>
    <col min="2" max="2" width="8.140625" customWidth="1"/>
    <col min="3" max="3" width="8.85546875" customWidth="1"/>
    <col min="4" max="13" width="8.7109375" customWidth="1"/>
    <col min="14" max="17" width="8.7109375" style="3" customWidth="1"/>
    <col min="18" max="20" width="8.7109375" customWidth="1"/>
  </cols>
  <sheetData>
    <row r="1" spans="1:17" s="7" customFormat="1" ht="16.5" customHeight="1">
      <c r="A1" s="6" t="s">
        <v>477</v>
      </c>
      <c r="N1" s="41"/>
      <c r="O1" s="41"/>
      <c r="P1" s="41"/>
      <c r="Q1" s="41"/>
    </row>
    <row r="2" spans="1:17" s="7" customFormat="1" ht="8.25" customHeight="1" thickBot="1">
      <c r="A2" s="6"/>
      <c r="N2" s="41"/>
      <c r="O2" s="41"/>
      <c r="P2" s="41"/>
      <c r="Q2" s="41"/>
    </row>
    <row r="3" spans="1:17" s="7" customFormat="1" ht="16.5" customHeight="1" thickBot="1">
      <c r="A3" s="8" t="s">
        <v>0</v>
      </c>
      <c r="B3" s="9" t="s">
        <v>1</v>
      </c>
      <c r="C3" s="9" t="s">
        <v>2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9">
        <v>7</v>
      </c>
      <c r="J3" s="9">
        <v>8</v>
      </c>
      <c r="K3" s="9">
        <v>9</v>
      </c>
      <c r="L3" s="9">
        <v>10</v>
      </c>
      <c r="M3" s="9"/>
      <c r="N3" s="42" t="s">
        <v>99</v>
      </c>
      <c r="O3" s="40">
        <f>SUM(8389/10894)</f>
        <v>0.77005691206168536</v>
      </c>
      <c r="Q3" s="20"/>
    </row>
    <row r="4" spans="1:17" s="7" customFormat="1" ht="16.5" customHeight="1" thickBot="1">
      <c r="A4" s="10" t="s">
        <v>3</v>
      </c>
      <c r="B4" s="11" t="s">
        <v>4</v>
      </c>
      <c r="C4" s="12">
        <v>1316</v>
      </c>
      <c r="D4" s="13"/>
      <c r="E4" s="14"/>
      <c r="F4" s="13"/>
      <c r="G4" s="13"/>
      <c r="H4" s="13"/>
      <c r="I4" s="14"/>
      <c r="J4" s="13"/>
      <c r="K4" s="14"/>
      <c r="L4" s="13"/>
      <c r="M4" s="14" t="s">
        <v>41</v>
      </c>
      <c r="N4" s="41"/>
      <c r="O4" s="4" t="s">
        <v>63</v>
      </c>
      <c r="P4" s="4" t="s">
        <v>64</v>
      </c>
      <c r="Q4" s="4" t="s">
        <v>65</v>
      </c>
    </row>
    <row r="5" spans="1:17" s="7" customFormat="1" ht="16.5" customHeight="1" thickBot="1">
      <c r="A5" s="10" t="s">
        <v>5</v>
      </c>
      <c r="B5" s="15" t="s">
        <v>6</v>
      </c>
      <c r="C5" s="12">
        <v>1187</v>
      </c>
      <c r="D5" s="13"/>
      <c r="E5" s="13"/>
      <c r="F5" s="14"/>
      <c r="G5" s="13"/>
      <c r="H5" s="13"/>
      <c r="I5" s="14"/>
      <c r="J5" s="13"/>
      <c r="K5" s="13"/>
      <c r="L5" s="14"/>
      <c r="M5" s="14" t="s">
        <v>42</v>
      </c>
      <c r="N5" s="43" t="s">
        <v>4</v>
      </c>
      <c r="O5" s="44">
        <f>SUM(C4+C7+C10+C11+C13)</f>
        <v>3491</v>
      </c>
      <c r="P5" s="46">
        <f>SUM(O5/O8)</f>
        <v>0.41873575626724241</v>
      </c>
      <c r="Q5" s="41">
        <v>3</v>
      </c>
    </row>
    <row r="6" spans="1:17" s="7" customFormat="1" ht="16.5" customHeight="1" thickBot="1">
      <c r="A6" s="10" t="s">
        <v>7</v>
      </c>
      <c r="B6" s="15" t="s">
        <v>6</v>
      </c>
      <c r="C6" s="13">
        <v>812</v>
      </c>
      <c r="D6" s="13">
        <v>813</v>
      </c>
      <c r="E6" s="13">
        <v>834</v>
      </c>
      <c r="F6" s="13">
        <v>859</v>
      </c>
      <c r="G6" s="13">
        <v>864</v>
      </c>
      <c r="H6" s="13">
        <v>877</v>
      </c>
      <c r="I6" s="13">
        <v>926</v>
      </c>
      <c r="J6" s="16">
        <v>1015</v>
      </c>
      <c r="K6" s="16">
        <v>1029</v>
      </c>
      <c r="L6" s="12">
        <v>1047</v>
      </c>
      <c r="M6" s="14" t="s">
        <v>494</v>
      </c>
      <c r="N6" s="45" t="s">
        <v>6</v>
      </c>
      <c r="O6" s="44">
        <f>SUM(C5+C6+C9+C14)</f>
        <v>3119</v>
      </c>
      <c r="P6" s="46">
        <f>SUM(O6/O8)</f>
        <v>0.37411538922873938</v>
      </c>
      <c r="Q6" s="41">
        <v>3</v>
      </c>
    </row>
    <row r="7" spans="1:17" s="7" customFormat="1" ht="16.5" customHeight="1" thickBot="1">
      <c r="A7" s="10" t="s">
        <v>8</v>
      </c>
      <c r="B7" s="11" t="s">
        <v>4</v>
      </c>
      <c r="C7" s="13">
        <v>793</v>
      </c>
      <c r="D7" s="13">
        <v>810</v>
      </c>
      <c r="E7" s="13">
        <v>816</v>
      </c>
      <c r="F7" s="13">
        <v>853</v>
      </c>
      <c r="G7" s="13">
        <v>865</v>
      </c>
      <c r="H7" s="13">
        <v>876</v>
      </c>
      <c r="I7" s="13">
        <v>938</v>
      </c>
      <c r="J7" s="12">
        <v>1135</v>
      </c>
      <c r="K7" s="13"/>
      <c r="L7" s="13"/>
      <c r="M7" s="14" t="s">
        <v>45</v>
      </c>
      <c r="N7" s="42" t="s">
        <v>67</v>
      </c>
      <c r="O7" s="41">
        <f>SUM(C8+C12+C15+C16)</f>
        <v>1727</v>
      </c>
      <c r="P7" s="46">
        <f>SUM(O7/O8)</f>
        <v>0.20714885450401824</v>
      </c>
      <c r="Q7" s="41">
        <v>1</v>
      </c>
    </row>
    <row r="8" spans="1:17" s="7" customFormat="1" ht="16.5" customHeight="1" thickBot="1">
      <c r="A8" s="10" t="s">
        <v>9</v>
      </c>
      <c r="B8" s="14" t="s">
        <v>10</v>
      </c>
      <c r="C8" s="13">
        <v>789</v>
      </c>
      <c r="D8" s="13">
        <v>805</v>
      </c>
      <c r="E8" s="13">
        <v>833</v>
      </c>
      <c r="F8" s="13">
        <v>853</v>
      </c>
      <c r="G8" s="13">
        <v>866</v>
      </c>
      <c r="H8" s="13">
        <v>925</v>
      </c>
      <c r="I8" s="12">
        <v>1050</v>
      </c>
      <c r="J8" s="13"/>
      <c r="K8" s="13"/>
      <c r="L8" s="13"/>
      <c r="M8" s="14" t="s">
        <v>44</v>
      </c>
      <c r="N8" s="41"/>
      <c r="O8" s="72">
        <v>8337</v>
      </c>
      <c r="P8" s="41"/>
      <c r="Q8" s="41"/>
    </row>
    <row r="9" spans="1:17" s="7" customFormat="1" ht="16.5" customHeight="1" thickBot="1">
      <c r="A9" s="10" t="s">
        <v>11</v>
      </c>
      <c r="B9" s="15" t="s">
        <v>6</v>
      </c>
      <c r="C9" s="13">
        <v>776</v>
      </c>
      <c r="D9" s="13">
        <v>814</v>
      </c>
      <c r="E9" s="13">
        <v>839</v>
      </c>
      <c r="F9" s="13">
        <v>848</v>
      </c>
      <c r="G9" s="13">
        <v>865</v>
      </c>
      <c r="H9" s="16">
        <v>1013</v>
      </c>
      <c r="I9" s="12">
        <v>1065</v>
      </c>
      <c r="J9" s="13"/>
      <c r="K9" s="13"/>
      <c r="L9" s="13"/>
      <c r="M9" s="14" t="s">
        <v>43</v>
      </c>
      <c r="N9" s="41"/>
      <c r="O9" s="41"/>
      <c r="P9" s="41"/>
      <c r="Q9" s="41"/>
    </row>
    <row r="10" spans="1:17" s="7" customFormat="1" ht="16.5" customHeight="1" thickBot="1">
      <c r="A10" s="17" t="s">
        <v>12</v>
      </c>
      <c r="B10" s="18" t="s">
        <v>4</v>
      </c>
      <c r="C10" s="13">
        <v>536</v>
      </c>
      <c r="D10" s="13">
        <v>573</v>
      </c>
      <c r="E10" s="13">
        <v>582</v>
      </c>
      <c r="F10" s="13">
        <v>582</v>
      </c>
      <c r="G10" s="13">
        <v>644</v>
      </c>
      <c r="H10" s="13">
        <v>734</v>
      </c>
      <c r="I10" s="13">
        <v>743</v>
      </c>
      <c r="J10" s="13">
        <v>775</v>
      </c>
      <c r="K10" s="13">
        <v>780</v>
      </c>
      <c r="L10" s="13">
        <v>802</v>
      </c>
      <c r="M10" s="14"/>
      <c r="N10" s="41"/>
      <c r="O10" s="41"/>
      <c r="P10" s="41"/>
      <c r="Q10" s="41"/>
    </row>
    <row r="11" spans="1:17" s="7" customFormat="1" ht="16.5" customHeight="1" thickBot="1">
      <c r="A11" s="10" t="s">
        <v>13</v>
      </c>
      <c r="B11" s="11" t="s">
        <v>4</v>
      </c>
      <c r="C11" s="13">
        <v>440</v>
      </c>
      <c r="D11" s="13">
        <v>547</v>
      </c>
      <c r="E11" s="13">
        <v>555</v>
      </c>
      <c r="F11" s="13">
        <v>559</v>
      </c>
      <c r="G11" s="13">
        <v>618</v>
      </c>
      <c r="H11" s="13">
        <v>677</v>
      </c>
      <c r="I11" s="13">
        <v>697</v>
      </c>
      <c r="J11" s="13">
        <v>785</v>
      </c>
      <c r="K11" s="13">
        <v>788</v>
      </c>
      <c r="L11" s="14">
        <v>840</v>
      </c>
      <c r="M11" s="14" t="s">
        <v>495</v>
      </c>
      <c r="N11" s="41"/>
      <c r="O11" s="41"/>
      <c r="P11" s="41"/>
      <c r="Q11" s="41"/>
    </row>
    <row r="12" spans="1:17" s="7" customFormat="1" ht="16.5" customHeight="1" thickBot="1">
      <c r="A12" s="17" t="s">
        <v>14</v>
      </c>
      <c r="B12" s="13" t="s">
        <v>10</v>
      </c>
      <c r="C12" s="13">
        <v>433</v>
      </c>
      <c r="D12" s="13">
        <v>443</v>
      </c>
      <c r="E12" s="13">
        <v>469</v>
      </c>
      <c r="F12" s="13">
        <v>492</v>
      </c>
      <c r="G12" s="13">
        <v>499</v>
      </c>
      <c r="H12" s="13">
        <v>505</v>
      </c>
      <c r="I12" s="13" t="s">
        <v>17</v>
      </c>
      <c r="J12" s="41"/>
      <c r="K12" s="41"/>
      <c r="L12" s="41"/>
      <c r="M12" s="41"/>
    </row>
    <row r="13" spans="1:17" s="7" customFormat="1" ht="16.5" customHeight="1" thickBot="1">
      <c r="A13" s="17" t="s">
        <v>15</v>
      </c>
      <c r="B13" s="18" t="s">
        <v>4</v>
      </c>
      <c r="C13" s="13">
        <v>406</v>
      </c>
      <c r="D13" s="13">
        <v>425</v>
      </c>
      <c r="E13" s="13">
        <v>434</v>
      </c>
      <c r="F13" s="13">
        <v>511</v>
      </c>
      <c r="G13" s="13">
        <v>517</v>
      </c>
      <c r="H13" s="13">
        <v>526</v>
      </c>
      <c r="I13" s="13">
        <v>653</v>
      </c>
      <c r="J13" s="13" t="s">
        <v>17</v>
      </c>
      <c r="K13" s="41"/>
      <c r="L13" s="41"/>
      <c r="M13" s="41"/>
      <c r="N13" s="41"/>
    </row>
    <row r="14" spans="1:17" s="7" customFormat="1" ht="16.5" customHeight="1" thickBot="1">
      <c r="A14" s="17" t="s">
        <v>16</v>
      </c>
      <c r="B14" s="19" t="s">
        <v>6</v>
      </c>
      <c r="C14" s="13">
        <v>344</v>
      </c>
      <c r="D14" s="13">
        <v>351</v>
      </c>
      <c r="E14" s="13">
        <v>353</v>
      </c>
      <c r="F14" s="13">
        <v>355</v>
      </c>
      <c r="G14" s="13">
        <v>468</v>
      </c>
      <c r="H14" s="13" t="s">
        <v>17</v>
      </c>
      <c r="I14" s="41"/>
      <c r="J14" s="41"/>
      <c r="K14" s="41"/>
      <c r="L14" s="41"/>
    </row>
    <row r="15" spans="1:17" s="7" customFormat="1" ht="16.5" customHeight="1" thickBot="1">
      <c r="A15" s="17" t="s">
        <v>18</v>
      </c>
      <c r="B15" s="13" t="s">
        <v>10</v>
      </c>
      <c r="C15" s="13">
        <v>301</v>
      </c>
      <c r="D15" s="13">
        <v>318</v>
      </c>
      <c r="E15" s="13">
        <v>322</v>
      </c>
      <c r="F15" s="13">
        <v>324</v>
      </c>
      <c r="G15" s="13" t="s">
        <v>17</v>
      </c>
      <c r="H15" s="41"/>
      <c r="I15" s="41"/>
      <c r="J15" s="41"/>
      <c r="K15" s="41"/>
    </row>
    <row r="16" spans="1:17" s="7" customFormat="1" ht="17.25" customHeight="1" thickBot="1">
      <c r="A16" s="17" t="s">
        <v>19</v>
      </c>
      <c r="B16" s="13" t="s">
        <v>10</v>
      </c>
      <c r="C16" s="13">
        <v>204</v>
      </c>
      <c r="D16" s="13">
        <v>208</v>
      </c>
      <c r="E16" s="13">
        <v>214</v>
      </c>
      <c r="F16" s="13" t="s">
        <v>17</v>
      </c>
      <c r="G16" s="41"/>
      <c r="H16" s="41"/>
      <c r="I16" s="41"/>
      <c r="J16" s="41"/>
    </row>
    <row r="17" spans="1:17" s="5" customFormat="1" ht="9.75" customHeight="1">
      <c r="A17" s="1"/>
      <c r="N17" s="3"/>
      <c r="O17" s="3"/>
      <c r="P17" s="3"/>
      <c r="Q17" s="3"/>
    </row>
    <row r="18" spans="1:17" s="20" customFormat="1" ht="16.5" customHeight="1">
      <c r="A18" s="6" t="s">
        <v>478</v>
      </c>
      <c r="N18" s="41"/>
      <c r="O18" s="41"/>
      <c r="P18" s="41"/>
      <c r="Q18" s="41"/>
    </row>
    <row r="19" spans="1:17" s="20" customFormat="1" ht="9" customHeight="1" thickBot="1">
      <c r="A19" s="6"/>
      <c r="N19" s="41"/>
      <c r="O19" s="41"/>
      <c r="P19" s="41"/>
      <c r="Q19" s="41"/>
    </row>
    <row r="20" spans="1:17" s="20" customFormat="1" ht="16.5" customHeight="1" thickBot="1">
      <c r="A20" s="8" t="s">
        <v>0</v>
      </c>
      <c r="B20" s="9" t="s">
        <v>1</v>
      </c>
      <c r="C20" s="9" t="s">
        <v>2</v>
      </c>
      <c r="D20" s="9">
        <v>2</v>
      </c>
      <c r="E20" s="9">
        <v>3</v>
      </c>
      <c r="F20" s="9">
        <v>4</v>
      </c>
      <c r="G20" s="9">
        <v>5</v>
      </c>
      <c r="H20" s="9">
        <v>6</v>
      </c>
      <c r="I20" s="9">
        <v>7</v>
      </c>
      <c r="J20" s="9">
        <v>8</v>
      </c>
      <c r="K20" s="9"/>
      <c r="L20" s="42" t="s">
        <v>99</v>
      </c>
      <c r="M20" s="40">
        <f>SUM(4523/5932)</f>
        <v>0.76247471341874573</v>
      </c>
      <c r="Q20" s="41"/>
    </row>
    <row r="21" spans="1:17" s="20" customFormat="1" ht="16.5" customHeight="1" thickBot="1">
      <c r="A21" s="10" t="s">
        <v>20</v>
      </c>
      <c r="B21" s="11" t="s">
        <v>4</v>
      </c>
      <c r="C21" s="13">
        <v>693</v>
      </c>
      <c r="D21" s="13">
        <v>693</v>
      </c>
      <c r="E21" s="13">
        <v>728</v>
      </c>
      <c r="F21" s="13">
        <v>736</v>
      </c>
      <c r="G21" s="13">
        <v>736</v>
      </c>
      <c r="H21" s="14">
        <v>884</v>
      </c>
      <c r="I21" s="14"/>
      <c r="J21" s="13"/>
      <c r="K21" s="14" t="s">
        <v>42</v>
      </c>
      <c r="L21" s="41"/>
      <c r="M21" s="4" t="s">
        <v>63</v>
      </c>
      <c r="N21" s="4" t="s">
        <v>64</v>
      </c>
      <c r="O21" s="4" t="s">
        <v>65</v>
      </c>
      <c r="Q21" s="41"/>
    </row>
    <row r="22" spans="1:17" s="20" customFormat="1" ht="16.5" customHeight="1" thickBot="1">
      <c r="A22" s="10" t="s">
        <v>21</v>
      </c>
      <c r="B22" s="15" t="s">
        <v>6</v>
      </c>
      <c r="C22" s="13">
        <v>680</v>
      </c>
      <c r="D22" s="13">
        <v>684</v>
      </c>
      <c r="E22" s="13">
        <v>694</v>
      </c>
      <c r="F22" s="14">
        <v>816</v>
      </c>
      <c r="G22" s="13"/>
      <c r="H22" s="13"/>
      <c r="I22" s="14"/>
      <c r="J22" s="13"/>
      <c r="K22" s="14" t="s">
        <v>41</v>
      </c>
      <c r="L22" s="43" t="s">
        <v>4</v>
      </c>
      <c r="M22" s="44">
        <f>SUM(C21+C24+C25)</f>
        <v>1870</v>
      </c>
      <c r="N22" s="46">
        <f>SUM(M22/M25)</f>
        <v>0.41629563668744435</v>
      </c>
      <c r="O22" s="41">
        <v>3</v>
      </c>
      <c r="Q22" s="41"/>
    </row>
    <row r="23" spans="1:17" s="20" customFormat="1" ht="16.5" customHeight="1" thickBot="1">
      <c r="A23" s="10" t="s">
        <v>22</v>
      </c>
      <c r="B23" s="15" t="s">
        <v>6</v>
      </c>
      <c r="C23" s="13">
        <v>639</v>
      </c>
      <c r="D23" s="13">
        <v>640</v>
      </c>
      <c r="E23" s="13">
        <v>661</v>
      </c>
      <c r="F23" s="13">
        <v>715</v>
      </c>
      <c r="G23" s="13">
        <v>734</v>
      </c>
      <c r="H23" s="14">
        <v>853</v>
      </c>
      <c r="I23" s="14"/>
      <c r="J23" s="13"/>
      <c r="K23" s="14" t="s">
        <v>43</v>
      </c>
      <c r="L23" s="45" t="s">
        <v>6</v>
      </c>
      <c r="M23" s="44">
        <f>SUM(C22+C23+C27+C28)</f>
        <v>2068</v>
      </c>
      <c r="N23" s="46">
        <f>SUM(M23/M25)</f>
        <v>0.46037399821905611</v>
      </c>
      <c r="O23" s="41">
        <v>2</v>
      </c>
      <c r="Q23" s="41"/>
    </row>
    <row r="24" spans="1:17" s="20" customFormat="1" ht="16.5" customHeight="1" thickBot="1">
      <c r="A24" s="10" t="s">
        <v>23</v>
      </c>
      <c r="B24" s="11" t="s">
        <v>4</v>
      </c>
      <c r="C24" s="13">
        <v>596</v>
      </c>
      <c r="D24" s="13">
        <v>598</v>
      </c>
      <c r="E24" s="13">
        <v>616</v>
      </c>
      <c r="F24" s="13">
        <v>688</v>
      </c>
      <c r="G24" s="13">
        <v>696</v>
      </c>
      <c r="H24" s="13">
        <v>730</v>
      </c>
      <c r="I24" s="14">
        <v>771</v>
      </c>
      <c r="J24" s="13"/>
      <c r="K24" s="14" t="s">
        <v>44</v>
      </c>
      <c r="L24" s="42" t="s">
        <v>67</v>
      </c>
      <c r="M24" s="41">
        <v>392</v>
      </c>
      <c r="N24" s="46">
        <f>SUM(M24/M25)</f>
        <v>8.7266251113089943E-2</v>
      </c>
      <c r="O24" s="41"/>
      <c r="Q24" s="41"/>
    </row>
    <row r="25" spans="1:17" s="20" customFormat="1" ht="16.5" customHeight="1" thickBot="1">
      <c r="A25" s="10" t="s">
        <v>24</v>
      </c>
      <c r="B25" s="11" t="s">
        <v>4</v>
      </c>
      <c r="C25" s="13">
        <v>581</v>
      </c>
      <c r="D25" s="13">
        <v>583</v>
      </c>
      <c r="E25" s="13">
        <v>593</v>
      </c>
      <c r="F25" s="13">
        <v>606</v>
      </c>
      <c r="G25" s="13">
        <v>609</v>
      </c>
      <c r="H25" s="13">
        <v>640</v>
      </c>
      <c r="I25" s="13">
        <v>673</v>
      </c>
      <c r="J25" s="14">
        <v>683</v>
      </c>
      <c r="K25" s="14" t="s">
        <v>45</v>
      </c>
      <c r="L25" s="41"/>
      <c r="M25" s="72">
        <v>4492</v>
      </c>
      <c r="N25" s="41"/>
      <c r="O25" s="41"/>
      <c r="Q25" s="41"/>
    </row>
    <row r="26" spans="1:17" s="20" customFormat="1" ht="16.5" customHeight="1" thickBot="1">
      <c r="A26" s="17" t="s">
        <v>25</v>
      </c>
      <c r="B26" s="13" t="s">
        <v>10</v>
      </c>
      <c r="C26" s="13">
        <v>392</v>
      </c>
      <c r="D26" s="13">
        <v>392</v>
      </c>
      <c r="E26" s="13">
        <v>408</v>
      </c>
      <c r="F26" s="13">
        <v>417</v>
      </c>
      <c r="G26" s="13">
        <v>421</v>
      </c>
      <c r="H26" s="13" t="s">
        <v>17</v>
      </c>
      <c r="K26" s="41"/>
      <c r="L26" s="41"/>
      <c r="M26" s="41"/>
      <c r="N26" s="41"/>
    </row>
    <row r="27" spans="1:17" s="20" customFormat="1" ht="16.5" customHeight="1" thickBot="1">
      <c r="A27" s="17" t="s">
        <v>26</v>
      </c>
      <c r="B27" s="19" t="s">
        <v>6</v>
      </c>
      <c r="C27" s="13">
        <v>380</v>
      </c>
      <c r="D27" s="13">
        <v>381</v>
      </c>
      <c r="E27" s="13">
        <v>407</v>
      </c>
      <c r="F27" s="13">
        <v>482</v>
      </c>
      <c r="G27" s="13">
        <v>515</v>
      </c>
      <c r="H27" s="13">
        <v>562</v>
      </c>
      <c r="I27" s="13">
        <v>582</v>
      </c>
      <c r="J27" s="13">
        <v>633</v>
      </c>
      <c r="K27" s="13"/>
      <c r="N27" s="41"/>
      <c r="O27" s="41"/>
      <c r="P27" s="41"/>
      <c r="Q27" s="41"/>
    </row>
    <row r="28" spans="1:17" s="20" customFormat="1" ht="16.5" customHeight="1" thickBot="1">
      <c r="A28" s="17" t="s">
        <v>27</v>
      </c>
      <c r="B28" s="19" t="s">
        <v>6</v>
      </c>
      <c r="C28" s="13">
        <v>369</v>
      </c>
      <c r="D28" s="13">
        <v>371</v>
      </c>
      <c r="E28" s="13">
        <v>376</v>
      </c>
      <c r="F28" s="13" t="s">
        <v>17</v>
      </c>
      <c r="L28" s="41"/>
      <c r="M28" s="41"/>
      <c r="N28" s="41"/>
      <c r="O28" s="41"/>
    </row>
    <row r="29" spans="1:17" s="20" customFormat="1" ht="16.5" customHeight="1" thickBot="1">
      <c r="A29" s="17" t="s">
        <v>28</v>
      </c>
      <c r="B29" s="13" t="s">
        <v>10</v>
      </c>
      <c r="C29" s="13">
        <v>149</v>
      </c>
      <c r="D29" s="13">
        <v>149</v>
      </c>
      <c r="E29" s="13" t="s">
        <v>17</v>
      </c>
      <c r="K29" s="41"/>
      <c r="L29" s="41"/>
      <c r="M29" s="41"/>
      <c r="N29" s="41"/>
    </row>
    <row r="30" spans="1:17" s="20" customFormat="1" ht="16.5" customHeight="1" thickBot="1">
      <c r="A30" s="17" t="s">
        <v>29</v>
      </c>
      <c r="B30" s="13" t="s">
        <v>30</v>
      </c>
      <c r="C30" s="13">
        <v>13</v>
      </c>
      <c r="D30" s="13" t="s">
        <v>17</v>
      </c>
      <c r="J30" s="41"/>
      <c r="K30" s="41"/>
      <c r="L30" s="41"/>
      <c r="M30" s="41"/>
    </row>
    <row r="31" spans="1:17" s="20" customFormat="1" ht="6.75" customHeight="1">
      <c r="A31" s="6"/>
      <c r="N31" s="41"/>
      <c r="O31" s="41"/>
      <c r="P31" s="41"/>
      <c r="Q31" s="41"/>
    </row>
    <row r="32" spans="1:17" ht="16.5" customHeight="1">
      <c r="A32" s="6" t="s">
        <v>479</v>
      </c>
      <c r="B32" s="20"/>
      <c r="C32" s="20"/>
      <c r="D32" s="20"/>
      <c r="E32" s="20"/>
      <c r="F32" s="20"/>
      <c r="G32" s="20"/>
      <c r="H32" s="20"/>
    </row>
    <row r="33" spans="1:17" ht="9.75" customHeight="1" thickBot="1">
      <c r="A33" s="6"/>
      <c r="B33" s="20"/>
      <c r="C33" s="20"/>
      <c r="D33" s="20"/>
      <c r="E33" s="20"/>
      <c r="F33" s="20"/>
      <c r="G33" s="20"/>
      <c r="H33" s="20"/>
    </row>
    <row r="34" spans="1:17" ht="16.5" customHeight="1" thickBot="1">
      <c r="A34" s="8" t="s">
        <v>0</v>
      </c>
      <c r="B34" s="9" t="s">
        <v>1</v>
      </c>
      <c r="C34" s="9" t="s">
        <v>2</v>
      </c>
      <c r="D34" s="9">
        <v>2</v>
      </c>
      <c r="E34" s="9">
        <v>3</v>
      </c>
      <c r="F34" s="9">
        <v>4</v>
      </c>
      <c r="G34" s="9">
        <v>5</v>
      </c>
      <c r="H34" s="9">
        <v>6</v>
      </c>
      <c r="I34" s="9">
        <v>7</v>
      </c>
      <c r="J34" s="9"/>
      <c r="K34" s="42" t="s">
        <v>99</v>
      </c>
      <c r="L34" s="40">
        <f>SUM(5216/7155)</f>
        <v>0.72900069881201957</v>
      </c>
      <c r="M34" s="3"/>
      <c r="N34" s="20"/>
    </row>
    <row r="35" spans="1:17" ht="16.5" customHeight="1" thickBot="1">
      <c r="A35" s="10" t="s">
        <v>31</v>
      </c>
      <c r="B35" s="15" t="s">
        <v>6</v>
      </c>
      <c r="C35" s="14">
        <v>965</v>
      </c>
      <c r="D35" s="13"/>
      <c r="E35" s="13"/>
      <c r="F35" s="13"/>
      <c r="G35" s="13"/>
      <c r="H35" s="14"/>
      <c r="I35" s="14"/>
      <c r="J35" s="14" t="s">
        <v>41</v>
      </c>
      <c r="K35" s="41"/>
      <c r="L35" s="4" t="s">
        <v>63</v>
      </c>
      <c r="M35" s="4" t="s">
        <v>64</v>
      </c>
      <c r="N35" s="4" t="s">
        <v>65</v>
      </c>
    </row>
    <row r="36" spans="1:17" ht="16.5" customHeight="1" thickBot="1">
      <c r="A36" s="10" t="s">
        <v>32</v>
      </c>
      <c r="B36" s="15" t="s">
        <v>6</v>
      </c>
      <c r="C36" s="13">
        <v>748</v>
      </c>
      <c r="D36" s="13">
        <v>791</v>
      </c>
      <c r="E36" s="13">
        <v>798</v>
      </c>
      <c r="F36" s="13">
        <v>847</v>
      </c>
      <c r="G36" s="14">
        <v>917</v>
      </c>
      <c r="H36" s="13"/>
      <c r="I36" s="14"/>
      <c r="J36" s="14" t="s">
        <v>42</v>
      </c>
      <c r="K36" s="43" t="s">
        <v>4</v>
      </c>
      <c r="L36" s="44">
        <f>SUM((C37:C39),(C43:C44))</f>
        <v>2312</v>
      </c>
      <c r="M36" s="46">
        <f>SUM(L36/L39)</f>
        <v>0.44641822745703802</v>
      </c>
      <c r="N36" s="41">
        <v>2</v>
      </c>
    </row>
    <row r="37" spans="1:17" ht="16.5" customHeight="1" thickBot="1">
      <c r="A37" s="17" t="s">
        <v>33</v>
      </c>
      <c r="B37" s="18" t="s">
        <v>4</v>
      </c>
      <c r="C37" s="13">
        <v>631</v>
      </c>
      <c r="D37" s="13">
        <v>643</v>
      </c>
      <c r="E37" s="13">
        <v>647</v>
      </c>
      <c r="F37" s="13">
        <v>652</v>
      </c>
      <c r="G37" s="13">
        <v>656</v>
      </c>
      <c r="H37" s="13">
        <v>672</v>
      </c>
      <c r="I37" s="13">
        <v>674</v>
      </c>
      <c r="J37" s="14"/>
      <c r="K37" s="45" t="s">
        <v>6</v>
      </c>
      <c r="L37" s="44">
        <f>SUM(C35:C36)</f>
        <v>1713</v>
      </c>
      <c r="M37" s="46">
        <f>SUM(L37/L39)</f>
        <v>0.33075883375168952</v>
      </c>
      <c r="N37" s="41">
        <v>2</v>
      </c>
    </row>
    <row r="38" spans="1:17" ht="16.5" customHeight="1" thickBot="1">
      <c r="A38" s="10" t="s">
        <v>34</v>
      </c>
      <c r="B38" s="11" t="s">
        <v>4</v>
      </c>
      <c r="C38" s="13">
        <v>623</v>
      </c>
      <c r="D38" s="13">
        <v>624</v>
      </c>
      <c r="E38" s="13">
        <v>664</v>
      </c>
      <c r="F38" s="13">
        <v>747</v>
      </c>
      <c r="G38" s="14">
        <v>917</v>
      </c>
      <c r="H38" s="13"/>
      <c r="I38" s="14"/>
      <c r="J38" s="14" t="s">
        <v>43</v>
      </c>
      <c r="K38" s="42" t="s">
        <v>67</v>
      </c>
      <c r="L38" s="41">
        <f>SUM(C40:C42)</f>
        <v>1154</v>
      </c>
      <c r="M38" s="46">
        <f>SUM(L38/L39)</f>
        <v>0.22282293879127243</v>
      </c>
      <c r="N38" s="41">
        <v>1</v>
      </c>
    </row>
    <row r="39" spans="1:17" ht="16.5" customHeight="1" thickBot="1">
      <c r="A39" s="10" t="s">
        <v>35</v>
      </c>
      <c r="B39" s="11" t="s">
        <v>4</v>
      </c>
      <c r="C39" s="13">
        <v>556</v>
      </c>
      <c r="D39" s="13">
        <v>566</v>
      </c>
      <c r="E39" s="13">
        <v>574</v>
      </c>
      <c r="F39" s="13">
        <v>613</v>
      </c>
      <c r="G39" s="13">
        <v>680</v>
      </c>
      <c r="H39" s="14">
        <v>881</v>
      </c>
      <c r="I39" s="14"/>
      <c r="J39" s="14" t="s">
        <v>44</v>
      </c>
      <c r="K39" s="41"/>
      <c r="L39" s="72">
        <v>5179</v>
      </c>
      <c r="M39" s="41"/>
      <c r="N39" s="41"/>
    </row>
    <row r="40" spans="1:17" ht="16.5" customHeight="1" thickBot="1">
      <c r="A40" s="10" t="s">
        <v>36</v>
      </c>
      <c r="B40" s="14" t="s">
        <v>10</v>
      </c>
      <c r="C40" s="13">
        <v>428</v>
      </c>
      <c r="D40" s="13">
        <v>438</v>
      </c>
      <c r="E40" s="13">
        <v>476</v>
      </c>
      <c r="F40" s="13">
        <v>551</v>
      </c>
      <c r="G40" s="13">
        <v>607</v>
      </c>
      <c r="H40" s="13">
        <v>734</v>
      </c>
      <c r="I40" s="14">
        <v>771</v>
      </c>
      <c r="J40" s="14" t="s">
        <v>45</v>
      </c>
    </row>
    <row r="41" spans="1:17" ht="16.5" customHeight="1" thickBot="1">
      <c r="A41" s="17" t="s">
        <v>37</v>
      </c>
      <c r="B41" s="13" t="s">
        <v>10</v>
      </c>
      <c r="C41" s="13">
        <v>413</v>
      </c>
      <c r="D41" s="13">
        <v>432</v>
      </c>
      <c r="E41" s="13">
        <v>435</v>
      </c>
      <c r="F41" s="13">
        <v>456</v>
      </c>
      <c r="G41" s="13">
        <v>463</v>
      </c>
      <c r="H41" s="13" t="s">
        <v>17</v>
      </c>
    </row>
    <row r="42" spans="1:17" ht="16.5" customHeight="1" thickBot="1">
      <c r="A42" s="17" t="s">
        <v>38</v>
      </c>
      <c r="B42" s="13" t="s">
        <v>10</v>
      </c>
      <c r="C42" s="13">
        <v>313</v>
      </c>
      <c r="D42" s="13">
        <v>317</v>
      </c>
      <c r="E42" s="13">
        <v>344</v>
      </c>
      <c r="F42" s="13" t="s">
        <v>17</v>
      </c>
      <c r="L42" s="3"/>
      <c r="M42" s="3"/>
      <c r="P42"/>
      <c r="Q42"/>
    </row>
    <row r="43" spans="1:17" ht="16.5" customHeight="1" thickBot="1">
      <c r="A43" s="17" t="s">
        <v>39</v>
      </c>
      <c r="B43" s="18" t="s">
        <v>4</v>
      </c>
      <c r="C43" s="13">
        <v>296</v>
      </c>
      <c r="D43" s="13">
        <v>297</v>
      </c>
      <c r="E43" s="13">
        <v>366</v>
      </c>
      <c r="F43" s="13">
        <v>405</v>
      </c>
      <c r="G43" s="13" t="s">
        <v>17</v>
      </c>
      <c r="M43" s="3"/>
      <c r="Q43"/>
    </row>
    <row r="44" spans="1:17" ht="16.5" customHeight="1" thickBot="1">
      <c r="A44" s="17" t="s">
        <v>40</v>
      </c>
      <c r="B44" s="18" t="s">
        <v>4</v>
      </c>
      <c r="C44" s="13">
        <v>206</v>
      </c>
      <c r="D44" s="13">
        <v>207</v>
      </c>
      <c r="E44" s="13" t="s">
        <v>17</v>
      </c>
      <c r="K44" s="3"/>
      <c r="L44" s="3"/>
      <c r="M44" s="3"/>
      <c r="O44"/>
      <c r="P44"/>
      <c r="Q44"/>
    </row>
    <row r="45" spans="1:17" ht="9.75" customHeight="1">
      <c r="A45" s="7"/>
      <c r="B45" s="20"/>
      <c r="C45" s="20"/>
      <c r="D45" s="20"/>
      <c r="E45" s="20"/>
      <c r="F45" s="20"/>
      <c r="G45" s="20"/>
      <c r="H45" s="20"/>
    </row>
    <row r="46" spans="1:17" ht="16.5" customHeight="1">
      <c r="A46" s="6" t="s">
        <v>480</v>
      </c>
      <c r="B46" s="20"/>
      <c r="C46" s="20"/>
      <c r="D46" s="20"/>
      <c r="E46" s="20"/>
      <c r="F46" s="20"/>
      <c r="G46" s="20"/>
      <c r="H46" s="20"/>
    </row>
    <row r="47" spans="1:17" ht="7.5" customHeight="1" thickBot="1">
      <c r="A47" s="6"/>
      <c r="B47" s="20"/>
      <c r="C47" s="20"/>
      <c r="D47" s="20"/>
      <c r="E47" s="20"/>
      <c r="F47" s="20"/>
      <c r="G47" s="20"/>
      <c r="H47" s="20"/>
    </row>
    <row r="48" spans="1:17" ht="16.5" customHeight="1" thickBot="1">
      <c r="A48" s="8" t="s">
        <v>0</v>
      </c>
      <c r="B48" s="9" t="s">
        <v>1</v>
      </c>
      <c r="C48" s="9" t="s">
        <v>2</v>
      </c>
      <c r="D48" s="9">
        <v>2</v>
      </c>
      <c r="E48" s="9">
        <v>3</v>
      </c>
      <c r="F48" s="9">
        <v>4</v>
      </c>
      <c r="G48" s="9">
        <v>5</v>
      </c>
      <c r="H48" s="9">
        <v>6</v>
      </c>
      <c r="I48" s="9">
        <v>7</v>
      </c>
      <c r="J48" s="9">
        <v>8</v>
      </c>
      <c r="K48" s="9">
        <v>9</v>
      </c>
      <c r="L48" s="9">
        <v>10</v>
      </c>
      <c r="M48" s="9"/>
      <c r="N48" s="42" t="s">
        <v>99</v>
      </c>
      <c r="O48" s="40">
        <f>SUM(8334/13048)</f>
        <v>0.63871857755977923</v>
      </c>
      <c r="Q48" s="20"/>
    </row>
    <row r="49" spans="1:17" ht="16.5" customHeight="1" thickBot="1">
      <c r="A49" s="10" t="s">
        <v>46</v>
      </c>
      <c r="B49" s="11" t="s">
        <v>4</v>
      </c>
      <c r="C49" s="12">
        <v>1485</v>
      </c>
      <c r="D49" s="13"/>
      <c r="E49" s="14"/>
      <c r="F49" s="13"/>
      <c r="G49" s="13"/>
      <c r="H49" s="13"/>
      <c r="I49" s="14"/>
      <c r="J49" s="13"/>
      <c r="K49" s="14"/>
      <c r="L49" s="13"/>
      <c r="M49" s="14" t="s">
        <v>41</v>
      </c>
      <c r="N49" s="42"/>
      <c r="O49" s="42" t="s">
        <v>63</v>
      </c>
      <c r="P49" s="42" t="s">
        <v>64</v>
      </c>
      <c r="Q49" s="42" t="s">
        <v>65</v>
      </c>
    </row>
    <row r="50" spans="1:17" ht="16.5" customHeight="1" thickBot="1">
      <c r="A50" s="10" t="s">
        <v>47</v>
      </c>
      <c r="B50" s="15" t="s">
        <v>6</v>
      </c>
      <c r="C50" s="12">
        <v>1420</v>
      </c>
      <c r="D50" s="13"/>
      <c r="E50" s="13"/>
      <c r="F50" s="14"/>
      <c r="G50" s="13"/>
      <c r="H50" s="13"/>
      <c r="I50" s="14"/>
      <c r="J50" s="13"/>
      <c r="K50" s="13"/>
      <c r="L50" s="14"/>
      <c r="M50" s="14" t="s">
        <v>42</v>
      </c>
      <c r="N50" s="43" t="s">
        <v>4</v>
      </c>
      <c r="O50" s="44">
        <f>SUM(C49+C55+C59+C60+C63)</f>
        <v>2621</v>
      </c>
      <c r="P50" s="46">
        <f>SUM(O50/O55)</f>
        <v>0.32002442002442</v>
      </c>
      <c r="Q50" s="41">
        <v>2</v>
      </c>
    </row>
    <row r="51" spans="1:17" ht="16.5" customHeight="1" thickBot="1">
      <c r="A51" s="10" t="s">
        <v>48</v>
      </c>
      <c r="B51" s="15" t="s">
        <v>6</v>
      </c>
      <c r="C51" s="13">
        <v>713</v>
      </c>
      <c r="D51" s="13">
        <v>731</v>
      </c>
      <c r="E51" s="13">
        <v>798</v>
      </c>
      <c r="F51" s="13">
        <v>827</v>
      </c>
      <c r="G51" s="13">
        <v>834</v>
      </c>
      <c r="H51" s="13">
        <v>875</v>
      </c>
      <c r="I51" s="13">
        <v>918</v>
      </c>
      <c r="J51" s="13">
        <v>964</v>
      </c>
      <c r="K51" s="16">
        <v>1023</v>
      </c>
      <c r="L51" s="12">
        <v>1113</v>
      </c>
      <c r="M51" s="14" t="s">
        <v>43</v>
      </c>
      <c r="N51" s="45" t="s">
        <v>6</v>
      </c>
      <c r="O51" s="44">
        <f>SUM((C50:C51),(C56:C58))</f>
        <v>3455</v>
      </c>
      <c r="P51" s="46">
        <f>SUM(O51/O55)</f>
        <v>0.42185592185592186</v>
      </c>
      <c r="Q51" s="41">
        <v>3</v>
      </c>
    </row>
    <row r="52" spans="1:17" ht="16.5" customHeight="1" thickBot="1">
      <c r="A52" s="10" t="s">
        <v>49</v>
      </c>
      <c r="B52" s="14" t="s">
        <v>10</v>
      </c>
      <c r="C52" s="13">
        <v>704</v>
      </c>
      <c r="D52" s="13">
        <v>743</v>
      </c>
      <c r="E52" s="13">
        <v>783</v>
      </c>
      <c r="F52" s="13">
        <v>794</v>
      </c>
      <c r="G52" s="13">
        <v>800</v>
      </c>
      <c r="H52" s="13">
        <v>825</v>
      </c>
      <c r="I52" s="13">
        <v>853</v>
      </c>
      <c r="J52" s="13">
        <v>883</v>
      </c>
      <c r="K52" s="13">
        <v>950</v>
      </c>
      <c r="L52" s="12">
        <v>1094</v>
      </c>
      <c r="M52" s="14" t="s">
        <v>44</v>
      </c>
      <c r="N52" s="66" t="s">
        <v>60</v>
      </c>
      <c r="O52" s="41">
        <f>SUM(C61:C62)</f>
        <v>322</v>
      </c>
      <c r="P52" s="46">
        <f>SUM(O52/O55)</f>
        <v>3.9316239316239315E-2</v>
      </c>
      <c r="Q52" s="41"/>
    </row>
    <row r="53" spans="1:17" ht="16.5" customHeight="1" thickBot="1">
      <c r="A53" s="17" t="s">
        <v>50</v>
      </c>
      <c r="B53" s="21" t="s">
        <v>51</v>
      </c>
      <c r="C53" s="13">
        <v>545</v>
      </c>
      <c r="D53" s="13">
        <v>566</v>
      </c>
      <c r="E53" s="13">
        <v>577</v>
      </c>
      <c r="F53" s="13">
        <v>585</v>
      </c>
      <c r="G53" s="13">
        <v>593</v>
      </c>
      <c r="H53" s="13">
        <v>607</v>
      </c>
      <c r="I53" s="13">
        <v>636</v>
      </c>
      <c r="J53" s="13">
        <v>645</v>
      </c>
      <c r="K53" s="13">
        <v>720</v>
      </c>
      <c r="L53" s="13">
        <v>738</v>
      </c>
      <c r="M53" s="14"/>
      <c r="N53" s="65" t="s">
        <v>51</v>
      </c>
      <c r="O53" s="41">
        <v>545</v>
      </c>
      <c r="P53" s="46">
        <f>SUM(O53/O55)</f>
        <v>6.6544566544566544E-2</v>
      </c>
      <c r="Q53" s="41"/>
    </row>
    <row r="54" spans="1:17" ht="16.5" customHeight="1" thickBot="1">
      <c r="A54" s="10" t="s">
        <v>52</v>
      </c>
      <c r="B54" s="14" t="s">
        <v>10</v>
      </c>
      <c r="C54" s="13">
        <v>543</v>
      </c>
      <c r="D54" s="13">
        <v>557</v>
      </c>
      <c r="E54" s="13">
        <v>622</v>
      </c>
      <c r="F54" s="13">
        <v>633</v>
      </c>
      <c r="G54" s="13">
        <v>661</v>
      </c>
      <c r="H54" s="13">
        <v>701</v>
      </c>
      <c r="I54" s="13">
        <v>751</v>
      </c>
      <c r="J54" s="13">
        <v>785</v>
      </c>
      <c r="K54" s="13">
        <v>884</v>
      </c>
      <c r="L54" s="14">
        <v>899</v>
      </c>
      <c r="M54" s="14" t="s">
        <v>495</v>
      </c>
      <c r="N54" s="42" t="s">
        <v>67</v>
      </c>
      <c r="O54" s="41">
        <f>SUM(C52+C54)</f>
        <v>1247</v>
      </c>
      <c r="P54" s="46">
        <f>SUM(O54/O55)</f>
        <v>0.15225885225885225</v>
      </c>
      <c r="Q54" s="41">
        <v>2</v>
      </c>
    </row>
    <row r="55" spans="1:17" ht="16.5" customHeight="1" thickBot="1">
      <c r="A55" s="10" t="s">
        <v>53</v>
      </c>
      <c r="B55" s="11" t="s">
        <v>4</v>
      </c>
      <c r="C55" s="13">
        <v>468</v>
      </c>
      <c r="D55" s="13">
        <v>642</v>
      </c>
      <c r="E55" s="13">
        <v>646</v>
      </c>
      <c r="F55" s="13">
        <v>648</v>
      </c>
      <c r="G55" s="13">
        <v>648</v>
      </c>
      <c r="H55" s="13">
        <v>655</v>
      </c>
      <c r="I55" s="13">
        <v>678</v>
      </c>
      <c r="J55" s="13">
        <v>716</v>
      </c>
      <c r="K55" s="13">
        <v>838</v>
      </c>
      <c r="L55" s="14">
        <v>904</v>
      </c>
      <c r="M55" s="14" t="s">
        <v>494</v>
      </c>
      <c r="N55" s="41"/>
      <c r="O55" s="72">
        <v>8190</v>
      </c>
      <c r="P55" s="41"/>
      <c r="Q55" s="41"/>
    </row>
    <row r="56" spans="1:17" ht="16.5" customHeight="1" thickBot="1">
      <c r="A56" s="10" t="s">
        <v>54</v>
      </c>
      <c r="B56" s="15" t="s">
        <v>6</v>
      </c>
      <c r="C56" s="13">
        <v>444</v>
      </c>
      <c r="D56" s="13">
        <v>454</v>
      </c>
      <c r="E56" s="13">
        <v>529</v>
      </c>
      <c r="F56" s="13">
        <v>541</v>
      </c>
      <c r="G56" s="13">
        <v>547</v>
      </c>
      <c r="H56" s="13">
        <v>575</v>
      </c>
      <c r="I56" s="13">
        <v>611</v>
      </c>
      <c r="J56" s="13">
        <v>784</v>
      </c>
      <c r="K56" s="13">
        <v>822</v>
      </c>
      <c r="L56" s="14">
        <v>948</v>
      </c>
      <c r="M56" s="14" t="s">
        <v>45</v>
      </c>
    </row>
    <row r="57" spans="1:17" ht="16.5" customHeight="1" thickBot="1">
      <c r="A57" s="17" t="s">
        <v>55</v>
      </c>
      <c r="B57" s="19" t="s">
        <v>6</v>
      </c>
      <c r="C57" s="13">
        <v>441</v>
      </c>
      <c r="D57" s="13">
        <v>524</v>
      </c>
      <c r="E57" s="13">
        <v>570</v>
      </c>
      <c r="F57" s="13">
        <v>571</v>
      </c>
      <c r="G57" s="13">
        <v>573</v>
      </c>
      <c r="H57" s="13">
        <v>577</v>
      </c>
      <c r="I57" s="13">
        <v>586</v>
      </c>
      <c r="J57" s="13">
        <v>678</v>
      </c>
      <c r="K57" s="13">
        <v>692</v>
      </c>
      <c r="L57" s="13" t="s">
        <v>17</v>
      </c>
      <c r="M57" s="3"/>
      <c r="Q57"/>
    </row>
    <row r="58" spans="1:17" ht="16.5" customHeight="1" thickBot="1">
      <c r="A58" s="17" t="s">
        <v>56</v>
      </c>
      <c r="B58" s="19" t="s">
        <v>6</v>
      </c>
      <c r="C58" s="13">
        <v>437</v>
      </c>
      <c r="D58" s="13">
        <v>448</v>
      </c>
      <c r="E58" s="13">
        <v>486</v>
      </c>
      <c r="F58" s="13">
        <v>488</v>
      </c>
      <c r="G58" s="13">
        <v>489</v>
      </c>
      <c r="H58" s="13">
        <v>493</v>
      </c>
      <c r="I58" s="13">
        <v>498</v>
      </c>
      <c r="J58" s="13" t="s">
        <v>17</v>
      </c>
      <c r="K58" s="3"/>
      <c r="L58" s="3"/>
      <c r="M58" s="3"/>
      <c r="O58"/>
      <c r="P58"/>
      <c r="Q58"/>
    </row>
    <row r="59" spans="1:17" ht="16.5" customHeight="1" thickBot="1">
      <c r="A59" s="17" t="s">
        <v>57</v>
      </c>
      <c r="B59" s="18" t="s">
        <v>4</v>
      </c>
      <c r="C59" s="13">
        <v>293</v>
      </c>
      <c r="D59" s="13">
        <v>342</v>
      </c>
      <c r="E59" s="13">
        <v>354</v>
      </c>
      <c r="F59" s="13">
        <v>360</v>
      </c>
      <c r="G59" s="13">
        <v>390</v>
      </c>
      <c r="H59" s="13">
        <v>407</v>
      </c>
      <c r="I59" s="13">
        <v>538</v>
      </c>
      <c r="J59" s="13">
        <v>590</v>
      </c>
      <c r="K59" s="13" t="s">
        <v>17</v>
      </c>
      <c r="L59" s="3"/>
      <c r="M59" s="3"/>
      <c r="P59"/>
      <c r="Q59"/>
    </row>
    <row r="60" spans="1:17" ht="16.5" customHeight="1" thickBot="1">
      <c r="A60" s="17" t="s">
        <v>58</v>
      </c>
      <c r="B60" s="18" t="s">
        <v>4</v>
      </c>
      <c r="C60" s="13">
        <v>250</v>
      </c>
      <c r="D60" s="13">
        <v>273</v>
      </c>
      <c r="E60" s="13">
        <v>291</v>
      </c>
      <c r="F60" s="13">
        <v>303</v>
      </c>
      <c r="G60" s="13">
        <v>359</v>
      </c>
      <c r="H60" s="13">
        <v>387</v>
      </c>
      <c r="I60" s="13" t="s">
        <v>17</v>
      </c>
      <c r="J60" s="3"/>
      <c r="K60" s="3"/>
      <c r="L60" s="3"/>
      <c r="M60" s="3"/>
      <c r="N60"/>
      <c r="O60"/>
      <c r="P60"/>
      <c r="Q60"/>
    </row>
    <row r="61" spans="1:17" ht="16.5" customHeight="1" thickBot="1">
      <c r="A61" s="17" t="s">
        <v>59</v>
      </c>
      <c r="B61" s="22" t="s">
        <v>60</v>
      </c>
      <c r="C61" s="13">
        <v>192</v>
      </c>
      <c r="D61" s="13">
        <v>197</v>
      </c>
      <c r="E61" s="13">
        <v>204</v>
      </c>
      <c r="F61" s="13">
        <v>231</v>
      </c>
      <c r="G61" s="13">
        <v>235</v>
      </c>
      <c r="H61" s="13" t="s">
        <v>17</v>
      </c>
    </row>
    <row r="62" spans="1:17" ht="16.5" customHeight="1" thickBot="1">
      <c r="A62" s="17" t="s">
        <v>61</v>
      </c>
      <c r="B62" s="22" t="s">
        <v>60</v>
      </c>
      <c r="C62" s="13">
        <v>130</v>
      </c>
      <c r="D62" s="13">
        <v>134</v>
      </c>
      <c r="E62" s="13">
        <v>138</v>
      </c>
      <c r="F62" s="13" t="s">
        <v>17</v>
      </c>
      <c r="H62" s="41"/>
      <c r="N62" s="42"/>
      <c r="O62" s="42"/>
      <c r="P62" s="42"/>
    </row>
    <row r="63" spans="1:17" ht="16.5" customHeight="1" thickBot="1">
      <c r="A63" s="17" t="s">
        <v>62</v>
      </c>
      <c r="B63" s="18" t="s">
        <v>4</v>
      </c>
      <c r="C63" s="13">
        <v>125</v>
      </c>
      <c r="D63" s="13">
        <v>135</v>
      </c>
      <c r="E63" s="13">
        <v>144</v>
      </c>
      <c r="F63" s="13">
        <v>161</v>
      </c>
      <c r="G63" s="13" t="s">
        <v>17</v>
      </c>
      <c r="N63" s="43"/>
      <c r="O63" s="44"/>
      <c r="P63" s="46"/>
      <c r="Q63" s="41"/>
    </row>
    <row r="65" spans="1:9" s="4" customFormat="1">
      <c r="B65" s="4" t="s">
        <v>66</v>
      </c>
      <c r="C65" s="23" t="s">
        <v>4</v>
      </c>
      <c r="D65" s="24" t="s">
        <v>6</v>
      </c>
      <c r="E65" s="25" t="s">
        <v>60</v>
      </c>
      <c r="F65" s="26" t="s">
        <v>51</v>
      </c>
      <c r="G65" s="4" t="s">
        <v>67</v>
      </c>
      <c r="I65" s="4" t="s">
        <v>571</v>
      </c>
    </row>
    <row r="66" spans="1:9" ht="14.25">
      <c r="A66" s="27" t="s">
        <v>63</v>
      </c>
      <c r="B66" s="105">
        <f>SUM(8190+5179+4492+8337)</f>
        <v>26198</v>
      </c>
      <c r="C66" s="106">
        <f>SUM(O50+L36+M22+O5)</f>
        <v>10294</v>
      </c>
      <c r="D66" s="106">
        <f>SUM(O51+L37+M23+O6)</f>
        <v>10355</v>
      </c>
      <c r="E66" s="106">
        <f>SUM(C61+C62)</f>
        <v>322</v>
      </c>
      <c r="F66" s="106">
        <v>545</v>
      </c>
      <c r="G66" s="106">
        <f>SUM(O54+L38+M24+O7)</f>
        <v>4520</v>
      </c>
      <c r="I66" s="106">
        <f>SUM(13048+7155+5932+10894)</f>
        <v>37029</v>
      </c>
    </row>
    <row r="67" spans="1:9" ht="14.25">
      <c r="A67" s="27" t="s">
        <v>64</v>
      </c>
      <c r="B67" s="29">
        <v>1</v>
      </c>
      <c r="C67" s="28">
        <f>SUM(C66/$B$66)</f>
        <v>0.39293075807313538</v>
      </c>
      <c r="D67" s="28">
        <f>SUM(D66/$B$66)</f>
        <v>0.39525918009008321</v>
      </c>
      <c r="E67" s="28">
        <f>SUM(E66/$B$66)</f>
        <v>1.2291014581265745E-2</v>
      </c>
      <c r="F67" s="28">
        <f>SUM(F66/$B$66)</f>
        <v>2.0803114741583327E-2</v>
      </c>
      <c r="G67" s="28">
        <f>SUM(G66/$B$66)</f>
        <v>0.17253225437056263</v>
      </c>
      <c r="I67" s="4" t="s">
        <v>99</v>
      </c>
    </row>
    <row r="68" spans="1:9" ht="14.25">
      <c r="A68" s="27" t="s">
        <v>65</v>
      </c>
      <c r="B68" s="4">
        <v>24</v>
      </c>
      <c r="C68">
        <v>10</v>
      </c>
      <c r="D68">
        <v>10</v>
      </c>
      <c r="E68">
        <v>0</v>
      </c>
      <c r="F68">
        <v>0</v>
      </c>
      <c r="G68">
        <v>4</v>
      </c>
      <c r="I68" s="28">
        <f>SUM(B66/I66)</f>
        <v>0.70749952739744526</v>
      </c>
    </row>
  </sheetData>
  <phoneticPr fontId="16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Q59"/>
  <sheetViews>
    <sheetView workbookViewId="0">
      <selection activeCell="Q1" sqref="Q1"/>
    </sheetView>
  </sheetViews>
  <sheetFormatPr defaultRowHeight="12.75"/>
  <cols>
    <col min="1" max="1" width="21.42578125" customWidth="1"/>
    <col min="2" max="16" width="8.7109375" customWidth="1"/>
  </cols>
  <sheetData>
    <row r="1" spans="1:17" s="20" customFormat="1" ht="16.5" customHeight="1">
      <c r="A1" s="6" t="s">
        <v>619</v>
      </c>
    </row>
    <row r="2" spans="1:17" s="20" customFormat="1" ht="9.75" customHeight="1" thickBot="1">
      <c r="A2" s="6"/>
    </row>
    <row r="3" spans="1:17" s="20" customFormat="1" ht="15.75" thickBot="1">
      <c r="A3" s="8" t="s">
        <v>0</v>
      </c>
      <c r="B3" s="9" t="s">
        <v>1</v>
      </c>
      <c r="C3" s="9" t="s">
        <v>2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9">
        <v>7</v>
      </c>
      <c r="J3" s="9">
        <v>8</v>
      </c>
      <c r="K3" s="9">
        <v>9</v>
      </c>
      <c r="L3" s="9">
        <v>10</v>
      </c>
      <c r="M3" s="9"/>
      <c r="N3" s="42" t="s">
        <v>99</v>
      </c>
      <c r="O3" s="40">
        <f>(7106/9971)</f>
        <v>0.71266673352722898</v>
      </c>
      <c r="P3" s="40"/>
    </row>
    <row r="4" spans="1:17" s="20" customFormat="1" ht="15.75" thickBot="1">
      <c r="A4" s="10" t="s">
        <v>311</v>
      </c>
      <c r="B4" s="15" t="s">
        <v>6</v>
      </c>
      <c r="C4" s="12">
        <v>1165</v>
      </c>
      <c r="D4" s="13"/>
      <c r="E4" s="14"/>
      <c r="F4" s="13"/>
      <c r="G4" s="13"/>
      <c r="H4" s="13"/>
      <c r="I4" s="14"/>
      <c r="J4" s="13"/>
      <c r="K4" s="14"/>
      <c r="L4" s="13"/>
      <c r="M4" s="14" t="s">
        <v>41</v>
      </c>
      <c r="N4" s="41"/>
      <c r="O4" s="42" t="s">
        <v>63</v>
      </c>
      <c r="P4" s="42" t="s">
        <v>64</v>
      </c>
      <c r="Q4" s="42" t="s">
        <v>65</v>
      </c>
    </row>
    <row r="5" spans="1:17" s="20" customFormat="1" ht="15.75" thickBot="1">
      <c r="A5" s="10" t="s">
        <v>3</v>
      </c>
      <c r="B5" s="11" t="s">
        <v>4</v>
      </c>
      <c r="C5" s="12">
        <v>1159</v>
      </c>
      <c r="D5" s="13"/>
      <c r="E5" s="13"/>
      <c r="F5" s="14"/>
      <c r="G5" s="13"/>
      <c r="H5" s="13"/>
      <c r="I5" s="14"/>
      <c r="J5" s="13"/>
      <c r="K5" s="13"/>
      <c r="L5" s="14"/>
      <c r="M5" s="14" t="s">
        <v>42</v>
      </c>
      <c r="N5" s="43" t="s">
        <v>4</v>
      </c>
      <c r="O5" s="44">
        <f>SUM(C5+C10+C12+C13)</f>
        <v>2289</v>
      </c>
      <c r="P5" s="46">
        <f>SUM(O5/$O$9)</f>
        <v>0.32357930449533501</v>
      </c>
      <c r="Q5" s="41">
        <v>3</v>
      </c>
    </row>
    <row r="6" spans="1:17" s="20" customFormat="1" ht="15.75" thickBot="1">
      <c r="A6" s="10" t="s">
        <v>353</v>
      </c>
      <c r="B6" s="14" t="s">
        <v>10</v>
      </c>
      <c r="C6" s="13">
        <v>816</v>
      </c>
      <c r="D6" s="13">
        <v>870</v>
      </c>
      <c r="E6" s="14">
        <v>926</v>
      </c>
      <c r="F6" s="13"/>
      <c r="G6" s="13"/>
      <c r="H6" s="14"/>
      <c r="I6" s="14"/>
      <c r="J6" s="13"/>
      <c r="K6" s="14"/>
      <c r="L6" s="13"/>
      <c r="M6" s="14" t="s">
        <v>44</v>
      </c>
      <c r="N6" s="45" t="s">
        <v>6</v>
      </c>
      <c r="O6" s="44">
        <f>SUM(C4+C7+C9+C11)</f>
        <v>3081</v>
      </c>
      <c r="P6" s="46">
        <f>SUM(O6/$O$9)</f>
        <v>0.43553859202714162</v>
      </c>
      <c r="Q6" s="41">
        <v>2</v>
      </c>
    </row>
    <row r="7" spans="1:17" s="20" customFormat="1" ht="15.75" thickBot="1">
      <c r="A7" s="10" t="s">
        <v>5</v>
      </c>
      <c r="B7" s="15" t="s">
        <v>6</v>
      </c>
      <c r="C7" s="13">
        <v>816</v>
      </c>
      <c r="D7" s="14">
        <v>915</v>
      </c>
      <c r="E7" s="13"/>
      <c r="F7" s="13"/>
      <c r="G7" s="13"/>
      <c r="H7" s="14"/>
      <c r="I7" s="14"/>
      <c r="J7" s="14"/>
      <c r="K7" s="13"/>
      <c r="L7" s="13"/>
      <c r="M7" s="14" t="s">
        <v>43</v>
      </c>
      <c r="N7" s="65" t="s">
        <v>51</v>
      </c>
      <c r="O7" s="44">
        <v>168</v>
      </c>
      <c r="P7" s="46">
        <f>SUM(O7/$O$9)</f>
        <v>2.3748939779474131E-2</v>
      </c>
      <c r="Q7" s="41"/>
    </row>
    <row r="8" spans="1:17" s="20" customFormat="1" ht="15.75" thickBot="1">
      <c r="A8" s="10" t="s">
        <v>9</v>
      </c>
      <c r="B8" s="14" t="s">
        <v>10</v>
      </c>
      <c r="C8" s="13">
        <v>720</v>
      </c>
      <c r="D8" s="13">
        <v>751</v>
      </c>
      <c r="E8" s="13">
        <v>765</v>
      </c>
      <c r="F8" s="13">
        <v>772</v>
      </c>
      <c r="G8" s="13">
        <v>774</v>
      </c>
      <c r="H8" s="13">
        <v>805</v>
      </c>
      <c r="I8" s="13">
        <v>829</v>
      </c>
      <c r="J8" s="14">
        <v>941</v>
      </c>
      <c r="K8" s="13"/>
      <c r="L8" s="13"/>
      <c r="M8" s="14" t="s">
        <v>45</v>
      </c>
      <c r="N8" s="68" t="s">
        <v>67</v>
      </c>
      <c r="O8" s="44">
        <f>SUM(C6+C8)</f>
        <v>1536</v>
      </c>
      <c r="P8" s="46">
        <f>SUM(O8/$O$9)</f>
        <v>0.21713316369804919</v>
      </c>
      <c r="Q8" s="41">
        <v>2</v>
      </c>
    </row>
    <row r="9" spans="1:17" s="20" customFormat="1" ht="15.75" thickBot="1">
      <c r="A9" s="17" t="s">
        <v>7</v>
      </c>
      <c r="B9" s="19" t="s">
        <v>6</v>
      </c>
      <c r="C9" s="13">
        <v>562</v>
      </c>
      <c r="D9" s="13">
        <v>570</v>
      </c>
      <c r="E9" s="13">
        <v>570</v>
      </c>
      <c r="F9" s="13">
        <v>575</v>
      </c>
      <c r="G9" s="13">
        <v>575</v>
      </c>
      <c r="H9" s="13">
        <v>582</v>
      </c>
      <c r="I9" s="13">
        <v>595</v>
      </c>
      <c r="J9" s="13" t="s">
        <v>17</v>
      </c>
      <c r="N9" s="42"/>
      <c r="O9" s="72">
        <v>7074</v>
      </c>
      <c r="P9" s="40"/>
    </row>
    <row r="10" spans="1:17" s="20" customFormat="1" ht="16.5" customHeight="1" thickBot="1">
      <c r="A10" s="10" t="s">
        <v>8</v>
      </c>
      <c r="B10" s="11" t="s">
        <v>4</v>
      </c>
      <c r="C10" s="13">
        <v>539</v>
      </c>
      <c r="D10" s="13">
        <v>549</v>
      </c>
      <c r="E10" s="13">
        <v>566</v>
      </c>
      <c r="F10" s="13">
        <v>569</v>
      </c>
      <c r="G10" s="13">
        <v>576</v>
      </c>
      <c r="H10" s="13">
        <v>595</v>
      </c>
      <c r="I10" s="13">
        <v>650</v>
      </c>
      <c r="J10" s="14">
        <v>936</v>
      </c>
      <c r="K10" s="13"/>
      <c r="L10" s="13"/>
      <c r="M10" s="14" t="s">
        <v>494</v>
      </c>
    </row>
    <row r="11" spans="1:17" s="20" customFormat="1" ht="15.75" thickBot="1">
      <c r="A11" s="17" t="s">
        <v>354</v>
      </c>
      <c r="B11" s="19" t="s">
        <v>6</v>
      </c>
      <c r="C11" s="13">
        <v>538</v>
      </c>
      <c r="D11" s="13">
        <v>566</v>
      </c>
      <c r="E11" s="13">
        <v>588</v>
      </c>
      <c r="F11" s="13">
        <v>594</v>
      </c>
      <c r="G11" s="13">
        <v>600</v>
      </c>
      <c r="H11" s="13">
        <v>613</v>
      </c>
      <c r="I11" s="13">
        <v>632</v>
      </c>
      <c r="J11" s="13">
        <v>648</v>
      </c>
      <c r="K11" s="13">
        <v>660</v>
      </c>
      <c r="L11" s="13">
        <v>676</v>
      </c>
      <c r="M11" s="14"/>
    </row>
    <row r="12" spans="1:17" s="20" customFormat="1" ht="15.75" thickBot="1">
      <c r="A12" s="10" t="s">
        <v>13</v>
      </c>
      <c r="B12" s="11" t="s">
        <v>4</v>
      </c>
      <c r="C12" s="13">
        <v>415</v>
      </c>
      <c r="D12" s="13">
        <v>446</v>
      </c>
      <c r="E12" s="13">
        <v>595</v>
      </c>
      <c r="F12" s="13">
        <v>599</v>
      </c>
      <c r="G12" s="13">
        <v>620</v>
      </c>
      <c r="H12" s="13">
        <v>643</v>
      </c>
      <c r="I12" s="13">
        <v>685</v>
      </c>
      <c r="J12" s="13">
        <v>695</v>
      </c>
      <c r="K12" s="13">
        <v>700</v>
      </c>
      <c r="L12" s="14">
        <v>716</v>
      </c>
      <c r="M12" s="14" t="s">
        <v>495</v>
      </c>
    </row>
    <row r="13" spans="1:17" s="20" customFormat="1" ht="15.75" thickBot="1">
      <c r="A13" s="17" t="s">
        <v>103</v>
      </c>
      <c r="B13" s="18" t="s">
        <v>4</v>
      </c>
      <c r="C13" s="13">
        <v>176</v>
      </c>
      <c r="D13" s="13">
        <v>191</v>
      </c>
      <c r="E13" s="13">
        <v>200</v>
      </c>
      <c r="F13" s="13">
        <v>204</v>
      </c>
      <c r="G13" s="13">
        <v>208</v>
      </c>
      <c r="H13" s="13">
        <v>249</v>
      </c>
      <c r="I13" s="13" t="s">
        <v>17</v>
      </c>
    </row>
    <row r="14" spans="1:17" s="20" customFormat="1" ht="15.75" thickBot="1">
      <c r="A14" s="17" t="s">
        <v>355</v>
      </c>
      <c r="B14" s="21" t="s">
        <v>51</v>
      </c>
      <c r="C14" s="13">
        <v>168</v>
      </c>
      <c r="D14" s="13">
        <v>172</v>
      </c>
      <c r="E14" s="13">
        <v>179</v>
      </c>
      <c r="F14" s="13">
        <v>180</v>
      </c>
      <c r="G14" s="13">
        <v>181</v>
      </c>
      <c r="H14" s="13" t="s">
        <v>17</v>
      </c>
    </row>
    <row r="16" spans="1:17" ht="14.25">
      <c r="A16" s="6" t="s">
        <v>617</v>
      </c>
      <c r="B16" s="20"/>
      <c r="C16" s="20"/>
      <c r="D16" s="20"/>
      <c r="E16" s="20"/>
      <c r="F16" s="20"/>
    </row>
    <row r="17" spans="1:12" ht="10.5" customHeight="1" thickBot="1">
      <c r="A17" s="6"/>
      <c r="B17" s="20"/>
      <c r="C17" s="20"/>
      <c r="D17" s="20"/>
      <c r="E17" s="20"/>
      <c r="F17" s="20"/>
    </row>
    <row r="18" spans="1:12" ht="15.75" thickBot="1">
      <c r="A18" s="8" t="s">
        <v>0</v>
      </c>
      <c r="B18" s="9" t="s">
        <v>1</v>
      </c>
      <c r="C18" s="9" t="s">
        <v>2</v>
      </c>
      <c r="D18" s="9">
        <v>2</v>
      </c>
      <c r="E18" s="9">
        <v>3</v>
      </c>
      <c r="F18" s="9"/>
      <c r="G18" s="42" t="s">
        <v>99</v>
      </c>
      <c r="H18" s="40">
        <f>(3730/5410)</f>
        <v>0.6894639556377079</v>
      </c>
      <c r="I18" s="40"/>
      <c r="J18" s="20"/>
    </row>
    <row r="19" spans="1:12" ht="15.75" thickBot="1">
      <c r="A19" s="10" t="s">
        <v>270</v>
      </c>
      <c r="B19" s="15" t="s">
        <v>6</v>
      </c>
      <c r="C19" s="14">
        <v>720</v>
      </c>
      <c r="D19" s="13"/>
      <c r="E19" s="14"/>
      <c r="F19" s="14" t="s">
        <v>41</v>
      </c>
      <c r="G19" s="41"/>
      <c r="H19" s="42" t="s">
        <v>63</v>
      </c>
      <c r="I19" s="42" t="s">
        <v>64</v>
      </c>
      <c r="J19" s="42" t="s">
        <v>65</v>
      </c>
    </row>
    <row r="20" spans="1:12" ht="15.75" thickBot="1">
      <c r="A20" s="10" t="s">
        <v>20</v>
      </c>
      <c r="B20" s="11" t="s">
        <v>4</v>
      </c>
      <c r="C20" s="14">
        <v>658</v>
      </c>
      <c r="D20" s="13"/>
      <c r="E20" s="13"/>
      <c r="F20" s="14" t="s">
        <v>42</v>
      </c>
      <c r="G20" s="43" t="s">
        <v>4</v>
      </c>
      <c r="H20" s="44">
        <f>SUM(C20+C21+C23)</f>
        <v>1835</v>
      </c>
      <c r="I20" s="46">
        <f>SUM(H20/H23)</f>
        <v>0.49541036717062636</v>
      </c>
      <c r="J20" s="41">
        <v>3</v>
      </c>
    </row>
    <row r="21" spans="1:12" ht="15.75" thickBot="1">
      <c r="A21" s="10" t="s">
        <v>291</v>
      </c>
      <c r="B21" s="11" t="s">
        <v>4</v>
      </c>
      <c r="C21" s="14">
        <v>619</v>
      </c>
      <c r="D21" s="13"/>
      <c r="E21" s="14"/>
      <c r="F21" s="14" t="s">
        <v>43</v>
      </c>
      <c r="G21" s="45" t="s">
        <v>6</v>
      </c>
      <c r="H21" s="44">
        <f>SUM(C19+C22+C24)</f>
        <v>1644</v>
      </c>
      <c r="I21" s="46">
        <f>SUM(H21/H23)</f>
        <v>0.44384449244060475</v>
      </c>
      <c r="J21" s="41">
        <v>2</v>
      </c>
    </row>
    <row r="22" spans="1:12" ht="15.75" thickBot="1">
      <c r="A22" s="10" t="s">
        <v>21</v>
      </c>
      <c r="B22" s="15" t="s">
        <v>6</v>
      </c>
      <c r="C22" s="13">
        <v>602</v>
      </c>
      <c r="D22" s="14">
        <v>636</v>
      </c>
      <c r="E22" s="13"/>
      <c r="F22" s="14" t="s">
        <v>44</v>
      </c>
      <c r="G22" s="65" t="s">
        <v>51</v>
      </c>
      <c r="H22" s="67">
        <v>225</v>
      </c>
      <c r="I22" s="40">
        <f>SUM(H22/H23)</f>
        <v>6.0745140388768895E-2</v>
      </c>
      <c r="J22" s="20"/>
    </row>
    <row r="23" spans="1:12" ht="15.75" thickBot="1">
      <c r="A23" s="10" t="s">
        <v>23</v>
      </c>
      <c r="B23" s="11" t="s">
        <v>4</v>
      </c>
      <c r="C23" s="13">
        <v>558</v>
      </c>
      <c r="D23" s="13">
        <v>566</v>
      </c>
      <c r="E23" s="14">
        <v>628</v>
      </c>
      <c r="F23" s="14" t="s">
        <v>45</v>
      </c>
      <c r="G23" s="20"/>
      <c r="H23" s="72">
        <v>3704</v>
      </c>
      <c r="I23" s="20"/>
      <c r="J23" s="20"/>
    </row>
    <row r="24" spans="1:12" ht="15.75" thickBot="1">
      <c r="A24" s="17" t="s">
        <v>356</v>
      </c>
      <c r="B24" s="19" t="s">
        <v>6</v>
      </c>
      <c r="C24" s="13">
        <v>322</v>
      </c>
      <c r="D24" s="13">
        <v>354</v>
      </c>
      <c r="E24" s="13">
        <v>414</v>
      </c>
      <c r="F24" s="13"/>
    </row>
    <row r="25" spans="1:12" ht="15.75" thickBot="1">
      <c r="A25" s="17" t="s">
        <v>105</v>
      </c>
      <c r="B25" s="21" t="s">
        <v>51</v>
      </c>
      <c r="C25" s="13">
        <v>225</v>
      </c>
      <c r="D25" s="13">
        <v>253</v>
      </c>
      <c r="E25" s="13" t="s">
        <v>17</v>
      </c>
    </row>
    <row r="27" spans="1:12" ht="14.25">
      <c r="A27" s="6" t="s">
        <v>618</v>
      </c>
      <c r="B27" s="20"/>
      <c r="C27" s="20"/>
      <c r="D27" s="20"/>
      <c r="E27" s="20"/>
      <c r="F27" s="20"/>
      <c r="G27" s="20"/>
      <c r="H27" s="20"/>
    </row>
    <row r="28" spans="1:12" ht="10.5" customHeight="1" thickBot="1">
      <c r="A28" s="6"/>
      <c r="B28" s="20"/>
      <c r="C28" s="20"/>
      <c r="D28" s="20"/>
      <c r="E28" s="20"/>
      <c r="F28" s="20"/>
      <c r="G28" s="20"/>
      <c r="H28" s="20"/>
    </row>
    <row r="29" spans="1:12" ht="15.75" thickBot="1">
      <c r="A29" s="8" t="s">
        <v>0</v>
      </c>
      <c r="B29" s="9" t="s">
        <v>1</v>
      </c>
      <c r="C29" s="9" t="s">
        <v>2</v>
      </c>
      <c r="D29" s="9">
        <v>2</v>
      </c>
      <c r="E29" s="9">
        <v>3</v>
      </c>
      <c r="F29" s="9">
        <v>4</v>
      </c>
      <c r="G29" s="9">
        <v>5</v>
      </c>
      <c r="H29" s="9"/>
      <c r="I29" s="42" t="s">
        <v>99</v>
      </c>
      <c r="J29" s="40">
        <f>(4543/6756)</f>
        <v>0.6724393132030787</v>
      </c>
      <c r="K29" s="40"/>
      <c r="L29" s="20"/>
    </row>
    <row r="30" spans="1:12" ht="15.75" thickBot="1">
      <c r="A30" s="10" t="s">
        <v>294</v>
      </c>
      <c r="B30" s="11" t="s">
        <v>4</v>
      </c>
      <c r="C30" s="14">
        <v>800</v>
      </c>
      <c r="D30" s="13"/>
      <c r="E30" s="14"/>
      <c r="F30" s="13"/>
      <c r="G30" s="13"/>
      <c r="H30" s="14" t="s">
        <v>41</v>
      </c>
      <c r="I30" s="41"/>
      <c r="J30" s="42" t="s">
        <v>63</v>
      </c>
      <c r="K30" s="42" t="s">
        <v>64</v>
      </c>
      <c r="L30" s="42" t="s">
        <v>65</v>
      </c>
    </row>
    <row r="31" spans="1:12" ht="15.75" thickBot="1">
      <c r="A31" s="10" t="s">
        <v>31</v>
      </c>
      <c r="B31" s="15" t="s">
        <v>6</v>
      </c>
      <c r="C31" s="13">
        <v>592</v>
      </c>
      <c r="D31" s="13">
        <v>593</v>
      </c>
      <c r="E31" s="13">
        <v>602</v>
      </c>
      <c r="F31" s="13">
        <v>696</v>
      </c>
      <c r="G31" s="14">
        <v>744</v>
      </c>
      <c r="H31" s="14" t="s">
        <v>44</v>
      </c>
      <c r="I31" s="43" t="s">
        <v>4</v>
      </c>
      <c r="J31" s="44">
        <f>SUM(C30+C33+C35+C38)</f>
        <v>2067</v>
      </c>
      <c r="K31" s="46">
        <f>SUM(J31/J34)</f>
        <v>0.45709862892525432</v>
      </c>
      <c r="L31" s="41">
        <v>2</v>
      </c>
    </row>
    <row r="32" spans="1:12" ht="15.75" thickBot="1">
      <c r="A32" s="10" t="s">
        <v>357</v>
      </c>
      <c r="B32" s="15" t="s">
        <v>6</v>
      </c>
      <c r="C32" s="13">
        <v>583</v>
      </c>
      <c r="D32" s="13">
        <v>584</v>
      </c>
      <c r="E32" s="13">
        <v>585</v>
      </c>
      <c r="F32" s="13">
        <v>607</v>
      </c>
      <c r="G32" s="14">
        <v>835</v>
      </c>
      <c r="H32" s="14" t="s">
        <v>43</v>
      </c>
      <c r="I32" s="45" t="s">
        <v>6</v>
      </c>
      <c r="J32" s="44">
        <f>SUM(C31+C32+C34)</f>
        <v>1733</v>
      </c>
      <c r="K32" s="46">
        <f>SUM(J32/J34)</f>
        <v>0.3832375055285272</v>
      </c>
      <c r="L32" s="41">
        <v>3</v>
      </c>
    </row>
    <row r="33" spans="1:15" ht="15.75" thickBot="1">
      <c r="A33" s="10" t="s">
        <v>358</v>
      </c>
      <c r="B33" s="11" t="s">
        <v>4</v>
      </c>
      <c r="C33" s="13">
        <v>572</v>
      </c>
      <c r="D33" s="13">
        <v>584</v>
      </c>
      <c r="E33" s="14">
        <v>755</v>
      </c>
      <c r="F33" s="13"/>
      <c r="G33" s="13"/>
      <c r="H33" s="14" t="s">
        <v>42</v>
      </c>
      <c r="I33" s="68" t="s">
        <v>67</v>
      </c>
      <c r="J33" s="67">
        <f>SUM(C36+C37)</f>
        <v>722</v>
      </c>
      <c r="K33" s="40">
        <f>SUM(J33/J34)</f>
        <v>0.15966386554621848</v>
      </c>
      <c r="L33" s="20"/>
    </row>
    <row r="34" spans="1:15" ht="15.75" thickBot="1">
      <c r="A34" s="10" t="s">
        <v>32</v>
      </c>
      <c r="B34" s="15" t="s">
        <v>6</v>
      </c>
      <c r="C34" s="13">
        <v>558</v>
      </c>
      <c r="D34" s="13">
        <v>568</v>
      </c>
      <c r="E34" s="13">
        <v>597</v>
      </c>
      <c r="F34" s="13">
        <v>704</v>
      </c>
      <c r="G34" s="14">
        <v>713</v>
      </c>
      <c r="H34" s="14" t="s">
        <v>45</v>
      </c>
      <c r="I34" s="20"/>
      <c r="J34" s="72">
        <v>4522</v>
      </c>
      <c r="K34" s="20"/>
      <c r="L34" s="20"/>
    </row>
    <row r="35" spans="1:15" ht="15.75" thickBot="1">
      <c r="A35" s="17" t="s">
        <v>359</v>
      </c>
      <c r="B35" s="18" t="s">
        <v>4</v>
      </c>
      <c r="C35" s="13">
        <v>403</v>
      </c>
      <c r="D35" s="13">
        <v>403</v>
      </c>
      <c r="E35" s="13">
        <v>416</v>
      </c>
      <c r="F35" s="13">
        <v>425</v>
      </c>
      <c r="G35" s="13" t="s">
        <v>17</v>
      </c>
    </row>
    <row r="36" spans="1:15" ht="15.75" thickBot="1">
      <c r="A36" s="17" t="s">
        <v>138</v>
      </c>
      <c r="B36" s="13" t="s">
        <v>10</v>
      </c>
      <c r="C36" s="13">
        <v>385</v>
      </c>
      <c r="D36" s="13">
        <v>392</v>
      </c>
      <c r="E36" s="13">
        <v>412</v>
      </c>
      <c r="F36" s="13">
        <v>493</v>
      </c>
      <c r="G36" s="13">
        <v>523</v>
      </c>
      <c r="H36" s="14"/>
    </row>
    <row r="37" spans="1:15" ht="15.75" thickBot="1">
      <c r="A37" s="17" t="s">
        <v>37</v>
      </c>
      <c r="B37" s="13" t="s">
        <v>10</v>
      </c>
      <c r="C37" s="13">
        <v>337</v>
      </c>
      <c r="D37" s="13">
        <v>338</v>
      </c>
      <c r="E37" s="13">
        <v>340</v>
      </c>
      <c r="F37" s="13" t="s">
        <v>17</v>
      </c>
    </row>
    <row r="38" spans="1:15" ht="15.75" thickBot="1">
      <c r="A38" s="17" t="s">
        <v>360</v>
      </c>
      <c r="B38" s="18" t="s">
        <v>4</v>
      </c>
      <c r="C38" s="13">
        <v>292</v>
      </c>
      <c r="D38" s="13">
        <v>306</v>
      </c>
      <c r="E38" s="13" t="s">
        <v>17</v>
      </c>
    </row>
    <row r="40" spans="1:15" ht="14.25">
      <c r="A40" s="6" t="s">
        <v>454</v>
      </c>
      <c r="B40" s="20"/>
      <c r="C40" s="20"/>
      <c r="D40" s="20"/>
      <c r="E40" s="20"/>
      <c r="F40" s="20"/>
      <c r="G40" s="20"/>
      <c r="H40" s="20"/>
    </row>
    <row r="41" spans="1:15" ht="9" customHeight="1" thickBot="1">
      <c r="A41" s="6"/>
      <c r="B41" s="20"/>
      <c r="C41" s="20"/>
      <c r="D41" s="20"/>
      <c r="E41" s="20"/>
      <c r="F41" s="20"/>
      <c r="G41" s="20"/>
      <c r="H41" s="20"/>
    </row>
    <row r="42" spans="1:15" ht="15.75" thickBot="1">
      <c r="A42" s="8" t="s">
        <v>0</v>
      </c>
      <c r="B42" s="9" t="s">
        <v>1</v>
      </c>
      <c r="C42" s="9" t="s">
        <v>2</v>
      </c>
      <c r="D42" s="9">
        <v>2</v>
      </c>
      <c r="E42" s="9">
        <v>3</v>
      </c>
      <c r="F42" s="9">
        <v>4</v>
      </c>
      <c r="G42" s="9">
        <v>5</v>
      </c>
      <c r="H42" s="9">
        <v>6</v>
      </c>
      <c r="I42" s="9">
        <v>7</v>
      </c>
      <c r="J42" s="9">
        <v>8</v>
      </c>
      <c r="K42" s="9"/>
      <c r="L42" s="42" t="s">
        <v>99</v>
      </c>
      <c r="M42" s="40">
        <f>SUM(7702/12537)</f>
        <v>0.61434154901491589</v>
      </c>
      <c r="O42" s="20"/>
    </row>
    <row r="43" spans="1:15" ht="15.75" thickBot="1">
      <c r="A43" s="10" t="s">
        <v>352</v>
      </c>
      <c r="B43" s="14" t="s">
        <v>10</v>
      </c>
      <c r="C43" s="12">
        <v>1269</v>
      </c>
      <c r="D43" s="13"/>
      <c r="E43" s="14"/>
      <c r="F43" s="13"/>
      <c r="G43" s="13"/>
      <c r="H43" s="13"/>
      <c r="I43" s="14"/>
      <c r="J43" s="13"/>
      <c r="K43" s="14" t="s">
        <v>41</v>
      </c>
      <c r="L43" s="41"/>
      <c r="M43" s="42" t="s">
        <v>63</v>
      </c>
      <c r="N43" s="42" t="s">
        <v>64</v>
      </c>
      <c r="O43" s="42" t="s">
        <v>65</v>
      </c>
    </row>
    <row r="44" spans="1:15" ht="15.75" thickBot="1">
      <c r="A44" s="10" t="s">
        <v>46</v>
      </c>
      <c r="B44" s="11" t="s">
        <v>4</v>
      </c>
      <c r="C44" s="12">
        <v>1191</v>
      </c>
      <c r="D44" s="13"/>
      <c r="E44" s="13"/>
      <c r="F44" s="14"/>
      <c r="G44" s="13"/>
      <c r="H44" s="13"/>
      <c r="I44" s="14"/>
      <c r="J44" s="13"/>
      <c r="K44" s="14" t="s">
        <v>42</v>
      </c>
      <c r="L44" s="43" t="s">
        <v>4</v>
      </c>
      <c r="M44" s="44">
        <f>SUM(C44+C50+C54)</f>
        <v>1950</v>
      </c>
      <c r="N44" s="46">
        <f>SUM(M44/$M$48)</f>
        <v>0.25752773375594296</v>
      </c>
      <c r="O44" s="41">
        <v>2</v>
      </c>
    </row>
    <row r="45" spans="1:15" ht="15.75" thickBot="1">
      <c r="A45" s="10" t="s">
        <v>47</v>
      </c>
      <c r="B45" s="15" t="s">
        <v>6</v>
      </c>
      <c r="C45" s="14">
        <v>997</v>
      </c>
      <c r="D45" s="13"/>
      <c r="E45" s="14"/>
      <c r="F45" s="13"/>
      <c r="G45" s="13"/>
      <c r="H45" s="14"/>
      <c r="I45" s="14"/>
      <c r="J45" s="13"/>
      <c r="K45" s="14" t="s">
        <v>43</v>
      </c>
      <c r="L45" s="45" t="s">
        <v>6</v>
      </c>
      <c r="M45" s="44">
        <f>SUM(C45+C46+C47+C49)</f>
        <v>2874</v>
      </c>
      <c r="N45" s="46">
        <f>SUM(M45/$M$48)</f>
        <v>0.37955625990491282</v>
      </c>
      <c r="O45" s="41">
        <v>3</v>
      </c>
    </row>
    <row r="46" spans="1:15" ht="15.75" thickBot="1">
      <c r="A46" s="10" t="s">
        <v>303</v>
      </c>
      <c r="B46" s="15" t="s">
        <v>6</v>
      </c>
      <c r="C46" s="13">
        <v>785</v>
      </c>
      <c r="D46" s="13">
        <v>880</v>
      </c>
      <c r="E46" s="13">
        <v>894</v>
      </c>
      <c r="F46" s="13">
        <v>907</v>
      </c>
      <c r="G46" s="14">
        <v>963</v>
      </c>
      <c r="H46" s="14"/>
      <c r="I46" s="14"/>
      <c r="J46" s="13"/>
      <c r="K46" s="14" t="s">
        <v>44</v>
      </c>
      <c r="L46" s="65" t="s">
        <v>51</v>
      </c>
      <c r="M46" s="44">
        <f>SUM(C48+C53)</f>
        <v>782</v>
      </c>
      <c r="N46" s="46">
        <f>SUM(M46/$M$48)</f>
        <v>0.10327522451135764</v>
      </c>
      <c r="O46" s="41">
        <v>1</v>
      </c>
    </row>
    <row r="47" spans="1:15" ht="16.5" customHeight="1" thickBot="1">
      <c r="A47" s="10" t="s">
        <v>92</v>
      </c>
      <c r="B47" s="15" t="s">
        <v>6</v>
      </c>
      <c r="C47" s="13">
        <v>621</v>
      </c>
      <c r="D47" s="13">
        <v>679</v>
      </c>
      <c r="E47" s="13">
        <v>697</v>
      </c>
      <c r="F47" s="13">
        <v>708</v>
      </c>
      <c r="G47" s="13">
        <v>744</v>
      </c>
      <c r="H47" s="13">
        <v>833</v>
      </c>
      <c r="I47" s="14">
        <v>957</v>
      </c>
      <c r="J47" s="13"/>
      <c r="K47" s="14" t="s">
        <v>45</v>
      </c>
      <c r="L47" s="68" t="s">
        <v>67</v>
      </c>
      <c r="M47" s="44">
        <f>SUM(C43+C51+C52)</f>
        <v>1966</v>
      </c>
      <c r="N47" s="46">
        <f>SUM(M47/$M$48)</f>
        <v>0.2596407818277866</v>
      </c>
      <c r="O47" s="41">
        <v>1</v>
      </c>
    </row>
    <row r="48" spans="1:15" ht="15.75" thickBot="1">
      <c r="A48" s="10" t="s">
        <v>361</v>
      </c>
      <c r="B48" s="57" t="s">
        <v>51</v>
      </c>
      <c r="C48" s="13">
        <v>483</v>
      </c>
      <c r="D48" s="13">
        <v>491</v>
      </c>
      <c r="E48" s="13">
        <v>523</v>
      </c>
      <c r="F48" s="13">
        <v>524</v>
      </c>
      <c r="G48" s="13">
        <v>602</v>
      </c>
      <c r="H48" s="13">
        <v>610</v>
      </c>
      <c r="I48" s="13">
        <v>631</v>
      </c>
      <c r="J48" s="14">
        <v>762</v>
      </c>
      <c r="K48" s="14" t="s">
        <v>495</v>
      </c>
      <c r="L48" s="42"/>
      <c r="M48" s="72">
        <v>7572</v>
      </c>
      <c r="N48" s="40"/>
      <c r="O48" s="20"/>
    </row>
    <row r="49" spans="1:11" ht="15.75" thickBot="1">
      <c r="A49" s="17" t="s">
        <v>362</v>
      </c>
      <c r="B49" s="19" t="s">
        <v>6</v>
      </c>
      <c r="C49" s="13">
        <v>471</v>
      </c>
      <c r="D49" s="13">
        <v>492</v>
      </c>
      <c r="E49" s="13">
        <v>520</v>
      </c>
      <c r="F49" s="13">
        <v>527</v>
      </c>
      <c r="G49" s="13">
        <v>533</v>
      </c>
      <c r="H49" s="13">
        <v>544</v>
      </c>
      <c r="I49" s="13">
        <v>553</v>
      </c>
      <c r="J49" s="13" t="s">
        <v>17</v>
      </c>
    </row>
    <row r="50" spans="1:11" ht="15.75" thickBot="1">
      <c r="A50" s="10" t="s">
        <v>350</v>
      </c>
      <c r="B50" s="11" t="s">
        <v>4</v>
      </c>
      <c r="C50" s="13">
        <v>462</v>
      </c>
      <c r="D50" s="13">
        <v>472</v>
      </c>
      <c r="E50" s="13">
        <v>546</v>
      </c>
      <c r="F50" s="13">
        <v>547</v>
      </c>
      <c r="G50" s="13">
        <v>563</v>
      </c>
      <c r="H50" s="13">
        <v>577</v>
      </c>
      <c r="I50" s="13">
        <v>679</v>
      </c>
      <c r="J50" s="14">
        <v>774</v>
      </c>
      <c r="K50" s="14" t="s">
        <v>494</v>
      </c>
    </row>
    <row r="51" spans="1:11" ht="15.75" thickBot="1">
      <c r="A51" s="17" t="s">
        <v>363</v>
      </c>
      <c r="B51" s="13" t="s">
        <v>10</v>
      </c>
      <c r="C51" s="13">
        <v>388</v>
      </c>
      <c r="D51" s="13">
        <v>420</v>
      </c>
      <c r="E51" s="13">
        <v>428</v>
      </c>
      <c r="F51" s="13">
        <v>432</v>
      </c>
      <c r="G51" s="13">
        <v>455</v>
      </c>
      <c r="H51" s="13">
        <v>529</v>
      </c>
      <c r="I51" s="13">
        <v>603</v>
      </c>
      <c r="J51" s="13">
        <v>650</v>
      </c>
      <c r="K51" s="13"/>
    </row>
    <row r="52" spans="1:11" ht="15.75" thickBot="1">
      <c r="A52" s="17" t="s">
        <v>52</v>
      </c>
      <c r="B52" s="13" t="s">
        <v>10</v>
      </c>
      <c r="C52" s="13">
        <v>309</v>
      </c>
      <c r="D52" s="13">
        <v>348</v>
      </c>
      <c r="E52" s="13">
        <v>358</v>
      </c>
      <c r="F52" s="13">
        <v>366</v>
      </c>
      <c r="G52" s="13">
        <v>393</v>
      </c>
      <c r="H52" s="13" t="s">
        <v>17</v>
      </c>
    </row>
    <row r="53" spans="1:11" ht="15.75" thickBot="1">
      <c r="A53" s="17" t="s">
        <v>50</v>
      </c>
      <c r="B53" s="21" t="s">
        <v>51</v>
      </c>
      <c r="C53" s="13">
        <v>299</v>
      </c>
      <c r="D53" s="13">
        <v>324</v>
      </c>
      <c r="E53" s="13">
        <v>334</v>
      </c>
      <c r="F53" s="13">
        <v>336</v>
      </c>
      <c r="G53" s="13" t="s">
        <v>17</v>
      </c>
    </row>
    <row r="54" spans="1:11" ht="15.75" thickBot="1">
      <c r="A54" s="17" t="s">
        <v>37</v>
      </c>
      <c r="B54" s="18" t="s">
        <v>4</v>
      </c>
      <c r="C54" s="13">
        <v>297</v>
      </c>
      <c r="D54" s="13">
        <v>331</v>
      </c>
      <c r="E54" s="13">
        <v>381</v>
      </c>
      <c r="F54" s="13">
        <v>384</v>
      </c>
      <c r="G54" s="13">
        <v>428</v>
      </c>
      <c r="H54" s="13">
        <v>482</v>
      </c>
      <c r="I54" s="13" t="s">
        <v>17</v>
      </c>
    </row>
    <row r="56" spans="1:11" ht="14.25">
      <c r="B56" s="27" t="s">
        <v>66</v>
      </c>
      <c r="C56" s="23" t="s">
        <v>4</v>
      </c>
      <c r="D56" s="24" t="s">
        <v>6</v>
      </c>
      <c r="E56" s="26" t="s">
        <v>51</v>
      </c>
      <c r="F56" s="4" t="s">
        <v>67</v>
      </c>
      <c r="H56" s="4"/>
    </row>
    <row r="57" spans="1:11" ht="14.25">
      <c r="A57" s="27" t="s">
        <v>63</v>
      </c>
      <c r="B57" s="76">
        <f>SUM(M48+J34+H23+O9)</f>
        <v>22872</v>
      </c>
      <c r="C57" s="2">
        <f>SUM(M44+J31+H20+O5)</f>
        <v>8141</v>
      </c>
      <c r="D57" s="2">
        <f>SUM(M45+J32+H21+O6)</f>
        <v>9332</v>
      </c>
      <c r="E57" s="2">
        <f>SUM(M46+H22+O7)</f>
        <v>1175</v>
      </c>
      <c r="F57" s="2">
        <f>SUM(M47+J33+O8)</f>
        <v>4224</v>
      </c>
      <c r="H57" s="106"/>
    </row>
    <row r="58" spans="1:11" s="28" customFormat="1" ht="14.25">
      <c r="A58" s="38" t="s">
        <v>64</v>
      </c>
      <c r="B58" s="39">
        <v>1</v>
      </c>
      <c r="C58" s="28">
        <f>SUM(C57/$B$57)</f>
        <v>0.35593739069604757</v>
      </c>
      <c r="D58" s="28">
        <f>SUM(D57/$B$57)</f>
        <v>0.40800979363413781</v>
      </c>
      <c r="E58" s="28">
        <f>SUM(E57/$B$57)</f>
        <v>5.1372857642532355E-2</v>
      </c>
      <c r="F58" s="28">
        <f>SUM(F57/$B$57)</f>
        <v>0.18467995802728226</v>
      </c>
      <c r="H58" s="4"/>
    </row>
    <row r="59" spans="1:11" ht="14.25">
      <c r="A59" s="27" t="s">
        <v>65</v>
      </c>
      <c r="B59" s="32">
        <v>24</v>
      </c>
      <c r="C59">
        <v>10</v>
      </c>
      <c r="D59">
        <v>10</v>
      </c>
      <c r="E59">
        <v>1</v>
      </c>
      <c r="F59">
        <v>3</v>
      </c>
      <c r="H59" s="28"/>
    </row>
  </sheetData>
  <phoneticPr fontId="16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Q63"/>
  <sheetViews>
    <sheetView workbookViewId="0">
      <selection activeCell="R1" sqref="R1"/>
    </sheetView>
  </sheetViews>
  <sheetFormatPr defaultRowHeight="12.75"/>
  <cols>
    <col min="1" max="1" width="20.28515625" customWidth="1"/>
    <col min="2" max="6" width="8.7109375" customWidth="1"/>
    <col min="7" max="7" width="9.28515625" customWidth="1"/>
    <col min="8" max="14" width="8.7109375" customWidth="1"/>
  </cols>
  <sheetData>
    <row r="1" spans="1:16" s="20" customFormat="1" ht="16.5" customHeight="1">
      <c r="A1" s="6" t="s">
        <v>574</v>
      </c>
    </row>
    <row r="2" spans="1:16" s="20" customFormat="1" ht="10.5" customHeight="1" thickBot="1">
      <c r="A2" s="6"/>
    </row>
    <row r="3" spans="1:16" s="20" customFormat="1" ht="15.75" thickBot="1">
      <c r="A3" s="8" t="s">
        <v>0</v>
      </c>
      <c r="B3" s="9" t="s">
        <v>1</v>
      </c>
      <c r="C3" s="9" t="s">
        <v>2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9">
        <v>7</v>
      </c>
      <c r="J3" s="9">
        <v>8</v>
      </c>
      <c r="K3" s="9">
        <v>9</v>
      </c>
      <c r="L3" s="9"/>
      <c r="M3" s="42" t="s">
        <v>99</v>
      </c>
      <c r="N3" s="40">
        <f>SUM(6943/8990)</f>
        <v>0.77230255839822026</v>
      </c>
    </row>
    <row r="4" spans="1:16" s="20" customFormat="1" ht="15.75" thickBot="1">
      <c r="A4" s="10" t="s">
        <v>311</v>
      </c>
      <c r="B4" s="15" t="s">
        <v>6</v>
      </c>
      <c r="C4" s="12">
        <v>1173</v>
      </c>
      <c r="D4" s="13"/>
      <c r="E4" s="14"/>
      <c r="F4" s="13"/>
      <c r="G4" s="13"/>
      <c r="H4" s="13"/>
      <c r="I4" s="14"/>
      <c r="J4" s="13"/>
      <c r="K4" s="14"/>
      <c r="L4" s="14" t="s">
        <v>41</v>
      </c>
      <c r="M4" s="41"/>
      <c r="N4" s="42" t="s">
        <v>63</v>
      </c>
      <c r="O4" s="42" t="s">
        <v>64</v>
      </c>
      <c r="P4" s="42" t="s">
        <v>65</v>
      </c>
    </row>
    <row r="5" spans="1:16" s="20" customFormat="1" ht="15.75" thickBot="1">
      <c r="A5" s="10" t="s">
        <v>3</v>
      </c>
      <c r="B5" s="11" t="s">
        <v>4</v>
      </c>
      <c r="C5" s="13">
        <v>820</v>
      </c>
      <c r="D5" s="13">
        <v>841</v>
      </c>
      <c r="E5" s="13">
        <v>853</v>
      </c>
      <c r="F5" s="14">
        <v>907</v>
      </c>
      <c r="G5" s="13"/>
      <c r="H5" s="13"/>
      <c r="I5" s="14"/>
      <c r="J5" s="13"/>
      <c r="K5" s="13"/>
      <c r="L5" s="14" t="s">
        <v>42</v>
      </c>
      <c r="M5" s="43" t="s">
        <v>4</v>
      </c>
      <c r="N5" s="44">
        <f>SUM(C5+C10+C11+C14)</f>
        <v>2269</v>
      </c>
      <c r="O5" s="46">
        <f>SUM(N5/$N$9)</f>
        <v>0.32807981492192018</v>
      </c>
      <c r="P5" s="41">
        <v>2</v>
      </c>
    </row>
    <row r="6" spans="1:16" s="20" customFormat="1" ht="15.75" thickBot="1">
      <c r="A6" s="10" t="s">
        <v>229</v>
      </c>
      <c r="B6" s="15" t="s">
        <v>6</v>
      </c>
      <c r="C6" s="13">
        <v>740</v>
      </c>
      <c r="D6" s="13">
        <v>763</v>
      </c>
      <c r="E6" s="13">
        <v>766</v>
      </c>
      <c r="F6" s="13">
        <v>778</v>
      </c>
      <c r="G6" s="13">
        <v>778</v>
      </c>
      <c r="H6" s="14">
        <v>915</v>
      </c>
      <c r="I6" s="14"/>
      <c r="J6" s="13"/>
      <c r="K6" s="13"/>
      <c r="L6" s="14" t="s">
        <v>44</v>
      </c>
      <c r="M6" s="45" t="s">
        <v>6</v>
      </c>
      <c r="N6" s="44">
        <f>SUM(C4+C6+C7+C8+C9)</f>
        <v>3737</v>
      </c>
      <c r="O6" s="46">
        <f>SUM(N6/$N$9)</f>
        <v>0.54034123770965881</v>
      </c>
      <c r="P6" s="41">
        <v>4</v>
      </c>
    </row>
    <row r="7" spans="1:16" s="20" customFormat="1" ht="15.75" thickBot="1">
      <c r="A7" s="10" t="s">
        <v>225</v>
      </c>
      <c r="B7" s="15" t="s">
        <v>6</v>
      </c>
      <c r="C7" s="13">
        <v>634</v>
      </c>
      <c r="D7" s="13">
        <v>737</v>
      </c>
      <c r="E7" s="13">
        <v>741</v>
      </c>
      <c r="F7" s="13">
        <v>825</v>
      </c>
      <c r="G7" s="13">
        <v>829</v>
      </c>
      <c r="H7" s="14">
        <v>972</v>
      </c>
      <c r="I7" s="14"/>
      <c r="J7" s="13"/>
      <c r="K7" s="13"/>
      <c r="L7" s="14" t="s">
        <v>43</v>
      </c>
      <c r="M7" s="65" t="s">
        <v>51</v>
      </c>
      <c r="N7" s="44">
        <v>96</v>
      </c>
      <c r="O7" s="46">
        <f>SUM(N7/$N$9)</f>
        <v>1.3880855986119144E-2</v>
      </c>
      <c r="P7" s="41"/>
    </row>
    <row r="8" spans="1:16" s="20" customFormat="1" ht="15.75" thickBot="1">
      <c r="A8" s="17" t="s">
        <v>335</v>
      </c>
      <c r="B8" s="19" t="s">
        <v>6</v>
      </c>
      <c r="C8" s="13">
        <v>627</v>
      </c>
      <c r="D8" s="13">
        <v>650</v>
      </c>
      <c r="E8" s="13">
        <v>658</v>
      </c>
      <c r="F8" s="13">
        <v>658</v>
      </c>
      <c r="G8" s="13">
        <v>658</v>
      </c>
      <c r="H8" s="13">
        <v>673</v>
      </c>
      <c r="I8" s="13">
        <v>686</v>
      </c>
      <c r="J8" s="13">
        <v>690</v>
      </c>
      <c r="K8" s="13">
        <v>748</v>
      </c>
      <c r="L8" s="14"/>
      <c r="M8" s="68" t="s">
        <v>67</v>
      </c>
      <c r="N8" s="44">
        <f>SUM(C12+C13)</f>
        <v>814</v>
      </c>
      <c r="O8" s="46">
        <f>SUM(N8/$N$9)</f>
        <v>0.1176980913823019</v>
      </c>
      <c r="P8" s="41">
        <v>1</v>
      </c>
    </row>
    <row r="9" spans="1:16" s="20" customFormat="1" ht="15.75" thickBot="1">
      <c r="A9" s="10" t="s">
        <v>336</v>
      </c>
      <c r="B9" s="15" t="s">
        <v>6</v>
      </c>
      <c r="C9" s="13">
        <v>563</v>
      </c>
      <c r="D9" s="13">
        <v>590</v>
      </c>
      <c r="E9" s="13">
        <v>594</v>
      </c>
      <c r="F9" s="13">
        <v>596</v>
      </c>
      <c r="G9" s="13">
        <v>597</v>
      </c>
      <c r="H9" s="13">
        <v>629</v>
      </c>
      <c r="I9" s="13">
        <v>640</v>
      </c>
      <c r="J9" s="13">
        <v>642</v>
      </c>
      <c r="K9" s="14">
        <v>798</v>
      </c>
      <c r="L9" s="14" t="s">
        <v>494</v>
      </c>
      <c r="M9" s="42"/>
      <c r="N9" s="72">
        <v>6916</v>
      </c>
      <c r="O9" s="40"/>
    </row>
    <row r="10" spans="1:16" s="20" customFormat="1" ht="15.75" thickBot="1">
      <c r="A10" s="10" t="s">
        <v>208</v>
      </c>
      <c r="B10" s="11" t="s">
        <v>4</v>
      </c>
      <c r="C10" s="13">
        <v>556</v>
      </c>
      <c r="D10" s="13">
        <v>565</v>
      </c>
      <c r="E10" s="13">
        <v>591</v>
      </c>
      <c r="F10" s="13">
        <v>675</v>
      </c>
      <c r="G10" s="13">
        <v>693</v>
      </c>
      <c r="H10" s="13">
        <v>727</v>
      </c>
      <c r="I10" s="13">
        <v>734</v>
      </c>
      <c r="J10" s="13">
        <v>749</v>
      </c>
      <c r="K10" s="14">
        <v>880</v>
      </c>
      <c r="L10" s="14" t="s">
        <v>45</v>
      </c>
    </row>
    <row r="11" spans="1:16" s="20" customFormat="1" ht="15.75" thickBot="1">
      <c r="A11" s="17" t="s">
        <v>226</v>
      </c>
      <c r="B11" s="18" t="s">
        <v>4</v>
      </c>
      <c r="C11" s="13">
        <v>540</v>
      </c>
      <c r="D11" s="13">
        <v>552</v>
      </c>
      <c r="E11" s="13">
        <v>559</v>
      </c>
      <c r="F11" s="13">
        <v>596</v>
      </c>
      <c r="G11" s="13">
        <v>609</v>
      </c>
      <c r="H11" s="13">
        <v>633</v>
      </c>
      <c r="I11" s="13">
        <v>634</v>
      </c>
      <c r="J11" s="13">
        <v>635</v>
      </c>
      <c r="K11" s="13" t="s">
        <v>17</v>
      </c>
    </row>
    <row r="12" spans="1:16" s="20" customFormat="1" ht="15.75" thickBot="1">
      <c r="A12" s="17" t="s">
        <v>9</v>
      </c>
      <c r="B12" s="13" t="s">
        <v>10</v>
      </c>
      <c r="C12" s="13">
        <v>452</v>
      </c>
      <c r="D12" s="13">
        <v>473</v>
      </c>
      <c r="E12" s="13">
        <v>473</v>
      </c>
      <c r="F12" s="13">
        <v>485</v>
      </c>
      <c r="G12" s="13">
        <v>487</v>
      </c>
      <c r="H12" s="13" t="s">
        <v>17</v>
      </c>
    </row>
    <row r="13" spans="1:16" s="20" customFormat="1" ht="15.75" thickBot="1">
      <c r="A13" s="10" t="s">
        <v>70</v>
      </c>
      <c r="B13" s="14" t="s">
        <v>10</v>
      </c>
      <c r="C13" s="13">
        <v>362</v>
      </c>
      <c r="D13" s="13">
        <v>403</v>
      </c>
      <c r="E13" s="13">
        <v>426</v>
      </c>
      <c r="F13" s="13">
        <v>498</v>
      </c>
      <c r="G13" s="13">
        <v>502</v>
      </c>
      <c r="H13" s="13">
        <v>573</v>
      </c>
      <c r="I13" s="13">
        <v>625</v>
      </c>
      <c r="J13" s="13">
        <v>653</v>
      </c>
      <c r="K13" s="14">
        <v>788</v>
      </c>
      <c r="L13" s="14" t="s">
        <v>495</v>
      </c>
    </row>
    <row r="14" spans="1:16" s="20" customFormat="1" ht="15.75" thickBot="1">
      <c r="A14" s="17" t="s">
        <v>15</v>
      </c>
      <c r="B14" s="18" t="s">
        <v>4</v>
      </c>
      <c r="C14" s="13">
        <v>353</v>
      </c>
      <c r="D14" s="13">
        <v>374</v>
      </c>
      <c r="E14" s="13">
        <v>380</v>
      </c>
      <c r="F14" s="13" t="s">
        <v>17</v>
      </c>
    </row>
    <row r="15" spans="1:16" s="20" customFormat="1" ht="15.75" thickBot="1">
      <c r="A15" s="17" t="s">
        <v>315</v>
      </c>
      <c r="B15" s="21" t="s">
        <v>51</v>
      </c>
      <c r="C15" s="13">
        <v>96</v>
      </c>
      <c r="D15" s="13">
        <v>103</v>
      </c>
      <c r="E15" s="13" t="s">
        <v>17</v>
      </c>
    </row>
    <row r="17" spans="1:12" ht="14.25">
      <c r="A17" s="6" t="s">
        <v>575</v>
      </c>
      <c r="B17" s="20"/>
      <c r="C17" s="20"/>
      <c r="D17" s="20"/>
      <c r="E17" s="20"/>
    </row>
    <row r="18" spans="1:12" ht="10.5" customHeight="1" thickBot="1">
      <c r="A18" s="6"/>
      <c r="B18" s="20"/>
      <c r="C18" s="20"/>
      <c r="D18" s="20"/>
      <c r="E18" s="20"/>
    </row>
    <row r="19" spans="1:12" ht="15.75" thickBot="1">
      <c r="A19" s="8" t="s">
        <v>0</v>
      </c>
      <c r="B19" s="9" t="s">
        <v>1</v>
      </c>
      <c r="C19" s="9" t="s">
        <v>2</v>
      </c>
      <c r="D19" s="9">
        <v>2</v>
      </c>
      <c r="E19" s="9"/>
      <c r="F19" s="42" t="s">
        <v>99</v>
      </c>
      <c r="G19" s="40">
        <f>SUM(3406/4696)</f>
        <v>0.72529812606473598</v>
      </c>
      <c r="I19" s="20"/>
    </row>
    <row r="20" spans="1:12" ht="15.75" thickBot="1">
      <c r="A20" s="10" t="s">
        <v>21</v>
      </c>
      <c r="B20" s="15" t="s">
        <v>6</v>
      </c>
      <c r="C20" s="14">
        <v>755</v>
      </c>
      <c r="D20" s="13"/>
      <c r="E20" s="14" t="s">
        <v>41</v>
      </c>
      <c r="F20" s="41"/>
      <c r="G20" s="42" t="s">
        <v>63</v>
      </c>
      <c r="H20" s="42" t="s">
        <v>64</v>
      </c>
      <c r="I20" s="42" t="s">
        <v>65</v>
      </c>
    </row>
    <row r="21" spans="1:12" ht="15.75" thickBot="1">
      <c r="A21" s="10" t="s">
        <v>270</v>
      </c>
      <c r="B21" s="15" t="s">
        <v>6</v>
      </c>
      <c r="C21" s="14">
        <v>686</v>
      </c>
      <c r="D21" s="13"/>
      <c r="E21" s="14" t="s">
        <v>42</v>
      </c>
      <c r="F21" s="43" t="s">
        <v>4</v>
      </c>
      <c r="G21" s="44">
        <f>SUM(C22+C23+C25)</f>
        <v>1451</v>
      </c>
      <c r="H21" s="46">
        <f>SUM(G21/G23)</f>
        <v>0.42979857819905215</v>
      </c>
      <c r="I21" s="41">
        <v>2</v>
      </c>
    </row>
    <row r="22" spans="1:12" ht="15.75" thickBot="1">
      <c r="A22" s="10" t="s">
        <v>23</v>
      </c>
      <c r="B22" s="11" t="s">
        <v>4</v>
      </c>
      <c r="C22" s="13">
        <v>544</v>
      </c>
      <c r="D22" s="14">
        <v>564</v>
      </c>
      <c r="E22" s="14" t="s">
        <v>45</v>
      </c>
      <c r="F22" s="45" t="s">
        <v>6</v>
      </c>
      <c r="G22" s="44">
        <f>SUM(C20+C21+C24)</f>
        <v>1925</v>
      </c>
      <c r="H22" s="46">
        <f>SUM(G22/G23)</f>
        <v>0.57020142180094791</v>
      </c>
      <c r="I22" s="41">
        <v>3</v>
      </c>
    </row>
    <row r="23" spans="1:12" ht="15.75" thickBot="1">
      <c r="A23" s="10" t="s">
        <v>291</v>
      </c>
      <c r="B23" s="11" t="s">
        <v>4</v>
      </c>
      <c r="C23" s="13">
        <v>514</v>
      </c>
      <c r="D23" s="14">
        <v>583</v>
      </c>
      <c r="E23" s="14" t="s">
        <v>43</v>
      </c>
      <c r="F23" s="42"/>
      <c r="G23" s="72">
        <v>3376</v>
      </c>
      <c r="H23" s="40"/>
      <c r="I23" s="20"/>
    </row>
    <row r="24" spans="1:12" ht="15.75" thickBot="1">
      <c r="A24" s="10" t="s">
        <v>337</v>
      </c>
      <c r="B24" s="15" t="s">
        <v>6</v>
      </c>
      <c r="C24" s="13">
        <v>484</v>
      </c>
      <c r="D24" s="14">
        <v>576</v>
      </c>
      <c r="E24" s="14" t="s">
        <v>44</v>
      </c>
    </row>
    <row r="25" spans="1:12" ht="15.75" thickBot="1">
      <c r="A25" s="17" t="s">
        <v>20</v>
      </c>
      <c r="B25" s="18" t="s">
        <v>4</v>
      </c>
      <c r="C25" s="13">
        <v>393</v>
      </c>
      <c r="D25" s="13">
        <v>404</v>
      </c>
      <c r="E25" s="13"/>
    </row>
    <row r="27" spans="1:12" s="20" customFormat="1" ht="14.25">
      <c r="A27" s="6" t="s">
        <v>609</v>
      </c>
    </row>
    <row r="28" spans="1:12" s="20" customFormat="1" ht="9.75" customHeight="1" thickBot="1">
      <c r="A28" s="6"/>
    </row>
    <row r="29" spans="1:12" s="20" customFormat="1" ht="15.75" thickBot="1">
      <c r="A29" s="8" t="s">
        <v>0</v>
      </c>
      <c r="B29" s="9" t="s">
        <v>1</v>
      </c>
      <c r="C29" s="9" t="s">
        <v>2</v>
      </c>
      <c r="D29" s="9">
        <v>2</v>
      </c>
      <c r="E29" s="9">
        <v>3</v>
      </c>
      <c r="F29" s="9">
        <v>4</v>
      </c>
      <c r="G29" s="9">
        <v>5</v>
      </c>
      <c r="H29" s="9"/>
      <c r="I29" s="42" t="s">
        <v>99</v>
      </c>
      <c r="J29" s="40">
        <f>SUM(4480/6167)</f>
        <v>0.72644721906923948</v>
      </c>
    </row>
    <row r="30" spans="1:12" s="20" customFormat="1" ht="15.75" thickBot="1">
      <c r="A30" s="10" t="s">
        <v>294</v>
      </c>
      <c r="B30" s="11" t="s">
        <v>4</v>
      </c>
      <c r="C30" s="13">
        <v>719</v>
      </c>
      <c r="D30" s="13">
        <v>737</v>
      </c>
      <c r="E30" s="14">
        <v>894</v>
      </c>
      <c r="F30" s="13"/>
      <c r="G30" s="13"/>
      <c r="H30" s="14" t="s">
        <v>41</v>
      </c>
      <c r="I30" s="41"/>
      <c r="J30" s="42" t="s">
        <v>63</v>
      </c>
      <c r="K30" s="42" t="s">
        <v>64</v>
      </c>
      <c r="L30" s="42" t="s">
        <v>65</v>
      </c>
    </row>
    <row r="31" spans="1:12" s="20" customFormat="1" ht="15.75" thickBot="1">
      <c r="A31" s="10" t="s">
        <v>32</v>
      </c>
      <c r="B31" s="15" t="s">
        <v>6</v>
      </c>
      <c r="C31" s="13">
        <v>688</v>
      </c>
      <c r="D31" s="13">
        <v>709</v>
      </c>
      <c r="E31" s="14">
        <v>767</v>
      </c>
      <c r="F31" s="14"/>
      <c r="G31" s="13"/>
      <c r="H31" s="14" t="s">
        <v>42</v>
      </c>
      <c r="I31" s="43" t="s">
        <v>4</v>
      </c>
      <c r="J31" s="44">
        <f>SUM(C30+C32+C35+C37)</f>
        <v>2155</v>
      </c>
      <c r="K31" s="46">
        <f>SUM(J31/J34)</f>
        <v>0.4810267857142857</v>
      </c>
      <c r="L31" s="41">
        <v>3</v>
      </c>
    </row>
    <row r="32" spans="1:12" s="20" customFormat="1" ht="15.75" thickBot="1">
      <c r="A32" s="10" t="s">
        <v>338</v>
      </c>
      <c r="B32" s="11" t="s">
        <v>4</v>
      </c>
      <c r="C32" s="13">
        <v>665</v>
      </c>
      <c r="D32" s="13">
        <v>674</v>
      </c>
      <c r="E32" s="13">
        <v>725</v>
      </c>
      <c r="F32" s="14">
        <v>773</v>
      </c>
      <c r="G32" s="13"/>
      <c r="H32" s="14" t="s">
        <v>43</v>
      </c>
      <c r="I32" s="45" t="s">
        <v>6</v>
      </c>
      <c r="J32" s="44">
        <f>SUM(C31+C33+C34+C36)</f>
        <v>2195</v>
      </c>
      <c r="K32" s="46">
        <f>SUM(J32/J34)</f>
        <v>0.48995535714285715</v>
      </c>
      <c r="L32" s="41">
        <v>2</v>
      </c>
    </row>
    <row r="33" spans="1:17" s="20" customFormat="1" ht="15.75" thickBot="1">
      <c r="A33" s="10" t="s">
        <v>295</v>
      </c>
      <c r="B33" s="15" t="s">
        <v>6</v>
      </c>
      <c r="C33" s="13">
        <v>597</v>
      </c>
      <c r="D33" s="13">
        <v>604</v>
      </c>
      <c r="E33" s="13">
        <v>611</v>
      </c>
      <c r="F33" s="13">
        <v>612</v>
      </c>
      <c r="G33" s="14" t="s">
        <v>247</v>
      </c>
      <c r="H33" s="14" t="s">
        <v>44</v>
      </c>
      <c r="I33" s="65" t="s">
        <v>51</v>
      </c>
      <c r="J33" s="67">
        <v>130</v>
      </c>
      <c r="K33" s="40">
        <f>SUM(J33/J34)</f>
        <v>2.9017857142857144E-2</v>
      </c>
    </row>
    <row r="34" spans="1:17" s="20" customFormat="1" ht="15.75" thickBot="1">
      <c r="A34" s="17" t="s">
        <v>339</v>
      </c>
      <c r="B34" s="19" t="s">
        <v>6</v>
      </c>
      <c r="C34" s="13">
        <v>510</v>
      </c>
      <c r="D34" s="13">
        <v>514</v>
      </c>
      <c r="E34" s="13">
        <v>516</v>
      </c>
      <c r="F34" s="13">
        <v>517</v>
      </c>
      <c r="G34" s="13" t="s">
        <v>340</v>
      </c>
      <c r="H34" s="14"/>
      <c r="J34" s="72">
        <v>4480</v>
      </c>
    </row>
    <row r="35" spans="1:17" s="20" customFormat="1" ht="15.75" thickBot="1">
      <c r="A35" s="10" t="s">
        <v>341</v>
      </c>
      <c r="B35" s="11" t="s">
        <v>4</v>
      </c>
      <c r="C35" s="13">
        <v>413</v>
      </c>
      <c r="D35" s="13">
        <v>437</v>
      </c>
      <c r="E35" s="13">
        <v>494</v>
      </c>
      <c r="F35" s="13">
        <v>562</v>
      </c>
      <c r="G35" s="14" t="s">
        <v>247</v>
      </c>
      <c r="H35" s="14" t="s">
        <v>45</v>
      </c>
    </row>
    <row r="36" spans="1:17" s="20" customFormat="1" ht="15.75" thickBot="1">
      <c r="A36" s="17" t="s">
        <v>342</v>
      </c>
      <c r="B36" s="19" t="s">
        <v>6</v>
      </c>
      <c r="C36" s="13">
        <v>400</v>
      </c>
      <c r="D36" s="13">
        <v>427</v>
      </c>
      <c r="E36" s="13">
        <v>436</v>
      </c>
      <c r="F36" s="13">
        <v>437</v>
      </c>
      <c r="G36" s="13" t="s">
        <v>17</v>
      </c>
    </row>
    <row r="37" spans="1:17" s="20" customFormat="1" ht="15.75" thickBot="1">
      <c r="A37" s="17" t="s">
        <v>296</v>
      </c>
      <c r="B37" s="18" t="s">
        <v>4</v>
      </c>
      <c r="C37" s="13">
        <v>358</v>
      </c>
      <c r="D37" s="13">
        <v>361</v>
      </c>
      <c r="E37" s="13" t="s">
        <v>17</v>
      </c>
    </row>
    <row r="38" spans="1:17" s="20" customFormat="1" ht="15.75" thickBot="1">
      <c r="A38" s="17" t="s">
        <v>343</v>
      </c>
      <c r="B38" s="21" t="s">
        <v>51</v>
      </c>
      <c r="C38" s="13">
        <v>130</v>
      </c>
      <c r="D38" s="13" t="s">
        <v>17</v>
      </c>
    </row>
    <row r="40" spans="1:17" ht="14.25">
      <c r="A40" s="6" t="s">
        <v>610</v>
      </c>
      <c r="B40" s="20"/>
      <c r="C40" s="20"/>
      <c r="D40" s="20"/>
      <c r="E40" s="20"/>
      <c r="F40" s="20"/>
      <c r="G40" s="20"/>
      <c r="H40" s="20"/>
    </row>
    <row r="41" spans="1:17" ht="9.75" customHeight="1" thickBot="1">
      <c r="A41" s="6"/>
      <c r="B41" s="20"/>
      <c r="C41" s="20"/>
      <c r="D41" s="20"/>
      <c r="E41" s="20"/>
      <c r="F41" s="20"/>
      <c r="G41" s="20"/>
      <c r="H41" s="20"/>
    </row>
    <row r="42" spans="1:17" ht="15.75" thickBot="1">
      <c r="A42" s="8" t="s">
        <v>0</v>
      </c>
      <c r="B42" s="9" t="s">
        <v>1</v>
      </c>
      <c r="C42" s="9" t="s">
        <v>2</v>
      </c>
      <c r="D42" s="9">
        <v>2</v>
      </c>
      <c r="E42" s="9">
        <v>3</v>
      </c>
      <c r="F42" s="9">
        <v>4</v>
      </c>
      <c r="G42" s="9">
        <v>5</v>
      </c>
      <c r="H42" s="9">
        <v>6</v>
      </c>
      <c r="I42" s="9">
        <v>7</v>
      </c>
      <c r="J42" s="9">
        <v>8</v>
      </c>
      <c r="K42" s="9">
        <v>9</v>
      </c>
      <c r="L42" s="9">
        <v>10</v>
      </c>
      <c r="M42" s="9"/>
      <c r="N42" s="42" t="s">
        <v>99</v>
      </c>
      <c r="O42" s="40">
        <f>SUM(9089/12556)</f>
        <v>0.72387703090156097</v>
      </c>
      <c r="Q42" s="20"/>
    </row>
    <row r="43" spans="1:17" ht="15.75" thickBot="1">
      <c r="A43" s="10" t="s">
        <v>46</v>
      </c>
      <c r="B43" s="11" t="s">
        <v>4</v>
      </c>
      <c r="C43" s="12">
        <v>1312</v>
      </c>
      <c r="D43" s="13"/>
      <c r="E43" s="14"/>
      <c r="F43" s="13"/>
      <c r="G43" s="13"/>
      <c r="H43" s="13"/>
      <c r="I43" s="14"/>
      <c r="J43" s="13"/>
      <c r="K43" s="14"/>
      <c r="L43" s="14"/>
      <c r="M43" s="14" t="s">
        <v>41</v>
      </c>
      <c r="O43" s="42" t="s">
        <v>63</v>
      </c>
      <c r="P43" s="42" t="s">
        <v>64</v>
      </c>
      <c r="Q43" s="42" t="s">
        <v>65</v>
      </c>
    </row>
    <row r="44" spans="1:17" ht="15.75" thickBot="1">
      <c r="A44" s="10" t="s">
        <v>303</v>
      </c>
      <c r="B44" s="15" t="s">
        <v>6</v>
      </c>
      <c r="C44" s="13">
        <v>972</v>
      </c>
      <c r="D44" s="13">
        <v>977</v>
      </c>
      <c r="E44" s="16">
        <v>1030</v>
      </c>
      <c r="F44" s="16">
        <v>1111</v>
      </c>
      <c r="G44" s="12">
        <v>1253</v>
      </c>
      <c r="H44" s="13"/>
      <c r="I44" s="14"/>
      <c r="J44" s="13"/>
      <c r="K44" s="13"/>
      <c r="L44" s="13"/>
      <c r="M44" s="14" t="s">
        <v>42</v>
      </c>
      <c r="N44" s="43" t="s">
        <v>4</v>
      </c>
      <c r="O44" s="44">
        <f>SUM(C43+C47+C49+C50+C55)</f>
        <v>3449</v>
      </c>
      <c r="P44" s="46">
        <f>SUM(O44/O49)</f>
        <v>0.37946968863461328</v>
      </c>
      <c r="Q44" s="41">
        <v>3</v>
      </c>
    </row>
    <row r="45" spans="1:17" ht="15.75" thickBot="1">
      <c r="A45" s="10" t="s">
        <v>344</v>
      </c>
      <c r="B45" s="31" t="s">
        <v>60</v>
      </c>
      <c r="C45" s="13">
        <v>826</v>
      </c>
      <c r="D45" s="13">
        <v>834</v>
      </c>
      <c r="E45" s="13">
        <v>857</v>
      </c>
      <c r="F45" s="13">
        <v>890</v>
      </c>
      <c r="G45" s="13">
        <v>935</v>
      </c>
      <c r="H45" s="13">
        <v>948</v>
      </c>
      <c r="I45" s="13">
        <v>967</v>
      </c>
      <c r="J45" s="13">
        <v>991</v>
      </c>
      <c r="K45" s="16">
        <v>1051</v>
      </c>
      <c r="L45" s="12" t="s">
        <v>247</v>
      </c>
      <c r="M45" s="14" t="s">
        <v>43</v>
      </c>
      <c r="N45" s="45" t="s">
        <v>6</v>
      </c>
      <c r="O45" s="44">
        <f>SUM(C44+C51+C52+C54)</f>
        <v>2437</v>
      </c>
      <c r="P45" s="46">
        <f>SUM(O45/O49)</f>
        <v>0.26812630652437014</v>
      </c>
      <c r="Q45" s="41">
        <v>2</v>
      </c>
    </row>
    <row r="46" spans="1:17" ht="15.75" thickBot="1">
      <c r="A46" s="10" t="s">
        <v>345</v>
      </c>
      <c r="B46" s="14" t="s">
        <v>10</v>
      </c>
      <c r="C46" s="13">
        <v>699</v>
      </c>
      <c r="D46" s="13">
        <v>672</v>
      </c>
      <c r="E46" s="13">
        <v>678</v>
      </c>
      <c r="F46" s="13">
        <v>727</v>
      </c>
      <c r="G46" s="13">
        <v>814</v>
      </c>
      <c r="H46" s="13">
        <v>821</v>
      </c>
      <c r="I46" s="13">
        <v>848</v>
      </c>
      <c r="J46" s="13">
        <v>894</v>
      </c>
      <c r="K46" s="13">
        <v>970</v>
      </c>
      <c r="L46" s="14" t="s">
        <v>247</v>
      </c>
      <c r="M46" s="14" t="s">
        <v>45</v>
      </c>
      <c r="N46" s="66" t="s">
        <v>60</v>
      </c>
      <c r="O46" s="41">
        <f>SUM(C45+C48)</f>
        <v>1401</v>
      </c>
      <c r="P46" s="46">
        <f>SUM(O46/O49)</f>
        <v>0.15414236989767852</v>
      </c>
      <c r="Q46" s="41">
        <v>1</v>
      </c>
    </row>
    <row r="47" spans="1:17" ht="15.75" thickBot="1">
      <c r="A47" s="10" t="s">
        <v>346</v>
      </c>
      <c r="B47" s="11" t="s">
        <v>4</v>
      </c>
      <c r="C47" s="13">
        <v>612</v>
      </c>
      <c r="D47" s="13">
        <v>638</v>
      </c>
      <c r="E47" s="13">
        <v>659</v>
      </c>
      <c r="F47" s="13">
        <v>707</v>
      </c>
      <c r="G47" s="13">
        <v>732</v>
      </c>
      <c r="H47" s="13">
        <v>737</v>
      </c>
      <c r="I47" s="13">
        <v>767</v>
      </c>
      <c r="J47" s="13">
        <v>777</v>
      </c>
      <c r="K47" s="13">
        <v>852</v>
      </c>
      <c r="L47" s="14" t="s">
        <v>247</v>
      </c>
      <c r="M47" s="14" t="s">
        <v>495</v>
      </c>
      <c r="N47" s="65" t="s">
        <v>51</v>
      </c>
      <c r="O47" s="41">
        <v>452</v>
      </c>
      <c r="P47" s="46">
        <f>SUM(O47/O49)</f>
        <v>4.9730443393112556E-2</v>
      </c>
      <c r="Q47" s="41"/>
    </row>
    <row r="48" spans="1:17" ht="15.75" thickBot="1">
      <c r="A48" s="17" t="s">
        <v>310</v>
      </c>
      <c r="B48" s="22" t="s">
        <v>60</v>
      </c>
      <c r="C48" s="13">
        <v>575</v>
      </c>
      <c r="D48" s="13">
        <v>579</v>
      </c>
      <c r="E48" s="13">
        <v>612</v>
      </c>
      <c r="F48" s="13">
        <v>661</v>
      </c>
      <c r="G48" s="13">
        <v>685</v>
      </c>
      <c r="H48" s="13">
        <v>695</v>
      </c>
      <c r="I48" s="13">
        <v>705</v>
      </c>
      <c r="J48" s="13">
        <v>723</v>
      </c>
      <c r="K48" s="13">
        <v>796</v>
      </c>
      <c r="L48" s="13"/>
      <c r="M48" s="14"/>
      <c r="N48" s="42" t="s">
        <v>67</v>
      </c>
      <c r="O48" s="20">
        <f>SUM(C46+C56+C57)</f>
        <v>1350</v>
      </c>
      <c r="P48" s="40">
        <f>SUM(O48/O49)</f>
        <v>0.14853119155022554</v>
      </c>
      <c r="Q48" s="20">
        <v>1</v>
      </c>
    </row>
    <row r="49" spans="1:17" ht="15.75" thickBot="1">
      <c r="A49" s="17" t="s">
        <v>213</v>
      </c>
      <c r="B49" s="18" t="s">
        <v>4</v>
      </c>
      <c r="C49" s="13">
        <v>560</v>
      </c>
      <c r="D49" s="13">
        <v>590</v>
      </c>
      <c r="E49" s="13">
        <v>610</v>
      </c>
      <c r="F49" s="13">
        <v>653</v>
      </c>
      <c r="G49" s="13">
        <v>678</v>
      </c>
      <c r="H49" s="13">
        <v>688</v>
      </c>
      <c r="I49" s="13">
        <v>732</v>
      </c>
      <c r="J49" s="13">
        <v>747</v>
      </c>
      <c r="K49" s="13">
        <v>776</v>
      </c>
      <c r="L49" s="14" t="s">
        <v>17</v>
      </c>
      <c r="N49" s="20"/>
      <c r="O49" s="72">
        <v>9089</v>
      </c>
      <c r="P49" s="20"/>
      <c r="Q49" s="20"/>
    </row>
    <row r="50" spans="1:17" ht="15.75" thickBot="1">
      <c r="A50" s="10" t="s">
        <v>347</v>
      </c>
      <c r="B50" s="11" t="s">
        <v>4</v>
      </c>
      <c r="C50" s="13">
        <v>546</v>
      </c>
      <c r="D50" s="13">
        <v>586</v>
      </c>
      <c r="E50" s="13">
        <v>594</v>
      </c>
      <c r="F50" s="13">
        <v>623</v>
      </c>
      <c r="G50" s="13">
        <v>636</v>
      </c>
      <c r="H50" s="13">
        <v>642</v>
      </c>
      <c r="I50" s="13">
        <v>837</v>
      </c>
      <c r="J50" s="13">
        <v>973</v>
      </c>
      <c r="K50" s="16">
        <v>1014</v>
      </c>
      <c r="L50" s="12" t="s">
        <v>247</v>
      </c>
      <c r="M50" s="14" t="s">
        <v>44</v>
      </c>
    </row>
    <row r="51" spans="1:17" ht="15.75" thickBot="1">
      <c r="A51" s="10" t="s">
        <v>304</v>
      </c>
      <c r="B51" s="15" t="s">
        <v>6</v>
      </c>
      <c r="C51" s="13">
        <v>528</v>
      </c>
      <c r="D51" s="13">
        <v>532</v>
      </c>
      <c r="E51" s="13">
        <v>540</v>
      </c>
      <c r="F51" s="13">
        <v>543</v>
      </c>
      <c r="G51" s="13">
        <v>556</v>
      </c>
      <c r="H51" s="13">
        <v>592</v>
      </c>
      <c r="I51" s="13">
        <v>632</v>
      </c>
      <c r="J51" s="13">
        <v>731</v>
      </c>
      <c r="K51" s="13">
        <v>894</v>
      </c>
      <c r="L51" s="14" t="s">
        <v>247</v>
      </c>
      <c r="M51" s="14" t="s">
        <v>494</v>
      </c>
    </row>
    <row r="52" spans="1:17" ht="15.75" thickBot="1">
      <c r="A52" s="17" t="s">
        <v>92</v>
      </c>
      <c r="B52" s="19" t="s">
        <v>6</v>
      </c>
      <c r="C52" s="13">
        <v>505</v>
      </c>
      <c r="D52" s="13">
        <v>510</v>
      </c>
      <c r="E52" s="13">
        <v>542</v>
      </c>
      <c r="F52" s="13">
        <v>577</v>
      </c>
      <c r="G52" s="13">
        <v>612</v>
      </c>
      <c r="H52" s="13">
        <v>640</v>
      </c>
      <c r="I52" s="13">
        <v>668</v>
      </c>
      <c r="J52" s="13">
        <v>696</v>
      </c>
      <c r="K52" s="13" t="s">
        <v>17</v>
      </c>
    </row>
    <row r="53" spans="1:17" ht="15.75" thickBot="1">
      <c r="A53" s="17" t="s">
        <v>348</v>
      </c>
      <c r="B53" s="21" t="s">
        <v>51</v>
      </c>
      <c r="C53" s="13">
        <v>452</v>
      </c>
      <c r="D53" s="13">
        <v>469</v>
      </c>
      <c r="E53" s="13">
        <v>472</v>
      </c>
      <c r="F53" s="13">
        <v>485</v>
      </c>
      <c r="G53" s="13">
        <v>489</v>
      </c>
      <c r="H53" s="13">
        <v>489</v>
      </c>
      <c r="I53" s="13">
        <v>503</v>
      </c>
      <c r="J53" s="13" t="s">
        <v>17</v>
      </c>
    </row>
    <row r="54" spans="1:17" ht="15.75" thickBot="1">
      <c r="A54" s="17" t="s">
        <v>349</v>
      </c>
      <c r="B54" s="19" t="s">
        <v>6</v>
      </c>
      <c r="C54" s="13">
        <v>432</v>
      </c>
      <c r="D54" s="13">
        <v>434</v>
      </c>
      <c r="E54" s="13">
        <v>446</v>
      </c>
      <c r="F54" s="13">
        <v>451</v>
      </c>
      <c r="G54" s="13" t="s">
        <v>17</v>
      </c>
    </row>
    <row r="55" spans="1:17" ht="15.75" thickBot="1">
      <c r="A55" s="17" t="s">
        <v>350</v>
      </c>
      <c r="B55" s="18" t="s">
        <v>4</v>
      </c>
      <c r="C55" s="13">
        <v>419</v>
      </c>
      <c r="D55" s="13">
        <v>441</v>
      </c>
      <c r="E55" s="13">
        <v>446</v>
      </c>
      <c r="F55" s="13">
        <v>454</v>
      </c>
      <c r="G55" s="13">
        <v>460</v>
      </c>
      <c r="H55" s="13">
        <v>461</v>
      </c>
      <c r="I55" s="13" t="s">
        <v>17</v>
      </c>
    </row>
    <row r="56" spans="1:17" ht="15.75" thickBot="1">
      <c r="A56" s="17" t="s">
        <v>351</v>
      </c>
      <c r="B56" s="13" t="s">
        <v>10</v>
      </c>
      <c r="C56" s="13">
        <v>387</v>
      </c>
      <c r="D56" s="13">
        <v>393</v>
      </c>
      <c r="E56" s="13">
        <v>416</v>
      </c>
      <c r="F56" s="13" t="s">
        <v>17</v>
      </c>
    </row>
    <row r="57" spans="1:17" ht="15.75" thickBot="1">
      <c r="A57" s="17" t="s">
        <v>352</v>
      </c>
      <c r="B57" s="13" t="s">
        <v>10</v>
      </c>
      <c r="C57" s="13">
        <v>264</v>
      </c>
      <c r="D57" s="13">
        <v>267</v>
      </c>
      <c r="E57" s="13" t="s">
        <v>17</v>
      </c>
    </row>
    <row r="60" spans="1:17">
      <c r="A60" s="4"/>
      <c r="B60" s="4" t="s">
        <v>66</v>
      </c>
      <c r="C60" s="23" t="s">
        <v>4</v>
      </c>
      <c r="D60" s="24" t="s">
        <v>6</v>
      </c>
      <c r="E60" s="25" t="s">
        <v>60</v>
      </c>
      <c r="F60" s="26" t="s">
        <v>51</v>
      </c>
      <c r="G60" s="4" t="s">
        <v>67</v>
      </c>
      <c r="I60" s="4" t="s">
        <v>571</v>
      </c>
    </row>
    <row r="61" spans="1:17" ht="14.25">
      <c r="A61" s="27" t="s">
        <v>63</v>
      </c>
      <c r="B61" s="105">
        <f>SUM(9089+4480+3376+6916)</f>
        <v>23861</v>
      </c>
      <c r="C61" s="106">
        <f>SUM(O44+J31+G21+N5)</f>
        <v>9324</v>
      </c>
      <c r="D61" s="106">
        <f>SUM(O45+J32+G22+N6)</f>
        <v>10294</v>
      </c>
      <c r="E61" s="106">
        <v>1401</v>
      </c>
      <c r="F61" s="106">
        <f>SUM(O47+J33+N7)</f>
        <v>678</v>
      </c>
      <c r="G61" s="106">
        <f>SUM(O48+N8)</f>
        <v>2164</v>
      </c>
      <c r="I61" s="106">
        <f>SUM(12556+6167+4696+8990)</f>
        <v>32409</v>
      </c>
    </row>
    <row r="62" spans="1:17" ht="14.25">
      <c r="A62" s="27" t="s">
        <v>64</v>
      </c>
      <c r="B62" s="29">
        <v>1</v>
      </c>
      <c r="C62" s="28">
        <f>SUM(C61/$B$61)</f>
        <v>0.39076317002640293</v>
      </c>
      <c r="D62" s="28">
        <f>SUM(D61/$B$61)</f>
        <v>0.43141528016428482</v>
      </c>
      <c r="E62" s="28">
        <f>SUM(E61/$B$61)</f>
        <v>5.8715058044507773E-2</v>
      </c>
      <c r="F62" s="28">
        <f>SUM(F61/$B$61)</f>
        <v>2.8414567704622605E-2</v>
      </c>
      <c r="G62" s="28">
        <f>SUM(G61/$B$61)</f>
        <v>9.069192406018188E-2</v>
      </c>
      <c r="I62" s="4" t="s">
        <v>99</v>
      </c>
    </row>
    <row r="63" spans="1:17" ht="14.25">
      <c r="A63" s="27" t="s">
        <v>65</v>
      </c>
      <c r="B63" s="4">
        <v>24</v>
      </c>
      <c r="C63">
        <v>10</v>
      </c>
      <c r="D63">
        <v>11</v>
      </c>
      <c r="E63">
        <v>1</v>
      </c>
      <c r="F63">
        <v>0</v>
      </c>
      <c r="G63">
        <v>2</v>
      </c>
      <c r="I63" s="28">
        <f>SUM(B61/I61)</f>
        <v>0.73624610447715144</v>
      </c>
    </row>
  </sheetData>
  <phoneticPr fontId="16" type="noConversion"/>
  <pageMargins left="0.75" right="0.75" top="1" bottom="1" header="0.5" footer="0.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U73"/>
  <sheetViews>
    <sheetView workbookViewId="0">
      <selection activeCell="R1" sqref="R1"/>
    </sheetView>
  </sheetViews>
  <sheetFormatPr defaultRowHeight="12.75"/>
  <cols>
    <col min="1" max="1" width="20" customWidth="1"/>
    <col min="2" max="2" width="8.7109375" customWidth="1"/>
    <col min="3" max="3" width="8.5703125" customWidth="1"/>
    <col min="4" max="20" width="8.7109375" customWidth="1"/>
  </cols>
  <sheetData>
    <row r="1" spans="1:18" s="20" customFormat="1" ht="16.5" customHeight="1">
      <c r="A1" s="6" t="s">
        <v>481</v>
      </c>
    </row>
    <row r="2" spans="1:18" s="20" customFormat="1" ht="9" customHeight="1" thickBot="1">
      <c r="A2" s="6"/>
    </row>
    <row r="3" spans="1:18" s="20" customFormat="1" ht="16.5" customHeight="1" thickBot="1">
      <c r="A3" s="8" t="s">
        <v>0</v>
      </c>
      <c r="B3" s="9" t="s">
        <v>1</v>
      </c>
      <c r="C3" s="9" t="s">
        <v>2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9">
        <v>7</v>
      </c>
      <c r="J3" s="9">
        <v>8</v>
      </c>
      <c r="K3" s="9">
        <v>9</v>
      </c>
      <c r="L3" s="9">
        <v>10</v>
      </c>
      <c r="M3" s="9">
        <v>11</v>
      </c>
      <c r="N3" s="62"/>
      <c r="O3" s="42" t="s">
        <v>99</v>
      </c>
      <c r="P3" s="40">
        <f>SUM(7585/9518)</f>
        <v>0.79691111578062623</v>
      </c>
    </row>
    <row r="4" spans="1:18" s="20" customFormat="1" ht="15.75" thickBot="1">
      <c r="A4" s="10" t="s">
        <v>311</v>
      </c>
      <c r="B4" s="15" t="s">
        <v>6</v>
      </c>
      <c r="C4" s="12">
        <v>1091</v>
      </c>
      <c r="D4" s="13"/>
      <c r="E4" s="14"/>
      <c r="F4" s="13"/>
      <c r="G4" s="13"/>
      <c r="H4" s="13"/>
      <c r="I4" s="14"/>
      <c r="J4" s="13"/>
      <c r="K4" s="14"/>
      <c r="L4" s="13"/>
      <c r="M4" s="13"/>
      <c r="N4" s="14" t="s">
        <v>41</v>
      </c>
      <c r="P4" s="42" t="s">
        <v>63</v>
      </c>
      <c r="Q4" s="42" t="s">
        <v>64</v>
      </c>
      <c r="R4" s="42" t="s">
        <v>65</v>
      </c>
    </row>
    <row r="5" spans="1:18" s="20" customFormat="1" ht="15.75" thickBot="1">
      <c r="A5" s="10" t="s">
        <v>155</v>
      </c>
      <c r="B5" s="11" t="s">
        <v>4</v>
      </c>
      <c r="C5" s="13">
        <v>759</v>
      </c>
      <c r="D5" s="13">
        <v>768</v>
      </c>
      <c r="E5" s="13">
        <v>770</v>
      </c>
      <c r="F5" s="13">
        <v>786</v>
      </c>
      <c r="G5" s="13">
        <v>796</v>
      </c>
      <c r="H5" s="13">
        <v>806</v>
      </c>
      <c r="I5" s="13">
        <v>811</v>
      </c>
      <c r="J5" s="13">
        <v>893</v>
      </c>
      <c r="K5" s="12">
        <v>1180</v>
      </c>
      <c r="L5" s="13"/>
      <c r="M5" s="13"/>
      <c r="N5" s="14" t="s">
        <v>45</v>
      </c>
      <c r="O5" s="43" t="s">
        <v>4</v>
      </c>
      <c r="P5" s="44">
        <f>SUM(C5+C6+C9+C12+C14)</f>
        <v>2893</v>
      </c>
      <c r="Q5" s="46">
        <f>SUM(P5/P10)</f>
        <v>0.38409453000531069</v>
      </c>
      <c r="R5" s="41">
        <v>3</v>
      </c>
    </row>
    <row r="6" spans="1:18" s="20" customFormat="1" ht="15.75" thickBot="1">
      <c r="A6" s="10" t="s">
        <v>226</v>
      </c>
      <c r="B6" s="11" t="s">
        <v>4</v>
      </c>
      <c r="C6" s="13">
        <v>742</v>
      </c>
      <c r="D6" s="13">
        <v>747</v>
      </c>
      <c r="E6" s="13">
        <v>747</v>
      </c>
      <c r="F6" s="13">
        <v>758</v>
      </c>
      <c r="G6" s="13">
        <v>770</v>
      </c>
      <c r="H6" s="13">
        <v>782</v>
      </c>
      <c r="I6" s="13">
        <v>911</v>
      </c>
      <c r="J6" s="14">
        <v>950</v>
      </c>
      <c r="K6" s="13"/>
      <c r="L6" s="13"/>
      <c r="M6" s="13"/>
      <c r="N6" s="14" t="s">
        <v>44</v>
      </c>
      <c r="O6" s="45" t="s">
        <v>6</v>
      </c>
      <c r="P6" s="44">
        <f>SUM(C4+C7+C8+C11+C13+C15)</f>
        <v>3650</v>
      </c>
      <c r="Q6" s="46">
        <f>SUM(P6/P10)</f>
        <v>0.484599044078598</v>
      </c>
      <c r="R6" s="41">
        <v>3</v>
      </c>
    </row>
    <row r="7" spans="1:18" s="20" customFormat="1" ht="15.75" thickBot="1">
      <c r="A7" s="10" t="s">
        <v>225</v>
      </c>
      <c r="B7" s="15" t="s">
        <v>6</v>
      </c>
      <c r="C7" s="13">
        <v>722</v>
      </c>
      <c r="D7" s="13">
        <v>764</v>
      </c>
      <c r="E7" s="13">
        <v>776</v>
      </c>
      <c r="F7" s="13">
        <v>781</v>
      </c>
      <c r="G7" s="13">
        <v>898</v>
      </c>
      <c r="H7" s="13">
        <v>911</v>
      </c>
      <c r="I7" s="13">
        <v>935</v>
      </c>
      <c r="J7" s="14">
        <v>964</v>
      </c>
      <c r="K7" s="13"/>
      <c r="L7" s="13"/>
      <c r="M7" s="13"/>
      <c r="N7" s="14" t="s">
        <v>42</v>
      </c>
      <c r="O7" s="66" t="s">
        <v>60</v>
      </c>
      <c r="P7" s="41">
        <v>56</v>
      </c>
      <c r="Q7" s="46">
        <f>SUM(P7/P10)</f>
        <v>7.4349442379182153E-3</v>
      </c>
      <c r="R7" s="41"/>
    </row>
    <row r="8" spans="1:18" s="20" customFormat="1" ht="15.75" thickBot="1">
      <c r="A8" s="10" t="s">
        <v>312</v>
      </c>
      <c r="B8" s="15" t="s">
        <v>6</v>
      </c>
      <c r="C8" s="13">
        <v>708</v>
      </c>
      <c r="D8" s="13">
        <v>718</v>
      </c>
      <c r="E8" s="13">
        <v>719</v>
      </c>
      <c r="F8" s="13">
        <v>723</v>
      </c>
      <c r="G8" s="13">
        <v>749</v>
      </c>
      <c r="H8" s="13">
        <v>772</v>
      </c>
      <c r="I8" s="13">
        <v>924</v>
      </c>
      <c r="J8" s="14">
        <v>953</v>
      </c>
      <c r="K8" s="13"/>
      <c r="L8" s="13"/>
      <c r="M8" s="13"/>
      <c r="N8" s="14" t="s">
        <v>43</v>
      </c>
      <c r="O8" s="65" t="s">
        <v>51</v>
      </c>
      <c r="P8" s="41">
        <v>150</v>
      </c>
      <c r="Q8" s="46">
        <f>SUM(P8/P10)</f>
        <v>1.9915029208709505E-2</v>
      </c>
      <c r="R8" s="41"/>
    </row>
    <row r="9" spans="1:18" s="20" customFormat="1" ht="15.75" thickBot="1">
      <c r="A9" s="10" t="s">
        <v>3</v>
      </c>
      <c r="B9" s="11" t="s">
        <v>4</v>
      </c>
      <c r="C9" s="13">
        <v>643</v>
      </c>
      <c r="D9" s="13">
        <v>650</v>
      </c>
      <c r="E9" s="13">
        <v>650</v>
      </c>
      <c r="F9" s="13">
        <v>657</v>
      </c>
      <c r="G9" s="13">
        <v>671</v>
      </c>
      <c r="H9" s="13">
        <v>684</v>
      </c>
      <c r="I9" s="13">
        <v>713</v>
      </c>
      <c r="J9" s="13">
        <v>766</v>
      </c>
      <c r="K9" s="13">
        <v>773</v>
      </c>
      <c r="L9" s="13">
        <v>779</v>
      </c>
      <c r="M9" s="12">
        <v>1026</v>
      </c>
      <c r="N9" s="14" t="s">
        <v>494</v>
      </c>
      <c r="O9" s="42" t="s">
        <v>67</v>
      </c>
      <c r="P9" s="20">
        <f>SUM(C16+C10)</f>
        <v>783</v>
      </c>
      <c r="Q9" s="40">
        <f>SUM(P9/P10)</f>
        <v>0.10395645246946363</v>
      </c>
      <c r="R9" s="20">
        <v>1</v>
      </c>
    </row>
    <row r="10" spans="1:18" s="20" customFormat="1" ht="15.75" thickBot="1">
      <c r="A10" s="10" t="s">
        <v>9</v>
      </c>
      <c r="B10" s="14" t="s">
        <v>10</v>
      </c>
      <c r="C10" s="13">
        <v>527</v>
      </c>
      <c r="D10" s="13">
        <v>537</v>
      </c>
      <c r="E10" s="13">
        <v>540</v>
      </c>
      <c r="F10" s="13">
        <v>544</v>
      </c>
      <c r="G10" s="13">
        <v>563</v>
      </c>
      <c r="H10" s="13">
        <v>574</v>
      </c>
      <c r="I10" s="13">
        <v>593</v>
      </c>
      <c r="J10" s="13">
        <v>608</v>
      </c>
      <c r="K10" s="13">
        <v>726</v>
      </c>
      <c r="L10" s="13">
        <v>836</v>
      </c>
      <c r="M10" s="14">
        <v>933</v>
      </c>
      <c r="N10" s="14" t="s">
        <v>495</v>
      </c>
      <c r="P10" s="72">
        <v>7532</v>
      </c>
    </row>
    <row r="11" spans="1:18" s="20" customFormat="1" ht="15.75" thickBot="1">
      <c r="A11" s="17" t="s">
        <v>153</v>
      </c>
      <c r="B11" s="19" t="s">
        <v>6</v>
      </c>
      <c r="C11" s="13">
        <v>506</v>
      </c>
      <c r="D11" s="13">
        <v>517</v>
      </c>
      <c r="E11" s="13">
        <v>521</v>
      </c>
      <c r="F11" s="13">
        <v>525</v>
      </c>
      <c r="G11" s="13">
        <v>541</v>
      </c>
      <c r="H11" s="13">
        <v>543</v>
      </c>
      <c r="I11" s="13">
        <v>557</v>
      </c>
      <c r="J11" s="13">
        <v>561</v>
      </c>
      <c r="K11" s="13" t="s">
        <v>17</v>
      </c>
    </row>
    <row r="12" spans="1:18" s="20" customFormat="1" ht="15.75" thickBot="1">
      <c r="A12" s="17" t="s">
        <v>313</v>
      </c>
      <c r="B12" s="18" t="s">
        <v>4</v>
      </c>
      <c r="C12" s="13">
        <v>446</v>
      </c>
      <c r="D12" s="13">
        <v>456</v>
      </c>
      <c r="E12" s="13">
        <v>471</v>
      </c>
      <c r="F12" s="13">
        <v>484</v>
      </c>
      <c r="G12" s="13">
        <v>532</v>
      </c>
      <c r="H12" s="13">
        <v>555</v>
      </c>
      <c r="I12" s="13">
        <v>557</v>
      </c>
      <c r="J12" s="13">
        <v>667</v>
      </c>
      <c r="K12" s="13">
        <v>698</v>
      </c>
      <c r="L12" s="13">
        <v>722</v>
      </c>
      <c r="M12" s="13" t="s">
        <v>17</v>
      </c>
      <c r="N12" s="13"/>
    </row>
    <row r="13" spans="1:18" s="20" customFormat="1" ht="15.75" thickBot="1">
      <c r="A13" s="17" t="s">
        <v>287</v>
      </c>
      <c r="B13" s="19" t="s">
        <v>6</v>
      </c>
      <c r="C13" s="13">
        <v>352</v>
      </c>
      <c r="D13" s="13">
        <v>363</v>
      </c>
      <c r="E13" s="13">
        <v>364</v>
      </c>
      <c r="F13" s="13">
        <v>365</v>
      </c>
      <c r="G13" s="13">
        <v>380</v>
      </c>
      <c r="H13" s="13">
        <v>405</v>
      </c>
      <c r="I13" s="13" t="s">
        <v>17</v>
      </c>
      <c r="K13" s="41"/>
    </row>
    <row r="14" spans="1:18" s="20" customFormat="1" ht="15.75" thickBot="1">
      <c r="A14" s="17" t="s">
        <v>314</v>
      </c>
      <c r="B14" s="18" t="s">
        <v>4</v>
      </c>
      <c r="C14" s="13">
        <v>303</v>
      </c>
      <c r="D14" s="13">
        <v>309</v>
      </c>
      <c r="E14" s="13">
        <v>310</v>
      </c>
      <c r="F14" s="13">
        <v>338</v>
      </c>
      <c r="G14" s="13">
        <v>343</v>
      </c>
      <c r="H14" s="13">
        <v>481</v>
      </c>
      <c r="I14" s="13">
        <v>486</v>
      </c>
      <c r="J14" s="13" t="s">
        <v>17</v>
      </c>
    </row>
    <row r="15" spans="1:18" s="20" customFormat="1" ht="15.75" thickBot="1">
      <c r="A15" s="17" t="s">
        <v>262</v>
      </c>
      <c r="B15" s="19" t="s">
        <v>6</v>
      </c>
      <c r="C15" s="13">
        <v>271</v>
      </c>
      <c r="D15" s="13">
        <v>289</v>
      </c>
      <c r="E15" s="13">
        <v>299</v>
      </c>
      <c r="F15" s="13">
        <v>301</v>
      </c>
      <c r="G15" s="13" t="s">
        <v>17</v>
      </c>
    </row>
    <row r="16" spans="1:18" s="20" customFormat="1" ht="15.75" thickBot="1">
      <c r="A16" s="17" t="s">
        <v>263</v>
      </c>
      <c r="B16" s="13" t="s">
        <v>10</v>
      </c>
      <c r="C16" s="13">
        <v>256</v>
      </c>
      <c r="D16" s="13">
        <v>262</v>
      </c>
      <c r="E16" s="13">
        <v>263</v>
      </c>
      <c r="F16" s="13">
        <v>317</v>
      </c>
      <c r="G16" s="13">
        <v>322</v>
      </c>
      <c r="H16" s="13" t="s">
        <v>17</v>
      </c>
    </row>
    <row r="17" spans="1:11" s="20" customFormat="1" ht="15.75" thickBot="1">
      <c r="A17" s="17" t="s">
        <v>315</v>
      </c>
      <c r="B17" s="21" t="s">
        <v>51</v>
      </c>
      <c r="C17" s="13">
        <v>150</v>
      </c>
      <c r="D17" s="13">
        <v>151</v>
      </c>
      <c r="E17" s="13">
        <v>154</v>
      </c>
      <c r="F17" s="13" t="s">
        <v>17</v>
      </c>
    </row>
    <row r="18" spans="1:11" s="20" customFormat="1" ht="15.75" thickBot="1">
      <c r="A18" s="17" t="s">
        <v>316</v>
      </c>
      <c r="B18" s="22" t="s">
        <v>60</v>
      </c>
      <c r="C18" s="13">
        <v>56</v>
      </c>
      <c r="D18" s="13">
        <v>59</v>
      </c>
      <c r="E18" s="13" t="s">
        <v>17</v>
      </c>
    </row>
    <row r="20" spans="1:11" ht="14.25">
      <c r="A20" s="6" t="s">
        <v>482</v>
      </c>
      <c r="B20" s="20"/>
      <c r="C20" s="20"/>
      <c r="D20" s="20"/>
      <c r="E20" s="20"/>
      <c r="F20" s="20"/>
      <c r="G20" s="20"/>
    </row>
    <row r="21" spans="1:11" ht="9.75" customHeight="1" thickBot="1">
      <c r="A21" s="6"/>
      <c r="B21" s="20"/>
      <c r="C21" s="20"/>
      <c r="D21" s="20"/>
      <c r="E21" s="20"/>
      <c r="F21" s="20"/>
      <c r="G21" s="20"/>
    </row>
    <row r="22" spans="1:11" ht="15.75" thickBot="1">
      <c r="A22" s="8" t="s">
        <v>0</v>
      </c>
      <c r="B22" s="9" t="s">
        <v>1</v>
      </c>
      <c r="C22" s="9" t="s">
        <v>2</v>
      </c>
      <c r="D22" s="9">
        <v>2</v>
      </c>
      <c r="E22" s="9">
        <v>3</v>
      </c>
      <c r="F22" s="9">
        <v>4</v>
      </c>
      <c r="G22" s="9"/>
      <c r="H22" s="42" t="s">
        <v>99</v>
      </c>
      <c r="I22" s="40">
        <f>SUM(4111/5074)</f>
        <v>0.81020890815924318</v>
      </c>
      <c r="K22" s="20"/>
    </row>
    <row r="23" spans="1:11" ht="15.75" thickBot="1">
      <c r="A23" s="10" t="s">
        <v>317</v>
      </c>
      <c r="B23" s="11" t="s">
        <v>4</v>
      </c>
      <c r="C23" s="14">
        <v>827</v>
      </c>
      <c r="D23" s="13"/>
      <c r="E23" s="14"/>
      <c r="F23" s="13"/>
      <c r="G23" s="14" t="s">
        <v>41</v>
      </c>
      <c r="H23" s="41"/>
      <c r="I23" s="42" t="s">
        <v>63</v>
      </c>
      <c r="J23" s="42" t="s">
        <v>64</v>
      </c>
      <c r="K23" s="42" t="s">
        <v>65</v>
      </c>
    </row>
    <row r="24" spans="1:11" ht="15.75" thickBot="1">
      <c r="A24" s="10" t="s">
        <v>167</v>
      </c>
      <c r="B24" s="15" t="s">
        <v>6</v>
      </c>
      <c r="C24" s="13">
        <v>795</v>
      </c>
      <c r="D24" s="14">
        <v>914</v>
      </c>
      <c r="E24" s="13"/>
      <c r="F24" s="13"/>
      <c r="G24" s="14" t="s">
        <v>42</v>
      </c>
      <c r="H24" s="43" t="s">
        <v>4</v>
      </c>
      <c r="I24" s="44">
        <f>SUM(C23+C25+C28)</f>
        <v>2001</v>
      </c>
      <c r="J24" s="46">
        <f>SUM(I24/I26)</f>
        <v>0.48948140900195697</v>
      </c>
      <c r="K24" s="41">
        <v>2</v>
      </c>
    </row>
    <row r="25" spans="1:11" ht="15.75" thickBot="1">
      <c r="A25" s="10" t="s">
        <v>291</v>
      </c>
      <c r="B25" s="11" t="s">
        <v>4</v>
      </c>
      <c r="C25" s="13">
        <v>673</v>
      </c>
      <c r="D25" s="14">
        <v>920</v>
      </c>
      <c r="E25" s="13"/>
      <c r="F25" s="13"/>
      <c r="G25" s="14" t="s">
        <v>43</v>
      </c>
      <c r="H25" s="45" t="s">
        <v>6</v>
      </c>
      <c r="I25" s="44">
        <f>SUM(C24+C26+C27)</f>
        <v>2087</v>
      </c>
      <c r="J25" s="46">
        <f>SUM(I25/I26)</f>
        <v>0.51051859099804309</v>
      </c>
      <c r="K25" s="41">
        <v>2</v>
      </c>
    </row>
    <row r="26" spans="1:11" ht="15.75" thickBot="1">
      <c r="A26" s="10" t="s">
        <v>21</v>
      </c>
      <c r="B26" s="15" t="s">
        <v>6</v>
      </c>
      <c r="C26" s="13">
        <v>659</v>
      </c>
      <c r="D26" s="13">
        <v>724</v>
      </c>
      <c r="E26" s="13">
        <v>759</v>
      </c>
      <c r="F26" s="14">
        <v>800</v>
      </c>
      <c r="G26" s="14" t="s">
        <v>44</v>
      </c>
      <c r="H26" s="42"/>
      <c r="I26" s="72">
        <v>4088</v>
      </c>
      <c r="J26" s="40"/>
      <c r="K26" s="20"/>
    </row>
    <row r="27" spans="1:11" ht="15.75" thickBot="1">
      <c r="A27" s="17" t="s">
        <v>270</v>
      </c>
      <c r="B27" s="19" t="s">
        <v>6</v>
      </c>
      <c r="C27" s="13">
        <v>633</v>
      </c>
      <c r="D27" s="13">
        <v>656</v>
      </c>
      <c r="E27" s="13">
        <v>679</v>
      </c>
      <c r="F27" s="13">
        <v>713</v>
      </c>
      <c r="G27" s="13"/>
    </row>
    <row r="28" spans="1:11" ht="15.75" thickBot="1">
      <c r="A28" s="17" t="s">
        <v>23</v>
      </c>
      <c r="B28" s="18" t="s">
        <v>4</v>
      </c>
      <c r="C28" s="13">
        <v>501</v>
      </c>
      <c r="D28" s="13" t="s">
        <v>17</v>
      </c>
    </row>
    <row r="30" spans="1:11" ht="14.25">
      <c r="A30" s="6" t="s">
        <v>483</v>
      </c>
      <c r="B30" s="20"/>
      <c r="C30" s="20"/>
      <c r="D30" s="20"/>
      <c r="E30" s="20"/>
      <c r="F30" s="20"/>
      <c r="G30" s="20"/>
    </row>
    <row r="31" spans="1:11" ht="9" customHeight="1" thickBot="1">
      <c r="A31" s="6"/>
      <c r="B31" s="20"/>
      <c r="C31" s="20"/>
      <c r="D31" s="20"/>
      <c r="E31" s="20"/>
      <c r="F31" s="20"/>
      <c r="G31" s="20"/>
    </row>
    <row r="32" spans="1:11" ht="15.75" thickBot="1">
      <c r="A32" s="8" t="s">
        <v>0</v>
      </c>
      <c r="B32" s="9" t="s">
        <v>1</v>
      </c>
      <c r="C32" s="9" t="s">
        <v>2</v>
      </c>
      <c r="D32" s="9">
        <v>2</v>
      </c>
      <c r="E32" s="9">
        <v>3</v>
      </c>
      <c r="F32" s="9">
        <v>4</v>
      </c>
      <c r="G32" s="9"/>
      <c r="H32" s="42" t="s">
        <v>99</v>
      </c>
      <c r="I32" s="40">
        <f>SUM(4000/5410)</f>
        <v>0.73937153419593349</v>
      </c>
      <c r="K32" s="20"/>
    </row>
    <row r="33" spans="1:21" ht="15.75" thickBot="1">
      <c r="A33" s="10" t="s">
        <v>237</v>
      </c>
      <c r="B33" s="11" t="s">
        <v>4</v>
      </c>
      <c r="C33" s="12">
        <v>1195</v>
      </c>
      <c r="D33" s="13"/>
      <c r="E33" s="14"/>
      <c r="F33" s="13"/>
      <c r="G33" s="14" t="s">
        <v>41</v>
      </c>
      <c r="H33" s="41"/>
      <c r="I33" s="42" t="s">
        <v>63</v>
      </c>
      <c r="J33" s="42" t="s">
        <v>64</v>
      </c>
      <c r="K33" s="42" t="s">
        <v>65</v>
      </c>
    </row>
    <row r="34" spans="1:21" ht="15.75" thickBot="1">
      <c r="A34" s="10" t="s">
        <v>32</v>
      </c>
      <c r="B34" s="15" t="s">
        <v>6</v>
      </c>
      <c r="C34" s="13">
        <v>741</v>
      </c>
      <c r="D34" s="13">
        <v>748</v>
      </c>
      <c r="E34" s="14">
        <v>827</v>
      </c>
      <c r="F34" s="14"/>
      <c r="G34" s="14" t="s">
        <v>43</v>
      </c>
      <c r="H34" s="43" t="s">
        <v>4</v>
      </c>
      <c r="I34" s="44">
        <f>SUM(C33+C36+C37)</f>
        <v>2121</v>
      </c>
      <c r="J34" s="46">
        <f>SUM(I34/I37)</f>
        <v>0.53641881638846733</v>
      </c>
      <c r="K34" s="41">
        <v>2</v>
      </c>
    </row>
    <row r="35" spans="1:21" ht="15.75" thickBot="1">
      <c r="A35" s="10" t="s">
        <v>295</v>
      </c>
      <c r="B35" s="15" t="s">
        <v>6</v>
      </c>
      <c r="C35" s="13">
        <v>668</v>
      </c>
      <c r="D35" s="13">
        <v>679</v>
      </c>
      <c r="E35" s="13">
        <v>691</v>
      </c>
      <c r="F35" s="14">
        <v>829</v>
      </c>
      <c r="G35" s="14" t="s">
        <v>44</v>
      </c>
      <c r="H35" s="45" t="s">
        <v>6</v>
      </c>
      <c r="I35" s="44">
        <f>SUM(C34+C35+C38)</f>
        <v>1722</v>
      </c>
      <c r="J35" s="46">
        <f>SUM(I35/I37)</f>
        <v>0.43550834597875571</v>
      </c>
      <c r="K35" s="41">
        <v>2</v>
      </c>
    </row>
    <row r="36" spans="1:21" ht="15.75" thickBot="1">
      <c r="A36" s="10" t="s">
        <v>294</v>
      </c>
      <c r="B36" s="11" t="s">
        <v>4</v>
      </c>
      <c r="C36" s="13">
        <v>605</v>
      </c>
      <c r="D36" s="14">
        <v>814</v>
      </c>
      <c r="E36" s="13"/>
      <c r="F36" s="14"/>
      <c r="G36" s="14" t="s">
        <v>42</v>
      </c>
      <c r="H36" s="66" t="s">
        <v>60</v>
      </c>
      <c r="I36" s="67">
        <v>111</v>
      </c>
      <c r="J36" s="40">
        <f>SUM(I36/I37)</f>
        <v>2.8072837632776935E-2</v>
      </c>
      <c r="K36" s="20"/>
    </row>
    <row r="37" spans="1:21" ht="15.75" thickBot="1">
      <c r="A37" s="17" t="s">
        <v>318</v>
      </c>
      <c r="B37" s="18" t="s">
        <v>4</v>
      </c>
      <c r="C37" s="13">
        <v>321</v>
      </c>
      <c r="D37" s="13">
        <v>347</v>
      </c>
      <c r="E37" s="13">
        <v>354</v>
      </c>
      <c r="F37" s="13" t="s">
        <v>17</v>
      </c>
      <c r="H37" s="20"/>
      <c r="I37" s="72">
        <v>3954</v>
      </c>
      <c r="J37" s="20"/>
      <c r="K37" s="20"/>
    </row>
    <row r="38" spans="1:21" ht="15.75" thickBot="1">
      <c r="A38" s="17" t="s">
        <v>319</v>
      </c>
      <c r="B38" s="19" t="s">
        <v>6</v>
      </c>
      <c r="C38" s="13">
        <v>313</v>
      </c>
      <c r="D38" s="13">
        <v>412</v>
      </c>
      <c r="E38" s="13">
        <v>448</v>
      </c>
      <c r="F38" s="13">
        <v>463</v>
      </c>
      <c r="G38" s="13"/>
    </row>
    <row r="39" spans="1:21" ht="15.75" thickBot="1">
      <c r="A39" s="17" t="s">
        <v>320</v>
      </c>
      <c r="B39" s="22" t="s">
        <v>60</v>
      </c>
      <c r="C39" s="13">
        <v>111</v>
      </c>
      <c r="D39" s="13">
        <v>127</v>
      </c>
      <c r="E39" s="13" t="s">
        <v>17</v>
      </c>
    </row>
    <row r="41" spans="1:21" ht="14.25">
      <c r="A41" s="6" t="s">
        <v>484</v>
      </c>
      <c r="B41" s="20"/>
      <c r="C41" s="20"/>
      <c r="D41" s="20"/>
      <c r="E41" s="20"/>
      <c r="F41" s="20"/>
      <c r="G41" s="20"/>
      <c r="H41" s="20"/>
      <c r="I41" s="20"/>
    </row>
    <row r="42" spans="1:21" ht="12.75" customHeight="1" thickBot="1">
      <c r="A42" s="6"/>
      <c r="B42" s="20"/>
      <c r="C42" s="20"/>
      <c r="D42" s="20"/>
      <c r="E42" s="20"/>
      <c r="F42" s="20"/>
      <c r="G42" s="20"/>
      <c r="H42" s="20"/>
      <c r="I42" s="20"/>
    </row>
    <row r="43" spans="1:21" ht="17.25" customHeight="1" thickBot="1">
      <c r="A43" s="8" t="s">
        <v>0</v>
      </c>
      <c r="B43" s="9" t="s">
        <v>1</v>
      </c>
      <c r="C43" s="9" t="s">
        <v>2</v>
      </c>
      <c r="D43" s="9">
        <v>2</v>
      </c>
      <c r="E43" s="9">
        <v>3</v>
      </c>
      <c r="F43" s="9">
        <v>4</v>
      </c>
      <c r="G43" s="9">
        <v>5</v>
      </c>
      <c r="H43" s="9">
        <v>6</v>
      </c>
      <c r="I43" s="9">
        <v>7</v>
      </c>
      <c r="J43" s="9">
        <v>8</v>
      </c>
      <c r="K43" s="9">
        <v>9</v>
      </c>
      <c r="L43" s="9">
        <v>10</v>
      </c>
      <c r="M43" s="9">
        <v>11</v>
      </c>
      <c r="N43" s="9">
        <v>12</v>
      </c>
      <c r="O43" s="9">
        <v>13</v>
      </c>
      <c r="P43" s="9">
        <v>14</v>
      </c>
      <c r="Q43" s="9">
        <v>15</v>
      </c>
      <c r="R43" s="9">
        <v>16</v>
      </c>
      <c r="S43" s="9">
        <v>17</v>
      </c>
      <c r="T43" s="9">
        <v>18</v>
      </c>
      <c r="U43" s="9"/>
    </row>
    <row r="44" spans="1:21" ht="15.75" thickBot="1">
      <c r="A44" s="10" t="s">
        <v>321</v>
      </c>
      <c r="B44" s="11" t="s">
        <v>4</v>
      </c>
      <c r="C44" s="12">
        <v>1591</v>
      </c>
      <c r="D44" s="13"/>
      <c r="E44" s="14"/>
      <c r="F44" s="13"/>
      <c r="G44" s="13"/>
      <c r="H44" s="13"/>
      <c r="I44" s="14"/>
      <c r="J44" s="13"/>
      <c r="K44" s="14"/>
      <c r="L44" s="13"/>
      <c r="M44" s="13"/>
      <c r="N44" s="13"/>
      <c r="O44" s="14"/>
      <c r="P44" s="13"/>
      <c r="Q44" s="14"/>
      <c r="R44" s="13"/>
      <c r="S44" s="13"/>
      <c r="T44" s="13"/>
      <c r="U44" s="14" t="s">
        <v>41</v>
      </c>
    </row>
    <row r="45" spans="1:21" ht="15.75" thickBot="1">
      <c r="A45" s="10" t="s">
        <v>302</v>
      </c>
      <c r="B45" s="15" t="s">
        <v>6</v>
      </c>
      <c r="C45" s="13">
        <v>966</v>
      </c>
      <c r="D45" s="13">
        <v>990</v>
      </c>
      <c r="E45" s="13">
        <v>996</v>
      </c>
      <c r="F45" s="16">
        <v>1002</v>
      </c>
      <c r="G45" s="16">
        <v>1005</v>
      </c>
      <c r="H45" s="16">
        <v>1016</v>
      </c>
      <c r="I45" s="16">
        <v>1041</v>
      </c>
      <c r="J45" s="16">
        <v>1059</v>
      </c>
      <c r="K45" s="12">
        <v>1077</v>
      </c>
      <c r="L45" s="13"/>
      <c r="M45" s="13"/>
      <c r="N45" s="13"/>
      <c r="O45" s="14"/>
      <c r="P45" s="13"/>
      <c r="Q45" s="14"/>
      <c r="R45" s="13"/>
      <c r="S45" s="13"/>
      <c r="T45" s="13"/>
      <c r="U45" s="14" t="s">
        <v>42</v>
      </c>
    </row>
    <row r="46" spans="1:21" ht="15.75" thickBot="1">
      <c r="A46" s="10" t="s">
        <v>277</v>
      </c>
      <c r="B46" s="11" t="s">
        <v>4</v>
      </c>
      <c r="C46" s="13">
        <v>887</v>
      </c>
      <c r="D46" s="13">
        <v>943</v>
      </c>
      <c r="E46" s="13">
        <v>944</v>
      </c>
      <c r="F46" s="13">
        <v>950</v>
      </c>
      <c r="G46" s="13">
        <v>952</v>
      </c>
      <c r="H46" s="13">
        <v>966</v>
      </c>
      <c r="I46" s="16">
        <v>1011</v>
      </c>
      <c r="J46" s="16">
        <v>1022</v>
      </c>
      <c r="K46" s="16">
        <v>1031</v>
      </c>
      <c r="L46" s="16">
        <v>1045</v>
      </c>
      <c r="M46" s="12">
        <v>1088</v>
      </c>
      <c r="N46" s="13"/>
      <c r="O46" s="14"/>
      <c r="P46" s="13"/>
      <c r="Q46" s="13"/>
      <c r="R46" s="13"/>
      <c r="S46" s="14"/>
      <c r="T46" s="13"/>
      <c r="U46" s="14" t="s">
        <v>43</v>
      </c>
    </row>
    <row r="47" spans="1:21" ht="15.75" thickBot="1">
      <c r="A47" s="10" t="s">
        <v>322</v>
      </c>
      <c r="B47" s="15" t="s">
        <v>6</v>
      </c>
      <c r="C47" s="13">
        <v>689</v>
      </c>
      <c r="D47" s="13">
        <v>720</v>
      </c>
      <c r="E47" s="13">
        <v>726</v>
      </c>
      <c r="F47" s="13">
        <v>726</v>
      </c>
      <c r="G47" s="13">
        <v>732</v>
      </c>
      <c r="H47" s="13">
        <v>736</v>
      </c>
      <c r="I47" s="13">
        <v>758</v>
      </c>
      <c r="J47" s="13">
        <v>789</v>
      </c>
      <c r="K47" s="13">
        <v>811</v>
      </c>
      <c r="L47" s="13">
        <v>848</v>
      </c>
      <c r="M47" s="13">
        <v>875</v>
      </c>
      <c r="N47" s="13">
        <v>875</v>
      </c>
      <c r="O47" s="13">
        <v>955</v>
      </c>
      <c r="P47" s="16">
        <v>1046</v>
      </c>
      <c r="Q47" s="12">
        <v>1140</v>
      </c>
      <c r="R47" s="13"/>
      <c r="S47" s="13"/>
      <c r="T47" s="13"/>
      <c r="U47" s="14" t="s">
        <v>44</v>
      </c>
    </row>
    <row r="48" spans="1:21" ht="15.75" thickBot="1">
      <c r="A48" s="10" t="s">
        <v>303</v>
      </c>
      <c r="B48" s="15" t="s">
        <v>6</v>
      </c>
      <c r="C48" s="13">
        <v>665</v>
      </c>
      <c r="D48" s="13">
        <v>692</v>
      </c>
      <c r="E48" s="13">
        <v>702</v>
      </c>
      <c r="F48" s="13">
        <v>709</v>
      </c>
      <c r="G48" s="13">
        <v>715</v>
      </c>
      <c r="H48" s="13">
        <v>725</v>
      </c>
      <c r="I48" s="13">
        <v>733</v>
      </c>
      <c r="J48" s="13">
        <v>779</v>
      </c>
      <c r="K48" s="13">
        <v>792</v>
      </c>
      <c r="L48" s="13">
        <v>844</v>
      </c>
      <c r="M48" s="13">
        <v>866</v>
      </c>
      <c r="N48" s="13">
        <v>867</v>
      </c>
      <c r="O48" s="13">
        <v>893</v>
      </c>
      <c r="P48" s="13">
        <v>982</v>
      </c>
      <c r="Q48" s="16">
        <v>1012</v>
      </c>
      <c r="R48" s="16">
        <v>1017</v>
      </c>
      <c r="S48" s="16">
        <v>1041</v>
      </c>
      <c r="T48" s="12">
        <v>1263</v>
      </c>
      <c r="U48" s="14" t="s">
        <v>45</v>
      </c>
    </row>
    <row r="49" spans="1:21" ht="15.75" thickBot="1">
      <c r="A49" s="10" t="s">
        <v>243</v>
      </c>
      <c r="B49" s="31" t="s">
        <v>60</v>
      </c>
      <c r="C49" s="13">
        <v>577</v>
      </c>
      <c r="D49" s="13">
        <v>619</v>
      </c>
      <c r="E49" s="13">
        <v>622</v>
      </c>
      <c r="F49" s="13">
        <v>627</v>
      </c>
      <c r="G49" s="13">
        <v>637</v>
      </c>
      <c r="H49" s="13">
        <v>651</v>
      </c>
      <c r="I49" s="13">
        <v>653</v>
      </c>
      <c r="J49" s="13">
        <v>684</v>
      </c>
      <c r="K49" s="13">
        <v>733</v>
      </c>
      <c r="L49" s="13">
        <v>778</v>
      </c>
      <c r="M49" s="13">
        <v>810</v>
      </c>
      <c r="N49" s="13">
        <v>813</v>
      </c>
      <c r="O49" s="13">
        <v>879</v>
      </c>
      <c r="P49" s="13">
        <v>931</v>
      </c>
      <c r="Q49" s="13">
        <v>959</v>
      </c>
      <c r="R49" s="13">
        <v>965</v>
      </c>
      <c r="S49" s="16">
        <v>1027</v>
      </c>
      <c r="T49" s="12">
        <v>1171</v>
      </c>
      <c r="U49" s="14" t="s">
        <v>494</v>
      </c>
    </row>
    <row r="50" spans="1:21" ht="15.75" thickBot="1">
      <c r="A50" s="17" t="s">
        <v>279</v>
      </c>
      <c r="B50" s="19" t="s">
        <v>6</v>
      </c>
      <c r="C50" s="13">
        <v>577</v>
      </c>
      <c r="D50" s="13">
        <v>594</v>
      </c>
      <c r="E50" s="13">
        <v>598</v>
      </c>
      <c r="F50" s="13">
        <v>602</v>
      </c>
      <c r="G50" s="13">
        <v>620</v>
      </c>
      <c r="H50" s="13">
        <v>624</v>
      </c>
      <c r="I50" s="13">
        <v>631</v>
      </c>
      <c r="J50" s="13">
        <v>655</v>
      </c>
      <c r="K50" s="13">
        <v>663</v>
      </c>
      <c r="L50" s="13">
        <v>690</v>
      </c>
      <c r="M50" s="13">
        <v>701</v>
      </c>
      <c r="N50" s="13">
        <v>703</v>
      </c>
      <c r="O50" s="13">
        <v>718</v>
      </c>
      <c r="P50" s="13">
        <v>740</v>
      </c>
      <c r="Q50" s="13">
        <v>768</v>
      </c>
      <c r="R50" s="13">
        <v>777</v>
      </c>
      <c r="S50" s="13">
        <v>785</v>
      </c>
      <c r="T50" s="13" t="s">
        <v>17</v>
      </c>
      <c r="U50" s="14"/>
    </row>
    <row r="51" spans="1:21" ht="15.75" thickBot="1">
      <c r="A51" s="10" t="s">
        <v>323</v>
      </c>
      <c r="B51" s="14" t="s">
        <v>10</v>
      </c>
      <c r="C51" s="13">
        <v>550</v>
      </c>
      <c r="D51" s="13">
        <v>571</v>
      </c>
      <c r="E51" s="13">
        <v>580</v>
      </c>
      <c r="F51" s="13">
        <v>593</v>
      </c>
      <c r="G51" s="13">
        <v>597</v>
      </c>
      <c r="H51" s="13">
        <v>598</v>
      </c>
      <c r="I51" s="13">
        <v>600</v>
      </c>
      <c r="J51" s="13">
        <v>620</v>
      </c>
      <c r="K51" s="13">
        <v>677</v>
      </c>
      <c r="L51" s="13">
        <v>706</v>
      </c>
      <c r="M51" s="13">
        <v>727</v>
      </c>
      <c r="N51" s="13">
        <v>728</v>
      </c>
      <c r="O51" s="13">
        <v>744</v>
      </c>
      <c r="P51" s="13">
        <v>768</v>
      </c>
      <c r="Q51" s="13">
        <v>783</v>
      </c>
      <c r="R51" s="13">
        <v>786</v>
      </c>
      <c r="S51" s="13">
        <v>823</v>
      </c>
      <c r="T51" s="14">
        <v>919</v>
      </c>
      <c r="U51" s="14" t="s">
        <v>534</v>
      </c>
    </row>
    <row r="52" spans="1:21" ht="15.75" thickBot="1">
      <c r="A52" s="10" t="s">
        <v>304</v>
      </c>
      <c r="B52" s="15" t="s">
        <v>6</v>
      </c>
      <c r="C52" s="13">
        <v>504</v>
      </c>
      <c r="D52" s="13">
        <v>509</v>
      </c>
      <c r="E52" s="13">
        <v>509</v>
      </c>
      <c r="F52" s="13">
        <v>512</v>
      </c>
      <c r="G52" s="13">
        <v>516</v>
      </c>
      <c r="H52" s="13">
        <v>526</v>
      </c>
      <c r="I52" s="13">
        <v>585</v>
      </c>
      <c r="J52" s="13">
        <v>595</v>
      </c>
      <c r="K52" s="13">
        <v>603</v>
      </c>
      <c r="L52" s="13">
        <v>617</v>
      </c>
      <c r="M52" s="13">
        <v>619</v>
      </c>
      <c r="N52" s="13">
        <v>619</v>
      </c>
      <c r="O52" s="13">
        <v>637</v>
      </c>
      <c r="P52" s="13">
        <v>664</v>
      </c>
      <c r="Q52" s="13">
        <v>859</v>
      </c>
      <c r="R52" s="13">
        <v>893</v>
      </c>
      <c r="S52" s="13">
        <v>989</v>
      </c>
      <c r="T52" s="12">
        <v>1038</v>
      </c>
      <c r="U52" s="14" t="s">
        <v>496</v>
      </c>
    </row>
    <row r="53" spans="1:21" ht="15.75" thickBot="1">
      <c r="A53" s="17" t="s">
        <v>300</v>
      </c>
      <c r="B53" s="18" t="s">
        <v>4</v>
      </c>
      <c r="C53" s="13">
        <v>476</v>
      </c>
      <c r="D53" s="13">
        <v>531</v>
      </c>
      <c r="E53" s="13">
        <v>539</v>
      </c>
      <c r="F53" s="13">
        <v>539</v>
      </c>
      <c r="G53" s="13">
        <v>539</v>
      </c>
      <c r="H53" s="13">
        <v>543</v>
      </c>
      <c r="I53" s="13">
        <v>550</v>
      </c>
      <c r="J53" s="13">
        <v>557</v>
      </c>
      <c r="K53" s="13">
        <v>570</v>
      </c>
      <c r="L53" s="13">
        <v>585</v>
      </c>
      <c r="M53" s="13">
        <v>614</v>
      </c>
      <c r="N53" s="13">
        <v>616</v>
      </c>
      <c r="O53" s="13">
        <v>630</v>
      </c>
      <c r="P53" s="13">
        <v>647</v>
      </c>
      <c r="Q53" s="13">
        <v>694</v>
      </c>
      <c r="R53" s="13">
        <v>696</v>
      </c>
      <c r="S53" s="13" t="s">
        <v>17</v>
      </c>
    </row>
    <row r="54" spans="1:21" ht="15.75" thickBot="1">
      <c r="A54" s="17" t="s">
        <v>324</v>
      </c>
      <c r="B54" s="19" t="s">
        <v>6</v>
      </c>
      <c r="C54" s="13">
        <v>448</v>
      </c>
      <c r="D54" s="13">
        <v>456</v>
      </c>
      <c r="E54" s="13">
        <v>456</v>
      </c>
      <c r="F54" s="13">
        <v>458</v>
      </c>
      <c r="G54" s="13">
        <v>458</v>
      </c>
      <c r="H54" s="13">
        <v>462</v>
      </c>
      <c r="I54" s="13">
        <v>509</v>
      </c>
      <c r="J54" s="13">
        <v>513</v>
      </c>
      <c r="K54" s="13">
        <v>516</v>
      </c>
      <c r="L54" s="13">
        <v>530</v>
      </c>
      <c r="M54" s="13">
        <v>538</v>
      </c>
      <c r="N54" s="13">
        <v>538</v>
      </c>
      <c r="O54" s="13">
        <v>557</v>
      </c>
      <c r="P54" s="13">
        <v>568</v>
      </c>
      <c r="Q54" s="13" t="s">
        <v>17</v>
      </c>
    </row>
    <row r="55" spans="1:21" ht="15.75" thickBot="1">
      <c r="A55" s="10" t="s">
        <v>213</v>
      </c>
      <c r="B55" s="11" t="s">
        <v>4</v>
      </c>
      <c r="C55" s="13">
        <v>418</v>
      </c>
      <c r="D55" s="13">
        <v>476</v>
      </c>
      <c r="E55" s="13">
        <v>478</v>
      </c>
      <c r="F55" s="13">
        <v>482</v>
      </c>
      <c r="G55" s="13">
        <v>488</v>
      </c>
      <c r="H55" s="13">
        <v>492</v>
      </c>
      <c r="I55" s="13">
        <v>494</v>
      </c>
      <c r="J55" s="13">
        <v>505</v>
      </c>
      <c r="K55" s="13">
        <v>516</v>
      </c>
      <c r="L55" s="13">
        <v>527</v>
      </c>
      <c r="M55" s="13">
        <v>616</v>
      </c>
      <c r="N55" s="13">
        <v>631</v>
      </c>
      <c r="O55" s="13">
        <v>720</v>
      </c>
      <c r="P55" s="13">
        <v>808</v>
      </c>
      <c r="Q55" s="13">
        <v>832</v>
      </c>
      <c r="R55" s="13">
        <v>833</v>
      </c>
      <c r="S55" s="16">
        <v>1035</v>
      </c>
      <c r="T55" s="12">
        <v>1092</v>
      </c>
      <c r="U55" s="14" t="s">
        <v>495</v>
      </c>
    </row>
    <row r="56" spans="1:21" ht="15.75" thickBot="1">
      <c r="A56" s="17" t="s">
        <v>325</v>
      </c>
      <c r="B56" s="19" t="s">
        <v>6</v>
      </c>
      <c r="C56" s="13">
        <v>367</v>
      </c>
      <c r="D56" s="13">
        <v>382</v>
      </c>
      <c r="E56" s="13">
        <v>383</v>
      </c>
      <c r="F56" s="13">
        <v>385</v>
      </c>
      <c r="G56" s="13">
        <v>388</v>
      </c>
      <c r="H56" s="13">
        <v>394</v>
      </c>
      <c r="I56" s="13">
        <v>403</v>
      </c>
      <c r="J56" s="13">
        <v>409</v>
      </c>
      <c r="K56" s="13">
        <v>418</v>
      </c>
      <c r="L56" s="13">
        <v>436</v>
      </c>
      <c r="M56" s="13">
        <v>456</v>
      </c>
      <c r="N56" s="13">
        <v>456</v>
      </c>
      <c r="O56" s="13">
        <v>491</v>
      </c>
      <c r="P56" s="13" t="s">
        <v>17</v>
      </c>
    </row>
    <row r="57" spans="1:21" ht="15.75" thickBot="1">
      <c r="A57" s="17" t="s">
        <v>326</v>
      </c>
      <c r="B57" s="13" t="s">
        <v>10</v>
      </c>
      <c r="C57" s="13">
        <v>359</v>
      </c>
      <c r="D57" s="13">
        <v>372</v>
      </c>
      <c r="E57" s="13">
        <v>373</v>
      </c>
      <c r="F57" s="13">
        <v>377</v>
      </c>
      <c r="G57" s="13">
        <v>380</v>
      </c>
      <c r="H57" s="13">
        <v>381</v>
      </c>
      <c r="I57" s="13">
        <v>388</v>
      </c>
      <c r="J57" s="13">
        <v>393</v>
      </c>
      <c r="K57" s="13">
        <v>402</v>
      </c>
      <c r="L57" s="13">
        <v>414</v>
      </c>
      <c r="M57" s="13">
        <v>423</v>
      </c>
      <c r="N57" s="13">
        <v>423</v>
      </c>
      <c r="O57" s="13" t="s">
        <v>17</v>
      </c>
    </row>
    <row r="58" spans="1:21" ht="15.75" thickBot="1">
      <c r="A58" s="17" t="s">
        <v>327</v>
      </c>
      <c r="B58" s="19" t="s">
        <v>6</v>
      </c>
      <c r="C58" s="13">
        <v>280</v>
      </c>
      <c r="D58" s="13">
        <v>289</v>
      </c>
      <c r="E58" s="13">
        <v>292</v>
      </c>
      <c r="F58" s="13">
        <v>292</v>
      </c>
      <c r="G58" s="13">
        <v>293</v>
      </c>
      <c r="H58" s="13">
        <v>298</v>
      </c>
      <c r="I58" s="13">
        <v>301</v>
      </c>
      <c r="J58" s="13">
        <v>304</v>
      </c>
      <c r="K58" s="13">
        <v>320</v>
      </c>
      <c r="L58" s="13" t="s">
        <v>17</v>
      </c>
    </row>
    <row r="59" spans="1:21" ht="15.75" thickBot="1">
      <c r="A59" s="17" t="s">
        <v>328</v>
      </c>
      <c r="B59" s="22" t="s">
        <v>60</v>
      </c>
      <c r="C59" s="13">
        <v>255</v>
      </c>
      <c r="D59" s="13">
        <v>267</v>
      </c>
      <c r="E59" s="13">
        <v>268</v>
      </c>
      <c r="F59" s="13">
        <v>271</v>
      </c>
      <c r="G59" s="13">
        <v>276</v>
      </c>
      <c r="H59" s="13">
        <v>281</v>
      </c>
      <c r="I59" s="13">
        <v>283</v>
      </c>
      <c r="J59" s="13">
        <v>290</v>
      </c>
      <c r="K59" s="13" t="s">
        <v>17</v>
      </c>
      <c r="O59" s="42" t="s">
        <v>99</v>
      </c>
      <c r="P59" s="40">
        <f>SUM(10954/15371)</f>
        <v>0.71264068700800209</v>
      </c>
      <c r="R59" s="20"/>
    </row>
    <row r="60" spans="1:21" ht="15.75" thickBot="1">
      <c r="A60" s="17" t="s">
        <v>329</v>
      </c>
      <c r="B60" s="19" t="s">
        <v>6</v>
      </c>
      <c r="C60" s="13">
        <v>254</v>
      </c>
      <c r="D60" s="13">
        <v>257</v>
      </c>
      <c r="E60" s="13">
        <v>258</v>
      </c>
      <c r="F60" s="13">
        <v>258</v>
      </c>
      <c r="G60" s="13">
        <v>259</v>
      </c>
      <c r="H60" s="13">
        <v>261</v>
      </c>
      <c r="I60" s="13" t="s">
        <v>17</v>
      </c>
      <c r="O60" s="41"/>
      <c r="P60" s="42" t="s">
        <v>63</v>
      </c>
      <c r="Q60" s="42" t="s">
        <v>64</v>
      </c>
      <c r="R60" s="42" t="s">
        <v>65</v>
      </c>
    </row>
    <row r="61" spans="1:21" ht="15.75" thickBot="1">
      <c r="A61" s="17" t="s">
        <v>310</v>
      </c>
      <c r="B61" s="13" t="s">
        <v>10</v>
      </c>
      <c r="C61" s="13">
        <v>242</v>
      </c>
      <c r="D61" s="13">
        <v>259</v>
      </c>
      <c r="E61" s="13">
        <v>261</v>
      </c>
      <c r="F61" s="13">
        <v>267</v>
      </c>
      <c r="G61" s="13">
        <v>271</v>
      </c>
      <c r="H61" s="13">
        <v>272</v>
      </c>
      <c r="I61" s="13">
        <v>274</v>
      </c>
      <c r="J61" s="13" t="s">
        <v>17</v>
      </c>
      <c r="O61" s="43" t="s">
        <v>4</v>
      </c>
      <c r="P61" s="44">
        <f>SUM(C44+C46+C53+C55+C62)</f>
        <v>3595</v>
      </c>
      <c r="Q61" s="46">
        <f>SUM(P61/$P$65)</f>
        <v>0.33819379115710252</v>
      </c>
      <c r="R61" s="41">
        <v>3</v>
      </c>
    </row>
    <row r="62" spans="1:21" ht="15.75" thickBot="1">
      <c r="A62" s="17" t="s">
        <v>330</v>
      </c>
      <c r="B62" s="18" t="s">
        <v>4</v>
      </c>
      <c r="C62" s="13">
        <v>223</v>
      </c>
      <c r="D62" s="13">
        <v>317</v>
      </c>
      <c r="E62" s="13">
        <v>320</v>
      </c>
      <c r="F62" s="13">
        <v>323</v>
      </c>
      <c r="G62" s="13">
        <v>324</v>
      </c>
      <c r="H62" s="13">
        <v>324</v>
      </c>
      <c r="I62" s="13">
        <v>326</v>
      </c>
      <c r="J62" s="13">
        <v>337</v>
      </c>
      <c r="K62" s="13">
        <v>351</v>
      </c>
      <c r="L62" s="13">
        <v>358</v>
      </c>
      <c r="M62" s="13" t="s">
        <v>17</v>
      </c>
      <c r="O62" s="45" t="s">
        <v>6</v>
      </c>
      <c r="P62" s="44">
        <f>SUM(C45+C47+C48+C50+C52+C54+C56+C58+C60)</f>
        <v>4750</v>
      </c>
      <c r="Q62" s="46">
        <f>SUM(P62/$P$65)</f>
        <v>0.44684854186265288</v>
      </c>
      <c r="R62" s="41">
        <v>4</v>
      </c>
    </row>
    <row r="63" spans="1:21" ht="15.75" thickBot="1">
      <c r="A63" s="17" t="s">
        <v>331</v>
      </c>
      <c r="B63" s="22" t="s">
        <v>60</v>
      </c>
      <c r="C63" s="13">
        <v>101</v>
      </c>
      <c r="D63" s="13">
        <v>103</v>
      </c>
      <c r="E63" s="13">
        <v>103</v>
      </c>
      <c r="F63" s="13">
        <v>103</v>
      </c>
      <c r="G63" s="13">
        <v>104</v>
      </c>
      <c r="H63" s="13" t="s">
        <v>17</v>
      </c>
      <c r="I63" s="20"/>
      <c r="O63" s="66" t="s">
        <v>60</v>
      </c>
      <c r="P63" s="44">
        <f>SUM(C59+C49+C63+C64)</f>
        <v>1012</v>
      </c>
      <c r="Q63" s="46">
        <f>SUM(P63/$P$65)</f>
        <v>9.5202257761053621E-2</v>
      </c>
      <c r="R63" s="41">
        <v>1</v>
      </c>
    </row>
    <row r="64" spans="1:21" ht="15.75" thickBot="1">
      <c r="A64" s="17" t="s">
        <v>332</v>
      </c>
      <c r="B64" s="22" t="s">
        <v>60</v>
      </c>
      <c r="C64" s="13">
        <v>79</v>
      </c>
      <c r="D64" s="13">
        <v>82</v>
      </c>
      <c r="E64" s="13">
        <v>84</v>
      </c>
      <c r="F64" s="13">
        <v>84</v>
      </c>
      <c r="G64" s="13" t="s">
        <v>17</v>
      </c>
      <c r="H64" s="20"/>
      <c r="O64" s="68" t="s">
        <v>67</v>
      </c>
      <c r="P64" s="44">
        <f>SUM(C51+C57+C61+C65+C66)</f>
        <v>1273</v>
      </c>
      <c r="Q64" s="46">
        <f>SUM(P64/$P$65)</f>
        <v>0.11975540921919096</v>
      </c>
      <c r="R64" s="41">
        <v>1</v>
      </c>
    </row>
    <row r="65" spans="1:18" ht="15.75" thickBot="1">
      <c r="A65" s="17" t="s">
        <v>333</v>
      </c>
      <c r="B65" s="13" t="s">
        <v>10</v>
      </c>
      <c r="C65" s="13">
        <v>72</v>
      </c>
      <c r="D65" s="13">
        <v>79</v>
      </c>
      <c r="E65" s="13">
        <v>81</v>
      </c>
      <c r="F65" s="13" t="s">
        <v>17</v>
      </c>
      <c r="G65" s="20"/>
      <c r="O65" s="42"/>
      <c r="P65" s="72">
        <v>10630</v>
      </c>
      <c r="Q65" s="40"/>
      <c r="R65" s="20"/>
    </row>
    <row r="66" spans="1:18" ht="15.75" thickBot="1">
      <c r="A66" s="17" t="s">
        <v>334</v>
      </c>
      <c r="B66" s="13" t="s">
        <v>10</v>
      </c>
      <c r="C66" s="13">
        <v>50</v>
      </c>
      <c r="D66" s="13">
        <v>58</v>
      </c>
      <c r="E66" s="13" t="s">
        <v>17</v>
      </c>
      <c r="F66" s="20"/>
    </row>
    <row r="70" spans="1:18">
      <c r="A70" s="4"/>
      <c r="B70" s="4" t="s">
        <v>66</v>
      </c>
      <c r="C70" s="23" t="s">
        <v>4</v>
      </c>
      <c r="D70" s="24" t="s">
        <v>6</v>
      </c>
      <c r="E70" s="25" t="s">
        <v>60</v>
      </c>
      <c r="F70" s="26" t="s">
        <v>51</v>
      </c>
      <c r="G70" s="4" t="s">
        <v>67</v>
      </c>
      <c r="I70" s="4" t="s">
        <v>571</v>
      </c>
    </row>
    <row r="71" spans="1:18" ht="14.25">
      <c r="A71" s="27" t="s">
        <v>63</v>
      </c>
      <c r="B71" s="105">
        <f>SUM(10630+3954+4088+7532)</f>
        <v>26204</v>
      </c>
      <c r="C71" s="106">
        <f>SUM(P61+I34+I24+P5)</f>
        <v>10610</v>
      </c>
      <c r="D71" s="106">
        <f>SUM(P62+I35+I25+P6)</f>
        <v>12209</v>
      </c>
      <c r="E71" s="106">
        <f>SUM(P63+I36+P7)</f>
        <v>1179</v>
      </c>
      <c r="F71" s="106">
        <v>150</v>
      </c>
      <c r="G71" s="106">
        <f>SUM(P64+P9)</f>
        <v>2056</v>
      </c>
      <c r="I71" s="106">
        <f>SUM(15371+5410+5074+9518)</f>
        <v>35373</v>
      </c>
    </row>
    <row r="72" spans="1:18" ht="14.25">
      <c r="A72" s="27" t="s">
        <v>64</v>
      </c>
      <c r="B72" s="29">
        <v>1</v>
      </c>
      <c r="C72" s="28">
        <f>SUM(C71/$B$71)</f>
        <v>0.40490001526484504</v>
      </c>
      <c r="D72" s="28">
        <f>SUM(D71/$B$71)</f>
        <v>0.46592123339948099</v>
      </c>
      <c r="E72" s="28">
        <f>SUM(E71/$B$71)</f>
        <v>4.4993130819722178E-2</v>
      </c>
      <c r="F72" s="28">
        <f>SUM(F71/$B$71)</f>
        <v>5.7243168981834834E-3</v>
      </c>
      <c r="G72" s="28">
        <f>SUM(G71/$B$71)</f>
        <v>7.8461303617768277E-2</v>
      </c>
      <c r="I72" s="4" t="s">
        <v>99</v>
      </c>
    </row>
    <row r="73" spans="1:18" ht="14.25">
      <c r="A73" s="27" t="s">
        <v>65</v>
      </c>
      <c r="B73" s="4">
        <v>24</v>
      </c>
      <c r="C73">
        <v>10</v>
      </c>
      <c r="D73">
        <v>11</v>
      </c>
      <c r="E73">
        <v>1</v>
      </c>
      <c r="F73">
        <v>0</v>
      </c>
      <c r="G73">
        <v>2</v>
      </c>
      <c r="I73" s="28">
        <f>SUM(B71/I71)</f>
        <v>0.74079099878438359</v>
      </c>
    </row>
  </sheetData>
  <phoneticPr fontId="16" type="noConversion"/>
  <pageMargins left="0.75" right="0.75" top="1" bottom="1" header="0.5" footer="0.5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Q68"/>
  <sheetViews>
    <sheetView workbookViewId="0">
      <selection activeCell="P1" sqref="P1"/>
    </sheetView>
  </sheetViews>
  <sheetFormatPr defaultRowHeight="12.75"/>
  <cols>
    <col min="1" max="1" width="19.5703125" customWidth="1"/>
    <col min="2" max="2" width="8.7109375" customWidth="1"/>
    <col min="3" max="3" width="9.28515625" customWidth="1"/>
    <col min="4" max="17" width="8.7109375" customWidth="1"/>
  </cols>
  <sheetData>
    <row r="1" spans="1:15" s="20" customFormat="1" ht="16.5" customHeight="1">
      <c r="A1" s="6" t="s">
        <v>605</v>
      </c>
    </row>
    <row r="2" spans="1:15" s="20" customFormat="1" ht="9" customHeight="1" thickBot="1">
      <c r="A2" s="6"/>
    </row>
    <row r="3" spans="1:15" s="20" customFormat="1" ht="15.75" thickBot="1">
      <c r="A3" s="8" t="s">
        <v>0</v>
      </c>
      <c r="B3" s="9" t="s">
        <v>1</v>
      </c>
      <c r="C3" s="9" t="s">
        <v>2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9">
        <v>7</v>
      </c>
      <c r="J3" s="9">
        <v>8</v>
      </c>
      <c r="K3" s="9"/>
      <c r="L3" s="41"/>
      <c r="M3" s="42" t="s">
        <v>63</v>
      </c>
      <c r="N3" s="42" t="s">
        <v>64</v>
      </c>
      <c r="O3" s="42" t="s">
        <v>65</v>
      </c>
    </row>
    <row r="4" spans="1:15" s="20" customFormat="1" ht="15.75" thickBot="1">
      <c r="A4" s="10" t="s">
        <v>225</v>
      </c>
      <c r="B4" s="15" t="s">
        <v>6</v>
      </c>
      <c r="C4" s="14">
        <v>930</v>
      </c>
      <c r="D4" s="13"/>
      <c r="E4" s="14"/>
      <c r="F4" s="13"/>
      <c r="G4" s="13"/>
      <c r="H4" s="13"/>
      <c r="I4" s="14"/>
      <c r="J4" s="13"/>
      <c r="K4" s="14" t="s">
        <v>41</v>
      </c>
      <c r="L4" s="43" t="s">
        <v>4</v>
      </c>
      <c r="M4" s="44">
        <f>SUM(C5+C6+C7+C14)</f>
        <v>2665</v>
      </c>
      <c r="N4" s="46">
        <f>SUM(M4/M7)</f>
        <v>0.36125796394198184</v>
      </c>
      <c r="O4" s="41">
        <v>3</v>
      </c>
    </row>
    <row r="5" spans="1:15" s="20" customFormat="1" ht="15.75" thickBot="1">
      <c r="A5" s="10" t="s">
        <v>155</v>
      </c>
      <c r="B5" s="11" t="s">
        <v>4</v>
      </c>
      <c r="C5" s="13">
        <v>843</v>
      </c>
      <c r="D5" s="13">
        <v>859</v>
      </c>
      <c r="E5" s="13">
        <v>860</v>
      </c>
      <c r="F5" s="13">
        <v>911</v>
      </c>
      <c r="G5" s="14">
        <v>935</v>
      </c>
      <c r="H5" s="14"/>
      <c r="I5" s="14"/>
      <c r="J5" s="13"/>
      <c r="K5" s="14" t="s">
        <v>42</v>
      </c>
      <c r="L5" s="45" t="s">
        <v>6</v>
      </c>
      <c r="M5" s="44">
        <f>SUM(C4+C8+C10+C11+C12+C13+C16)</f>
        <v>3766</v>
      </c>
      <c r="N5" s="46">
        <f>SUM(M5/M7)</f>
        <v>0.51050562559305956</v>
      </c>
      <c r="O5" s="41">
        <v>3</v>
      </c>
    </row>
    <row r="6" spans="1:15" s="20" customFormat="1" ht="15.75" thickBot="1">
      <c r="A6" s="10" t="s">
        <v>198</v>
      </c>
      <c r="B6" s="11" t="s">
        <v>4</v>
      </c>
      <c r="C6" s="13">
        <v>767</v>
      </c>
      <c r="D6" s="13">
        <v>773</v>
      </c>
      <c r="E6" s="13">
        <v>773</v>
      </c>
      <c r="F6" s="13">
        <v>779</v>
      </c>
      <c r="G6" s="13">
        <v>791</v>
      </c>
      <c r="H6" s="13">
        <v>873</v>
      </c>
      <c r="I6" s="14">
        <v>923</v>
      </c>
      <c r="J6" s="13"/>
      <c r="K6" s="14" t="s">
        <v>44</v>
      </c>
      <c r="L6" s="42" t="s">
        <v>67</v>
      </c>
      <c r="M6" s="67">
        <f>SUM(C9+C15)</f>
        <v>946</v>
      </c>
      <c r="N6" s="40">
        <f>SUM(M6/M7)</f>
        <v>0.12823641046495865</v>
      </c>
      <c r="O6" s="20">
        <v>1</v>
      </c>
    </row>
    <row r="7" spans="1:15" s="20" customFormat="1" ht="15.75" thickBot="1">
      <c r="A7" s="10" t="s">
        <v>3</v>
      </c>
      <c r="B7" s="11" t="s">
        <v>4</v>
      </c>
      <c r="C7" s="13">
        <v>727</v>
      </c>
      <c r="D7" s="13">
        <v>731</v>
      </c>
      <c r="E7" s="13">
        <v>732</v>
      </c>
      <c r="F7" s="13">
        <v>748</v>
      </c>
      <c r="G7" s="13">
        <v>774</v>
      </c>
      <c r="H7" s="13">
        <v>831</v>
      </c>
      <c r="I7" s="14">
        <v>954</v>
      </c>
      <c r="J7" s="13"/>
      <c r="K7" s="14" t="s">
        <v>43</v>
      </c>
      <c r="M7" s="72">
        <v>7377</v>
      </c>
    </row>
    <row r="8" spans="1:15" s="20" customFormat="1" ht="15.75" thickBot="1">
      <c r="A8" s="10" t="s">
        <v>229</v>
      </c>
      <c r="B8" s="15" t="s">
        <v>6</v>
      </c>
      <c r="C8" s="13">
        <v>714</v>
      </c>
      <c r="D8" s="13">
        <v>728</v>
      </c>
      <c r="E8" s="13">
        <v>729</v>
      </c>
      <c r="F8" s="13">
        <v>742</v>
      </c>
      <c r="G8" s="13">
        <v>800</v>
      </c>
      <c r="H8" s="13">
        <v>822</v>
      </c>
      <c r="I8" s="13">
        <v>831</v>
      </c>
      <c r="J8" s="14">
        <v>844</v>
      </c>
      <c r="K8" s="14" t="s">
        <v>494</v>
      </c>
    </row>
    <row r="9" spans="1:15" s="20" customFormat="1" ht="15.75" thickBot="1">
      <c r="A9" s="10" t="s">
        <v>9</v>
      </c>
      <c r="B9" s="14" t="s">
        <v>10</v>
      </c>
      <c r="C9" s="13">
        <v>639</v>
      </c>
      <c r="D9" s="13">
        <v>655</v>
      </c>
      <c r="E9" s="13">
        <v>656</v>
      </c>
      <c r="F9" s="13">
        <v>699</v>
      </c>
      <c r="G9" s="13">
        <v>735</v>
      </c>
      <c r="H9" s="13">
        <v>794</v>
      </c>
      <c r="I9" s="13">
        <v>860</v>
      </c>
      <c r="J9" s="14">
        <v>872</v>
      </c>
      <c r="K9" s="14" t="s">
        <v>45</v>
      </c>
    </row>
    <row r="10" spans="1:15" s="20" customFormat="1" ht="15.75" thickBot="1">
      <c r="A10" s="17" t="s">
        <v>286</v>
      </c>
      <c r="B10" s="19" t="s">
        <v>6</v>
      </c>
      <c r="C10" s="13">
        <v>574</v>
      </c>
      <c r="D10" s="13">
        <v>593</v>
      </c>
      <c r="E10" s="13">
        <v>594</v>
      </c>
      <c r="F10" s="13">
        <v>614</v>
      </c>
      <c r="G10" s="13">
        <v>710</v>
      </c>
      <c r="H10" s="13">
        <v>745</v>
      </c>
      <c r="I10" s="13">
        <v>774</v>
      </c>
      <c r="J10" s="13">
        <v>779</v>
      </c>
      <c r="K10" s="14"/>
    </row>
    <row r="11" spans="1:15" s="20" customFormat="1" ht="15.75" thickBot="1">
      <c r="A11" s="10" t="s">
        <v>287</v>
      </c>
      <c r="B11" s="15" t="s">
        <v>6</v>
      </c>
      <c r="C11" s="13">
        <v>568</v>
      </c>
      <c r="D11" s="13">
        <v>588</v>
      </c>
      <c r="E11" s="13">
        <v>589</v>
      </c>
      <c r="F11" s="13">
        <v>599</v>
      </c>
      <c r="G11" s="13">
        <v>635</v>
      </c>
      <c r="H11" s="13">
        <v>763</v>
      </c>
      <c r="I11" s="13">
        <v>801</v>
      </c>
      <c r="J11" s="14">
        <v>806</v>
      </c>
      <c r="K11" s="14" t="s">
        <v>495</v>
      </c>
    </row>
    <row r="12" spans="1:15" s="20" customFormat="1" ht="15.75" thickBot="1">
      <c r="A12" s="17" t="s">
        <v>288</v>
      </c>
      <c r="B12" s="19" t="s">
        <v>6</v>
      </c>
      <c r="C12" s="13">
        <v>347</v>
      </c>
      <c r="D12" s="13">
        <v>370</v>
      </c>
      <c r="E12" s="13">
        <v>370</v>
      </c>
      <c r="F12" s="13">
        <v>410</v>
      </c>
      <c r="G12" s="13">
        <v>431</v>
      </c>
      <c r="H12" s="13" t="s">
        <v>17</v>
      </c>
    </row>
    <row r="13" spans="1:15" s="20" customFormat="1" ht="15.75" thickBot="1">
      <c r="A13" s="17" t="s">
        <v>262</v>
      </c>
      <c r="B13" s="19" t="s">
        <v>6</v>
      </c>
      <c r="C13" s="13">
        <v>344</v>
      </c>
      <c r="D13" s="13">
        <v>375</v>
      </c>
      <c r="E13" s="13">
        <v>377</v>
      </c>
      <c r="F13" s="13">
        <v>395</v>
      </c>
      <c r="G13" s="13" t="s">
        <v>17</v>
      </c>
    </row>
    <row r="14" spans="1:15" s="20" customFormat="1" ht="15.75" thickBot="1">
      <c r="A14" s="17" t="s">
        <v>289</v>
      </c>
      <c r="B14" s="18" t="s">
        <v>4</v>
      </c>
      <c r="C14" s="13">
        <v>328</v>
      </c>
      <c r="D14" s="13">
        <v>412</v>
      </c>
      <c r="E14" s="13">
        <v>412</v>
      </c>
      <c r="F14" s="13">
        <v>513</v>
      </c>
      <c r="G14" s="13">
        <v>530</v>
      </c>
      <c r="H14" s="13">
        <v>556</v>
      </c>
      <c r="I14" s="13" t="s">
        <v>17</v>
      </c>
    </row>
    <row r="15" spans="1:15" s="20" customFormat="1" ht="15.75" thickBot="1">
      <c r="A15" s="17" t="s">
        <v>290</v>
      </c>
      <c r="B15" s="13" t="s">
        <v>10</v>
      </c>
      <c r="C15" s="13">
        <v>307</v>
      </c>
      <c r="D15" s="13">
        <v>350</v>
      </c>
      <c r="E15" s="13">
        <v>350</v>
      </c>
      <c r="F15" s="13" t="s">
        <v>17</v>
      </c>
    </row>
    <row r="16" spans="1:15" s="20" customFormat="1" ht="15.75" thickBot="1">
      <c r="A16" s="17" t="s">
        <v>263</v>
      </c>
      <c r="B16" s="19" t="s">
        <v>6</v>
      </c>
      <c r="C16" s="13">
        <v>289</v>
      </c>
      <c r="D16" s="13" t="s">
        <v>17</v>
      </c>
    </row>
    <row r="18" spans="1:14" s="20" customFormat="1" ht="16.5" customHeight="1">
      <c r="A18" s="6" t="s">
        <v>606</v>
      </c>
    </row>
    <row r="19" spans="1:14" s="20" customFormat="1" ht="9.75" customHeight="1" thickBot="1">
      <c r="A19" s="6"/>
    </row>
    <row r="20" spans="1:14" s="20" customFormat="1" ht="15.75" thickBot="1">
      <c r="A20" s="8" t="s">
        <v>0</v>
      </c>
      <c r="B20" s="9" t="s">
        <v>1</v>
      </c>
      <c r="C20" s="9" t="s">
        <v>2</v>
      </c>
      <c r="D20" s="9">
        <v>2</v>
      </c>
      <c r="E20" s="9">
        <v>3</v>
      </c>
      <c r="F20" s="9"/>
      <c r="G20" s="41"/>
      <c r="H20" s="42" t="s">
        <v>63</v>
      </c>
      <c r="I20" s="42" t="s">
        <v>64</v>
      </c>
      <c r="J20" s="42" t="s">
        <v>65</v>
      </c>
    </row>
    <row r="21" spans="1:14" s="20" customFormat="1" ht="15.75" thickBot="1">
      <c r="A21" s="10" t="s">
        <v>234</v>
      </c>
      <c r="B21" s="11" t="s">
        <v>4</v>
      </c>
      <c r="C21" s="12">
        <v>1035</v>
      </c>
      <c r="D21" s="13"/>
      <c r="E21" s="14"/>
      <c r="F21" s="14" t="s">
        <v>41</v>
      </c>
      <c r="G21" s="43" t="s">
        <v>4</v>
      </c>
      <c r="H21" s="44">
        <f>SUM(C21+C22+C26)</f>
        <v>2217</v>
      </c>
      <c r="I21" s="46">
        <f>SUM(H21/H23)</f>
        <v>0.53318903318903321</v>
      </c>
      <c r="J21" s="41">
        <v>2</v>
      </c>
    </row>
    <row r="22" spans="1:14" s="20" customFormat="1" ht="15.75" thickBot="1">
      <c r="A22" s="10" t="s">
        <v>291</v>
      </c>
      <c r="B22" s="11" t="s">
        <v>4</v>
      </c>
      <c r="C22" s="14">
        <v>837</v>
      </c>
      <c r="D22" s="13"/>
      <c r="E22" s="13"/>
      <c r="F22" s="14" t="s">
        <v>42</v>
      </c>
      <c r="G22" s="45" t="s">
        <v>6</v>
      </c>
      <c r="H22" s="44">
        <f>SUM(C23+C24+C25)</f>
        <v>1941</v>
      </c>
      <c r="I22" s="46">
        <f>SUM(H22/H23)</f>
        <v>0.46681096681096679</v>
      </c>
      <c r="J22" s="41">
        <v>2</v>
      </c>
    </row>
    <row r="23" spans="1:14" s="20" customFormat="1" ht="15.75" thickBot="1">
      <c r="A23" s="10" t="s">
        <v>22</v>
      </c>
      <c r="B23" s="15" t="s">
        <v>6</v>
      </c>
      <c r="C23" s="13">
        <v>771</v>
      </c>
      <c r="D23" s="13">
        <v>821</v>
      </c>
      <c r="E23" s="14">
        <v>879</v>
      </c>
      <c r="F23" s="14" t="s">
        <v>43</v>
      </c>
      <c r="G23" s="42"/>
      <c r="H23" s="72">
        <v>4158</v>
      </c>
      <c r="I23" s="40"/>
    </row>
    <row r="24" spans="1:14" s="20" customFormat="1" ht="15.75" thickBot="1">
      <c r="A24" s="10" t="s">
        <v>167</v>
      </c>
      <c r="B24" s="15" t="s">
        <v>6</v>
      </c>
      <c r="C24" s="13">
        <v>643</v>
      </c>
      <c r="D24" s="13">
        <v>696</v>
      </c>
      <c r="E24" s="14">
        <v>783</v>
      </c>
      <c r="F24" s="14" t="s">
        <v>44</v>
      </c>
    </row>
    <row r="25" spans="1:14" s="20" customFormat="1" ht="15.75" thickBot="1">
      <c r="A25" s="17" t="s">
        <v>21</v>
      </c>
      <c r="B25" s="19" t="s">
        <v>6</v>
      </c>
      <c r="C25" s="13">
        <v>527</v>
      </c>
      <c r="D25" s="13">
        <v>541</v>
      </c>
      <c r="E25" s="13">
        <v>590</v>
      </c>
      <c r="F25" s="13"/>
    </row>
    <row r="26" spans="1:14" s="20" customFormat="1" ht="15.75" thickBot="1">
      <c r="A26" s="17" t="s">
        <v>292</v>
      </c>
      <c r="B26" s="18" t="s">
        <v>4</v>
      </c>
      <c r="C26" s="13">
        <v>345</v>
      </c>
      <c r="D26" s="13">
        <v>431</v>
      </c>
      <c r="E26" s="13" t="s">
        <v>17</v>
      </c>
      <c r="F26" s="13"/>
    </row>
    <row r="28" spans="1:14" s="20" customFormat="1" ht="16.5" customHeight="1">
      <c r="A28" s="6" t="s">
        <v>607</v>
      </c>
    </row>
    <row r="29" spans="1:14" s="20" customFormat="1" ht="15" thickBot="1">
      <c r="A29" s="6"/>
    </row>
    <row r="30" spans="1:14" s="20" customFormat="1" ht="15.75" thickBot="1">
      <c r="A30" s="8" t="s">
        <v>0</v>
      </c>
      <c r="B30" s="9" t="s">
        <v>1</v>
      </c>
      <c r="C30" s="9" t="s">
        <v>2</v>
      </c>
      <c r="D30" s="9">
        <v>2</v>
      </c>
      <c r="E30" s="9">
        <v>3</v>
      </c>
      <c r="F30" s="9">
        <v>4</v>
      </c>
      <c r="G30" s="9">
        <v>5</v>
      </c>
      <c r="H30" s="9">
        <v>6</v>
      </c>
      <c r="I30" s="9">
        <v>7</v>
      </c>
      <c r="J30" s="9"/>
      <c r="K30" s="41"/>
      <c r="L30" s="42" t="s">
        <v>63</v>
      </c>
      <c r="M30" s="42" t="s">
        <v>64</v>
      </c>
      <c r="N30" s="42" t="s">
        <v>65</v>
      </c>
    </row>
    <row r="31" spans="1:14" s="20" customFormat="1" ht="15.75" thickBot="1">
      <c r="A31" s="10" t="s">
        <v>237</v>
      </c>
      <c r="B31" s="11" t="s">
        <v>4</v>
      </c>
      <c r="C31" s="12">
        <v>1065</v>
      </c>
      <c r="D31" s="13"/>
      <c r="E31" s="14"/>
      <c r="F31" s="13"/>
      <c r="G31" s="13"/>
      <c r="H31" s="13"/>
      <c r="I31" s="14"/>
      <c r="J31" s="14" t="s">
        <v>41</v>
      </c>
      <c r="K31" s="43" t="s">
        <v>4</v>
      </c>
      <c r="L31" s="44">
        <f>SUM(C31+C33+C36)</f>
        <v>1924</v>
      </c>
      <c r="M31" s="46">
        <f>SUM(L31/$L$35)</f>
        <v>0.48075962018990503</v>
      </c>
      <c r="N31" s="41">
        <v>2</v>
      </c>
    </row>
    <row r="32" spans="1:14" s="20" customFormat="1" ht="15.75" thickBot="1">
      <c r="A32" s="10" t="s">
        <v>293</v>
      </c>
      <c r="B32" s="15" t="s">
        <v>6</v>
      </c>
      <c r="C32" s="13">
        <v>648</v>
      </c>
      <c r="D32" s="13">
        <v>692</v>
      </c>
      <c r="E32" s="13">
        <v>713</v>
      </c>
      <c r="F32" s="13">
        <v>744</v>
      </c>
      <c r="G32" s="14">
        <v>816</v>
      </c>
      <c r="H32" s="14"/>
      <c r="I32" s="14"/>
      <c r="J32" s="14" t="s">
        <v>42</v>
      </c>
      <c r="K32" s="45" t="s">
        <v>6</v>
      </c>
      <c r="L32" s="44">
        <f>SUM(C32+C34+C37)</f>
        <v>1391</v>
      </c>
      <c r="M32" s="46">
        <f>SUM(L32/$L$35)</f>
        <v>0.34757621189405297</v>
      </c>
      <c r="N32" s="41">
        <v>2</v>
      </c>
    </row>
    <row r="33" spans="1:17" s="20" customFormat="1" ht="15.75" thickBot="1">
      <c r="A33" s="10" t="s">
        <v>294</v>
      </c>
      <c r="B33" s="11" t="s">
        <v>4</v>
      </c>
      <c r="C33" s="13">
        <v>496</v>
      </c>
      <c r="D33" s="13">
        <v>605</v>
      </c>
      <c r="E33" s="13">
        <v>622</v>
      </c>
      <c r="F33" s="13">
        <v>643</v>
      </c>
      <c r="G33" s="13">
        <v>681</v>
      </c>
      <c r="H33" s="13">
        <v>681</v>
      </c>
      <c r="I33" s="14">
        <v>809</v>
      </c>
      <c r="J33" s="14" t="s">
        <v>43</v>
      </c>
      <c r="K33" s="65" t="s">
        <v>51</v>
      </c>
      <c r="L33" s="44">
        <v>225</v>
      </c>
      <c r="M33" s="46">
        <f>SUM(L33/$L$35)</f>
        <v>5.6221889055472263E-2</v>
      </c>
      <c r="N33" s="41"/>
    </row>
    <row r="34" spans="1:17" s="20" customFormat="1" ht="15.75" thickBot="1">
      <c r="A34" s="10" t="s">
        <v>295</v>
      </c>
      <c r="B34" s="15" t="s">
        <v>6</v>
      </c>
      <c r="C34" s="13">
        <v>454</v>
      </c>
      <c r="D34" s="13">
        <v>467</v>
      </c>
      <c r="E34" s="13">
        <v>470</v>
      </c>
      <c r="F34" s="13">
        <v>493</v>
      </c>
      <c r="G34" s="13">
        <v>640</v>
      </c>
      <c r="H34" s="13">
        <v>652</v>
      </c>
      <c r="I34" s="14">
        <v>718</v>
      </c>
      <c r="J34" s="14" t="s">
        <v>44</v>
      </c>
      <c r="K34" s="68" t="s">
        <v>67</v>
      </c>
      <c r="L34" s="44">
        <f>SUM(C35+C39)</f>
        <v>462</v>
      </c>
      <c r="M34" s="46">
        <f>SUM(L34/$L$35)</f>
        <v>0.11544227886056972</v>
      </c>
      <c r="N34" s="41"/>
    </row>
    <row r="35" spans="1:17" s="20" customFormat="1" ht="15.75" thickBot="1">
      <c r="A35" s="17" t="s">
        <v>32</v>
      </c>
      <c r="B35" s="13" t="s">
        <v>10</v>
      </c>
      <c r="C35" s="13">
        <v>386</v>
      </c>
      <c r="D35" s="13">
        <v>406</v>
      </c>
      <c r="E35" s="13">
        <v>420</v>
      </c>
      <c r="F35" s="13">
        <v>449</v>
      </c>
      <c r="G35" s="13">
        <v>482</v>
      </c>
      <c r="H35" s="13">
        <v>484</v>
      </c>
      <c r="I35" s="13" t="s">
        <v>17</v>
      </c>
      <c r="J35" s="42"/>
      <c r="L35" s="72">
        <v>4002</v>
      </c>
    </row>
    <row r="36" spans="1:17" s="20" customFormat="1" ht="15.75" thickBot="1">
      <c r="A36" s="17" t="s">
        <v>296</v>
      </c>
      <c r="B36" s="18" t="s">
        <v>4</v>
      </c>
      <c r="C36" s="13">
        <v>363</v>
      </c>
      <c r="D36" s="13">
        <v>411</v>
      </c>
      <c r="E36" s="13">
        <v>418</v>
      </c>
      <c r="F36" s="13">
        <v>483</v>
      </c>
      <c r="G36" s="13">
        <v>496</v>
      </c>
      <c r="H36" s="13">
        <v>497</v>
      </c>
      <c r="I36" s="13">
        <v>593</v>
      </c>
      <c r="J36" s="13"/>
    </row>
    <row r="37" spans="1:17" s="20" customFormat="1" ht="15.75" thickBot="1">
      <c r="A37" s="17" t="s">
        <v>271</v>
      </c>
      <c r="B37" s="19" t="s">
        <v>6</v>
      </c>
      <c r="C37" s="13">
        <v>289</v>
      </c>
      <c r="D37" s="13">
        <v>298</v>
      </c>
      <c r="E37" s="13">
        <v>300</v>
      </c>
      <c r="F37" s="13">
        <v>338</v>
      </c>
      <c r="G37" s="13" t="s">
        <v>17</v>
      </c>
    </row>
    <row r="38" spans="1:17" s="20" customFormat="1" ht="15.75" thickBot="1">
      <c r="A38" s="17" t="s">
        <v>297</v>
      </c>
      <c r="B38" s="21" t="s">
        <v>51</v>
      </c>
      <c r="C38" s="13">
        <v>225</v>
      </c>
      <c r="D38" s="13">
        <v>234</v>
      </c>
      <c r="E38" s="13">
        <v>240</v>
      </c>
      <c r="F38" s="13" t="s">
        <v>17</v>
      </c>
    </row>
    <row r="39" spans="1:17" s="20" customFormat="1" ht="15.75" thickBot="1">
      <c r="A39" s="17" t="s">
        <v>298</v>
      </c>
      <c r="B39" s="13" t="s">
        <v>10</v>
      </c>
      <c r="C39" s="13">
        <v>76</v>
      </c>
      <c r="D39" s="13">
        <v>88</v>
      </c>
      <c r="E39" s="13" t="s">
        <v>17</v>
      </c>
    </row>
    <row r="41" spans="1:17" s="20" customFormat="1" ht="16.5" customHeight="1">
      <c r="A41" s="6" t="s">
        <v>608</v>
      </c>
    </row>
    <row r="42" spans="1:17" s="20" customFormat="1" ht="9.75" customHeight="1" thickBot="1">
      <c r="A42" s="6"/>
    </row>
    <row r="43" spans="1:17" s="20" customFormat="1" ht="15.75" thickBot="1">
      <c r="A43" s="8" t="s">
        <v>0</v>
      </c>
      <c r="B43" s="9" t="s">
        <v>1</v>
      </c>
      <c r="C43" s="9" t="s">
        <v>2</v>
      </c>
      <c r="D43" s="9">
        <v>2</v>
      </c>
      <c r="E43" s="9">
        <v>3</v>
      </c>
      <c r="F43" s="9">
        <v>4</v>
      </c>
      <c r="G43" s="9">
        <v>5</v>
      </c>
      <c r="H43" s="9">
        <v>6</v>
      </c>
      <c r="I43" s="9">
        <v>7</v>
      </c>
      <c r="J43" s="9">
        <v>8</v>
      </c>
      <c r="K43" s="9">
        <v>9</v>
      </c>
      <c r="L43" s="9">
        <v>10</v>
      </c>
      <c r="M43" s="9">
        <v>11</v>
      </c>
      <c r="N43" s="9">
        <v>12</v>
      </c>
      <c r="O43" s="9">
        <v>13</v>
      </c>
      <c r="P43" s="9">
        <v>14</v>
      </c>
      <c r="Q43" s="9"/>
    </row>
    <row r="44" spans="1:17" s="20" customFormat="1" ht="15.75" thickBot="1">
      <c r="A44" s="10" t="s">
        <v>299</v>
      </c>
      <c r="B44" s="11" t="s">
        <v>4</v>
      </c>
      <c r="C44" s="12">
        <v>1475</v>
      </c>
      <c r="D44" s="13"/>
      <c r="E44" s="14"/>
      <c r="F44" s="13"/>
      <c r="G44" s="13"/>
      <c r="H44" s="13"/>
      <c r="I44" s="14"/>
      <c r="J44" s="13"/>
      <c r="K44" s="14"/>
      <c r="L44" s="13"/>
      <c r="M44" s="13"/>
      <c r="N44" s="13"/>
      <c r="O44" s="14"/>
      <c r="P44" s="13"/>
      <c r="Q44" s="14" t="s">
        <v>41</v>
      </c>
    </row>
    <row r="45" spans="1:17" s="20" customFormat="1" ht="15.75" thickBot="1">
      <c r="A45" s="10" t="s">
        <v>255</v>
      </c>
      <c r="B45" s="11" t="s">
        <v>4</v>
      </c>
      <c r="C45" s="12">
        <v>1201</v>
      </c>
      <c r="D45" s="13"/>
      <c r="E45" s="13"/>
      <c r="F45" s="13"/>
      <c r="G45" s="14"/>
      <c r="H45" s="14"/>
      <c r="I45" s="14"/>
      <c r="J45" s="13"/>
      <c r="K45" s="13"/>
      <c r="L45" s="13"/>
      <c r="M45" s="14"/>
      <c r="N45" s="14"/>
      <c r="O45" s="14"/>
      <c r="P45" s="13"/>
      <c r="Q45" s="14" t="s">
        <v>42</v>
      </c>
    </row>
    <row r="46" spans="1:17" s="20" customFormat="1" ht="15.75" thickBot="1">
      <c r="A46" s="10" t="s">
        <v>176</v>
      </c>
      <c r="B46" s="14" t="s">
        <v>10</v>
      </c>
      <c r="C46" s="16">
        <v>1154</v>
      </c>
      <c r="D46" s="16">
        <v>1182</v>
      </c>
      <c r="E46" s="12">
        <v>1206</v>
      </c>
      <c r="F46" s="13"/>
      <c r="G46" s="13"/>
      <c r="H46" s="13"/>
      <c r="I46" s="14"/>
      <c r="J46" s="13"/>
      <c r="K46" s="14"/>
      <c r="L46" s="13"/>
      <c r="M46" s="13"/>
      <c r="N46" s="13"/>
      <c r="O46" s="14"/>
      <c r="P46" s="13"/>
      <c r="Q46" s="14" t="s">
        <v>43</v>
      </c>
    </row>
    <row r="47" spans="1:17" s="20" customFormat="1" ht="15.75" thickBot="1">
      <c r="A47" s="10" t="s">
        <v>175</v>
      </c>
      <c r="B47" s="15" t="s">
        <v>6</v>
      </c>
      <c r="C47" s="16">
        <v>1116</v>
      </c>
      <c r="D47" s="16">
        <v>1141</v>
      </c>
      <c r="E47" s="16">
        <v>1163</v>
      </c>
      <c r="F47" s="16">
        <v>1175</v>
      </c>
      <c r="G47" s="16">
        <v>1176</v>
      </c>
      <c r="H47" s="16">
        <v>1177</v>
      </c>
      <c r="I47" s="12">
        <v>1201</v>
      </c>
      <c r="J47" s="13"/>
      <c r="K47" s="13"/>
      <c r="L47" s="13"/>
      <c r="M47" s="13"/>
      <c r="N47" s="13"/>
      <c r="O47" s="14"/>
      <c r="P47" s="13"/>
      <c r="Q47" s="14" t="s">
        <v>44</v>
      </c>
    </row>
    <row r="48" spans="1:17" s="20" customFormat="1" ht="15.75" thickBot="1">
      <c r="A48" s="10" t="s">
        <v>301</v>
      </c>
      <c r="B48" s="15" t="s">
        <v>6</v>
      </c>
      <c r="C48" s="13">
        <v>826</v>
      </c>
      <c r="D48" s="13">
        <v>837</v>
      </c>
      <c r="E48" s="13">
        <v>844</v>
      </c>
      <c r="F48" s="13">
        <v>858</v>
      </c>
      <c r="G48" s="13">
        <v>858</v>
      </c>
      <c r="H48" s="13">
        <v>859</v>
      </c>
      <c r="I48" s="13">
        <v>879</v>
      </c>
      <c r="J48" s="13">
        <v>912</v>
      </c>
      <c r="K48" s="13">
        <v>935</v>
      </c>
      <c r="L48" s="13">
        <v>970</v>
      </c>
      <c r="M48" s="16">
        <v>1001</v>
      </c>
      <c r="N48" s="16">
        <v>1054</v>
      </c>
      <c r="O48" s="16">
        <v>1097</v>
      </c>
      <c r="P48" s="12">
        <v>1111</v>
      </c>
      <c r="Q48" s="14" t="s">
        <v>495</v>
      </c>
    </row>
    <row r="49" spans="1:17" s="20" customFormat="1" ht="15.75" thickBot="1">
      <c r="A49" s="10" t="s">
        <v>302</v>
      </c>
      <c r="B49" s="15" t="s">
        <v>6</v>
      </c>
      <c r="C49" s="13">
        <v>798</v>
      </c>
      <c r="D49" s="13">
        <v>811</v>
      </c>
      <c r="E49" s="13">
        <v>823</v>
      </c>
      <c r="F49" s="13">
        <v>827</v>
      </c>
      <c r="G49" s="13">
        <v>829</v>
      </c>
      <c r="H49" s="13">
        <v>829</v>
      </c>
      <c r="I49" s="13">
        <v>837</v>
      </c>
      <c r="J49" s="13">
        <v>902</v>
      </c>
      <c r="K49" s="13">
        <v>921</v>
      </c>
      <c r="L49" s="13">
        <v>976</v>
      </c>
      <c r="M49" s="16">
        <v>1021</v>
      </c>
      <c r="N49" s="16">
        <v>1062</v>
      </c>
      <c r="O49" s="16">
        <v>1114</v>
      </c>
      <c r="P49" s="12">
        <v>1120</v>
      </c>
      <c r="Q49" s="14" t="s">
        <v>494</v>
      </c>
    </row>
    <row r="50" spans="1:17" s="20" customFormat="1" ht="15.75" thickBot="1">
      <c r="A50" s="10" t="s">
        <v>303</v>
      </c>
      <c r="B50" s="15" t="s">
        <v>6</v>
      </c>
      <c r="C50" s="13">
        <v>691</v>
      </c>
      <c r="D50" s="13">
        <v>715</v>
      </c>
      <c r="E50" s="13">
        <v>733</v>
      </c>
      <c r="F50" s="13">
        <v>737</v>
      </c>
      <c r="G50" s="13">
        <v>743</v>
      </c>
      <c r="H50" s="13">
        <v>743</v>
      </c>
      <c r="I50" s="13">
        <v>751</v>
      </c>
      <c r="J50" s="13">
        <v>780</v>
      </c>
      <c r="K50" s="13">
        <v>793</v>
      </c>
      <c r="L50" s="13">
        <v>808</v>
      </c>
      <c r="M50" s="13">
        <v>834</v>
      </c>
      <c r="N50" s="13">
        <v>939</v>
      </c>
      <c r="O50" s="16">
        <v>1002</v>
      </c>
      <c r="P50" s="12">
        <v>1018</v>
      </c>
      <c r="Q50" s="14" t="s">
        <v>496</v>
      </c>
    </row>
    <row r="51" spans="1:17" s="20" customFormat="1" ht="15.75" thickBot="1">
      <c r="A51" s="10" t="s">
        <v>277</v>
      </c>
      <c r="B51" s="11" t="s">
        <v>4</v>
      </c>
      <c r="C51" s="13">
        <v>669</v>
      </c>
      <c r="D51" s="13">
        <v>708</v>
      </c>
      <c r="E51" s="13">
        <v>711</v>
      </c>
      <c r="F51" s="13">
        <v>731</v>
      </c>
      <c r="G51" s="13">
        <v>731</v>
      </c>
      <c r="H51" s="13">
        <v>736</v>
      </c>
      <c r="I51" s="13">
        <v>742</v>
      </c>
      <c r="J51" s="13">
        <v>747</v>
      </c>
      <c r="K51" s="13">
        <v>771</v>
      </c>
      <c r="L51" s="13">
        <v>847</v>
      </c>
      <c r="M51" s="13">
        <v>964</v>
      </c>
      <c r="N51" s="13">
        <v>985</v>
      </c>
      <c r="O51" s="12">
        <v>1250</v>
      </c>
      <c r="P51" s="13"/>
      <c r="Q51" s="14" t="s">
        <v>45</v>
      </c>
    </row>
    <row r="52" spans="1:17" s="20" customFormat="1" ht="15.75" thickBot="1">
      <c r="A52" s="17" t="s">
        <v>304</v>
      </c>
      <c r="B52" s="19" t="s">
        <v>6</v>
      </c>
      <c r="C52" s="13">
        <v>600</v>
      </c>
      <c r="D52" s="13">
        <v>601</v>
      </c>
      <c r="E52" s="13">
        <v>602</v>
      </c>
      <c r="F52" s="13">
        <v>636</v>
      </c>
      <c r="G52" s="13">
        <v>636</v>
      </c>
      <c r="H52" s="13">
        <v>638</v>
      </c>
      <c r="I52" s="13">
        <v>639</v>
      </c>
      <c r="J52" s="13">
        <v>659</v>
      </c>
      <c r="K52" s="13">
        <v>674</v>
      </c>
      <c r="L52" s="13">
        <v>836</v>
      </c>
      <c r="M52" s="13">
        <v>848</v>
      </c>
      <c r="N52" s="13">
        <v>862</v>
      </c>
      <c r="O52" s="13">
        <v>879</v>
      </c>
      <c r="P52" s="13">
        <v>884</v>
      </c>
      <c r="Q52" s="14"/>
    </row>
    <row r="53" spans="1:17" s="20" customFormat="1" ht="15.75" thickBot="1">
      <c r="A53" s="17" t="s">
        <v>305</v>
      </c>
      <c r="B53" s="18" t="s">
        <v>4</v>
      </c>
      <c r="C53" s="13">
        <v>574</v>
      </c>
      <c r="D53" s="13">
        <v>611</v>
      </c>
      <c r="E53" s="13">
        <v>613</v>
      </c>
      <c r="F53" s="13">
        <v>621</v>
      </c>
      <c r="G53" s="13">
        <v>621</v>
      </c>
      <c r="H53" s="13">
        <v>622</v>
      </c>
      <c r="I53" s="13">
        <v>632</v>
      </c>
      <c r="J53" s="13">
        <v>637</v>
      </c>
      <c r="K53" s="13">
        <v>652</v>
      </c>
      <c r="L53" s="13">
        <v>658</v>
      </c>
      <c r="M53" s="13">
        <v>776</v>
      </c>
      <c r="N53" s="13">
        <v>802</v>
      </c>
      <c r="O53" s="13" t="s">
        <v>17</v>
      </c>
      <c r="P53" s="13"/>
      <c r="Q53" s="14"/>
    </row>
    <row r="54" spans="1:17" s="20" customFormat="1" ht="15.75" thickBot="1">
      <c r="A54" s="17" t="s">
        <v>279</v>
      </c>
      <c r="B54" s="13" t="s">
        <v>10</v>
      </c>
      <c r="C54" s="13">
        <v>472</v>
      </c>
      <c r="D54" s="13">
        <v>482</v>
      </c>
      <c r="E54" s="13">
        <v>490</v>
      </c>
      <c r="F54" s="13">
        <v>498</v>
      </c>
      <c r="G54" s="13">
        <v>500</v>
      </c>
      <c r="H54" s="13">
        <v>500</v>
      </c>
      <c r="I54" s="13">
        <v>515</v>
      </c>
      <c r="J54" s="13">
        <v>523</v>
      </c>
      <c r="K54" s="13">
        <v>556</v>
      </c>
      <c r="L54" s="13">
        <v>561</v>
      </c>
      <c r="M54" s="13">
        <v>573</v>
      </c>
      <c r="N54" s="13" t="s">
        <v>17</v>
      </c>
      <c r="O54" s="13"/>
      <c r="P54" s="13"/>
      <c r="Q54" s="13"/>
    </row>
    <row r="55" spans="1:17" s="20" customFormat="1" ht="15.75" thickBot="1">
      <c r="A55" s="10" t="s">
        <v>243</v>
      </c>
      <c r="B55" s="31" t="s">
        <v>60</v>
      </c>
      <c r="C55" s="13">
        <v>455</v>
      </c>
      <c r="D55" s="13">
        <v>475</v>
      </c>
      <c r="E55" s="13">
        <v>494</v>
      </c>
      <c r="F55" s="13">
        <v>501</v>
      </c>
      <c r="G55" s="13">
        <v>504</v>
      </c>
      <c r="H55" s="13">
        <v>505</v>
      </c>
      <c r="I55" s="13">
        <v>567</v>
      </c>
      <c r="J55" s="13">
        <v>585</v>
      </c>
      <c r="K55" s="13">
        <v>624</v>
      </c>
      <c r="L55" s="13">
        <v>646</v>
      </c>
      <c r="M55" s="13">
        <v>685</v>
      </c>
      <c r="N55" s="13">
        <v>819</v>
      </c>
      <c r="O55" s="13">
        <v>974</v>
      </c>
      <c r="P55" s="14">
        <v>996</v>
      </c>
      <c r="Q55" s="14" t="s">
        <v>534</v>
      </c>
    </row>
    <row r="56" spans="1:17" s="20" customFormat="1" ht="15.75" thickBot="1">
      <c r="A56" s="17" t="s">
        <v>180</v>
      </c>
      <c r="B56" s="18" t="s">
        <v>4</v>
      </c>
      <c r="C56" s="13">
        <v>439</v>
      </c>
      <c r="D56" s="13">
        <v>490</v>
      </c>
      <c r="E56" s="13">
        <v>493</v>
      </c>
      <c r="F56" s="13">
        <v>496</v>
      </c>
      <c r="G56" s="13">
        <v>497</v>
      </c>
      <c r="H56" s="13">
        <v>499</v>
      </c>
      <c r="I56" s="13">
        <v>505</v>
      </c>
      <c r="J56" s="13">
        <v>508</v>
      </c>
      <c r="K56" s="13">
        <v>523</v>
      </c>
      <c r="L56" s="13">
        <v>525</v>
      </c>
      <c r="M56" s="13" t="s">
        <v>17</v>
      </c>
    </row>
    <row r="57" spans="1:17" s="20" customFormat="1" ht="15.75" thickBot="1">
      <c r="A57" s="17" t="s">
        <v>283</v>
      </c>
      <c r="B57" s="19" t="s">
        <v>6</v>
      </c>
      <c r="C57" s="13">
        <v>379</v>
      </c>
      <c r="D57" s="13">
        <v>381</v>
      </c>
      <c r="E57" s="13">
        <v>382</v>
      </c>
      <c r="F57" s="13">
        <v>392</v>
      </c>
      <c r="G57" s="13">
        <v>393</v>
      </c>
      <c r="H57" s="13">
        <v>394</v>
      </c>
      <c r="I57" s="13">
        <v>402</v>
      </c>
      <c r="J57" s="13">
        <v>424</v>
      </c>
      <c r="K57" s="13">
        <v>444</v>
      </c>
      <c r="L57" s="13" t="s">
        <v>17</v>
      </c>
      <c r="N57" s="41"/>
      <c r="O57" s="42" t="s">
        <v>63</v>
      </c>
      <c r="P57" s="42" t="s">
        <v>64</v>
      </c>
      <c r="Q57" s="42" t="s">
        <v>65</v>
      </c>
    </row>
    <row r="58" spans="1:17" s="20" customFormat="1" ht="15.75" thickBot="1">
      <c r="A58" s="17" t="s">
        <v>306</v>
      </c>
      <c r="B58" s="21" t="s">
        <v>51</v>
      </c>
      <c r="C58" s="13">
        <v>315</v>
      </c>
      <c r="D58" s="13">
        <v>323</v>
      </c>
      <c r="E58" s="13">
        <v>324</v>
      </c>
      <c r="F58" s="13">
        <v>332</v>
      </c>
      <c r="G58" s="13">
        <v>333</v>
      </c>
      <c r="H58" s="13">
        <v>333</v>
      </c>
      <c r="I58" s="13">
        <v>337</v>
      </c>
      <c r="J58" s="13">
        <v>343</v>
      </c>
      <c r="K58" s="13" t="s">
        <v>17</v>
      </c>
      <c r="N58" s="43" t="s">
        <v>4</v>
      </c>
      <c r="O58" s="44">
        <f>SUM(C44+C45+C51+C53+C56)</f>
        <v>4358</v>
      </c>
      <c r="P58" s="46">
        <f>SUM(O58/O64)</f>
        <v>0.3671749936810178</v>
      </c>
      <c r="Q58" s="41">
        <v>3</v>
      </c>
    </row>
    <row r="59" spans="1:17" s="20" customFormat="1" ht="15.75" thickBot="1">
      <c r="A59" s="17" t="s">
        <v>244</v>
      </c>
      <c r="B59" s="19" t="s">
        <v>6</v>
      </c>
      <c r="C59" s="13">
        <v>216</v>
      </c>
      <c r="D59" s="13">
        <v>221</v>
      </c>
      <c r="E59" s="13">
        <v>222</v>
      </c>
      <c r="F59" s="13">
        <v>224</v>
      </c>
      <c r="G59" s="13">
        <v>224</v>
      </c>
      <c r="H59" s="13">
        <v>224</v>
      </c>
      <c r="I59" s="13">
        <v>236</v>
      </c>
      <c r="J59" s="13" t="s">
        <v>17</v>
      </c>
      <c r="N59" s="45" t="s">
        <v>6</v>
      </c>
      <c r="O59" s="44">
        <f>SUM(C47+C48+C49+C50+C52+C57+C59)</f>
        <v>4626</v>
      </c>
      <c r="P59" s="46">
        <f>SUM(O59/O64)</f>
        <v>0.38975482348976326</v>
      </c>
      <c r="Q59" s="41">
        <v>4</v>
      </c>
    </row>
    <row r="60" spans="1:17" s="20" customFormat="1" ht="15.75" thickBot="1">
      <c r="A60" s="17" t="s">
        <v>307</v>
      </c>
      <c r="B60" s="22" t="s">
        <v>60</v>
      </c>
      <c r="C60" s="13">
        <v>195</v>
      </c>
      <c r="D60" s="13">
        <v>202</v>
      </c>
      <c r="E60" s="13">
        <v>204</v>
      </c>
      <c r="F60" s="13">
        <v>213</v>
      </c>
      <c r="G60" s="13">
        <v>214</v>
      </c>
      <c r="H60" s="13">
        <v>214</v>
      </c>
      <c r="I60" s="13" t="s">
        <v>17</v>
      </c>
      <c r="N60" s="66" t="s">
        <v>60</v>
      </c>
      <c r="O60" s="44">
        <f>SUM(C55+C60)</f>
        <v>650</v>
      </c>
      <c r="P60" s="46">
        <f>SUM(O60/O64)</f>
        <v>5.4764512595837894E-2</v>
      </c>
      <c r="Q60" s="41">
        <v>1</v>
      </c>
    </row>
    <row r="61" spans="1:17" s="20" customFormat="1" ht="15.75" thickBot="1">
      <c r="A61" s="17" t="s">
        <v>308</v>
      </c>
      <c r="B61" s="61" t="s">
        <v>309</v>
      </c>
      <c r="C61" s="13">
        <v>167</v>
      </c>
      <c r="D61" s="13">
        <v>168</v>
      </c>
      <c r="E61" s="13">
        <v>168</v>
      </c>
      <c r="F61" s="13" t="s">
        <v>17</v>
      </c>
      <c r="N61" s="65" t="s">
        <v>51</v>
      </c>
      <c r="O61" s="44">
        <v>315</v>
      </c>
      <c r="P61" s="46">
        <f>SUM(O61/O64)</f>
        <v>2.6539725334906058E-2</v>
      </c>
      <c r="Q61" s="41"/>
    </row>
    <row r="62" spans="1:17" s="20" customFormat="1" ht="15.75" thickBot="1">
      <c r="A62" s="17" t="s">
        <v>310</v>
      </c>
      <c r="B62" s="13" t="s">
        <v>10</v>
      </c>
      <c r="C62" s="13">
        <v>127</v>
      </c>
      <c r="D62" s="13">
        <v>133</v>
      </c>
      <c r="E62" s="13" t="s">
        <v>17</v>
      </c>
      <c r="N62" s="74" t="s">
        <v>309</v>
      </c>
      <c r="O62" s="20">
        <v>167</v>
      </c>
      <c r="P62" s="40">
        <f>SUM(O62/O64)</f>
        <v>1.4070267082315275E-2</v>
      </c>
    </row>
    <row r="63" spans="1:17" ht="15">
      <c r="N63" s="68" t="s">
        <v>67</v>
      </c>
      <c r="O63" s="67">
        <f>SUM(C62+C54+C46)</f>
        <v>1753</v>
      </c>
      <c r="P63" s="40">
        <f>SUM(O63/O64)</f>
        <v>0.14769567781615975</v>
      </c>
      <c r="Q63" s="20">
        <v>1</v>
      </c>
    </row>
    <row r="64" spans="1:17" ht="15">
      <c r="N64" s="20"/>
      <c r="O64" s="72">
        <v>11869</v>
      </c>
      <c r="P64" s="20"/>
      <c r="Q64" s="20"/>
    </row>
    <row r="65" spans="1:12">
      <c r="A65" s="4"/>
      <c r="B65" s="4" t="s">
        <v>66</v>
      </c>
      <c r="C65" s="23" t="s">
        <v>4</v>
      </c>
      <c r="D65" s="24" t="s">
        <v>6</v>
      </c>
      <c r="E65" s="25" t="s">
        <v>60</v>
      </c>
      <c r="F65" s="26" t="s">
        <v>51</v>
      </c>
      <c r="G65" s="75" t="s">
        <v>309</v>
      </c>
      <c r="H65" s="4" t="s">
        <v>67</v>
      </c>
      <c r="J65" s="4"/>
    </row>
    <row r="66" spans="1:12" ht="14.25">
      <c r="A66" s="27" t="s">
        <v>63</v>
      </c>
      <c r="B66" s="105">
        <f>SUM(11869+4002+4158+7377)</f>
        <v>27406</v>
      </c>
      <c r="C66" s="106">
        <f>SUM(O58+L31+H21+M4)</f>
        <v>11164</v>
      </c>
      <c r="D66" s="106">
        <f>SUM(O59+L32+H22+M5)</f>
        <v>11724</v>
      </c>
      <c r="E66" s="106">
        <v>650</v>
      </c>
      <c r="F66" s="106">
        <v>315</v>
      </c>
      <c r="G66" s="106">
        <v>167</v>
      </c>
      <c r="H66" s="106">
        <f>SUM(O63+L34+M6)</f>
        <v>3161</v>
      </c>
      <c r="I66" s="106"/>
      <c r="J66" s="106"/>
      <c r="K66" s="106"/>
      <c r="L66" s="106"/>
    </row>
    <row r="67" spans="1:12" ht="14.25">
      <c r="A67" s="27" t="s">
        <v>64</v>
      </c>
      <c r="B67" s="29">
        <v>1</v>
      </c>
      <c r="C67" s="28">
        <f t="shared" ref="C67:H67" si="0">SUM(C66/$B$66)</f>
        <v>0.40735605341895936</v>
      </c>
      <c r="D67" s="28">
        <f t="shared" si="0"/>
        <v>0.42778953513829088</v>
      </c>
      <c r="E67" s="28">
        <f t="shared" si="0"/>
        <v>2.3717434138509814E-2</v>
      </c>
      <c r="F67" s="28">
        <f t="shared" si="0"/>
        <v>1.1493833467123987E-2</v>
      </c>
      <c r="G67" s="28">
        <f t="shared" si="0"/>
        <v>6.0935561555863675E-3</v>
      </c>
      <c r="H67" s="28">
        <f t="shared" si="0"/>
        <v>0.11533970663358388</v>
      </c>
      <c r="J67" s="4"/>
    </row>
    <row r="68" spans="1:12" ht="14.25">
      <c r="A68" s="27" t="s">
        <v>65</v>
      </c>
      <c r="B68" s="4">
        <v>24</v>
      </c>
      <c r="C68">
        <v>10</v>
      </c>
      <c r="D68">
        <v>11</v>
      </c>
      <c r="E68">
        <v>1</v>
      </c>
      <c r="F68">
        <v>0</v>
      </c>
      <c r="G68">
        <v>0</v>
      </c>
      <c r="H68">
        <v>2</v>
      </c>
      <c r="J68" s="28"/>
    </row>
  </sheetData>
  <phoneticPr fontId="16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76"/>
  <sheetViews>
    <sheetView workbookViewId="0">
      <selection activeCell="Q1" sqref="Q1"/>
    </sheetView>
  </sheetViews>
  <sheetFormatPr defaultRowHeight="12.75"/>
  <cols>
    <col min="1" max="1" width="21" customWidth="1"/>
    <col min="2" max="14" width="8.7109375" customWidth="1"/>
  </cols>
  <sheetData>
    <row r="1" spans="1:17" s="20" customFormat="1" ht="16.5" customHeight="1">
      <c r="A1" s="6" t="s">
        <v>464</v>
      </c>
    </row>
    <row r="2" spans="1:17" s="20" customFormat="1" ht="11.25" customHeight="1" thickBot="1">
      <c r="A2" s="7"/>
    </row>
    <row r="3" spans="1:17" s="20" customFormat="1" ht="16.5" customHeight="1" thickBot="1">
      <c r="A3" s="8" t="s">
        <v>0</v>
      </c>
      <c r="B3" s="9" t="s">
        <v>1</v>
      </c>
      <c r="C3" s="9" t="s">
        <v>2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9">
        <v>7</v>
      </c>
      <c r="J3" s="9">
        <v>8</v>
      </c>
      <c r="K3" s="9">
        <v>9</v>
      </c>
      <c r="L3" s="9">
        <v>10</v>
      </c>
      <c r="M3" s="9"/>
      <c r="N3" s="42" t="s">
        <v>99</v>
      </c>
      <c r="O3" s="40">
        <f>SUM(8071/10372)</f>
        <v>0.77815271885846515</v>
      </c>
    </row>
    <row r="4" spans="1:17" s="20" customFormat="1" ht="16.5" customHeight="1" thickBot="1">
      <c r="A4" s="10" t="s">
        <v>225</v>
      </c>
      <c r="B4" s="15" t="s">
        <v>6</v>
      </c>
      <c r="C4" s="13">
        <v>943</v>
      </c>
      <c r="D4" s="13">
        <v>950</v>
      </c>
      <c r="E4" s="12">
        <v>1056</v>
      </c>
      <c r="F4" s="13"/>
      <c r="G4" s="13"/>
      <c r="H4" s="13"/>
      <c r="I4" s="14"/>
      <c r="J4" s="13"/>
      <c r="K4" s="14"/>
      <c r="L4" s="13"/>
      <c r="M4" s="14" t="s">
        <v>41</v>
      </c>
      <c r="N4" s="41"/>
      <c r="O4" s="42" t="s">
        <v>63</v>
      </c>
      <c r="P4" s="42" t="s">
        <v>64</v>
      </c>
      <c r="Q4" s="42" t="s">
        <v>65</v>
      </c>
    </row>
    <row r="5" spans="1:17" s="20" customFormat="1" ht="16.5" customHeight="1" thickBot="1">
      <c r="A5" s="10" t="s">
        <v>199</v>
      </c>
      <c r="B5" s="15" t="s">
        <v>6</v>
      </c>
      <c r="C5" s="13">
        <v>908</v>
      </c>
      <c r="D5" s="13">
        <v>917</v>
      </c>
      <c r="E5" s="13">
        <v>944</v>
      </c>
      <c r="F5" s="13">
        <v>956</v>
      </c>
      <c r="G5" s="12">
        <v>1144</v>
      </c>
      <c r="H5" s="14"/>
      <c r="I5" s="14"/>
      <c r="J5" s="13"/>
      <c r="K5" s="13"/>
      <c r="L5" s="13"/>
      <c r="M5" s="14" t="s">
        <v>42</v>
      </c>
      <c r="N5" s="43" t="s">
        <v>4</v>
      </c>
      <c r="O5" s="44">
        <f>SUM(C7+C8+C9+C11+C12+C13)</f>
        <v>3560</v>
      </c>
      <c r="P5" s="46">
        <f>SUM(O5/O8)</f>
        <v>0.44466650012490633</v>
      </c>
      <c r="Q5" s="41">
        <v>3</v>
      </c>
    </row>
    <row r="6" spans="1:17" s="20" customFormat="1" ht="16.5" customHeight="1" thickBot="1">
      <c r="A6" s="10" t="s">
        <v>259</v>
      </c>
      <c r="B6" s="14" t="s">
        <v>10</v>
      </c>
      <c r="C6" s="13">
        <v>749</v>
      </c>
      <c r="D6" s="13">
        <v>775</v>
      </c>
      <c r="E6" s="13">
        <v>779</v>
      </c>
      <c r="F6" s="13">
        <v>780</v>
      </c>
      <c r="G6" s="13">
        <v>806</v>
      </c>
      <c r="H6" s="13">
        <v>809</v>
      </c>
      <c r="I6" s="13">
        <v>813</v>
      </c>
      <c r="J6" s="13">
        <v>913</v>
      </c>
      <c r="K6" s="13">
        <v>944</v>
      </c>
      <c r="L6" s="14">
        <v>968</v>
      </c>
      <c r="M6" s="14" t="s">
        <v>494</v>
      </c>
      <c r="N6" s="45" t="s">
        <v>6</v>
      </c>
      <c r="O6" s="44">
        <f>SUM(C4+C5+C10+C14+C15+C16)</f>
        <v>3517</v>
      </c>
      <c r="P6" s="46">
        <f>SUM(O6/O8)</f>
        <v>0.4392955283537347</v>
      </c>
      <c r="Q6" s="41">
        <v>3</v>
      </c>
    </row>
    <row r="7" spans="1:17" s="20" customFormat="1" ht="16.5" customHeight="1" thickBot="1">
      <c r="A7" s="10" t="s">
        <v>3</v>
      </c>
      <c r="B7" s="11" t="s">
        <v>4</v>
      </c>
      <c r="C7" s="13">
        <v>712</v>
      </c>
      <c r="D7" s="13">
        <v>715</v>
      </c>
      <c r="E7" s="13">
        <v>719</v>
      </c>
      <c r="F7" s="13">
        <v>720</v>
      </c>
      <c r="G7" s="13">
        <v>785</v>
      </c>
      <c r="H7" s="13">
        <v>802</v>
      </c>
      <c r="I7" s="13">
        <v>890</v>
      </c>
      <c r="J7" s="13">
        <v>960</v>
      </c>
      <c r="K7" s="12">
        <v>1059</v>
      </c>
      <c r="L7" s="13"/>
      <c r="M7" s="14" t="s">
        <v>44</v>
      </c>
      <c r="N7" s="42" t="s">
        <v>67</v>
      </c>
      <c r="O7" s="67">
        <f>SUM(C6+C17)</f>
        <v>929</v>
      </c>
      <c r="P7" s="40">
        <f>SUM(O7/O8)</f>
        <v>0.11603797152135899</v>
      </c>
      <c r="Q7" s="20">
        <v>1</v>
      </c>
    </row>
    <row r="8" spans="1:17" s="20" customFormat="1" ht="16.5" customHeight="1" thickBot="1">
      <c r="A8" s="17" t="s">
        <v>198</v>
      </c>
      <c r="B8" s="18" t="s">
        <v>4</v>
      </c>
      <c r="C8" s="13">
        <v>632</v>
      </c>
      <c r="D8" s="13">
        <v>632</v>
      </c>
      <c r="E8" s="13">
        <v>635</v>
      </c>
      <c r="F8" s="13">
        <v>636</v>
      </c>
      <c r="G8" s="13">
        <v>670</v>
      </c>
      <c r="H8" s="13">
        <v>698</v>
      </c>
      <c r="I8" s="13">
        <v>725</v>
      </c>
      <c r="J8" s="13">
        <v>762</v>
      </c>
      <c r="K8" s="13">
        <v>801</v>
      </c>
      <c r="L8" s="13">
        <v>816</v>
      </c>
      <c r="M8" s="14"/>
      <c r="O8" s="72">
        <v>8006</v>
      </c>
    </row>
    <row r="9" spans="1:17" s="20" customFormat="1" ht="16.5" customHeight="1" thickBot="1">
      <c r="A9" s="10" t="s">
        <v>154</v>
      </c>
      <c r="B9" s="11" t="s">
        <v>4</v>
      </c>
      <c r="C9" s="13">
        <v>608</v>
      </c>
      <c r="D9" s="13">
        <v>690</v>
      </c>
      <c r="E9" s="13">
        <v>698</v>
      </c>
      <c r="F9" s="13">
        <v>699</v>
      </c>
      <c r="G9" s="13">
        <v>707</v>
      </c>
      <c r="H9" s="13">
        <v>708</v>
      </c>
      <c r="I9" s="13">
        <v>740</v>
      </c>
      <c r="J9" s="13">
        <v>855</v>
      </c>
      <c r="K9" s="13">
        <v>886</v>
      </c>
      <c r="L9" s="14">
        <v>901</v>
      </c>
      <c r="M9" s="14" t="s">
        <v>495</v>
      </c>
    </row>
    <row r="10" spans="1:17" s="20" customFormat="1" ht="16.5" customHeight="1" thickBot="1">
      <c r="A10" s="10" t="s">
        <v>175</v>
      </c>
      <c r="B10" s="15" t="s">
        <v>6</v>
      </c>
      <c r="C10" s="13">
        <v>607</v>
      </c>
      <c r="D10" s="13">
        <v>625</v>
      </c>
      <c r="E10" s="13">
        <v>639</v>
      </c>
      <c r="F10" s="13">
        <v>645</v>
      </c>
      <c r="G10" s="13">
        <v>699</v>
      </c>
      <c r="H10" s="13">
        <v>750</v>
      </c>
      <c r="I10" s="13">
        <v>753</v>
      </c>
      <c r="J10" s="13">
        <v>904</v>
      </c>
      <c r="K10" s="12">
        <v>1096</v>
      </c>
      <c r="L10" s="13"/>
      <c r="M10" s="14" t="s">
        <v>43</v>
      </c>
    </row>
    <row r="11" spans="1:17" s="20" customFormat="1" ht="16.5" customHeight="1" thickBot="1">
      <c r="A11" s="10" t="s">
        <v>155</v>
      </c>
      <c r="B11" s="11" t="s">
        <v>4</v>
      </c>
      <c r="C11" s="13">
        <v>565</v>
      </c>
      <c r="D11" s="13">
        <v>568</v>
      </c>
      <c r="E11" s="13">
        <v>574</v>
      </c>
      <c r="F11" s="13">
        <v>577</v>
      </c>
      <c r="G11" s="13">
        <v>580</v>
      </c>
      <c r="H11" s="13">
        <v>580</v>
      </c>
      <c r="I11" s="13">
        <v>736</v>
      </c>
      <c r="J11" s="13">
        <v>828</v>
      </c>
      <c r="K11" s="13">
        <v>971</v>
      </c>
      <c r="L11" s="14">
        <v>988</v>
      </c>
      <c r="M11" s="14" t="s">
        <v>45</v>
      </c>
    </row>
    <row r="12" spans="1:17" s="20" customFormat="1" ht="16.5" customHeight="1" thickBot="1">
      <c r="A12" s="17" t="s">
        <v>260</v>
      </c>
      <c r="B12" s="18" t="s">
        <v>4</v>
      </c>
      <c r="C12" s="13">
        <v>548</v>
      </c>
      <c r="D12" s="13">
        <v>554</v>
      </c>
      <c r="E12" s="13">
        <v>559</v>
      </c>
      <c r="F12" s="13">
        <v>560</v>
      </c>
      <c r="G12" s="13">
        <v>564</v>
      </c>
      <c r="H12" s="13">
        <v>568</v>
      </c>
      <c r="I12" s="13">
        <v>608</v>
      </c>
      <c r="J12" s="13" t="s">
        <v>17</v>
      </c>
    </row>
    <row r="13" spans="1:17" s="20" customFormat="1" ht="16.5" customHeight="1" thickBot="1">
      <c r="A13" s="17" t="s">
        <v>228</v>
      </c>
      <c r="B13" s="18" t="s">
        <v>4</v>
      </c>
      <c r="C13" s="13">
        <v>495</v>
      </c>
      <c r="D13" s="13">
        <v>498</v>
      </c>
      <c r="E13" s="13">
        <v>524</v>
      </c>
      <c r="F13" s="13">
        <v>530</v>
      </c>
      <c r="G13" s="13">
        <v>535</v>
      </c>
      <c r="H13" s="13">
        <v>535</v>
      </c>
      <c r="I13" s="13" t="s">
        <v>17</v>
      </c>
    </row>
    <row r="14" spans="1:17" s="20" customFormat="1" ht="16.5" customHeight="1" thickBot="1">
      <c r="A14" s="17" t="s">
        <v>261</v>
      </c>
      <c r="B14" s="19" t="s">
        <v>6</v>
      </c>
      <c r="C14" s="13">
        <v>411</v>
      </c>
      <c r="D14" s="13">
        <v>413</v>
      </c>
      <c r="E14" s="13">
        <v>433</v>
      </c>
      <c r="F14" s="13">
        <v>437</v>
      </c>
      <c r="G14" s="13" t="s">
        <v>17</v>
      </c>
    </row>
    <row r="15" spans="1:17" s="20" customFormat="1" ht="16.5" customHeight="1" thickBot="1">
      <c r="A15" s="17" t="s">
        <v>212</v>
      </c>
      <c r="B15" s="19" t="s">
        <v>6</v>
      </c>
      <c r="C15" s="13">
        <v>378</v>
      </c>
      <c r="D15" s="13">
        <v>389</v>
      </c>
      <c r="E15" s="13">
        <v>442</v>
      </c>
      <c r="F15" s="13">
        <v>461</v>
      </c>
      <c r="G15" s="13">
        <v>504</v>
      </c>
      <c r="H15" s="13">
        <v>543</v>
      </c>
      <c r="I15" s="13">
        <v>707</v>
      </c>
      <c r="J15" s="13">
        <v>726</v>
      </c>
      <c r="K15" s="13" t="s">
        <v>17</v>
      </c>
    </row>
    <row r="16" spans="1:17" s="20" customFormat="1" ht="16.5" customHeight="1" thickBot="1">
      <c r="A16" s="17" t="s">
        <v>262</v>
      </c>
      <c r="B16" s="19" t="s">
        <v>6</v>
      </c>
      <c r="C16" s="13">
        <v>270</v>
      </c>
      <c r="D16" s="13">
        <v>278</v>
      </c>
      <c r="E16" s="13" t="s">
        <v>17</v>
      </c>
    </row>
    <row r="17" spans="1:12" s="20" customFormat="1" ht="16.5" customHeight="1" thickBot="1">
      <c r="A17" s="17" t="s">
        <v>263</v>
      </c>
      <c r="B17" s="13" t="s">
        <v>10</v>
      </c>
      <c r="C17" s="13">
        <v>180</v>
      </c>
      <c r="D17" s="13" t="s">
        <v>17</v>
      </c>
    </row>
    <row r="19" spans="1:12" s="20" customFormat="1" ht="16.5" customHeight="1">
      <c r="A19" s="6" t="s">
        <v>465</v>
      </c>
    </row>
    <row r="20" spans="1:12" s="20" customFormat="1" ht="9" customHeight="1" thickBot="1">
      <c r="A20" s="6"/>
    </row>
    <row r="21" spans="1:12" s="20" customFormat="1" ht="16.5" customHeight="1" thickBot="1">
      <c r="A21" s="8" t="s">
        <v>0</v>
      </c>
      <c r="B21" s="9" t="s">
        <v>1</v>
      </c>
      <c r="C21" s="9" t="s">
        <v>2</v>
      </c>
      <c r="D21" s="9">
        <v>2</v>
      </c>
      <c r="E21" s="9">
        <v>3</v>
      </c>
      <c r="F21" s="9">
        <v>4</v>
      </c>
      <c r="G21" s="9">
        <v>5</v>
      </c>
      <c r="H21" s="9"/>
      <c r="I21" s="42" t="s">
        <v>99</v>
      </c>
      <c r="J21" s="40">
        <f>SUM(4907/5914)</f>
        <v>0.82972607372336826</v>
      </c>
    </row>
    <row r="22" spans="1:12" s="20" customFormat="1" ht="16.5" customHeight="1" thickBot="1">
      <c r="A22" s="10" t="s">
        <v>234</v>
      </c>
      <c r="B22" s="11" t="s">
        <v>4</v>
      </c>
      <c r="C22" s="12">
        <v>1090</v>
      </c>
      <c r="D22" s="13"/>
      <c r="E22" s="14"/>
      <c r="F22" s="13"/>
      <c r="G22" s="13"/>
      <c r="H22" s="14" t="s">
        <v>41</v>
      </c>
      <c r="I22" s="41"/>
      <c r="J22" s="42" t="s">
        <v>63</v>
      </c>
      <c r="K22" s="42" t="s">
        <v>64</v>
      </c>
      <c r="L22" s="42" t="s">
        <v>65</v>
      </c>
    </row>
    <row r="23" spans="1:12" s="20" customFormat="1" ht="16.5" customHeight="1" thickBot="1">
      <c r="A23" s="10" t="s">
        <v>162</v>
      </c>
      <c r="B23" s="14" t="s">
        <v>10</v>
      </c>
      <c r="C23" s="13">
        <v>831</v>
      </c>
      <c r="D23" s="13">
        <v>845</v>
      </c>
      <c r="E23" s="13">
        <v>912</v>
      </c>
      <c r="F23" s="13">
        <v>940</v>
      </c>
      <c r="G23" s="12">
        <v>1011</v>
      </c>
      <c r="H23" s="14" t="s">
        <v>44</v>
      </c>
      <c r="I23" s="43" t="s">
        <v>4</v>
      </c>
      <c r="J23" s="44">
        <f>SUM(C22+C25+C28+C29)</f>
        <v>2370</v>
      </c>
      <c r="K23" s="46">
        <f>SUM(J23/J26)</f>
        <v>0.48755400123431392</v>
      </c>
      <c r="L23" s="41">
        <v>2</v>
      </c>
    </row>
    <row r="24" spans="1:12" s="20" customFormat="1" ht="16.5" customHeight="1" thickBot="1">
      <c r="A24" s="10" t="s">
        <v>167</v>
      </c>
      <c r="B24" s="15" t="s">
        <v>6</v>
      </c>
      <c r="C24" s="13">
        <v>710</v>
      </c>
      <c r="D24" s="13">
        <v>741</v>
      </c>
      <c r="E24" s="13">
        <v>756</v>
      </c>
      <c r="F24" s="13">
        <v>824</v>
      </c>
      <c r="G24" s="12">
        <v>1094</v>
      </c>
      <c r="H24" s="14" t="s">
        <v>42</v>
      </c>
      <c r="I24" s="45" t="s">
        <v>6</v>
      </c>
      <c r="J24" s="44">
        <f>SUM(C24+C26+C27)</f>
        <v>1660</v>
      </c>
      <c r="K24" s="46">
        <f>SUM(J24/J26)</f>
        <v>0.34149351985188231</v>
      </c>
      <c r="L24" s="41">
        <v>1</v>
      </c>
    </row>
    <row r="25" spans="1:12" s="20" customFormat="1" ht="16.5" customHeight="1" thickBot="1">
      <c r="A25" s="10" t="s">
        <v>264</v>
      </c>
      <c r="B25" s="11" t="s">
        <v>4</v>
      </c>
      <c r="C25" s="13">
        <v>645</v>
      </c>
      <c r="D25" s="13">
        <v>685</v>
      </c>
      <c r="E25" s="13">
        <v>756</v>
      </c>
      <c r="F25" s="13">
        <v>942</v>
      </c>
      <c r="G25" s="12">
        <v>1030</v>
      </c>
      <c r="H25" s="14" t="s">
        <v>43</v>
      </c>
      <c r="I25" s="42" t="s">
        <v>67</v>
      </c>
      <c r="J25" s="67">
        <v>831</v>
      </c>
      <c r="K25" s="40">
        <f>SUM(J25/J26)</f>
        <v>0.17095247891380375</v>
      </c>
      <c r="L25" s="20">
        <v>1</v>
      </c>
    </row>
    <row r="26" spans="1:12" s="20" customFormat="1" ht="16.5" customHeight="1" thickBot="1">
      <c r="A26" s="17" t="s">
        <v>153</v>
      </c>
      <c r="B26" s="19" t="s">
        <v>6</v>
      </c>
      <c r="C26" s="13">
        <v>503</v>
      </c>
      <c r="D26" s="13">
        <v>505</v>
      </c>
      <c r="E26" s="13">
        <v>618</v>
      </c>
      <c r="F26" s="13">
        <v>629</v>
      </c>
      <c r="G26" s="13">
        <v>691</v>
      </c>
      <c r="H26" s="13"/>
      <c r="J26" s="72">
        <v>4861</v>
      </c>
    </row>
    <row r="27" spans="1:12" s="20" customFormat="1" ht="16.5" customHeight="1" thickBot="1">
      <c r="A27" s="17" t="s">
        <v>265</v>
      </c>
      <c r="B27" s="19" t="s">
        <v>6</v>
      </c>
      <c r="C27" s="13">
        <v>447</v>
      </c>
      <c r="D27" s="13">
        <v>452</v>
      </c>
      <c r="E27" s="13">
        <v>455</v>
      </c>
      <c r="F27" s="13">
        <v>526</v>
      </c>
      <c r="G27" s="13" t="s">
        <v>17</v>
      </c>
    </row>
    <row r="28" spans="1:12" s="20" customFormat="1" ht="16.5" customHeight="1" thickBot="1">
      <c r="A28" s="17" t="s">
        <v>266</v>
      </c>
      <c r="B28" s="18" t="s">
        <v>4</v>
      </c>
      <c r="C28" s="13">
        <v>331</v>
      </c>
      <c r="D28" s="13">
        <v>345</v>
      </c>
      <c r="E28" s="13">
        <v>386</v>
      </c>
      <c r="F28" s="13" t="s">
        <v>17</v>
      </c>
    </row>
    <row r="29" spans="1:12" s="20" customFormat="1" ht="16.5" customHeight="1" thickBot="1">
      <c r="A29" s="17" t="s">
        <v>267</v>
      </c>
      <c r="B29" s="18" t="s">
        <v>4</v>
      </c>
      <c r="C29" s="13">
        <v>304</v>
      </c>
      <c r="D29" s="13">
        <v>315</v>
      </c>
      <c r="E29" s="13" t="s">
        <v>17</v>
      </c>
    </row>
    <row r="31" spans="1:12" s="20" customFormat="1" ht="16.5" customHeight="1">
      <c r="A31" s="6" t="s">
        <v>466</v>
      </c>
    </row>
    <row r="32" spans="1:12" s="20" customFormat="1" ht="12" customHeight="1" thickBot="1">
      <c r="A32" s="6"/>
    </row>
    <row r="33" spans="1:15" s="20" customFormat="1" ht="16.5" customHeight="1" thickBot="1">
      <c r="A33" s="8" t="s">
        <v>0</v>
      </c>
      <c r="B33" s="9" t="s">
        <v>1</v>
      </c>
      <c r="C33" s="9" t="s">
        <v>2</v>
      </c>
      <c r="D33" s="9">
        <v>2</v>
      </c>
      <c r="E33" s="9">
        <v>3</v>
      </c>
      <c r="F33" s="9">
        <v>4</v>
      </c>
      <c r="G33" s="9"/>
      <c r="H33" s="42" t="s">
        <v>99</v>
      </c>
      <c r="I33" s="40">
        <f>SUM(4568/6186)</f>
        <v>0.73844164241836407</v>
      </c>
    </row>
    <row r="34" spans="1:15" s="20" customFormat="1" ht="16.5" customHeight="1" thickBot="1">
      <c r="A34" s="10" t="s">
        <v>172</v>
      </c>
      <c r="B34" s="15" t="s">
        <v>6</v>
      </c>
      <c r="C34" s="12">
        <v>1236</v>
      </c>
      <c r="D34" s="13"/>
      <c r="E34" s="14"/>
      <c r="F34" s="13"/>
      <c r="G34" s="14" t="s">
        <v>41</v>
      </c>
      <c r="H34" s="41"/>
      <c r="I34" s="42" t="s">
        <v>63</v>
      </c>
      <c r="J34" s="42" t="s">
        <v>64</v>
      </c>
      <c r="K34" s="42" t="s">
        <v>65</v>
      </c>
    </row>
    <row r="35" spans="1:15" s="20" customFormat="1" ht="16.5" customHeight="1" thickBot="1">
      <c r="A35" s="10" t="s">
        <v>237</v>
      </c>
      <c r="B35" s="11" t="s">
        <v>4</v>
      </c>
      <c r="C35" s="14">
        <v>952</v>
      </c>
      <c r="D35" s="13"/>
      <c r="E35" s="13"/>
      <c r="F35" s="13"/>
      <c r="G35" s="14" t="s">
        <v>42</v>
      </c>
      <c r="H35" s="43" t="s">
        <v>4</v>
      </c>
      <c r="I35" s="44">
        <f>SUM(C35+C36+C37)</f>
        <v>2307</v>
      </c>
      <c r="J35" s="46">
        <f>SUM(I35/I37)</f>
        <v>0.51062416998671978</v>
      </c>
      <c r="K35" s="41">
        <v>2</v>
      </c>
    </row>
    <row r="36" spans="1:15" s="20" customFormat="1" ht="16.5" customHeight="1" thickBot="1">
      <c r="A36" s="10" t="s">
        <v>268</v>
      </c>
      <c r="B36" s="11" t="s">
        <v>4</v>
      </c>
      <c r="C36" s="13">
        <v>780</v>
      </c>
      <c r="D36" s="13">
        <v>886</v>
      </c>
      <c r="E36" s="14">
        <v>917</v>
      </c>
      <c r="F36" s="13"/>
      <c r="G36" s="14" t="s">
        <v>43</v>
      </c>
      <c r="H36" s="45" t="s">
        <v>6</v>
      </c>
      <c r="I36" s="44">
        <f>SUM(C34+C38+C39)</f>
        <v>2211</v>
      </c>
      <c r="J36" s="46">
        <f>SUM(I36/I37)</f>
        <v>0.48937583001328022</v>
      </c>
      <c r="K36" s="41">
        <v>2</v>
      </c>
    </row>
    <row r="37" spans="1:15" s="20" customFormat="1" ht="16.5" customHeight="1" thickBot="1">
      <c r="A37" s="17" t="s">
        <v>269</v>
      </c>
      <c r="B37" s="18" t="s">
        <v>4</v>
      </c>
      <c r="C37" s="13">
        <v>575</v>
      </c>
      <c r="D37" s="13">
        <v>584</v>
      </c>
      <c r="E37" s="13">
        <v>595</v>
      </c>
      <c r="F37" s="13">
        <v>700</v>
      </c>
      <c r="G37" s="14"/>
      <c r="H37" s="42"/>
      <c r="I37" s="72">
        <v>4518</v>
      </c>
      <c r="J37" s="40"/>
    </row>
    <row r="38" spans="1:15" s="20" customFormat="1" ht="16.5" customHeight="1" thickBot="1">
      <c r="A38" s="10" t="s">
        <v>270</v>
      </c>
      <c r="B38" s="15" t="s">
        <v>6</v>
      </c>
      <c r="C38" s="13">
        <v>512</v>
      </c>
      <c r="D38" s="13">
        <v>647</v>
      </c>
      <c r="E38" s="13">
        <v>650</v>
      </c>
      <c r="F38" s="12">
        <v>1021</v>
      </c>
      <c r="G38" s="14" t="s">
        <v>44</v>
      </c>
    </row>
    <row r="39" spans="1:15" s="20" customFormat="1" ht="16.5" customHeight="1" thickBot="1">
      <c r="A39" s="17" t="s">
        <v>271</v>
      </c>
      <c r="B39" s="19" t="s">
        <v>6</v>
      </c>
      <c r="C39" s="13">
        <v>463</v>
      </c>
      <c r="D39" s="13">
        <v>545</v>
      </c>
      <c r="E39" s="13">
        <v>548</v>
      </c>
      <c r="F39" s="13" t="s">
        <v>17</v>
      </c>
    </row>
    <row r="41" spans="1:15" s="20" customFormat="1" ht="16.5" customHeight="1">
      <c r="A41" s="6" t="s">
        <v>467</v>
      </c>
    </row>
    <row r="42" spans="1:15" s="20" customFormat="1" ht="12" customHeight="1" thickBot="1">
      <c r="A42" s="6"/>
    </row>
    <row r="43" spans="1:15" s="20" customFormat="1" ht="16.5" customHeight="1" thickBot="1">
      <c r="A43" s="8" t="s">
        <v>0</v>
      </c>
      <c r="B43" s="9" t="s">
        <v>1</v>
      </c>
      <c r="C43" s="9" t="s">
        <v>2</v>
      </c>
      <c r="D43" s="9">
        <v>2</v>
      </c>
      <c r="E43" s="9">
        <v>3</v>
      </c>
      <c r="F43" s="9">
        <v>4</v>
      </c>
      <c r="G43" s="9">
        <v>5</v>
      </c>
      <c r="H43" s="9">
        <v>6</v>
      </c>
      <c r="I43" s="9">
        <v>7</v>
      </c>
      <c r="J43" s="9">
        <v>8</v>
      </c>
      <c r="K43" s="9"/>
      <c r="L43" s="42" t="s">
        <v>99</v>
      </c>
      <c r="M43" s="40">
        <f>SUM(4820/7969)</f>
        <v>0.60484376960722797</v>
      </c>
    </row>
    <row r="44" spans="1:15" s="20" customFormat="1" ht="16.5" customHeight="1" thickBot="1">
      <c r="A44" s="10" t="s">
        <v>176</v>
      </c>
      <c r="B44" s="60" t="s">
        <v>233</v>
      </c>
      <c r="C44" s="14">
        <v>960</v>
      </c>
      <c r="D44" s="13"/>
      <c r="E44" s="14"/>
      <c r="F44" s="13"/>
      <c r="G44" s="13"/>
      <c r="H44" s="13"/>
      <c r="I44" s="14"/>
      <c r="J44" s="13"/>
      <c r="K44" s="14" t="s">
        <v>41</v>
      </c>
      <c r="L44" s="41"/>
      <c r="M44" s="42" t="s">
        <v>63</v>
      </c>
      <c r="N44" s="42" t="s">
        <v>64</v>
      </c>
      <c r="O44" s="42" t="s">
        <v>65</v>
      </c>
    </row>
    <row r="45" spans="1:15" s="20" customFormat="1" ht="16.5" customHeight="1" thickBot="1">
      <c r="A45" s="10" t="s">
        <v>241</v>
      </c>
      <c r="B45" s="11" t="s">
        <v>4</v>
      </c>
      <c r="C45" s="14">
        <v>847</v>
      </c>
      <c r="D45" s="13"/>
      <c r="E45" s="13"/>
      <c r="F45" s="13"/>
      <c r="G45" s="14"/>
      <c r="H45" s="14"/>
      <c r="I45" s="14"/>
      <c r="J45" s="13"/>
      <c r="K45" s="14" t="s">
        <v>42</v>
      </c>
      <c r="L45" s="43" t="s">
        <v>4</v>
      </c>
      <c r="M45" s="44">
        <f>SUM(C45+C47+C50+C51)</f>
        <v>1979</v>
      </c>
      <c r="N45" s="46">
        <f>SUM(M45/M50)</f>
        <v>0.41927966101694913</v>
      </c>
      <c r="O45" s="41">
        <v>2</v>
      </c>
    </row>
    <row r="46" spans="1:15" s="20" customFormat="1" ht="16.5" customHeight="1" thickBot="1">
      <c r="A46" s="10" t="s">
        <v>272</v>
      </c>
      <c r="B46" s="15" t="s">
        <v>6</v>
      </c>
      <c r="C46" s="13">
        <v>451</v>
      </c>
      <c r="D46" s="13">
        <v>468</v>
      </c>
      <c r="E46" s="13">
        <v>472</v>
      </c>
      <c r="F46" s="13">
        <v>564</v>
      </c>
      <c r="G46" s="13">
        <v>585</v>
      </c>
      <c r="H46" s="13">
        <v>616</v>
      </c>
      <c r="I46" s="14">
        <v>943</v>
      </c>
      <c r="J46" s="13"/>
      <c r="K46" s="14" t="s">
        <v>43</v>
      </c>
      <c r="L46" s="45" t="s">
        <v>6</v>
      </c>
      <c r="M46" s="44">
        <f>SUM(C46+C49+C53)</f>
        <v>1061</v>
      </c>
      <c r="N46" s="46">
        <f>SUM(M46/M50)</f>
        <v>0.22478813559322033</v>
      </c>
      <c r="O46" s="41">
        <v>1</v>
      </c>
    </row>
    <row r="47" spans="1:15" s="20" customFormat="1" ht="16.5" customHeight="1" thickBot="1">
      <c r="A47" s="17" t="s">
        <v>273</v>
      </c>
      <c r="B47" s="18" t="s">
        <v>4</v>
      </c>
      <c r="C47" s="13">
        <v>412</v>
      </c>
      <c r="D47" s="13">
        <v>429</v>
      </c>
      <c r="E47" s="13">
        <v>441</v>
      </c>
      <c r="F47" s="13">
        <v>451</v>
      </c>
      <c r="G47" s="13">
        <v>475</v>
      </c>
      <c r="H47" s="13">
        <v>572</v>
      </c>
      <c r="I47" s="13">
        <v>617</v>
      </c>
      <c r="J47" s="13">
        <v>648</v>
      </c>
      <c r="K47" s="14"/>
      <c r="L47" s="66" t="s">
        <v>60</v>
      </c>
      <c r="M47" s="44">
        <v>399</v>
      </c>
      <c r="N47" s="46">
        <f>SUM(M47/M50)</f>
        <v>8.4533898305084745E-2</v>
      </c>
      <c r="O47" s="41">
        <v>1</v>
      </c>
    </row>
    <row r="48" spans="1:15" s="20" customFormat="1" ht="16.5" customHeight="1" thickBot="1">
      <c r="A48" s="10" t="s">
        <v>243</v>
      </c>
      <c r="B48" s="31" t="s">
        <v>60</v>
      </c>
      <c r="C48" s="13">
        <v>399</v>
      </c>
      <c r="D48" s="13">
        <v>444</v>
      </c>
      <c r="E48" s="13">
        <v>449</v>
      </c>
      <c r="F48" s="13">
        <v>468</v>
      </c>
      <c r="G48" s="13">
        <v>573</v>
      </c>
      <c r="H48" s="13">
        <v>622</v>
      </c>
      <c r="I48" s="13">
        <v>682</v>
      </c>
      <c r="J48" s="14">
        <v>779</v>
      </c>
      <c r="K48" s="14" t="s">
        <v>44</v>
      </c>
      <c r="L48" s="65" t="s">
        <v>51</v>
      </c>
      <c r="M48" s="44">
        <v>321</v>
      </c>
      <c r="N48" s="46">
        <f>SUM(M48/M50)</f>
        <v>6.8008474576271183E-2</v>
      </c>
      <c r="O48" s="41"/>
    </row>
    <row r="49" spans="1:18" s="20" customFormat="1" ht="16.5" customHeight="1" thickBot="1">
      <c r="A49" s="17" t="s">
        <v>274</v>
      </c>
      <c r="B49" s="19" t="s">
        <v>6</v>
      </c>
      <c r="C49" s="13">
        <v>387</v>
      </c>
      <c r="D49" s="13">
        <v>399</v>
      </c>
      <c r="E49" s="13">
        <v>401</v>
      </c>
      <c r="F49" s="13">
        <v>474</v>
      </c>
      <c r="G49" s="13">
        <v>494</v>
      </c>
      <c r="H49" s="13">
        <v>506</v>
      </c>
      <c r="I49" s="13" t="s">
        <v>17</v>
      </c>
      <c r="L49" s="71" t="s">
        <v>233</v>
      </c>
      <c r="M49" s="20">
        <v>960</v>
      </c>
      <c r="N49" s="40">
        <f>SUM(M49/M50)</f>
        <v>0.20338983050847459</v>
      </c>
      <c r="O49" s="20">
        <v>1</v>
      </c>
    </row>
    <row r="50" spans="1:18" s="20" customFormat="1" ht="16.5" customHeight="1" thickBot="1">
      <c r="A50" s="10" t="s">
        <v>275</v>
      </c>
      <c r="B50" s="11" t="s">
        <v>4</v>
      </c>
      <c r="C50" s="13">
        <v>365</v>
      </c>
      <c r="D50" s="13">
        <v>389</v>
      </c>
      <c r="E50" s="13">
        <v>410</v>
      </c>
      <c r="F50" s="13">
        <v>428</v>
      </c>
      <c r="G50" s="13">
        <v>478</v>
      </c>
      <c r="H50" s="13">
        <v>652</v>
      </c>
      <c r="I50" s="13">
        <v>684</v>
      </c>
      <c r="J50" s="14">
        <v>712</v>
      </c>
      <c r="K50" s="14" t="s">
        <v>45</v>
      </c>
      <c r="M50" s="72">
        <v>4720</v>
      </c>
    </row>
    <row r="51" spans="1:18" s="20" customFormat="1" ht="16.5" customHeight="1" thickBot="1">
      <c r="A51" s="17" t="s">
        <v>215</v>
      </c>
      <c r="B51" s="18" t="s">
        <v>4</v>
      </c>
      <c r="C51" s="13">
        <v>355</v>
      </c>
      <c r="D51" s="13">
        <v>373</v>
      </c>
      <c r="E51" s="13">
        <v>384</v>
      </c>
      <c r="F51" s="13">
        <v>390</v>
      </c>
      <c r="G51" s="13">
        <v>434</v>
      </c>
      <c r="H51" s="13" t="s">
        <v>17</v>
      </c>
    </row>
    <row r="52" spans="1:18" s="20" customFormat="1" ht="16.5" customHeight="1" thickBot="1">
      <c r="A52" s="17" t="s">
        <v>211</v>
      </c>
      <c r="B52" s="21" t="s">
        <v>51</v>
      </c>
      <c r="C52" s="13">
        <v>321</v>
      </c>
      <c r="D52" s="13">
        <v>349</v>
      </c>
      <c r="E52" s="13">
        <v>351</v>
      </c>
      <c r="F52" s="13">
        <v>357</v>
      </c>
      <c r="G52" s="13" t="s">
        <v>17</v>
      </c>
    </row>
    <row r="53" spans="1:18" s="20" customFormat="1" ht="16.5" customHeight="1" thickBot="1">
      <c r="A53" s="17" t="s">
        <v>276</v>
      </c>
      <c r="B53" s="19" t="s">
        <v>6</v>
      </c>
      <c r="C53" s="13">
        <v>223</v>
      </c>
      <c r="D53" s="13">
        <v>236</v>
      </c>
      <c r="E53" s="13">
        <v>238</v>
      </c>
      <c r="F53" s="13" t="s">
        <v>17</v>
      </c>
    </row>
    <row r="55" spans="1:18" s="20" customFormat="1" ht="14.25">
      <c r="A55" s="6" t="s">
        <v>468</v>
      </c>
    </row>
    <row r="56" spans="1:18" s="20" customFormat="1" ht="9" customHeight="1" thickBot="1">
      <c r="A56" s="6"/>
    </row>
    <row r="57" spans="1:18" s="20" customFormat="1" ht="15.75" thickBot="1">
      <c r="A57" s="8" t="s">
        <v>0</v>
      </c>
      <c r="B57" s="9" t="s">
        <v>1</v>
      </c>
      <c r="C57" s="9" t="s">
        <v>2</v>
      </c>
      <c r="D57" s="9">
        <v>2</v>
      </c>
      <c r="E57" s="9">
        <v>3</v>
      </c>
      <c r="F57" s="9">
        <v>4</v>
      </c>
      <c r="G57" s="9">
        <v>5</v>
      </c>
      <c r="H57" s="9">
        <v>6</v>
      </c>
      <c r="I57" s="9">
        <v>7</v>
      </c>
      <c r="J57" s="9">
        <v>8</v>
      </c>
      <c r="K57" s="9">
        <v>9</v>
      </c>
      <c r="L57" s="9">
        <v>10</v>
      </c>
      <c r="M57" s="9">
        <v>11</v>
      </c>
      <c r="N57" s="9"/>
      <c r="O57" s="42" t="s">
        <v>99</v>
      </c>
      <c r="P57" s="40">
        <f>SUM(5805/9142)</f>
        <v>0.63498140450667251</v>
      </c>
    </row>
    <row r="58" spans="1:18" s="20" customFormat="1" ht="15.75" thickBot="1">
      <c r="A58" s="10" t="s">
        <v>277</v>
      </c>
      <c r="B58" s="11" t="s">
        <v>4</v>
      </c>
      <c r="C58" s="13">
        <v>927</v>
      </c>
      <c r="D58" s="13">
        <v>927</v>
      </c>
      <c r="E58" s="13">
        <v>935</v>
      </c>
      <c r="F58" s="14">
        <v>975</v>
      </c>
      <c r="G58" s="13"/>
      <c r="H58" s="13"/>
      <c r="I58" s="14"/>
      <c r="J58" s="13"/>
      <c r="K58" s="13"/>
      <c r="L58" s="14"/>
      <c r="M58" s="13"/>
      <c r="N58" s="14" t="s">
        <v>41</v>
      </c>
      <c r="O58" s="41"/>
      <c r="P58" s="42" t="s">
        <v>63</v>
      </c>
      <c r="Q58" s="42" t="s">
        <v>64</v>
      </c>
      <c r="R58" s="42" t="s">
        <v>65</v>
      </c>
    </row>
    <row r="59" spans="1:18" s="20" customFormat="1" ht="15.75" thickBot="1">
      <c r="A59" s="10" t="s">
        <v>278</v>
      </c>
      <c r="B59" s="15" t="s">
        <v>6</v>
      </c>
      <c r="C59" s="13">
        <v>747</v>
      </c>
      <c r="D59" s="13">
        <v>751</v>
      </c>
      <c r="E59" s="13">
        <v>768</v>
      </c>
      <c r="F59" s="13">
        <v>791</v>
      </c>
      <c r="G59" s="13">
        <v>794</v>
      </c>
      <c r="H59" s="13">
        <v>796</v>
      </c>
      <c r="I59" s="13">
        <v>927</v>
      </c>
      <c r="J59" s="14">
        <v>951</v>
      </c>
      <c r="K59" s="13"/>
      <c r="L59" s="13"/>
      <c r="M59" s="13"/>
      <c r="N59" s="14" t="s">
        <v>42</v>
      </c>
      <c r="O59" s="43" t="s">
        <v>4</v>
      </c>
      <c r="P59" s="44">
        <f>SUM(C58+C61+C63+C65+C68)</f>
        <v>2454</v>
      </c>
      <c r="Q59" s="46">
        <f>SUM(P59/P64)</f>
        <v>0.43211833069202327</v>
      </c>
      <c r="R59" s="41">
        <v>2</v>
      </c>
    </row>
    <row r="60" spans="1:18" s="20" customFormat="1" ht="15.75" thickBot="1">
      <c r="A60" s="10" t="s">
        <v>190</v>
      </c>
      <c r="B60" s="15" t="s">
        <v>6</v>
      </c>
      <c r="C60" s="13">
        <v>695</v>
      </c>
      <c r="D60" s="13">
        <v>700</v>
      </c>
      <c r="E60" s="13">
        <v>723</v>
      </c>
      <c r="F60" s="13">
        <v>728</v>
      </c>
      <c r="G60" s="13">
        <v>777</v>
      </c>
      <c r="H60" s="13">
        <v>777</v>
      </c>
      <c r="I60" s="13">
        <v>819</v>
      </c>
      <c r="J60" s="13">
        <v>854</v>
      </c>
      <c r="K60" s="13">
        <v>898</v>
      </c>
      <c r="L60" s="12">
        <v>1193</v>
      </c>
      <c r="M60" s="13"/>
      <c r="N60" s="14" t="s">
        <v>43</v>
      </c>
      <c r="O60" s="45" t="s">
        <v>6</v>
      </c>
      <c r="P60" s="44">
        <f>SUM(C59+C60+C64+C67)</f>
        <v>2089</v>
      </c>
      <c r="Q60" s="46">
        <f>SUM(P60/P64)</f>
        <v>0.36784645184011272</v>
      </c>
      <c r="R60" s="41">
        <v>2</v>
      </c>
    </row>
    <row r="61" spans="1:18" s="20" customFormat="1" ht="15.75" thickBot="1">
      <c r="A61" s="10" t="s">
        <v>255</v>
      </c>
      <c r="B61" s="11" t="s">
        <v>4</v>
      </c>
      <c r="C61" s="13">
        <v>556</v>
      </c>
      <c r="D61" s="13">
        <v>558</v>
      </c>
      <c r="E61" s="13">
        <v>561</v>
      </c>
      <c r="F61" s="13">
        <v>574</v>
      </c>
      <c r="G61" s="13">
        <v>638</v>
      </c>
      <c r="H61" s="13">
        <v>646</v>
      </c>
      <c r="I61" s="13">
        <v>662</v>
      </c>
      <c r="J61" s="13">
        <v>692</v>
      </c>
      <c r="K61" s="13">
        <v>815</v>
      </c>
      <c r="L61" s="13">
        <v>861</v>
      </c>
      <c r="M61" s="14">
        <v>881</v>
      </c>
      <c r="N61" s="14" t="s">
        <v>44</v>
      </c>
      <c r="O61" s="66" t="s">
        <v>60</v>
      </c>
      <c r="P61" s="44">
        <f>SUM(C66+C70)</f>
        <v>390</v>
      </c>
      <c r="Q61" s="46">
        <f>SUM(P61/P64)</f>
        <v>6.8674062334918115E-2</v>
      </c>
      <c r="R61" s="41"/>
    </row>
    <row r="62" spans="1:18" s="20" customFormat="1" ht="15.75" thickBot="1">
      <c r="A62" s="10" t="s">
        <v>279</v>
      </c>
      <c r="B62" s="14" t="s">
        <v>10</v>
      </c>
      <c r="C62" s="13">
        <v>509</v>
      </c>
      <c r="D62" s="13">
        <v>511</v>
      </c>
      <c r="E62" s="13">
        <v>520</v>
      </c>
      <c r="F62" s="13">
        <v>537</v>
      </c>
      <c r="G62" s="13">
        <v>542</v>
      </c>
      <c r="H62" s="13">
        <v>544</v>
      </c>
      <c r="I62" s="13">
        <v>551</v>
      </c>
      <c r="J62" s="13">
        <v>678</v>
      </c>
      <c r="K62" s="13">
        <v>699</v>
      </c>
      <c r="L62" s="13">
        <v>748</v>
      </c>
      <c r="M62" s="14">
        <v>823</v>
      </c>
      <c r="N62" s="14" t="s">
        <v>45</v>
      </c>
      <c r="O62" s="71" t="s">
        <v>233</v>
      </c>
      <c r="P62" s="44">
        <f>SUM(C69+C71)</f>
        <v>237</v>
      </c>
      <c r="Q62" s="46">
        <f>SUM(P62/P64)</f>
        <v>4.1732699418911778E-2</v>
      </c>
      <c r="R62" s="41"/>
    </row>
    <row r="63" spans="1:18" s="20" customFormat="1" ht="15.75" thickBot="1">
      <c r="A63" s="17" t="s">
        <v>280</v>
      </c>
      <c r="B63" s="18" t="s">
        <v>4</v>
      </c>
      <c r="C63" s="13">
        <v>443</v>
      </c>
      <c r="D63" s="13">
        <v>445</v>
      </c>
      <c r="E63" s="13">
        <v>457</v>
      </c>
      <c r="F63" s="13">
        <v>466</v>
      </c>
      <c r="G63" s="13">
        <v>509</v>
      </c>
      <c r="H63" s="13">
        <v>510</v>
      </c>
      <c r="I63" s="13">
        <v>521</v>
      </c>
      <c r="J63" s="13">
        <v>555</v>
      </c>
      <c r="K63" s="13">
        <v>683</v>
      </c>
      <c r="L63" s="13">
        <v>726</v>
      </c>
      <c r="M63" s="13">
        <v>754</v>
      </c>
      <c r="N63" s="14"/>
      <c r="O63" s="68" t="s">
        <v>67</v>
      </c>
      <c r="P63" s="20">
        <v>509</v>
      </c>
      <c r="Q63" s="40">
        <f>SUM(P63/P64)</f>
        <v>8.9628455714034161E-2</v>
      </c>
      <c r="R63" s="20">
        <v>1</v>
      </c>
    </row>
    <row r="64" spans="1:18" s="20" customFormat="1" ht="15.75" thickBot="1">
      <c r="A64" s="17" t="s">
        <v>281</v>
      </c>
      <c r="B64" s="19" t="s">
        <v>6</v>
      </c>
      <c r="C64" s="13">
        <v>391</v>
      </c>
      <c r="D64" s="13">
        <v>393</v>
      </c>
      <c r="E64" s="13">
        <v>403</v>
      </c>
      <c r="F64" s="13">
        <v>406</v>
      </c>
      <c r="G64" s="13">
        <v>409</v>
      </c>
      <c r="H64" s="13">
        <v>410</v>
      </c>
      <c r="I64" s="13">
        <v>442</v>
      </c>
      <c r="J64" s="13">
        <v>477</v>
      </c>
      <c r="K64" s="13">
        <v>500</v>
      </c>
      <c r="L64" s="13" t="s">
        <v>17</v>
      </c>
      <c r="P64" s="72">
        <v>5679</v>
      </c>
    </row>
    <row r="65" spans="1:11" s="20" customFormat="1" ht="15.75" thickBot="1">
      <c r="A65" s="17" t="s">
        <v>282</v>
      </c>
      <c r="B65" s="18" t="s">
        <v>4</v>
      </c>
      <c r="C65" s="13">
        <v>324</v>
      </c>
      <c r="D65" s="13">
        <v>327</v>
      </c>
      <c r="E65" s="13">
        <v>329</v>
      </c>
      <c r="F65" s="13">
        <v>335</v>
      </c>
      <c r="G65" s="13">
        <v>356</v>
      </c>
      <c r="H65" s="13">
        <v>361</v>
      </c>
      <c r="I65" s="13">
        <v>380</v>
      </c>
      <c r="J65" s="13">
        <v>394</v>
      </c>
      <c r="K65" s="13" t="s">
        <v>17</v>
      </c>
    </row>
    <row r="66" spans="1:11" s="20" customFormat="1" ht="15.75" thickBot="1">
      <c r="A66" s="17" t="s">
        <v>253</v>
      </c>
      <c r="B66" s="22" t="s">
        <v>60</v>
      </c>
      <c r="C66" s="13">
        <v>269</v>
      </c>
      <c r="D66" s="13">
        <v>280</v>
      </c>
      <c r="E66" s="13">
        <v>309</v>
      </c>
      <c r="F66" s="13">
        <v>326</v>
      </c>
      <c r="G66" s="13">
        <v>334</v>
      </c>
      <c r="H66" s="13">
        <v>335</v>
      </c>
      <c r="I66" s="13">
        <v>354</v>
      </c>
      <c r="J66" s="13" t="s">
        <v>17</v>
      </c>
    </row>
    <row r="67" spans="1:11" s="20" customFormat="1" ht="15.75" thickBot="1">
      <c r="A67" s="17" t="s">
        <v>283</v>
      </c>
      <c r="B67" s="19" t="s">
        <v>6</v>
      </c>
      <c r="C67" s="13">
        <v>256</v>
      </c>
      <c r="D67" s="13">
        <v>256</v>
      </c>
      <c r="E67" s="13">
        <v>259</v>
      </c>
      <c r="F67" s="13">
        <v>303</v>
      </c>
      <c r="G67" s="13">
        <v>305</v>
      </c>
      <c r="H67" s="13">
        <v>313</v>
      </c>
      <c r="I67" s="13" t="s">
        <v>17</v>
      </c>
    </row>
    <row r="68" spans="1:11" s="20" customFormat="1" ht="15.75" thickBot="1">
      <c r="A68" s="17" t="s">
        <v>284</v>
      </c>
      <c r="B68" s="18" t="s">
        <v>4</v>
      </c>
      <c r="C68" s="13">
        <v>204</v>
      </c>
      <c r="D68" s="13">
        <v>205</v>
      </c>
      <c r="E68" s="13">
        <v>205</v>
      </c>
      <c r="F68" s="13">
        <v>206</v>
      </c>
      <c r="G68" s="13" t="s">
        <v>17</v>
      </c>
    </row>
    <row r="69" spans="1:11" s="20" customFormat="1" ht="15.75" thickBot="1">
      <c r="A69" s="17" t="s">
        <v>224</v>
      </c>
      <c r="B69" s="59" t="s">
        <v>233</v>
      </c>
      <c r="C69" s="13">
        <v>175</v>
      </c>
      <c r="D69" s="13">
        <v>191</v>
      </c>
      <c r="E69" s="13">
        <v>200</v>
      </c>
      <c r="F69" s="13" t="s">
        <v>17</v>
      </c>
    </row>
    <row r="70" spans="1:11" s="20" customFormat="1" ht="15.75" thickBot="1">
      <c r="A70" s="17" t="s">
        <v>285</v>
      </c>
      <c r="B70" s="22" t="s">
        <v>60</v>
      </c>
      <c r="C70" s="13">
        <v>121</v>
      </c>
      <c r="D70" s="13">
        <v>129</v>
      </c>
      <c r="E70" s="13" t="s">
        <v>17</v>
      </c>
    </row>
    <row r="71" spans="1:11" s="20" customFormat="1" ht="15.75" thickBot="1">
      <c r="A71" s="17" t="s">
        <v>246</v>
      </c>
      <c r="B71" s="59" t="s">
        <v>233</v>
      </c>
      <c r="C71" s="13">
        <v>62</v>
      </c>
      <c r="D71" s="13" t="s">
        <v>17</v>
      </c>
    </row>
    <row r="73" spans="1:11">
      <c r="A73" s="4"/>
      <c r="B73" s="4" t="s">
        <v>66</v>
      </c>
      <c r="C73" s="23" t="s">
        <v>4</v>
      </c>
      <c r="D73" s="24" t="s">
        <v>6</v>
      </c>
      <c r="E73" s="25" t="s">
        <v>60</v>
      </c>
      <c r="F73" s="26" t="s">
        <v>51</v>
      </c>
      <c r="G73" s="73" t="s">
        <v>233</v>
      </c>
      <c r="H73" s="4" t="s">
        <v>67</v>
      </c>
      <c r="J73" s="4" t="s">
        <v>571</v>
      </c>
    </row>
    <row r="74" spans="1:11" ht="14.25">
      <c r="A74" s="27" t="s">
        <v>63</v>
      </c>
      <c r="B74" s="105">
        <f>SUM(P64+M50+I37+J26+O8)</f>
        <v>27784</v>
      </c>
      <c r="C74" s="106">
        <f>SUM(P59+M45+I35+J23+O5)</f>
        <v>12670</v>
      </c>
      <c r="D74" s="106">
        <f>SUM(P60+M46+I36+J24+O6)</f>
        <v>10538</v>
      </c>
      <c r="E74" s="106">
        <f>SUM(P61+M47)</f>
        <v>789</v>
      </c>
      <c r="F74" s="106">
        <v>321</v>
      </c>
      <c r="G74" s="106">
        <f>SUM(P62+M49)</f>
        <v>1197</v>
      </c>
      <c r="H74" s="106">
        <f>SUM(P63+J25+O7)</f>
        <v>2269</v>
      </c>
      <c r="I74" s="106"/>
      <c r="J74" s="106">
        <f>SUM(9142+7969+6186+5914+10372)</f>
        <v>39583</v>
      </c>
      <c r="K74" s="106"/>
    </row>
    <row r="75" spans="1:11" ht="14.25">
      <c r="A75" s="27" t="s">
        <v>64</v>
      </c>
      <c r="B75" s="29">
        <v>1</v>
      </c>
      <c r="C75" s="28">
        <f t="shared" ref="C75:H75" si="0">SUM(C74/$B$74)</f>
        <v>0.45601785200115175</v>
      </c>
      <c r="D75" s="28">
        <f t="shared" si="0"/>
        <v>0.37928304059890583</v>
      </c>
      <c r="E75" s="28">
        <f t="shared" si="0"/>
        <v>2.8397638928879931E-2</v>
      </c>
      <c r="F75" s="28">
        <f t="shared" si="0"/>
        <v>1.1553412035704003E-2</v>
      </c>
      <c r="G75" s="28">
        <f t="shared" si="0"/>
        <v>4.3082349553699974E-2</v>
      </c>
      <c r="H75" s="28">
        <f t="shared" si="0"/>
        <v>8.1665706881658515E-2</v>
      </c>
      <c r="J75" s="4" t="s">
        <v>99</v>
      </c>
    </row>
    <row r="76" spans="1:11" ht="14.25">
      <c r="A76" s="27" t="s">
        <v>65</v>
      </c>
      <c r="B76" s="4">
        <v>25</v>
      </c>
      <c r="C76">
        <v>11</v>
      </c>
      <c r="D76">
        <v>9</v>
      </c>
      <c r="E76">
        <v>1</v>
      </c>
      <c r="F76">
        <v>0</v>
      </c>
      <c r="G76">
        <v>1</v>
      </c>
      <c r="H76">
        <v>3</v>
      </c>
      <c r="J76" s="28">
        <f>SUM(B74/J74)</f>
        <v>0.70191748983149327</v>
      </c>
    </row>
  </sheetData>
  <phoneticPr fontId="16" type="noConversion"/>
  <pageMargins left="0.75" right="0.75" top="1" bottom="1" header="0.5" footer="0.5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P75"/>
  <sheetViews>
    <sheetView workbookViewId="0">
      <selection activeCell="P1" sqref="P1"/>
    </sheetView>
  </sheetViews>
  <sheetFormatPr defaultRowHeight="12.75"/>
  <cols>
    <col min="1" max="1" width="21.140625" customWidth="1"/>
    <col min="2" max="14" width="8.7109375" customWidth="1"/>
  </cols>
  <sheetData>
    <row r="1" spans="1:13" ht="16.5" customHeight="1">
      <c r="A1" s="6" t="s">
        <v>472</v>
      </c>
    </row>
    <row r="2" spans="1:13" ht="7.5" customHeight="1" thickBot="1">
      <c r="A2" s="47"/>
    </row>
    <row r="3" spans="1:13" s="20" customFormat="1" ht="16.5" customHeight="1" thickBot="1">
      <c r="A3" s="8" t="s">
        <v>0</v>
      </c>
      <c r="B3" s="9" t="s">
        <v>1</v>
      </c>
      <c r="C3" s="9" t="s">
        <v>2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51"/>
      <c r="J3" s="42" t="s">
        <v>99</v>
      </c>
      <c r="K3" s="40">
        <f>SUM(7393/10555)</f>
        <v>0.70042633822832778</v>
      </c>
    </row>
    <row r="4" spans="1:13" s="20" customFormat="1" ht="16.7" customHeight="1" thickBot="1">
      <c r="A4" s="10" t="s">
        <v>175</v>
      </c>
      <c r="B4" s="15" t="s">
        <v>6</v>
      </c>
      <c r="C4" s="13">
        <v>910</v>
      </c>
      <c r="D4" s="14">
        <v>935</v>
      </c>
      <c r="E4" s="13"/>
      <c r="F4" s="13"/>
      <c r="G4" s="13"/>
      <c r="H4" s="13"/>
      <c r="I4" s="14" t="s">
        <v>41</v>
      </c>
      <c r="J4" s="41"/>
      <c r="K4" s="42" t="s">
        <v>63</v>
      </c>
      <c r="L4" s="42" t="s">
        <v>64</v>
      </c>
      <c r="M4" s="42" t="s">
        <v>65</v>
      </c>
    </row>
    <row r="5" spans="1:13" s="20" customFormat="1" ht="16.7" customHeight="1" thickBot="1">
      <c r="A5" s="10" t="s">
        <v>225</v>
      </c>
      <c r="B5" s="15" t="s">
        <v>6</v>
      </c>
      <c r="C5" s="13">
        <v>703</v>
      </c>
      <c r="D5" s="13">
        <v>717</v>
      </c>
      <c r="E5" s="13">
        <v>743</v>
      </c>
      <c r="F5" s="13">
        <v>768</v>
      </c>
      <c r="G5" s="13">
        <v>851</v>
      </c>
      <c r="H5" s="14">
        <v>879</v>
      </c>
      <c r="I5" s="14" t="s">
        <v>494</v>
      </c>
      <c r="J5" s="43" t="s">
        <v>4</v>
      </c>
      <c r="K5" s="44">
        <f>SUM(C6+C8+C10+C11+C12+C14)</f>
        <v>3471</v>
      </c>
      <c r="L5" s="46">
        <f>SUM(K5/K10)</f>
        <v>0.47269508375323438</v>
      </c>
      <c r="M5" s="41">
        <v>3</v>
      </c>
    </row>
    <row r="6" spans="1:13" s="20" customFormat="1" ht="16.7" customHeight="1" thickBot="1">
      <c r="A6" s="10" t="s">
        <v>226</v>
      </c>
      <c r="B6" s="11" t="s">
        <v>4</v>
      </c>
      <c r="C6" s="13">
        <v>699</v>
      </c>
      <c r="D6" s="13">
        <v>706</v>
      </c>
      <c r="E6" s="13">
        <v>733</v>
      </c>
      <c r="F6" s="13">
        <v>759</v>
      </c>
      <c r="G6" s="13">
        <v>838</v>
      </c>
      <c r="H6" s="14">
        <v>949</v>
      </c>
      <c r="I6" s="14" t="s">
        <v>42</v>
      </c>
      <c r="J6" s="45" t="s">
        <v>6</v>
      </c>
      <c r="K6" s="44">
        <f>SUM(C4+C5+C7+C9)</f>
        <v>2967</v>
      </c>
      <c r="L6" s="46">
        <f>SUM(K6/K10)</f>
        <v>0.40405828680375866</v>
      </c>
      <c r="M6" s="41">
        <v>4</v>
      </c>
    </row>
    <row r="7" spans="1:13" s="20" customFormat="1" ht="16.7" customHeight="1" thickBot="1">
      <c r="A7" s="10" t="s">
        <v>227</v>
      </c>
      <c r="B7" s="15" t="s">
        <v>6</v>
      </c>
      <c r="C7" s="13">
        <v>691</v>
      </c>
      <c r="D7" s="13">
        <v>701</v>
      </c>
      <c r="E7" s="13">
        <v>725</v>
      </c>
      <c r="F7" s="13">
        <v>730</v>
      </c>
      <c r="G7" s="13">
        <v>828</v>
      </c>
      <c r="H7" s="14">
        <v>883</v>
      </c>
      <c r="I7" s="14" t="s">
        <v>45</v>
      </c>
      <c r="J7" s="66" t="s">
        <v>60</v>
      </c>
      <c r="K7" s="44">
        <v>150</v>
      </c>
      <c r="L7" s="46">
        <f>SUM(K7/K10)</f>
        <v>2.0427618139724907E-2</v>
      </c>
      <c r="M7" s="41"/>
    </row>
    <row r="8" spans="1:13" s="20" customFormat="1" ht="16.7" customHeight="1" thickBot="1">
      <c r="A8" s="10" t="s">
        <v>228</v>
      </c>
      <c r="B8" s="11" t="s">
        <v>4</v>
      </c>
      <c r="C8" s="13">
        <v>680</v>
      </c>
      <c r="D8" s="13">
        <v>694</v>
      </c>
      <c r="E8" s="13">
        <v>725</v>
      </c>
      <c r="F8" s="13">
        <v>787</v>
      </c>
      <c r="G8" s="13">
        <v>840</v>
      </c>
      <c r="H8" s="14">
        <v>885</v>
      </c>
      <c r="I8" s="14" t="s">
        <v>44</v>
      </c>
      <c r="J8" s="71" t="s">
        <v>233</v>
      </c>
      <c r="K8" s="44">
        <v>271</v>
      </c>
      <c r="L8" s="46">
        <f>SUM(K8/K10)</f>
        <v>3.6905896772436331E-2</v>
      </c>
      <c r="M8" s="41"/>
    </row>
    <row r="9" spans="1:13" s="20" customFormat="1" ht="16.7" customHeight="1" thickBot="1">
      <c r="A9" s="10" t="s">
        <v>229</v>
      </c>
      <c r="B9" s="15" t="s">
        <v>6</v>
      </c>
      <c r="C9" s="13">
        <v>663</v>
      </c>
      <c r="D9" s="13">
        <v>669</v>
      </c>
      <c r="E9" s="13">
        <v>683</v>
      </c>
      <c r="F9" s="13">
        <v>790</v>
      </c>
      <c r="G9" s="13">
        <v>831</v>
      </c>
      <c r="H9" s="14">
        <v>850</v>
      </c>
      <c r="I9" s="14" t="s">
        <v>495</v>
      </c>
      <c r="J9" s="68" t="s">
        <v>67</v>
      </c>
      <c r="K9" s="20">
        <v>484</v>
      </c>
      <c r="L9" s="40">
        <f>SUM(K9/K10)</f>
        <v>6.5913114530845709E-2</v>
      </c>
    </row>
    <row r="10" spans="1:13" s="20" customFormat="1" ht="16.7" customHeight="1" thickBot="1">
      <c r="A10" s="17" t="s">
        <v>3</v>
      </c>
      <c r="B10" s="18" t="s">
        <v>4</v>
      </c>
      <c r="C10" s="13">
        <v>595</v>
      </c>
      <c r="D10" s="13">
        <v>602</v>
      </c>
      <c r="E10" s="13">
        <v>615</v>
      </c>
      <c r="F10" s="13">
        <v>642</v>
      </c>
      <c r="G10" s="13">
        <v>716</v>
      </c>
      <c r="H10" s="13">
        <v>776</v>
      </c>
      <c r="I10" s="14"/>
      <c r="K10" s="72">
        <v>7343</v>
      </c>
    </row>
    <row r="11" spans="1:13" s="20" customFormat="1" ht="16.7" customHeight="1" thickBot="1">
      <c r="A11" s="10" t="s">
        <v>200</v>
      </c>
      <c r="B11" s="11" t="s">
        <v>4</v>
      </c>
      <c r="C11" s="13">
        <v>571</v>
      </c>
      <c r="D11" s="13">
        <v>575</v>
      </c>
      <c r="E11" s="13">
        <v>607</v>
      </c>
      <c r="F11" s="13">
        <v>682</v>
      </c>
      <c r="G11" s="13">
        <v>739</v>
      </c>
      <c r="H11" s="14">
        <v>920</v>
      </c>
      <c r="I11" s="14" t="s">
        <v>43</v>
      </c>
    </row>
    <row r="12" spans="1:13" s="20" customFormat="1" ht="16.7" customHeight="1" thickBot="1">
      <c r="A12" s="17" t="s">
        <v>230</v>
      </c>
      <c r="B12" s="18" t="s">
        <v>4</v>
      </c>
      <c r="C12" s="13">
        <v>554</v>
      </c>
      <c r="D12" s="13">
        <v>559</v>
      </c>
      <c r="E12" s="13">
        <v>590</v>
      </c>
      <c r="F12" s="13">
        <v>616</v>
      </c>
      <c r="G12" s="13">
        <v>649</v>
      </c>
      <c r="H12" s="13" t="s">
        <v>17</v>
      </c>
    </row>
    <row r="13" spans="1:13" s="20" customFormat="1" ht="16.7" customHeight="1" thickBot="1">
      <c r="A13" s="17" t="s">
        <v>202</v>
      </c>
      <c r="B13" s="13" t="s">
        <v>10</v>
      </c>
      <c r="C13" s="13">
        <v>484</v>
      </c>
      <c r="D13" s="13">
        <v>502</v>
      </c>
      <c r="E13" s="13">
        <v>564</v>
      </c>
      <c r="F13" s="13">
        <v>584</v>
      </c>
      <c r="G13" s="13" t="s">
        <v>17</v>
      </c>
    </row>
    <row r="14" spans="1:13" s="20" customFormat="1" ht="16.7" customHeight="1" thickBot="1">
      <c r="A14" s="17" t="s">
        <v>155</v>
      </c>
      <c r="B14" s="18" t="s">
        <v>4</v>
      </c>
      <c r="C14" s="13">
        <v>372</v>
      </c>
      <c r="D14" s="13">
        <v>373</v>
      </c>
      <c r="E14" s="13">
        <v>385</v>
      </c>
      <c r="F14" s="13" t="s">
        <v>17</v>
      </c>
    </row>
    <row r="15" spans="1:13" s="20" customFormat="1" ht="16.7" customHeight="1" thickBot="1">
      <c r="A15" s="17" t="s">
        <v>231</v>
      </c>
      <c r="B15" s="59" t="s">
        <v>233</v>
      </c>
      <c r="C15" s="13">
        <v>271</v>
      </c>
      <c r="D15" s="13">
        <v>307</v>
      </c>
      <c r="E15" s="13" t="s">
        <v>17</v>
      </c>
    </row>
    <row r="16" spans="1:13" s="20" customFormat="1" ht="16.7" customHeight="1" thickBot="1">
      <c r="A16" s="17" t="s">
        <v>232</v>
      </c>
      <c r="B16" s="22" t="s">
        <v>60</v>
      </c>
      <c r="C16" s="13">
        <v>150</v>
      </c>
      <c r="D16" s="13" t="s">
        <v>17</v>
      </c>
    </row>
    <row r="18" spans="1:12" s="20" customFormat="1" ht="16.5" customHeight="1">
      <c r="A18" s="6" t="s">
        <v>473</v>
      </c>
    </row>
    <row r="19" spans="1:12" s="20" customFormat="1" ht="8.25" customHeight="1" thickBot="1">
      <c r="A19" s="7"/>
    </row>
    <row r="20" spans="1:12" s="20" customFormat="1" ht="16.5" customHeight="1" thickBot="1">
      <c r="A20" s="8" t="s">
        <v>0</v>
      </c>
      <c r="B20" s="9" t="s">
        <v>1</v>
      </c>
      <c r="C20" s="9" t="s">
        <v>2</v>
      </c>
      <c r="D20" s="9">
        <v>2</v>
      </c>
      <c r="E20" s="9">
        <v>3</v>
      </c>
      <c r="F20" s="9">
        <v>4</v>
      </c>
      <c r="G20" s="9">
        <v>5</v>
      </c>
      <c r="H20" s="9"/>
      <c r="I20" s="42" t="s">
        <v>99</v>
      </c>
      <c r="J20" s="40">
        <f>SUM(4347/5618)</f>
        <v>0.77376290494838018</v>
      </c>
    </row>
    <row r="21" spans="1:12" s="20" customFormat="1" ht="16.5" customHeight="1" thickBot="1">
      <c r="A21" s="10" t="s">
        <v>162</v>
      </c>
      <c r="B21" s="14" t="s">
        <v>10</v>
      </c>
      <c r="C21" s="12">
        <v>1107</v>
      </c>
      <c r="D21" s="14"/>
      <c r="E21" s="13"/>
      <c r="F21" s="13"/>
      <c r="G21" s="13"/>
      <c r="H21" s="14" t="s">
        <v>41</v>
      </c>
      <c r="I21" s="41"/>
      <c r="J21" s="42" t="s">
        <v>63</v>
      </c>
      <c r="K21" s="42" t="s">
        <v>64</v>
      </c>
      <c r="L21" s="42" t="s">
        <v>65</v>
      </c>
    </row>
    <row r="22" spans="1:12" s="20" customFormat="1" ht="16.5" customHeight="1" thickBot="1">
      <c r="A22" s="10" t="s">
        <v>234</v>
      </c>
      <c r="B22" s="11" t="s">
        <v>4</v>
      </c>
      <c r="C22" s="12">
        <v>1009</v>
      </c>
      <c r="D22" s="13"/>
      <c r="E22" s="14"/>
      <c r="F22" s="13"/>
      <c r="G22" s="13"/>
      <c r="H22" s="14" t="s">
        <v>42</v>
      </c>
      <c r="I22" s="43" t="s">
        <v>4</v>
      </c>
      <c r="J22" s="44">
        <f>SUM(C22+C24+C26)</f>
        <v>1755</v>
      </c>
      <c r="K22" s="46">
        <f>SUM(J22/J25)</f>
        <v>0.40700371057513912</v>
      </c>
      <c r="L22" s="41">
        <v>2</v>
      </c>
    </row>
    <row r="23" spans="1:12" s="20" customFormat="1" ht="16.5" customHeight="1" thickBot="1">
      <c r="A23" s="10" t="s">
        <v>167</v>
      </c>
      <c r="B23" s="15" t="s">
        <v>6</v>
      </c>
      <c r="C23" s="13">
        <v>747</v>
      </c>
      <c r="D23" s="13">
        <v>824</v>
      </c>
      <c r="E23" s="14">
        <v>872</v>
      </c>
      <c r="F23" s="13"/>
      <c r="G23" s="13"/>
      <c r="H23" s="14" t="s">
        <v>43</v>
      </c>
      <c r="I23" s="45" t="s">
        <v>6</v>
      </c>
      <c r="J23" s="44">
        <f>SUM(C23+C25)</f>
        <v>1274</v>
      </c>
      <c r="K23" s="46">
        <f>SUM(J23/J25)</f>
        <v>0.29545454545454547</v>
      </c>
      <c r="L23" s="41">
        <v>1</v>
      </c>
    </row>
    <row r="24" spans="1:12" s="20" customFormat="1" ht="16.5" customHeight="1" thickBot="1">
      <c r="A24" s="10" t="s">
        <v>163</v>
      </c>
      <c r="B24" s="11" t="s">
        <v>4</v>
      </c>
      <c r="C24" s="13">
        <v>547</v>
      </c>
      <c r="D24" s="13">
        <v>576</v>
      </c>
      <c r="E24" s="13">
        <v>637</v>
      </c>
      <c r="F24" s="13">
        <v>708</v>
      </c>
      <c r="G24" s="14">
        <v>826</v>
      </c>
      <c r="H24" s="14" t="s">
        <v>44</v>
      </c>
      <c r="I24" s="42" t="s">
        <v>67</v>
      </c>
      <c r="J24" s="67">
        <f>SUM(C21+C27)</f>
        <v>1283</v>
      </c>
      <c r="K24" s="40">
        <f>SUM(J24/J25)</f>
        <v>0.29754174397031541</v>
      </c>
      <c r="L24" s="20">
        <v>1</v>
      </c>
    </row>
    <row r="25" spans="1:12" s="20" customFormat="1" ht="16.5" customHeight="1" thickBot="1">
      <c r="A25" s="17" t="s">
        <v>205</v>
      </c>
      <c r="B25" s="19" t="s">
        <v>6</v>
      </c>
      <c r="C25" s="13">
        <v>527</v>
      </c>
      <c r="D25" s="13">
        <v>595</v>
      </c>
      <c r="E25" s="13">
        <v>614</v>
      </c>
      <c r="F25" s="13">
        <v>695</v>
      </c>
      <c r="G25" s="13">
        <v>767</v>
      </c>
      <c r="H25" s="13"/>
      <c r="J25" s="72">
        <v>4312</v>
      </c>
    </row>
    <row r="26" spans="1:12" s="20" customFormat="1" ht="16.5" customHeight="1" thickBot="1">
      <c r="A26" s="17" t="s">
        <v>235</v>
      </c>
      <c r="B26" s="18" t="s">
        <v>4</v>
      </c>
      <c r="C26" s="13">
        <v>199</v>
      </c>
      <c r="D26" s="13">
        <v>261</v>
      </c>
      <c r="E26" s="13">
        <v>275</v>
      </c>
      <c r="F26" s="13">
        <v>283</v>
      </c>
      <c r="G26" s="13" t="s">
        <v>17</v>
      </c>
    </row>
    <row r="27" spans="1:12" s="20" customFormat="1" ht="16.5" customHeight="1" thickBot="1">
      <c r="A27" s="17" t="s">
        <v>236</v>
      </c>
      <c r="B27" s="13" t="s">
        <v>10</v>
      </c>
      <c r="C27" s="13">
        <v>176</v>
      </c>
      <c r="D27" s="13">
        <v>184</v>
      </c>
      <c r="E27" s="13">
        <v>188</v>
      </c>
      <c r="F27" s="13" t="s">
        <v>17</v>
      </c>
    </row>
    <row r="29" spans="1:12" s="20" customFormat="1" ht="16.5" customHeight="1">
      <c r="A29" s="6" t="s">
        <v>474</v>
      </c>
    </row>
    <row r="30" spans="1:12" s="20" customFormat="1" ht="9" customHeight="1" thickBot="1">
      <c r="A30" s="6" t="s">
        <v>169</v>
      </c>
    </row>
    <row r="31" spans="1:12" s="20" customFormat="1" ht="16.5" customHeight="1" thickBot="1">
      <c r="A31" s="8" t="s">
        <v>0</v>
      </c>
      <c r="B31" s="9" t="s">
        <v>1</v>
      </c>
      <c r="C31" s="9" t="s">
        <v>2</v>
      </c>
      <c r="D31" s="9">
        <v>2</v>
      </c>
      <c r="E31" s="9">
        <v>3</v>
      </c>
      <c r="F31" s="9">
        <v>4</v>
      </c>
      <c r="G31" s="9">
        <v>5</v>
      </c>
      <c r="H31" s="9"/>
      <c r="I31" s="42" t="s">
        <v>99</v>
      </c>
      <c r="J31" s="40">
        <f>SUM(4236/5920)</f>
        <v>0.7155405405405405</v>
      </c>
    </row>
    <row r="32" spans="1:12" s="20" customFormat="1" ht="16.5" customHeight="1" thickBot="1">
      <c r="A32" s="10" t="s">
        <v>172</v>
      </c>
      <c r="B32" s="15" t="s">
        <v>6</v>
      </c>
      <c r="C32" s="12">
        <v>1102</v>
      </c>
      <c r="D32" s="14"/>
      <c r="E32" s="13"/>
      <c r="F32" s="13"/>
      <c r="G32" s="13"/>
      <c r="H32" s="14" t="s">
        <v>41</v>
      </c>
      <c r="I32" s="41"/>
      <c r="J32" s="42" t="s">
        <v>63</v>
      </c>
      <c r="K32" s="42" t="s">
        <v>64</v>
      </c>
      <c r="L32" s="42" t="s">
        <v>65</v>
      </c>
    </row>
    <row r="33" spans="1:15" s="20" customFormat="1" ht="16.5" customHeight="1" thickBot="1">
      <c r="A33" s="10" t="s">
        <v>237</v>
      </c>
      <c r="B33" s="11" t="s">
        <v>4</v>
      </c>
      <c r="C33" s="13">
        <v>781</v>
      </c>
      <c r="D33" s="13">
        <v>837</v>
      </c>
      <c r="E33" s="14">
        <v>994</v>
      </c>
      <c r="F33" s="13"/>
      <c r="G33" s="13"/>
      <c r="H33" s="14" t="s">
        <v>42</v>
      </c>
      <c r="I33" s="43" t="s">
        <v>4</v>
      </c>
      <c r="J33" s="44">
        <f>SUM(C33+C35+C36+C37)</f>
        <v>2461</v>
      </c>
      <c r="K33" s="46">
        <f>SUM(J33/J35)</f>
        <v>0.58511650023775563</v>
      </c>
      <c r="L33" s="41">
        <v>2</v>
      </c>
    </row>
    <row r="34" spans="1:15" s="20" customFormat="1" ht="16.5" customHeight="1" thickBot="1">
      <c r="A34" s="10" t="s">
        <v>238</v>
      </c>
      <c r="B34" s="15" t="s">
        <v>6</v>
      </c>
      <c r="C34" s="13">
        <v>643</v>
      </c>
      <c r="D34" s="13">
        <v>773</v>
      </c>
      <c r="E34" s="14">
        <v>931</v>
      </c>
      <c r="F34" s="13"/>
      <c r="G34" s="13"/>
      <c r="H34" s="14" t="s">
        <v>43</v>
      </c>
      <c r="I34" s="45" t="s">
        <v>6</v>
      </c>
      <c r="J34" s="44">
        <f>SUM(C32+C34)</f>
        <v>1745</v>
      </c>
      <c r="K34" s="46">
        <f>SUM(J34/J35)</f>
        <v>0.41488349976224442</v>
      </c>
      <c r="L34" s="41">
        <v>2</v>
      </c>
    </row>
    <row r="35" spans="1:15" s="20" customFormat="1" ht="16.5" customHeight="1" thickBot="1">
      <c r="A35" s="10" t="s">
        <v>204</v>
      </c>
      <c r="B35" s="11" t="s">
        <v>4</v>
      </c>
      <c r="C35" s="13">
        <v>608</v>
      </c>
      <c r="D35" s="13">
        <v>620</v>
      </c>
      <c r="E35" s="13">
        <v>746</v>
      </c>
      <c r="F35" s="13">
        <v>788</v>
      </c>
      <c r="G35" s="14">
        <v>840</v>
      </c>
      <c r="H35" s="14" t="s">
        <v>44</v>
      </c>
      <c r="I35" s="42"/>
      <c r="J35" s="72">
        <v>4206</v>
      </c>
      <c r="K35" s="40"/>
    </row>
    <row r="36" spans="1:15" s="20" customFormat="1" ht="16.5" customHeight="1" thickBot="1">
      <c r="A36" s="17" t="s">
        <v>210</v>
      </c>
      <c r="B36" s="18" t="s">
        <v>4</v>
      </c>
      <c r="C36" s="13">
        <v>541</v>
      </c>
      <c r="D36" s="13">
        <v>563</v>
      </c>
      <c r="E36" s="13" t="s">
        <v>17</v>
      </c>
    </row>
    <row r="37" spans="1:15" s="20" customFormat="1" ht="16.5" customHeight="1" thickBot="1">
      <c r="A37" s="17" t="s">
        <v>209</v>
      </c>
      <c r="B37" s="18" t="s">
        <v>4</v>
      </c>
      <c r="C37" s="13">
        <v>531</v>
      </c>
      <c r="D37" s="13">
        <v>571</v>
      </c>
      <c r="E37" s="13">
        <v>667</v>
      </c>
      <c r="F37" s="13">
        <v>735</v>
      </c>
      <c r="G37" s="13">
        <v>769</v>
      </c>
      <c r="H37" s="13"/>
    </row>
    <row r="39" spans="1:15" s="20" customFormat="1" ht="16.5" customHeight="1">
      <c r="A39" s="6" t="s">
        <v>475</v>
      </c>
    </row>
    <row r="40" spans="1:15" s="20" customFormat="1" ht="9" customHeight="1" thickBot="1">
      <c r="A40" s="6"/>
    </row>
    <row r="41" spans="1:15" s="20" customFormat="1" ht="16.5" customHeight="1" thickBot="1">
      <c r="A41" s="8" t="s">
        <v>0</v>
      </c>
      <c r="B41" s="9" t="s">
        <v>1</v>
      </c>
      <c r="C41" s="9" t="s">
        <v>2</v>
      </c>
      <c r="D41" s="9">
        <v>2</v>
      </c>
      <c r="E41" s="9">
        <v>3</v>
      </c>
      <c r="F41" s="9">
        <v>4</v>
      </c>
      <c r="G41" s="9">
        <v>5</v>
      </c>
      <c r="H41" s="9">
        <v>6</v>
      </c>
      <c r="I41" s="9">
        <v>7</v>
      </c>
      <c r="J41" s="9">
        <v>8</v>
      </c>
      <c r="K41" s="9"/>
      <c r="L41" s="42" t="s">
        <v>99</v>
      </c>
      <c r="M41" s="40">
        <f>SUM(5245/8247)</f>
        <v>0.63598884442827697</v>
      </c>
    </row>
    <row r="42" spans="1:15" s="20" customFormat="1" ht="16.5" customHeight="1" thickBot="1">
      <c r="A42" s="10" t="s">
        <v>239</v>
      </c>
      <c r="B42" s="11" t="s">
        <v>4</v>
      </c>
      <c r="C42" s="12">
        <v>1043</v>
      </c>
      <c r="D42" s="14"/>
      <c r="E42" s="13"/>
      <c r="F42" s="13"/>
      <c r="G42" s="13"/>
      <c r="H42" s="13"/>
      <c r="I42" s="14"/>
      <c r="J42" s="14"/>
      <c r="K42" s="14" t="s">
        <v>41</v>
      </c>
      <c r="L42" s="41"/>
      <c r="M42" s="42" t="s">
        <v>63</v>
      </c>
      <c r="N42" s="42" t="s">
        <v>64</v>
      </c>
      <c r="O42" s="42" t="s">
        <v>65</v>
      </c>
    </row>
    <row r="43" spans="1:15" s="20" customFormat="1" ht="16.5" customHeight="1" thickBot="1">
      <c r="A43" s="10" t="s">
        <v>240</v>
      </c>
      <c r="B43" s="15" t="s">
        <v>6</v>
      </c>
      <c r="C43" s="13">
        <v>769</v>
      </c>
      <c r="D43" s="13">
        <v>795</v>
      </c>
      <c r="E43" s="13">
        <v>801</v>
      </c>
      <c r="F43" s="13">
        <v>834</v>
      </c>
      <c r="G43" s="14">
        <v>873</v>
      </c>
      <c r="H43" s="13"/>
      <c r="I43" s="14"/>
      <c r="J43" s="13"/>
      <c r="K43" s="14" t="s">
        <v>43</v>
      </c>
      <c r="L43" s="43" t="s">
        <v>4</v>
      </c>
      <c r="M43" s="44">
        <f>SUM(C42+C45+C48+C52)</f>
        <v>2024</v>
      </c>
      <c r="N43" s="46">
        <f>SUM(M43/M49)</f>
        <v>0.38923076923076921</v>
      </c>
      <c r="O43" s="41">
        <v>2</v>
      </c>
    </row>
    <row r="44" spans="1:15" s="20" customFormat="1" ht="16.5" customHeight="1" thickBot="1">
      <c r="A44" s="10" t="s">
        <v>176</v>
      </c>
      <c r="B44" s="60" t="s">
        <v>233</v>
      </c>
      <c r="C44" s="13">
        <v>675</v>
      </c>
      <c r="D44" s="13">
        <v>697</v>
      </c>
      <c r="E44" s="13">
        <v>787</v>
      </c>
      <c r="F44" s="13">
        <v>811</v>
      </c>
      <c r="G44" s="14">
        <v>875</v>
      </c>
      <c r="H44" s="13"/>
      <c r="I44" s="14"/>
      <c r="J44" s="13"/>
      <c r="K44" s="14" t="s">
        <v>42</v>
      </c>
      <c r="L44" s="45" t="s">
        <v>6</v>
      </c>
      <c r="M44" s="44">
        <f>SUM(C43+C47+C50)</f>
        <v>1466</v>
      </c>
      <c r="N44" s="46">
        <f>SUM(M44/M49)</f>
        <v>0.28192307692307694</v>
      </c>
      <c r="O44" s="41">
        <v>2</v>
      </c>
    </row>
    <row r="45" spans="1:15" s="20" customFormat="1" ht="16.5" customHeight="1" thickBot="1">
      <c r="A45" s="10" t="s">
        <v>241</v>
      </c>
      <c r="B45" s="11" t="s">
        <v>4</v>
      </c>
      <c r="C45" s="13">
        <v>506</v>
      </c>
      <c r="D45" s="13">
        <v>531</v>
      </c>
      <c r="E45" s="13">
        <v>534</v>
      </c>
      <c r="F45" s="13">
        <v>578</v>
      </c>
      <c r="G45" s="13">
        <v>586</v>
      </c>
      <c r="H45" s="13">
        <v>615</v>
      </c>
      <c r="I45" s="13">
        <v>670</v>
      </c>
      <c r="J45" s="14">
        <v>879</v>
      </c>
      <c r="K45" s="14" t="s">
        <v>44</v>
      </c>
      <c r="L45" s="66" t="s">
        <v>60</v>
      </c>
      <c r="M45" s="44">
        <v>299</v>
      </c>
      <c r="N45" s="46">
        <f>SUM(M45/M49)</f>
        <v>5.7500000000000002E-2</v>
      </c>
      <c r="O45" s="41"/>
    </row>
    <row r="46" spans="1:15" s="20" customFormat="1" ht="16.5" customHeight="1" thickBot="1">
      <c r="A46" s="17" t="s">
        <v>211</v>
      </c>
      <c r="B46" s="21" t="s">
        <v>51</v>
      </c>
      <c r="C46" s="13">
        <v>431</v>
      </c>
      <c r="D46" s="13">
        <v>441</v>
      </c>
      <c r="E46" s="13">
        <v>442</v>
      </c>
      <c r="F46" s="13">
        <v>457</v>
      </c>
      <c r="G46" s="13">
        <v>478</v>
      </c>
      <c r="H46" s="13">
        <v>490</v>
      </c>
      <c r="I46" s="13">
        <v>580</v>
      </c>
      <c r="J46" s="13">
        <v>637</v>
      </c>
      <c r="K46" s="14"/>
      <c r="L46" s="71" t="s">
        <v>233</v>
      </c>
      <c r="M46" s="44">
        <f>SUM(C44+C53)</f>
        <v>786</v>
      </c>
      <c r="N46" s="46">
        <f>SUM(M46/M49)</f>
        <v>0.15115384615384617</v>
      </c>
      <c r="O46" s="41">
        <v>1</v>
      </c>
    </row>
    <row r="47" spans="1:15" s="20" customFormat="1" ht="16.5" customHeight="1" thickBot="1">
      <c r="A47" s="10" t="s">
        <v>242</v>
      </c>
      <c r="B47" s="15" t="s">
        <v>6</v>
      </c>
      <c r="C47" s="13">
        <v>430</v>
      </c>
      <c r="D47" s="13">
        <v>444</v>
      </c>
      <c r="E47" s="13">
        <v>446</v>
      </c>
      <c r="F47" s="13">
        <v>454</v>
      </c>
      <c r="G47" s="13">
        <v>468</v>
      </c>
      <c r="H47" s="13">
        <v>618</v>
      </c>
      <c r="I47" s="13">
        <v>677</v>
      </c>
      <c r="J47" s="14">
        <v>752</v>
      </c>
      <c r="K47" s="14" t="s">
        <v>45</v>
      </c>
      <c r="L47" s="65" t="s">
        <v>51</v>
      </c>
      <c r="M47" s="20">
        <v>431</v>
      </c>
      <c r="N47" s="40">
        <f>SUM(M47/M49)</f>
        <v>8.288461538461539E-2</v>
      </c>
    </row>
    <row r="48" spans="1:15" s="20" customFormat="1" ht="16.5" customHeight="1" thickBot="1">
      <c r="A48" s="17" t="s">
        <v>215</v>
      </c>
      <c r="B48" s="18" t="s">
        <v>4</v>
      </c>
      <c r="C48" s="13">
        <v>307</v>
      </c>
      <c r="D48" s="13">
        <v>345</v>
      </c>
      <c r="E48" s="13">
        <v>345</v>
      </c>
      <c r="F48" s="13">
        <v>388</v>
      </c>
      <c r="G48" s="13">
        <v>410</v>
      </c>
      <c r="H48" s="13">
        <v>437</v>
      </c>
      <c r="I48" s="13">
        <v>493</v>
      </c>
      <c r="J48" s="13" t="s">
        <v>17</v>
      </c>
      <c r="L48" s="68" t="s">
        <v>67</v>
      </c>
      <c r="M48" s="20">
        <v>194</v>
      </c>
      <c r="N48" s="40">
        <f>SUM(M48/M49)</f>
        <v>3.7307692307692306E-2</v>
      </c>
    </row>
    <row r="49" spans="1:16" s="20" customFormat="1" ht="16.5" customHeight="1" thickBot="1">
      <c r="A49" s="17" t="s">
        <v>243</v>
      </c>
      <c r="B49" s="22" t="s">
        <v>60</v>
      </c>
      <c r="C49" s="13">
        <v>299</v>
      </c>
      <c r="D49" s="13">
        <v>305</v>
      </c>
      <c r="E49" s="13">
        <v>310</v>
      </c>
      <c r="F49" s="13">
        <v>315</v>
      </c>
      <c r="G49" s="13">
        <v>334</v>
      </c>
      <c r="H49" s="13">
        <v>373</v>
      </c>
      <c r="I49" s="13" t="s">
        <v>17</v>
      </c>
      <c r="M49" s="72">
        <v>5200</v>
      </c>
    </row>
    <row r="50" spans="1:16" s="20" customFormat="1" ht="16.5" customHeight="1" thickBot="1">
      <c r="A50" s="17" t="s">
        <v>244</v>
      </c>
      <c r="B50" s="19" t="s">
        <v>6</v>
      </c>
      <c r="C50" s="13">
        <v>267</v>
      </c>
      <c r="D50" s="13">
        <v>274</v>
      </c>
      <c r="E50" s="13">
        <v>274</v>
      </c>
      <c r="F50" s="13">
        <v>278</v>
      </c>
      <c r="G50" s="13">
        <v>286</v>
      </c>
      <c r="H50" s="13" t="s">
        <v>17</v>
      </c>
    </row>
    <row r="51" spans="1:16" s="20" customFormat="1" ht="16.5" customHeight="1" thickBot="1">
      <c r="A51" s="17" t="s">
        <v>245</v>
      </c>
      <c r="B51" s="13" t="s">
        <v>10</v>
      </c>
      <c r="C51" s="13">
        <v>194</v>
      </c>
      <c r="D51" s="13">
        <v>199</v>
      </c>
      <c r="E51" s="13">
        <v>202</v>
      </c>
      <c r="F51" s="13">
        <v>208</v>
      </c>
      <c r="G51" s="13" t="s">
        <v>17</v>
      </c>
    </row>
    <row r="52" spans="1:16" s="20" customFormat="1" ht="16.5" customHeight="1" thickBot="1">
      <c r="A52" s="17" t="s">
        <v>248</v>
      </c>
      <c r="B52" s="18" t="s">
        <v>4</v>
      </c>
      <c r="C52" s="13">
        <v>168</v>
      </c>
      <c r="D52" s="13">
        <v>189</v>
      </c>
      <c r="E52" s="13">
        <v>190</v>
      </c>
      <c r="F52" s="13" t="s">
        <v>17</v>
      </c>
    </row>
    <row r="53" spans="1:16" s="20" customFormat="1" ht="16.5" customHeight="1" thickBot="1">
      <c r="A53" s="17" t="s">
        <v>246</v>
      </c>
      <c r="B53" s="59" t="s">
        <v>233</v>
      </c>
      <c r="C53" s="13">
        <v>111</v>
      </c>
      <c r="D53" s="13">
        <v>113</v>
      </c>
      <c r="E53" s="13" t="s">
        <v>17</v>
      </c>
    </row>
    <row r="55" spans="1:16" s="20" customFormat="1" ht="16.5" customHeight="1">
      <c r="A55" s="6" t="s">
        <v>476</v>
      </c>
    </row>
    <row r="56" spans="1:16" s="20" customFormat="1" ht="9" customHeight="1" thickBot="1">
      <c r="A56" s="6"/>
    </row>
    <row r="57" spans="1:16" s="20" customFormat="1" ht="16.5" customHeight="1" thickBot="1">
      <c r="A57" s="8" t="s">
        <v>0</v>
      </c>
      <c r="B57" s="9" t="s">
        <v>1</v>
      </c>
      <c r="C57" s="9" t="s">
        <v>2</v>
      </c>
      <c r="D57" s="9">
        <v>2</v>
      </c>
      <c r="E57" s="9">
        <v>3</v>
      </c>
      <c r="F57" s="9">
        <v>4</v>
      </c>
      <c r="G57" s="9">
        <v>5</v>
      </c>
      <c r="H57" s="9">
        <v>6</v>
      </c>
      <c r="I57" s="9">
        <v>7</v>
      </c>
      <c r="J57" s="9">
        <v>8</v>
      </c>
      <c r="K57" s="9">
        <v>9</v>
      </c>
      <c r="L57" s="9"/>
      <c r="M57" s="42" t="s">
        <v>99</v>
      </c>
      <c r="N57" s="40">
        <f>SUM(5678/9182)</f>
        <v>0.61838379438030933</v>
      </c>
    </row>
    <row r="58" spans="1:16" s="20" customFormat="1" ht="16.5" customHeight="1" thickBot="1">
      <c r="A58" s="10" t="s">
        <v>186</v>
      </c>
      <c r="B58" s="15" t="s">
        <v>6</v>
      </c>
      <c r="C58" s="14">
        <v>952</v>
      </c>
      <c r="D58" s="14"/>
      <c r="E58" s="13"/>
      <c r="F58" s="13"/>
      <c r="G58" s="13"/>
      <c r="H58" s="13"/>
      <c r="I58" s="14"/>
      <c r="J58" s="14"/>
      <c r="K58" s="13"/>
      <c r="L58" s="14" t="s">
        <v>41</v>
      </c>
      <c r="M58" s="41"/>
      <c r="N58" s="42" t="s">
        <v>63</v>
      </c>
      <c r="O58" s="42" t="s">
        <v>64</v>
      </c>
      <c r="P58" s="42" t="s">
        <v>65</v>
      </c>
    </row>
    <row r="59" spans="1:16" s="20" customFormat="1" ht="16.5" customHeight="1" thickBot="1">
      <c r="A59" s="10" t="s">
        <v>249</v>
      </c>
      <c r="B59" s="11" t="s">
        <v>4</v>
      </c>
      <c r="C59" s="13">
        <v>749</v>
      </c>
      <c r="D59" s="13">
        <v>758</v>
      </c>
      <c r="E59" s="13">
        <v>761</v>
      </c>
      <c r="F59" s="13">
        <v>794</v>
      </c>
      <c r="G59" s="13">
        <v>852</v>
      </c>
      <c r="H59" s="13">
        <v>853</v>
      </c>
      <c r="I59" s="13">
        <v>900</v>
      </c>
      <c r="J59" s="13">
        <v>932</v>
      </c>
      <c r="K59" s="12">
        <v>1020</v>
      </c>
      <c r="L59" s="14" t="s">
        <v>42</v>
      </c>
      <c r="M59" s="43" t="s">
        <v>4</v>
      </c>
      <c r="N59" s="44">
        <f>SUM(C59+C60+C62+C67)</f>
        <v>2147</v>
      </c>
      <c r="O59" s="46">
        <f>SUM(N59/N65)</f>
        <v>0.3814854299928927</v>
      </c>
      <c r="P59" s="41">
        <v>2</v>
      </c>
    </row>
    <row r="60" spans="1:16" s="20" customFormat="1" ht="16.5" customHeight="1" thickBot="1">
      <c r="A60" s="10" t="s">
        <v>250</v>
      </c>
      <c r="B60" s="11" t="s">
        <v>4</v>
      </c>
      <c r="C60" s="13">
        <v>605</v>
      </c>
      <c r="D60" s="13">
        <v>609</v>
      </c>
      <c r="E60" s="13">
        <v>620</v>
      </c>
      <c r="F60" s="13">
        <v>629</v>
      </c>
      <c r="G60" s="13">
        <v>705</v>
      </c>
      <c r="H60" s="13">
        <v>707</v>
      </c>
      <c r="I60" s="13">
        <v>728</v>
      </c>
      <c r="J60" s="13">
        <v>810</v>
      </c>
      <c r="K60" s="14">
        <v>836</v>
      </c>
      <c r="L60" s="14" t="s">
        <v>45</v>
      </c>
      <c r="M60" s="45" t="s">
        <v>6</v>
      </c>
      <c r="N60" s="44">
        <f>SUM(C58+C61+C69)</f>
        <v>1699</v>
      </c>
      <c r="O60" s="46">
        <f>SUM(N60/N65)</f>
        <v>0.30188343994314143</v>
      </c>
      <c r="P60" s="41">
        <v>2</v>
      </c>
    </row>
    <row r="61" spans="1:16" s="20" customFormat="1" ht="16.5" customHeight="1" thickBot="1">
      <c r="A61" s="10" t="s">
        <v>190</v>
      </c>
      <c r="B61" s="15" t="s">
        <v>6</v>
      </c>
      <c r="C61" s="13">
        <v>570</v>
      </c>
      <c r="D61" s="13">
        <v>581</v>
      </c>
      <c r="E61" s="13">
        <v>656</v>
      </c>
      <c r="F61" s="13">
        <v>686</v>
      </c>
      <c r="G61" s="13">
        <v>693</v>
      </c>
      <c r="H61" s="13">
        <v>698</v>
      </c>
      <c r="I61" s="13">
        <v>760</v>
      </c>
      <c r="J61" s="13">
        <v>805</v>
      </c>
      <c r="K61" s="14">
        <v>895</v>
      </c>
      <c r="L61" s="14" t="s">
        <v>44</v>
      </c>
      <c r="M61" s="66" t="s">
        <v>60</v>
      </c>
      <c r="N61" s="44">
        <v>445</v>
      </c>
      <c r="O61" s="46">
        <f>SUM(N61/N65)</f>
        <v>7.9068941009239516E-2</v>
      </c>
      <c r="P61" s="41"/>
    </row>
    <row r="62" spans="1:16" s="20" customFormat="1" ht="16.5" customHeight="1" thickBot="1">
      <c r="A62" s="17" t="s">
        <v>251</v>
      </c>
      <c r="B62" s="18" t="s">
        <v>4</v>
      </c>
      <c r="C62" s="13">
        <v>549</v>
      </c>
      <c r="D62" s="13">
        <v>557</v>
      </c>
      <c r="E62" s="13">
        <v>562</v>
      </c>
      <c r="F62" s="13">
        <v>588</v>
      </c>
      <c r="G62" s="13">
        <v>628</v>
      </c>
      <c r="H62" s="13">
        <v>628</v>
      </c>
      <c r="I62" s="13">
        <v>660</v>
      </c>
      <c r="J62" s="13">
        <v>674</v>
      </c>
      <c r="K62" s="13">
        <v>728</v>
      </c>
      <c r="L62" s="14"/>
      <c r="M62" s="71" t="s">
        <v>233</v>
      </c>
      <c r="N62" s="44">
        <f>SUM(C65+C70)</f>
        <v>399</v>
      </c>
      <c r="O62" s="46">
        <f>SUM(N62/N65)</f>
        <v>7.0895522388059698E-2</v>
      </c>
      <c r="P62" s="41"/>
    </row>
    <row r="63" spans="1:16" s="20" customFormat="1" ht="16.5" customHeight="1" thickBot="1">
      <c r="A63" s="10" t="s">
        <v>252</v>
      </c>
      <c r="B63" s="14" t="s">
        <v>10</v>
      </c>
      <c r="C63" s="13">
        <v>475</v>
      </c>
      <c r="D63" s="13">
        <v>484</v>
      </c>
      <c r="E63" s="13">
        <v>518</v>
      </c>
      <c r="F63" s="13">
        <v>543</v>
      </c>
      <c r="G63" s="13">
        <v>580</v>
      </c>
      <c r="H63" s="13">
        <v>582</v>
      </c>
      <c r="I63" s="13">
        <v>666</v>
      </c>
      <c r="J63" s="13">
        <v>721</v>
      </c>
      <c r="K63" s="14">
        <v>956</v>
      </c>
      <c r="L63" s="14" t="s">
        <v>43</v>
      </c>
      <c r="M63" s="69" t="s">
        <v>217</v>
      </c>
      <c r="N63" s="20">
        <v>257</v>
      </c>
      <c r="O63" s="40">
        <f>SUM(N63/N65)</f>
        <v>4.5664534470504621E-2</v>
      </c>
    </row>
    <row r="64" spans="1:16" s="20" customFormat="1" ht="16.5" customHeight="1" thickBot="1">
      <c r="A64" s="17" t="s">
        <v>253</v>
      </c>
      <c r="B64" s="22" t="s">
        <v>60</v>
      </c>
      <c r="C64" s="13">
        <v>445</v>
      </c>
      <c r="D64" s="13">
        <v>461</v>
      </c>
      <c r="E64" s="13">
        <v>466</v>
      </c>
      <c r="F64" s="13">
        <v>510</v>
      </c>
      <c r="G64" s="13">
        <v>522</v>
      </c>
      <c r="H64" s="13">
        <v>522</v>
      </c>
      <c r="I64" s="13">
        <v>547</v>
      </c>
      <c r="J64" s="13">
        <v>580</v>
      </c>
      <c r="K64" s="13" t="s">
        <v>17</v>
      </c>
      <c r="M64" s="68" t="s">
        <v>67</v>
      </c>
      <c r="N64" s="20">
        <f>SUM(C63+C68)</f>
        <v>681</v>
      </c>
      <c r="O64" s="40">
        <f>SUM(N64/N65)</f>
        <v>0.12100213219616204</v>
      </c>
      <c r="P64" s="20">
        <v>1</v>
      </c>
    </row>
    <row r="65" spans="1:14" s="20" customFormat="1" ht="16.5" customHeight="1" thickBot="1">
      <c r="A65" s="17" t="s">
        <v>224</v>
      </c>
      <c r="B65" s="59" t="s">
        <v>233</v>
      </c>
      <c r="C65" s="13">
        <v>282</v>
      </c>
      <c r="D65" s="13">
        <v>316</v>
      </c>
      <c r="E65" s="13">
        <v>334</v>
      </c>
      <c r="F65" s="13">
        <v>339</v>
      </c>
      <c r="G65" s="13">
        <v>342</v>
      </c>
      <c r="H65" s="13">
        <v>344</v>
      </c>
      <c r="I65" s="13">
        <v>361</v>
      </c>
      <c r="J65" s="13" t="s">
        <v>17</v>
      </c>
      <c r="N65" s="72">
        <v>5628</v>
      </c>
    </row>
    <row r="66" spans="1:14" s="20" customFormat="1" ht="16.5" customHeight="1" thickBot="1">
      <c r="A66" s="17" t="s">
        <v>254</v>
      </c>
      <c r="B66" s="58" t="s">
        <v>217</v>
      </c>
      <c r="C66" s="13">
        <v>257</v>
      </c>
      <c r="D66" s="13">
        <v>268</v>
      </c>
      <c r="E66" s="13">
        <v>284</v>
      </c>
      <c r="F66" s="13">
        <v>301</v>
      </c>
      <c r="G66" s="13">
        <v>312</v>
      </c>
      <c r="H66" s="13">
        <v>313</v>
      </c>
      <c r="I66" s="13" t="s">
        <v>17</v>
      </c>
    </row>
    <row r="67" spans="1:14" s="20" customFormat="1" ht="16.5" customHeight="1" thickBot="1">
      <c r="A67" s="17" t="s">
        <v>255</v>
      </c>
      <c r="B67" s="18" t="s">
        <v>4</v>
      </c>
      <c r="C67" s="13">
        <v>244</v>
      </c>
      <c r="D67" s="13">
        <v>247</v>
      </c>
      <c r="E67" s="13">
        <v>253</v>
      </c>
      <c r="F67" s="13">
        <v>255</v>
      </c>
      <c r="G67" s="13" t="s">
        <v>17</v>
      </c>
    </row>
    <row r="68" spans="1:14" s="20" customFormat="1" ht="16.5" customHeight="1" thickBot="1">
      <c r="A68" s="17" t="s">
        <v>256</v>
      </c>
      <c r="B68" s="13" t="s">
        <v>10</v>
      </c>
      <c r="C68" s="13">
        <v>206</v>
      </c>
      <c r="D68" s="13">
        <v>209</v>
      </c>
      <c r="E68" s="13">
        <v>212</v>
      </c>
      <c r="F68" s="13" t="s">
        <v>17</v>
      </c>
    </row>
    <row r="69" spans="1:14" s="20" customFormat="1" ht="16.5" customHeight="1" thickBot="1">
      <c r="A69" s="17" t="s">
        <v>257</v>
      </c>
      <c r="B69" s="19" t="s">
        <v>6</v>
      </c>
      <c r="C69" s="13">
        <v>177</v>
      </c>
      <c r="D69" s="13">
        <v>181</v>
      </c>
      <c r="E69" s="13" t="s">
        <v>17</v>
      </c>
    </row>
    <row r="70" spans="1:14" s="20" customFormat="1" ht="16.5" customHeight="1" thickBot="1">
      <c r="A70" s="17" t="s">
        <v>258</v>
      </c>
      <c r="B70" s="59" t="s">
        <v>233</v>
      </c>
      <c r="C70" s="13">
        <v>117</v>
      </c>
      <c r="D70" s="13" t="s">
        <v>17</v>
      </c>
    </row>
    <row r="72" spans="1:14">
      <c r="A72" s="4"/>
      <c r="B72" s="4" t="s">
        <v>66</v>
      </c>
      <c r="C72" s="23" t="s">
        <v>4</v>
      </c>
      <c r="D72" s="24" t="s">
        <v>6</v>
      </c>
      <c r="E72" s="25" t="s">
        <v>60</v>
      </c>
      <c r="F72" s="26" t="s">
        <v>51</v>
      </c>
      <c r="G72" s="70" t="s">
        <v>217</v>
      </c>
      <c r="H72" s="73" t="s">
        <v>233</v>
      </c>
      <c r="I72" s="4" t="s">
        <v>67</v>
      </c>
      <c r="K72" s="4" t="s">
        <v>571</v>
      </c>
    </row>
    <row r="73" spans="1:14" s="106" customFormat="1" ht="14.25">
      <c r="A73" s="104" t="s">
        <v>63</v>
      </c>
      <c r="B73" s="105">
        <f>SUM(5628+5200+4206+4312+7343)</f>
        <v>26689</v>
      </c>
      <c r="C73" s="106">
        <f>SUM(N59+M43+J33+J22+K5)</f>
        <v>11858</v>
      </c>
      <c r="D73" s="106">
        <f>SUM(N60+M44+J34+J23+K6)</f>
        <v>9151</v>
      </c>
      <c r="E73" s="106">
        <f>SUM(N61+M45+K7)</f>
        <v>894</v>
      </c>
      <c r="F73" s="106">
        <v>431</v>
      </c>
      <c r="G73" s="106">
        <v>257</v>
      </c>
      <c r="H73" s="106">
        <f>SUM(N62+M46+K8)</f>
        <v>1456</v>
      </c>
      <c r="I73" s="106">
        <f>SUM(N64+M48+J24+K9)</f>
        <v>2642</v>
      </c>
      <c r="K73" s="106">
        <f>SUM(9182+8247+5920+5618+10555)</f>
        <v>39522</v>
      </c>
    </row>
    <row r="74" spans="1:14" ht="14.25">
      <c r="A74" s="27" t="s">
        <v>64</v>
      </c>
      <c r="B74" s="29">
        <v>1</v>
      </c>
      <c r="C74" s="28">
        <f>SUM(C73/$B$73)</f>
        <v>0.4443028963243284</v>
      </c>
      <c r="D74" s="28">
        <f t="shared" ref="D74:I74" si="0">SUM(D73/$B$73)</f>
        <v>0.34287534190115776</v>
      </c>
      <c r="E74" s="28">
        <f t="shared" si="0"/>
        <v>3.3496946307467496E-2</v>
      </c>
      <c r="F74" s="28">
        <f t="shared" si="0"/>
        <v>1.6148975233242161E-2</v>
      </c>
      <c r="G74" s="28">
        <f t="shared" si="0"/>
        <v>9.6294353478961377E-3</v>
      </c>
      <c r="H74" s="28">
        <f t="shared" si="0"/>
        <v>5.4554310764734534E-2</v>
      </c>
      <c r="I74" s="28">
        <f t="shared" si="0"/>
        <v>9.8992094121173518E-2</v>
      </c>
      <c r="K74" s="4" t="s">
        <v>99</v>
      </c>
    </row>
    <row r="75" spans="1:14" ht="14.25">
      <c r="A75" s="27" t="s">
        <v>65</v>
      </c>
      <c r="B75" s="4">
        <v>25</v>
      </c>
      <c r="C75">
        <v>11</v>
      </c>
      <c r="D75">
        <v>11</v>
      </c>
      <c r="E75">
        <v>0</v>
      </c>
      <c r="F75">
        <v>0</v>
      </c>
      <c r="G75">
        <v>0</v>
      </c>
      <c r="H75">
        <v>1</v>
      </c>
      <c r="I75">
        <v>2</v>
      </c>
      <c r="K75" s="28">
        <f>SUM(B73/K73)</f>
        <v>0.67529477253175452</v>
      </c>
    </row>
  </sheetData>
  <phoneticPr fontId="16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P73"/>
  <sheetViews>
    <sheetView workbookViewId="0">
      <selection activeCell="R1" sqref="R1"/>
    </sheetView>
  </sheetViews>
  <sheetFormatPr defaultRowHeight="12.75"/>
  <cols>
    <col min="1" max="1" width="21.140625" customWidth="1"/>
    <col min="2" max="2" width="8.7109375" customWidth="1"/>
    <col min="3" max="3" width="9.5703125" customWidth="1"/>
    <col min="4" max="8" width="8.7109375" customWidth="1"/>
    <col min="9" max="9" width="8.5703125" customWidth="1"/>
    <col min="10" max="14" width="8.7109375" customWidth="1"/>
  </cols>
  <sheetData>
    <row r="1" spans="1:14" s="20" customFormat="1" ht="16.5" customHeight="1">
      <c r="A1" s="6" t="s">
        <v>604</v>
      </c>
    </row>
    <row r="2" spans="1:14" s="20" customFormat="1" ht="12" customHeight="1" thickBot="1">
      <c r="A2" s="7"/>
    </row>
    <row r="3" spans="1:14" s="20" customFormat="1" ht="16.5" customHeight="1" thickBot="1">
      <c r="A3" s="8" t="s">
        <v>0</v>
      </c>
      <c r="B3" s="9" t="s">
        <v>1</v>
      </c>
      <c r="C3" s="9" t="s">
        <v>2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9">
        <v>7</v>
      </c>
      <c r="J3" s="9"/>
      <c r="K3" s="42" t="s">
        <v>99</v>
      </c>
      <c r="L3" s="40">
        <f>SUM(6265/9009)</f>
        <v>0.69541569541569537</v>
      </c>
    </row>
    <row r="4" spans="1:14" s="20" customFormat="1" ht="16.5" customHeight="1" thickBot="1">
      <c r="A4" s="10" t="s">
        <v>197</v>
      </c>
      <c r="B4" s="11" t="s">
        <v>4</v>
      </c>
      <c r="C4" s="13">
        <v>991</v>
      </c>
      <c r="D4" s="16">
        <v>1014</v>
      </c>
      <c r="E4" s="16">
        <v>1028</v>
      </c>
      <c r="F4" s="12">
        <v>1053</v>
      </c>
      <c r="G4" s="13"/>
      <c r="H4" s="13"/>
      <c r="I4" s="14"/>
      <c r="J4" s="14" t="s">
        <v>41</v>
      </c>
      <c r="K4" s="41"/>
      <c r="L4" s="42" t="s">
        <v>63</v>
      </c>
      <c r="M4" s="42" t="s">
        <v>64</v>
      </c>
      <c r="N4" s="42" t="s">
        <v>65</v>
      </c>
    </row>
    <row r="5" spans="1:14" s="20" customFormat="1" ht="16.5" customHeight="1" thickBot="1">
      <c r="A5" s="10" t="s">
        <v>153</v>
      </c>
      <c r="B5" s="15" t="s">
        <v>6</v>
      </c>
      <c r="C5" s="13">
        <v>821</v>
      </c>
      <c r="D5" s="13">
        <v>833</v>
      </c>
      <c r="E5" s="13">
        <v>847</v>
      </c>
      <c r="F5" s="13">
        <v>865</v>
      </c>
      <c r="G5" s="12">
        <v>1173</v>
      </c>
      <c r="H5" s="14"/>
      <c r="I5" s="14"/>
      <c r="J5" s="14" t="s">
        <v>42</v>
      </c>
      <c r="K5" s="43" t="s">
        <v>4</v>
      </c>
      <c r="L5" s="44">
        <f>SUM(C4+C6+C8)</f>
        <v>2470</v>
      </c>
      <c r="M5" s="46">
        <f>SUM(L5/$L$9)</f>
        <v>0.39870863599677159</v>
      </c>
      <c r="N5" s="41">
        <v>2</v>
      </c>
    </row>
    <row r="6" spans="1:14" s="20" customFormat="1" ht="16.5" customHeight="1" thickBot="1">
      <c r="A6" s="10" t="s">
        <v>198</v>
      </c>
      <c r="B6" s="11" t="s">
        <v>4</v>
      </c>
      <c r="C6" s="13">
        <v>780</v>
      </c>
      <c r="D6" s="13">
        <v>784</v>
      </c>
      <c r="E6" s="13">
        <v>798</v>
      </c>
      <c r="F6" s="13">
        <v>899</v>
      </c>
      <c r="G6" s="13">
        <v>946</v>
      </c>
      <c r="H6" s="13">
        <v>959</v>
      </c>
      <c r="I6" s="14">
        <v>972</v>
      </c>
      <c r="J6" s="14" t="s">
        <v>45</v>
      </c>
      <c r="K6" s="45" t="s">
        <v>6</v>
      </c>
      <c r="L6" s="44">
        <f>SUM(C5+C7+C9)</f>
        <v>2197</v>
      </c>
      <c r="M6" s="46">
        <f>SUM(L6/$L$9)</f>
        <v>0.35464083938660212</v>
      </c>
      <c r="N6" s="41">
        <v>2</v>
      </c>
    </row>
    <row r="7" spans="1:14" s="20" customFormat="1" ht="16.5" customHeight="1" thickBot="1">
      <c r="A7" s="10" t="s">
        <v>199</v>
      </c>
      <c r="B7" s="15" t="s">
        <v>6</v>
      </c>
      <c r="C7" s="13">
        <v>711</v>
      </c>
      <c r="D7" s="13">
        <v>717</v>
      </c>
      <c r="E7" s="13">
        <v>738</v>
      </c>
      <c r="F7" s="13">
        <v>856</v>
      </c>
      <c r="G7" s="13">
        <v>985</v>
      </c>
      <c r="H7" s="12">
        <v>1065</v>
      </c>
      <c r="I7" s="14"/>
      <c r="J7" s="14" t="s">
        <v>43</v>
      </c>
      <c r="K7" s="66" t="s">
        <v>60</v>
      </c>
      <c r="L7" s="44">
        <f>SUM(C12+C13)</f>
        <v>402</v>
      </c>
      <c r="M7" s="46">
        <f>SUM(L7/$L$9)</f>
        <v>6.4891041162227603E-2</v>
      </c>
      <c r="N7" s="41"/>
    </row>
    <row r="8" spans="1:14" s="20" customFormat="1" ht="16.5" customHeight="1" thickBot="1">
      <c r="A8" s="17" t="s">
        <v>200</v>
      </c>
      <c r="B8" s="18" t="s">
        <v>4</v>
      </c>
      <c r="C8" s="13">
        <v>699</v>
      </c>
      <c r="D8" s="13">
        <v>721</v>
      </c>
      <c r="E8" s="13">
        <v>798</v>
      </c>
      <c r="F8" s="13">
        <v>867</v>
      </c>
      <c r="G8" s="13">
        <v>917</v>
      </c>
      <c r="H8" s="13">
        <v>927</v>
      </c>
      <c r="I8" s="13">
        <v>930</v>
      </c>
      <c r="J8" s="14"/>
      <c r="K8" s="68" t="s">
        <v>67</v>
      </c>
      <c r="L8" s="44">
        <f>SUM(C10+C11)</f>
        <v>1126</v>
      </c>
      <c r="M8" s="46">
        <f>SUM(L8/$L$9)</f>
        <v>0.18175948345439871</v>
      </c>
      <c r="N8" s="41">
        <v>1</v>
      </c>
    </row>
    <row r="9" spans="1:14" s="20" customFormat="1" ht="16.5" customHeight="1" thickBot="1">
      <c r="A9" s="17" t="s">
        <v>201</v>
      </c>
      <c r="B9" s="19" t="s">
        <v>6</v>
      </c>
      <c r="C9" s="13">
        <v>665</v>
      </c>
      <c r="D9" s="13">
        <v>697</v>
      </c>
      <c r="E9" s="13">
        <v>723</v>
      </c>
      <c r="F9" s="13">
        <v>769</v>
      </c>
      <c r="G9" s="13" t="s">
        <v>17</v>
      </c>
      <c r="H9" s="42"/>
      <c r="J9" s="40"/>
      <c r="L9" s="72">
        <v>6195</v>
      </c>
    </row>
    <row r="10" spans="1:14" s="20" customFormat="1" ht="16.5" customHeight="1" thickBot="1">
      <c r="A10" s="10" t="s">
        <v>202</v>
      </c>
      <c r="B10" s="14" t="s">
        <v>10</v>
      </c>
      <c r="C10" s="13">
        <v>633</v>
      </c>
      <c r="D10" s="13">
        <v>651</v>
      </c>
      <c r="E10" s="13">
        <v>702</v>
      </c>
      <c r="F10" s="13">
        <v>793</v>
      </c>
      <c r="G10" s="13">
        <v>949</v>
      </c>
      <c r="H10" s="13">
        <v>986</v>
      </c>
      <c r="I10" s="12">
        <v>1002</v>
      </c>
      <c r="J10" s="14" t="s">
        <v>44</v>
      </c>
    </row>
    <row r="11" spans="1:14" s="20" customFormat="1" ht="16.5" customHeight="1" thickBot="1">
      <c r="A11" s="17" t="s">
        <v>157</v>
      </c>
      <c r="B11" s="13" t="s">
        <v>10</v>
      </c>
      <c r="C11" s="13">
        <v>493</v>
      </c>
      <c r="D11" s="13">
        <v>495</v>
      </c>
      <c r="E11" s="13">
        <v>521</v>
      </c>
      <c r="F11" s="13" t="s">
        <v>17</v>
      </c>
    </row>
    <row r="12" spans="1:14" s="20" customFormat="1" ht="16.5" customHeight="1" thickBot="1">
      <c r="A12" s="17" t="s">
        <v>203</v>
      </c>
      <c r="B12" s="22" t="s">
        <v>60</v>
      </c>
      <c r="C12" s="13">
        <v>239</v>
      </c>
      <c r="D12" s="13">
        <v>274</v>
      </c>
      <c r="E12" s="13" t="s">
        <v>17</v>
      </c>
    </row>
    <row r="13" spans="1:14" s="20" customFormat="1" ht="16.5" customHeight="1" thickBot="1">
      <c r="A13" s="17" t="s">
        <v>159</v>
      </c>
      <c r="B13" s="22" t="s">
        <v>60</v>
      </c>
      <c r="C13" s="13">
        <v>163</v>
      </c>
      <c r="D13" s="13" t="s">
        <v>17</v>
      </c>
    </row>
    <row r="14" spans="1:14" s="20" customFormat="1" ht="14.25"/>
    <row r="15" spans="1:14" s="20" customFormat="1" ht="16.5" customHeight="1">
      <c r="A15" s="6" t="s">
        <v>541</v>
      </c>
    </row>
    <row r="16" spans="1:14" s="20" customFormat="1" ht="9.75" customHeight="1" thickBot="1">
      <c r="A16" s="6" t="s">
        <v>169</v>
      </c>
    </row>
    <row r="17" spans="1:14" s="20" customFormat="1" ht="16.5" customHeight="1" thickBot="1">
      <c r="A17" s="8" t="s">
        <v>0</v>
      </c>
      <c r="B17" s="9" t="s">
        <v>1</v>
      </c>
      <c r="C17" s="9" t="s">
        <v>2</v>
      </c>
      <c r="D17" s="9">
        <v>2</v>
      </c>
      <c r="E17" s="9">
        <v>3</v>
      </c>
      <c r="F17" s="9">
        <v>4</v>
      </c>
      <c r="G17" s="9">
        <v>5</v>
      </c>
      <c r="H17" s="9">
        <v>6</v>
      </c>
      <c r="I17" s="9">
        <v>7</v>
      </c>
      <c r="J17" s="9"/>
      <c r="K17" s="42" t="s">
        <v>99</v>
      </c>
      <c r="L17" s="40">
        <f>SUM(5341/6582)</f>
        <v>0.81145548465512007</v>
      </c>
    </row>
    <row r="18" spans="1:14" s="20" customFormat="1" ht="16.5" customHeight="1" thickBot="1">
      <c r="A18" s="10" t="s">
        <v>162</v>
      </c>
      <c r="B18" s="14" t="s">
        <v>10</v>
      </c>
      <c r="C18" s="12">
        <v>1193</v>
      </c>
      <c r="D18" s="13"/>
      <c r="E18" s="13"/>
      <c r="F18" s="14"/>
      <c r="G18" s="13"/>
      <c r="H18" s="13"/>
      <c r="I18" s="14"/>
      <c r="J18" s="14" t="s">
        <v>41</v>
      </c>
      <c r="K18" s="41"/>
      <c r="L18" s="42" t="s">
        <v>63</v>
      </c>
      <c r="M18" s="42" t="s">
        <v>64</v>
      </c>
      <c r="N18" s="42" t="s">
        <v>65</v>
      </c>
    </row>
    <row r="19" spans="1:14" s="20" customFormat="1" ht="16.5" customHeight="1" thickBot="1">
      <c r="A19" s="10" t="s">
        <v>167</v>
      </c>
      <c r="B19" s="15" t="s">
        <v>6</v>
      </c>
      <c r="C19" s="13">
        <v>677</v>
      </c>
      <c r="D19" s="13">
        <v>703</v>
      </c>
      <c r="E19" s="13">
        <v>753</v>
      </c>
      <c r="F19" s="13">
        <v>864</v>
      </c>
      <c r="G19" s="13">
        <v>994</v>
      </c>
      <c r="H19" s="12">
        <v>1148</v>
      </c>
      <c r="I19" s="14"/>
      <c r="J19" s="14" t="s">
        <v>42</v>
      </c>
      <c r="K19" s="43" t="s">
        <v>4</v>
      </c>
      <c r="L19" s="44">
        <f>SUM(C20+C21+C23+C26)</f>
        <v>2062</v>
      </c>
      <c r="M19" s="46">
        <f>SUM(L19/L22)</f>
        <v>0.38986575912270749</v>
      </c>
      <c r="N19" s="41">
        <v>1</v>
      </c>
    </row>
    <row r="20" spans="1:14" s="20" customFormat="1" ht="16.5" customHeight="1" thickBot="1">
      <c r="A20" s="10" t="s">
        <v>163</v>
      </c>
      <c r="B20" s="11" t="s">
        <v>4</v>
      </c>
      <c r="C20" s="13">
        <v>620</v>
      </c>
      <c r="D20" s="13">
        <v>627</v>
      </c>
      <c r="E20" s="13">
        <v>719</v>
      </c>
      <c r="F20" s="13">
        <v>745</v>
      </c>
      <c r="G20" s="13">
        <v>875</v>
      </c>
      <c r="H20" s="12">
        <v>1087</v>
      </c>
      <c r="I20" s="14"/>
      <c r="J20" s="14" t="s">
        <v>43</v>
      </c>
      <c r="K20" s="45" t="s">
        <v>6</v>
      </c>
      <c r="L20" s="44">
        <f>SUM(C19+C22+C25)</f>
        <v>1612</v>
      </c>
      <c r="M20" s="46">
        <f>SUM(L20/L22)</f>
        <v>0.3047835129514086</v>
      </c>
      <c r="N20" s="41">
        <v>2</v>
      </c>
    </row>
    <row r="21" spans="1:14" s="20" customFormat="1" ht="16.5" customHeight="1" thickBot="1">
      <c r="A21" s="17" t="s">
        <v>204</v>
      </c>
      <c r="B21" s="18" t="s">
        <v>4</v>
      </c>
      <c r="C21" s="13">
        <v>551</v>
      </c>
      <c r="D21" s="13">
        <v>561</v>
      </c>
      <c r="E21" s="13">
        <v>597</v>
      </c>
      <c r="F21" s="13">
        <v>689</v>
      </c>
      <c r="G21" s="13">
        <v>712</v>
      </c>
      <c r="H21" s="14" t="s">
        <v>17</v>
      </c>
      <c r="K21" s="42" t="s">
        <v>67</v>
      </c>
      <c r="L21" s="67">
        <f>SUM(C18+C24)</f>
        <v>1615</v>
      </c>
      <c r="M21" s="40">
        <f>SUM(L21/L22)</f>
        <v>0.30535072792588391</v>
      </c>
      <c r="N21" s="20">
        <v>1</v>
      </c>
    </row>
    <row r="22" spans="1:14" s="20" customFormat="1" ht="16.5" customHeight="1" thickBot="1">
      <c r="A22" s="10" t="s">
        <v>205</v>
      </c>
      <c r="B22" s="15" t="s">
        <v>6</v>
      </c>
      <c r="C22" s="13">
        <v>531</v>
      </c>
      <c r="D22" s="13">
        <v>553</v>
      </c>
      <c r="E22" s="13">
        <v>590</v>
      </c>
      <c r="F22" s="13">
        <v>731</v>
      </c>
      <c r="G22" s="13">
        <v>841</v>
      </c>
      <c r="H22" s="13">
        <v>924</v>
      </c>
      <c r="I22" s="14">
        <v>977</v>
      </c>
      <c r="J22" s="14" t="s">
        <v>44</v>
      </c>
      <c r="L22" s="72">
        <v>5289</v>
      </c>
    </row>
    <row r="23" spans="1:14" s="20" customFormat="1" ht="16.5" customHeight="1" thickBot="1">
      <c r="A23" s="17" t="s">
        <v>206</v>
      </c>
      <c r="B23" s="18" t="s">
        <v>4</v>
      </c>
      <c r="C23" s="13">
        <v>502</v>
      </c>
      <c r="D23" s="13">
        <v>511</v>
      </c>
      <c r="E23" s="13">
        <v>588</v>
      </c>
      <c r="F23" s="13">
        <v>604</v>
      </c>
      <c r="G23" s="13">
        <v>714</v>
      </c>
      <c r="H23" s="13">
        <v>862</v>
      </c>
      <c r="I23" s="13">
        <v>899</v>
      </c>
      <c r="J23" s="14"/>
    </row>
    <row r="24" spans="1:14" s="20" customFormat="1" ht="16.5" customHeight="1" thickBot="1">
      <c r="A24" s="17" t="s">
        <v>207</v>
      </c>
      <c r="B24" s="13" t="s">
        <v>10</v>
      </c>
      <c r="C24" s="13">
        <v>422</v>
      </c>
      <c r="D24" s="13">
        <v>440</v>
      </c>
      <c r="E24" s="13">
        <v>512</v>
      </c>
      <c r="F24" s="13">
        <v>548</v>
      </c>
      <c r="G24" s="13" t="s">
        <v>17</v>
      </c>
    </row>
    <row r="25" spans="1:14" s="20" customFormat="1" ht="16.5" customHeight="1" thickBot="1">
      <c r="A25" s="17" t="s">
        <v>166</v>
      </c>
      <c r="B25" s="19" t="s">
        <v>6</v>
      </c>
      <c r="C25" s="13">
        <v>404</v>
      </c>
      <c r="D25" s="13">
        <v>419</v>
      </c>
      <c r="E25" s="13">
        <v>436</v>
      </c>
      <c r="F25" s="13" t="s">
        <v>17</v>
      </c>
    </row>
    <row r="26" spans="1:14" s="20" customFormat="1" ht="16.5" customHeight="1" thickBot="1">
      <c r="A26" s="17" t="s">
        <v>208</v>
      </c>
      <c r="B26" s="18" t="s">
        <v>4</v>
      </c>
      <c r="C26" s="13">
        <v>389</v>
      </c>
      <c r="D26" s="13">
        <v>417</v>
      </c>
      <c r="E26" s="13" t="s">
        <v>17</v>
      </c>
    </row>
    <row r="27" spans="1:14" s="20" customFormat="1" ht="14.25"/>
    <row r="28" spans="1:14" s="20" customFormat="1" ht="16.5" customHeight="1">
      <c r="A28" s="6" t="s">
        <v>540</v>
      </c>
    </row>
    <row r="29" spans="1:14" s="20" customFormat="1" ht="10.5" customHeight="1" thickBot="1">
      <c r="A29" s="6"/>
    </row>
    <row r="30" spans="1:14" s="20" customFormat="1" ht="16.5" customHeight="1" thickBot="1">
      <c r="A30" s="8" t="s">
        <v>0</v>
      </c>
      <c r="B30" s="9" t="s">
        <v>1</v>
      </c>
      <c r="C30" s="9" t="s">
        <v>2</v>
      </c>
      <c r="D30" s="9">
        <v>2</v>
      </c>
      <c r="E30" s="9">
        <v>3</v>
      </c>
      <c r="F30" s="9">
        <v>4</v>
      </c>
      <c r="G30" s="9"/>
      <c r="H30" s="42" t="s">
        <v>99</v>
      </c>
      <c r="I30" s="40">
        <f>SUM(3896/5256)</f>
        <v>0.74124809741248099</v>
      </c>
    </row>
    <row r="31" spans="1:14" s="20" customFormat="1" ht="16.5" customHeight="1" thickBot="1">
      <c r="A31" s="10" t="s">
        <v>172</v>
      </c>
      <c r="B31" s="15" t="s">
        <v>6</v>
      </c>
      <c r="C31" s="13">
        <v>890</v>
      </c>
      <c r="D31" s="13">
        <v>951</v>
      </c>
      <c r="E31" s="14">
        <v>985</v>
      </c>
      <c r="F31" s="13"/>
      <c r="G31" s="14" t="s">
        <v>42</v>
      </c>
      <c r="H31" s="41"/>
      <c r="I31" s="42" t="s">
        <v>63</v>
      </c>
      <c r="J31" s="42" t="s">
        <v>64</v>
      </c>
      <c r="K31" s="42" t="s">
        <v>65</v>
      </c>
    </row>
    <row r="32" spans="1:14" s="20" customFormat="1" ht="16.5" customHeight="1" thickBot="1">
      <c r="A32" s="10" t="s">
        <v>171</v>
      </c>
      <c r="B32" s="15" t="s">
        <v>6</v>
      </c>
      <c r="C32" s="13">
        <v>887</v>
      </c>
      <c r="D32" s="12">
        <v>1110</v>
      </c>
      <c r="E32" s="13"/>
      <c r="F32" s="13"/>
      <c r="G32" s="14" t="s">
        <v>41</v>
      </c>
      <c r="H32" s="43" t="s">
        <v>4</v>
      </c>
      <c r="I32" s="44">
        <f>SUM(C34+C35)</f>
        <v>1310</v>
      </c>
      <c r="J32" s="46">
        <f>SUM(I32/I35)</f>
        <v>0.34087952120739007</v>
      </c>
      <c r="K32" s="41">
        <v>1</v>
      </c>
    </row>
    <row r="33" spans="1:16" s="20" customFormat="1" ht="16.5" customHeight="1" thickBot="1">
      <c r="A33" s="17" t="s">
        <v>209</v>
      </c>
      <c r="B33" s="13" t="s">
        <v>10</v>
      </c>
      <c r="C33" s="13">
        <v>756</v>
      </c>
      <c r="D33" s="13">
        <v>874</v>
      </c>
      <c r="E33" s="13">
        <v>927</v>
      </c>
      <c r="F33" s="13">
        <v>937</v>
      </c>
      <c r="G33" s="14"/>
      <c r="H33" s="45" t="s">
        <v>6</v>
      </c>
      <c r="I33" s="44">
        <f>SUM(C31+C32)</f>
        <v>1777</v>
      </c>
      <c r="J33" s="46">
        <f>SUM(I33/I35)</f>
        <v>0.4623991673172001</v>
      </c>
      <c r="K33" s="41">
        <v>2</v>
      </c>
    </row>
    <row r="34" spans="1:16" s="20" customFormat="1" ht="16.5" customHeight="1" thickBot="1">
      <c r="A34" s="10" t="s">
        <v>446</v>
      </c>
      <c r="B34" s="11" t="s">
        <v>4</v>
      </c>
      <c r="C34" s="13">
        <v>714</v>
      </c>
      <c r="D34" s="13">
        <v>882</v>
      </c>
      <c r="E34" s="13">
        <v>944</v>
      </c>
      <c r="F34" s="14">
        <v>951</v>
      </c>
      <c r="G34" s="14" t="s">
        <v>43</v>
      </c>
      <c r="H34" s="42" t="s">
        <v>67</v>
      </c>
      <c r="I34" s="67">
        <v>756</v>
      </c>
      <c r="J34" s="40">
        <f>SUM(I34/I35)</f>
        <v>0.19672131147540983</v>
      </c>
    </row>
    <row r="35" spans="1:16" s="20" customFormat="1" ht="16.5" customHeight="1" thickBot="1">
      <c r="A35" s="17" t="s">
        <v>210</v>
      </c>
      <c r="B35" s="18" t="s">
        <v>4</v>
      </c>
      <c r="C35" s="13">
        <v>596</v>
      </c>
      <c r="D35" s="13" t="s">
        <v>17</v>
      </c>
      <c r="I35" s="72">
        <v>3843</v>
      </c>
    </row>
    <row r="36" spans="1:16" s="20" customFormat="1" ht="14.25"/>
    <row r="37" spans="1:16" s="20" customFormat="1" ht="16.5" customHeight="1">
      <c r="A37" s="6" t="s">
        <v>543</v>
      </c>
    </row>
    <row r="38" spans="1:16" s="20" customFormat="1" ht="11.25" customHeight="1" thickBot="1">
      <c r="A38" s="6"/>
    </row>
    <row r="39" spans="1:16" s="20" customFormat="1" ht="16.5" customHeight="1" thickBot="1">
      <c r="A39" s="8" t="s">
        <v>0</v>
      </c>
      <c r="B39" s="9" t="s">
        <v>1</v>
      </c>
      <c r="C39" s="9" t="s">
        <v>2</v>
      </c>
      <c r="D39" s="9">
        <v>2</v>
      </c>
      <c r="E39" s="9">
        <v>3</v>
      </c>
      <c r="F39" s="9">
        <v>4</v>
      </c>
      <c r="G39" s="9">
        <v>5</v>
      </c>
      <c r="H39" s="9">
        <v>6</v>
      </c>
      <c r="I39" s="9">
        <v>7</v>
      </c>
      <c r="J39" s="9">
        <v>8</v>
      </c>
      <c r="K39" s="9">
        <v>9</v>
      </c>
      <c r="L39" s="9"/>
      <c r="M39" s="42" t="s">
        <v>99</v>
      </c>
      <c r="N39" s="40">
        <f>SUM(8285/13013)</f>
        <v>0.63667102128640585</v>
      </c>
    </row>
    <row r="40" spans="1:16" s="20" customFormat="1" ht="16.5" customHeight="1" thickBot="1">
      <c r="A40" s="10" t="s">
        <v>175</v>
      </c>
      <c r="B40" s="15" t="s">
        <v>6</v>
      </c>
      <c r="C40" s="12">
        <v>1641</v>
      </c>
      <c r="D40" s="13"/>
      <c r="E40" s="13"/>
      <c r="F40" s="14"/>
      <c r="G40" s="13"/>
      <c r="H40" s="13"/>
      <c r="I40" s="14"/>
      <c r="J40" s="13"/>
      <c r="K40" s="13"/>
      <c r="L40" s="14" t="s">
        <v>41</v>
      </c>
      <c r="M40" s="41"/>
      <c r="N40" s="42" t="s">
        <v>63</v>
      </c>
      <c r="O40" s="42" t="s">
        <v>64</v>
      </c>
      <c r="P40" s="42" t="s">
        <v>65</v>
      </c>
    </row>
    <row r="41" spans="1:16" s="20" customFormat="1" ht="16.5" customHeight="1" thickBot="1">
      <c r="A41" s="10" t="s">
        <v>176</v>
      </c>
      <c r="B41" s="31" t="s">
        <v>60</v>
      </c>
      <c r="C41" s="12">
        <v>1547</v>
      </c>
      <c r="D41" s="13"/>
      <c r="E41" s="13"/>
      <c r="F41" s="13"/>
      <c r="G41" s="14"/>
      <c r="H41" s="14"/>
      <c r="I41" s="14"/>
      <c r="J41" s="13"/>
      <c r="K41" s="13"/>
      <c r="L41" s="14" t="s">
        <v>42</v>
      </c>
      <c r="M41" s="43" t="s">
        <v>4</v>
      </c>
      <c r="N41" s="44">
        <f>SUM(C45+C46+C47+C48)</f>
        <v>1809</v>
      </c>
      <c r="O41" s="46">
        <f>SUM(N41/N46)</f>
        <v>0.22220857388527207</v>
      </c>
      <c r="P41" s="41">
        <v>2</v>
      </c>
    </row>
    <row r="42" spans="1:16" s="20" customFormat="1" ht="16.5" customHeight="1" thickBot="1">
      <c r="A42" s="10" t="s">
        <v>211</v>
      </c>
      <c r="B42" s="57" t="s">
        <v>51</v>
      </c>
      <c r="C42" s="12">
        <v>1206</v>
      </c>
      <c r="D42" s="14"/>
      <c r="E42" s="13"/>
      <c r="F42" s="13"/>
      <c r="G42" s="13"/>
      <c r="H42" s="13"/>
      <c r="I42" s="14"/>
      <c r="J42" s="14"/>
      <c r="K42" s="13"/>
      <c r="L42" s="14" t="s">
        <v>43</v>
      </c>
      <c r="M42" s="45" t="s">
        <v>6</v>
      </c>
      <c r="N42" s="44">
        <f>SUM(C40+C43+C44)</f>
        <v>3367</v>
      </c>
      <c r="O42" s="46">
        <f>SUM(N42/N46)</f>
        <v>0.41358555460017199</v>
      </c>
      <c r="P42" s="41">
        <v>3</v>
      </c>
    </row>
    <row r="43" spans="1:16" s="20" customFormat="1" ht="16.5" customHeight="1" thickBot="1">
      <c r="A43" s="10" t="s">
        <v>178</v>
      </c>
      <c r="B43" s="15" t="s">
        <v>6</v>
      </c>
      <c r="C43" s="12">
        <v>1065</v>
      </c>
      <c r="D43" s="13"/>
      <c r="E43" s="13"/>
      <c r="F43" s="13"/>
      <c r="G43" s="13"/>
      <c r="H43" s="14"/>
      <c r="I43" s="14"/>
      <c r="J43" s="13"/>
      <c r="K43" s="13"/>
      <c r="L43" s="14" t="s">
        <v>44</v>
      </c>
      <c r="M43" s="66" t="s">
        <v>60</v>
      </c>
      <c r="N43" s="44">
        <v>1547</v>
      </c>
      <c r="O43" s="46">
        <f>SUM(N43/N46)</f>
        <v>0.19002579535683578</v>
      </c>
      <c r="P43" s="41">
        <v>1</v>
      </c>
    </row>
    <row r="44" spans="1:16" s="20" customFormat="1" ht="16.5" customHeight="1" thickBot="1">
      <c r="A44" s="10" t="s">
        <v>212</v>
      </c>
      <c r="B44" s="15" t="s">
        <v>6</v>
      </c>
      <c r="C44" s="13">
        <v>661</v>
      </c>
      <c r="D44" s="13">
        <v>951</v>
      </c>
      <c r="E44" s="12">
        <v>1095</v>
      </c>
      <c r="F44" s="13"/>
      <c r="G44" s="13"/>
      <c r="H44" s="13"/>
      <c r="I44" s="14"/>
      <c r="J44" s="13"/>
      <c r="K44" s="14"/>
      <c r="L44" s="14" t="s">
        <v>45</v>
      </c>
      <c r="M44" s="65" t="s">
        <v>51</v>
      </c>
      <c r="N44" s="44">
        <v>1206</v>
      </c>
      <c r="O44" s="46">
        <f>SUM(N44/N46)</f>
        <v>0.14813904925684807</v>
      </c>
      <c r="P44" s="41">
        <v>1</v>
      </c>
    </row>
    <row r="45" spans="1:16" s="20" customFormat="1" ht="16.5" customHeight="1" thickBot="1">
      <c r="A45" s="10" t="s">
        <v>213</v>
      </c>
      <c r="B45" s="11" t="s">
        <v>4</v>
      </c>
      <c r="C45" s="13">
        <v>643</v>
      </c>
      <c r="D45" s="13">
        <v>726</v>
      </c>
      <c r="E45" s="13">
        <v>802</v>
      </c>
      <c r="F45" s="13">
        <v>831</v>
      </c>
      <c r="G45" s="13">
        <v>842</v>
      </c>
      <c r="H45" s="13">
        <v>851</v>
      </c>
      <c r="I45" s="13">
        <v>879</v>
      </c>
      <c r="J45" s="13">
        <v>922</v>
      </c>
      <c r="K45" s="12">
        <v>1086</v>
      </c>
      <c r="L45" s="14" t="s">
        <v>494</v>
      </c>
      <c r="M45" s="69" t="s">
        <v>217</v>
      </c>
      <c r="N45" s="20">
        <f>SUM(C49+C50)</f>
        <v>212</v>
      </c>
      <c r="O45" s="40">
        <f>SUM(N45/N46)</f>
        <v>2.6041026900872129E-2</v>
      </c>
    </row>
    <row r="46" spans="1:16" s="20" customFormat="1" ht="16.5" customHeight="1" thickBot="1">
      <c r="A46" s="17" t="s">
        <v>193</v>
      </c>
      <c r="B46" s="18" t="s">
        <v>4</v>
      </c>
      <c r="C46" s="13">
        <v>405</v>
      </c>
      <c r="D46" s="13">
        <v>460</v>
      </c>
      <c r="E46" s="13">
        <v>510</v>
      </c>
      <c r="F46" s="13">
        <v>531</v>
      </c>
      <c r="G46" s="13">
        <v>543</v>
      </c>
      <c r="H46" s="13">
        <v>551</v>
      </c>
      <c r="I46" s="13">
        <v>575</v>
      </c>
      <c r="J46" s="13">
        <v>593</v>
      </c>
      <c r="K46" s="13">
        <v>691</v>
      </c>
      <c r="L46" s="14"/>
      <c r="N46" s="72">
        <v>8141</v>
      </c>
    </row>
    <row r="47" spans="1:16" s="20" customFormat="1" ht="16.5" customHeight="1" thickBot="1">
      <c r="A47" s="17" t="s">
        <v>214</v>
      </c>
      <c r="B47" s="18" t="s">
        <v>4</v>
      </c>
      <c r="C47" s="13">
        <v>389</v>
      </c>
      <c r="D47" s="13">
        <v>469</v>
      </c>
      <c r="E47" s="13">
        <v>518</v>
      </c>
      <c r="F47" s="13">
        <v>548</v>
      </c>
      <c r="G47" s="13">
        <v>561</v>
      </c>
      <c r="H47" s="13">
        <v>566</v>
      </c>
      <c r="I47" s="13">
        <v>574</v>
      </c>
      <c r="J47" s="13">
        <v>591</v>
      </c>
      <c r="K47" s="13" t="s">
        <v>17</v>
      </c>
    </row>
    <row r="48" spans="1:16" s="20" customFormat="1" ht="16.5" customHeight="1" thickBot="1">
      <c r="A48" s="10" t="s">
        <v>215</v>
      </c>
      <c r="B48" s="11" t="s">
        <v>4</v>
      </c>
      <c r="C48" s="13">
        <v>372</v>
      </c>
      <c r="D48" s="13">
        <v>430</v>
      </c>
      <c r="E48" s="13">
        <v>538</v>
      </c>
      <c r="F48" s="13">
        <v>593</v>
      </c>
      <c r="G48" s="13">
        <v>605</v>
      </c>
      <c r="H48" s="13">
        <v>619</v>
      </c>
      <c r="I48" s="13">
        <v>638</v>
      </c>
      <c r="J48" s="13">
        <v>697</v>
      </c>
      <c r="K48" s="14">
        <v>814</v>
      </c>
      <c r="L48" s="14" t="s">
        <v>495</v>
      </c>
    </row>
    <row r="49" spans="1:14" s="20" customFormat="1" ht="16.5" customHeight="1" thickBot="1">
      <c r="A49" s="17" t="s">
        <v>216</v>
      </c>
      <c r="B49" s="58" t="s">
        <v>217</v>
      </c>
      <c r="C49" s="13">
        <v>116</v>
      </c>
      <c r="D49" s="13">
        <v>153</v>
      </c>
      <c r="E49" s="13">
        <v>186</v>
      </c>
      <c r="F49" s="13">
        <v>199</v>
      </c>
      <c r="G49" s="13">
        <v>212</v>
      </c>
      <c r="H49" s="13">
        <v>216</v>
      </c>
      <c r="I49" s="13" t="s">
        <v>17</v>
      </c>
    </row>
    <row r="50" spans="1:14" s="20" customFormat="1" ht="16.5" customHeight="1" thickBot="1">
      <c r="A50" s="17" t="s">
        <v>218</v>
      </c>
      <c r="B50" s="58" t="s">
        <v>217</v>
      </c>
      <c r="C50" s="13">
        <v>96</v>
      </c>
      <c r="D50" s="13">
        <v>116</v>
      </c>
      <c r="E50" s="13">
        <v>185</v>
      </c>
      <c r="F50" s="13">
        <v>225</v>
      </c>
      <c r="G50" s="13">
        <v>241</v>
      </c>
      <c r="H50" s="13">
        <v>248</v>
      </c>
      <c r="I50" s="13">
        <v>302</v>
      </c>
      <c r="J50" s="13" t="s">
        <v>17</v>
      </c>
    </row>
    <row r="51" spans="1:14" s="20" customFormat="1" ht="14.25"/>
    <row r="52" spans="1:14" s="20" customFormat="1" ht="16.5" customHeight="1">
      <c r="A52" s="6" t="s">
        <v>542</v>
      </c>
    </row>
    <row r="53" spans="1:14" s="20" customFormat="1" ht="9.75" customHeight="1" thickBot="1">
      <c r="A53" s="6"/>
    </row>
    <row r="54" spans="1:14" s="20" customFormat="1" ht="16.5" customHeight="1" thickBot="1">
      <c r="A54" s="8" t="s">
        <v>0</v>
      </c>
      <c r="B54" s="9" t="s">
        <v>1</v>
      </c>
      <c r="C54" s="9" t="s">
        <v>2</v>
      </c>
      <c r="D54" s="9">
        <v>2</v>
      </c>
      <c r="E54" s="9">
        <v>3</v>
      </c>
      <c r="F54" s="9">
        <v>4</v>
      </c>
      <c r="G54" s="9">
        <v>5</v>
      </c>
      <c r="H54" s="9">
        <v>6</v>
      </c>
      <c r="I54" s="9">
        <v>7</v>
      </c>
      <c r="J54" s="9"/>
      <c r="K54" s="42" t="s">
        <v>99</v>
      </c>
      <c r="L54" s="40">
        <f>SUM(6966/11084)</f>
        <v>0.62847347527968245</v>
      </c>
    </row>
    <row r="55" spans="1:14" s="20" customFormat="1" ht="16.5" customHeight="1" thickBot="1">
      <c r="A55" s="10" t="s">
        <v>186</v>
      </c>
      <c r="B55" s="15" t="s">
        <v>6</v>
      </c>
      <c r="C55" s="12">
        <v>1482</v>
      </c>
      <c r="D55" s="13"/>
      <c r="E55" s="13"/>
      <c r="F55" s="14"/>
      <c r="G55" s="13"/>
      <c r="H55" s="13"/>
      <c r="I55" s="14"/>
      <c r="J55" s="14" t="s">
        <v>41</v>
      </c>
      <c r="K55" s="41"/>
      <c r="L55" s="42" t="s">
        <v>63</v>
      </c>
      <c r="M55" s="42" t="s">
        <v>64</v>
      </c>
      <c r="N55" s="42" t="s">
        <v>65</v>
      </c>
    </row>
    <row r="56" spans="1:14" s="20" customFormat="1" ht="16.5" customHeight="1" thickBot="1">
      <c r="A56" s="10" t="s">
        <v>219</v>
      </c>
      <c r="B56" s="11" t="s">
        <v>4</v>
      </c>
      <c r="C56" s="12">
        <v>1124</v>
      </c>
      <c r="D56" s="13"/>
      <c r="E56" s="13"/>
      <c r="F56" s="13"/>
      <c r="G56" s="14"/>
      <c r="H56" s="14"/>
      <c r="I56" s="14"/>
      <c r="J56" s="14" t="s">
        <v>42</v>
      </c>
      <c r="K56" s="43" t="s">
        <v>4</v>
      </c>
      <c r="L56" s="44">
        <f>SUM(C56+C57+C60+C61)</f>
        <v>3005</v>
      </c>
      <c r="M56" s="46">
        <f>SUM(L56/L59)</f>
        <v>0.4411980619585964</v>
      </c>
      <c r="N56" s="41">
        <v>3</v>
      </c>
    </row>
    <row r="57" spans="1:14" s="20" customFormat="1" ht="16.5" customHeight="1" thickBot="1">
      <c r="A57" s="10" t="s">
        <v>188</v>
      </c>
      <c r="B57" s="11" t="s">
        <v>4</v>
      </c>
      <c r="C57" s="13">
        <v>923</v>
      </c>
      <c r="D57" s="12">
        <v>1127</v>
      </c>
      <c r="E57" s="13"/>
      <c r="F57" s="13"/>
      <c r="G57" s="13"/>
      <c r="H57" s="13"/>
      <c r="I57" s="14"/>
      <c r="J57" s="14" t="s">
        <v>43</v>
      </c>
      <c r="K57" s="45" t="s">
        <v>6</v>
      </c>
      <c r="L57" s="44">
        <f>SUM(C55+C58+C62+C63)</f>
        <v>2896</v>
      </c>
      <c r="M57" s="46">
        <f>SUM(L57/L59)</f>
        <v>0.42519453824695347</v>
      </c>
      <c r="N57" s="41">
        <v>2</v>
      </c>
    </row>
    <row r="58" spans="1:14" s="20" customFormat="1" ht="16.5" customHeight="1" thickBot="1">
      <c r="A58" s="10" t="s">
        <v>190</v>
      </c>
      <c r="B58" s="15" t="s">
        <v>6</v>
      </c>
      <c r="C58" s="13">
        <v>639</v>
      </c>
      <c r="D58" s="13">
        <v>719</v>
      </c>
      <c r="E58" s="13">
        <v>746</v>
      </c>
      <c r="F58" s="13">
        <v>773</v>
      </c>
      <c r="G58" s="13">
        <v>835</v>
      </c>
      <c r="H58" s="14">
        <v>984</v>
      </c>
      <c r="I58" s="14"/>
      <c r="J58" s="14" t="s">
        <v>44</v>
      </c>
      <c r="K58" s="66" t="s">
        <v>60</v>
      </c>
      <c r="L58" s="67">
        <f>SUM(C59+C64)</f>
        <v>910</v>
      </c>
      <c r="M58" s="40">
        <f>SUM(L58/L59)</f>
        <v>0.13360739979445016</v>
      </c>
      <c r="N58" s="20">
        <v>1</v>
      </c>
    </row>
    <row r="59" spans="1:14" s="20" customFormat="1" ht="16.5" customHeight="1" thickBot="1">
      <c r="A59" s="10" t="s">
        <v>220</v>
      </c>
      <c r="B59" s="31" t="s">
        <v>60</v>
      </c>
      <c r="C59" s="13">
        <v>573</v>
      </c>
      <c r="D59" s="13">
        <v>583</v>
      </c>
      <c r="E59" s="13">
        <v>584</v>
      </c>
      <c r="F59" s="13">
        <v>600</v>
      </c>
      <c r="G59" s="13">
        <v>708</v>
      </c>
      <c r="H59" s="13">
        <v>747</v>
      </c>
      <c r="I59" s="14">
        <v>817</v>
      </c>
      <c r="J59" s="14" t="s">
        <v>494</v>
      </c>
      <c r="L59" s="72">
        <v>6811</v>
      </c>
    </row>
    <row r="60" spans="1:14" s="20" customFormat="1" ht="16.5" customHeight="1" thickBot="1">
      <c r="A60" s="10" t="s">
        <v>221</v>
      </c>
      <c r="B60" s="11" t="s">
        <v>4</v>
      </c>
      <c r="C60" s="13">
        <v>540</v>
      </c>
      <c r="D60" s="13">
        <v>562</v>
      </c>
      <c r="E60" s="13">
        <v>596</v>
      </c>
      <c r="F60" s="13">
        <v>643</v>
      </c>
      <c r="G60" s="13">
        <v>706</v>
      </c>
      <c r="H60" s="13">
        <v>757</v>
      </c>
      <c r="I60" s="14">
        <v>992</v>
      </c>
      <c r="J60" s="14" t="s">
        <v>45</v>
      </c>
    </row>
    <row r="61" spans="1:14" s="20" customFormat="1" ht="16.5" customHeight="1" thickBot="1">
      <c r="A61" s="17" t="s">
        <v>222</v>
      </c>
      <c r="B61" s="18" t="s">
        <v>4</v>
      </c>
      <c r="C61" s="13">
        <v>418</v>
      </c>
      <c r="D61" s="13">
        <v>438</v>
      </c>
      <c r="E61" s="13">
        <v>447</v>
      </c>
      <c r="F61" s="13">
        <v>475</v>
      </c>
      <c r="G61" s="13">
        <v>500</v>
      </c>
      <c r="H61" s="13">
        <v>552</v>
      </c>
      <c r="I61" s="13" t="s">
        <v>17</v>
      </c>
    </row>
    <row r="62" spans="1:14" s="20" customFormat="1" ht="16.5" customHeight="1" thickBot="1">
      <c r="A62" s="17" t="s">
        <v>191</v>
      </c>
      <c r="B62" s="19" t="s">
        <v>6</v>
      </c>
      <c r="C62" s="13">
        <v>398</v>
      </c>
      <c r="D62" s="13">
        <v>439</v>
      </c>
      <c r="E62" s="13">
        <v>450</v>
      </c>
      <c r="F62" s="13">
        <v>465</v>
      </c>
      <c r="G62" s="13">
        <v>479</v>
      </c>
      <c r="H62" s="14" t="s">
        <v>17</v>
      </c>
    </row>
    <row r="63" spans="1:14" s="20" customFormat="1" ht="16.5" customHeight="1" thickBot="1">
      <c r="A63" s="17" t="s">
        <v>223</v>
      </c>
      <c r="B63" s="19" t="s">
        <v>6</v>
      </c>
      <c r="C63" s="13">
        <v>377</v>
      </c>
      <c r="D63" s="13">
        <v>443</v>
      </c>
      <c r="E63" s="13">
        <v>466</v>
      </c>
      <c r="F63" s="13">
        <v>478</v>
      </c>
      <c r="G63" s="13">
        <v>522</v>
      </c>
      <c r="H63" s="13">
        <v>653</v>
      </c>
      <c r="I63" s="13">
        <v>738</v>
      </c>
      <c r="J63" s="14"/>
    </row>
    <row r="64" spans="1:14" s="20" customFormat="1" ht="16.5" customHeight="1" thickBot="1">
      <c r="A64" s="17" t="s">
        <v>224</v>
      </c>
      <c r="B64" s="22" t="s">
        <v>60</v>
      </c>
      <c r="C64" s="13">
        <v>337</v>
      </c>
      <c r="D64" s="13">
        <v>402</v>
      </c>
      <c r="E64" s="13">
        <v>450</v>
      </c>
      <c r="F64" s="13">
        <v>455</v>
      </c>
      <c r="G64" s="13" t="s">
        <v>17</v>
      </c>
    </row>
    <row r="65" spans="1:10" s="20" customFormat="1" ht="14.25"/>
    <row r="66" spans="1:10">
      <c r="A66" s="4"/>
      <c r="B66" s="4" t="s">
        <v>66</v>
      </c>
      <c r="C66" s="23" t="s">
        <v>4</v>
      </c>
      <c r="D66" s="24" t="s">
        <v>6</v>
      </c>
      <c r="E66" s="25" t="s">
        <v>60</v>
      </c>
      <c r="F66" s="26" t="s">
        <v>51</v>
      </c>
      <c r="G66" s="70" t="s">
        <v>217</v>
      </c>
      <c r="H66" s="4" t="s">
        <v>67</v>
      </c>
      <c r="J66" s="4" t="s">
        <v>571</v>
      </c>
    </row>
    <row r="67" spans="1:10" s="106" customFormat="1" ht="14.25">
      <c r="A67" s="104" t="s">
        <v>63</v>
      </c>
      <c r="B67" s="105">
        <f>SUM(6811+8141+3843+5289+6195)</f>
        <v>30279</v>
      </c>
      <c r="C67" s="106">
        <f>SUM(L56+N41+I32+L19+L5)</f>
        <v>10656</v>
      </c>
      <c r="D67" s="106">
        <f>SUM(L57+N42+I33+L20+L6)</f>
        <v>11849</v>
      </c>
      <c r="E67" s="106">
        <f>SUM(L58+N43+L7)</f>
        <v>2859</v>
      </c>
      <c r="F67" s="106">
        <v>1206</v>
      </c>
      <c r="G67" s="106">
        <v>212</v>
      </c>
      <c r="H67" s="106">
        <f>SUM(I34+L21+L8)</f>
        <v>3497</v>
      </c>
      <c r="J67" s="106">
        <f>SUM(11084+13013+5256+6582+9009)</f>
        <v>44944</v>
      </c>
    </row>
    <row r="68" spans="1:10" ht="14.25">
      <c r="A68" s="27" t="s">
        <v>64</v>
      </c>
      <c r="B68" s="29">
        <v>1</v>
      </c>
      <c r="C68" s="28">
        <f t="shared" ref="C68:H68" si="0">SUM(C67/$B$67)</f>
        <v>0.35192707817299118</v>
      </c>
      <c r="D68" s="28">
        <f t="shared" si="0"/>
        <v>0.39132732256679548</v>
      </c>
      <c r="E68" s="28">
        <f t="shared" si="0"/>
        <v>9.4421876548102648E-2</v>
      </c>
      <c r="F68" s="28">
        <f t="shared" si="0"/>
        <v>3.982958486079461E-2</v>
      </c>
      <c r="G68" s="28">
        <f t="shared" si="0"/>
        <v>7.0015522309191192E-3</v>
      </c>
      <c r="H68" s="28">
        <f t="shared" si="0"/>
        <v>0.11549258562039698</v>
      </c>
      <c r="J68" s="4" t="s">
        <v>99</v>
      </c>
    </row>
    <row r="69" spans="1:10" ht="14.25">
      <c r="A69" s="27" t="s">
        <v>65</v>
      </c>
      <c r="B69" s="4">
        <v>25</v>
      </c>
      <c r="C69">
        <v>9</v>
      </c>
      <c r="D69">
        <v>11</v>
      </c>
      <c r="E69">
        <v>2</v>
      </c>
      <c r="F69">
        <v>1</v>
      </c>
      <c r="G69">
        <v>0</v>
      </c>
      <c r="H69">
        <v>2</v>
      </c>
      <c r="J69" s="28">
        <f>SUM(B67/J67)</f>
        <v>0.6737050551797793</v>
      </c>
    </row>
    <row r="70" spans="1:10" s="20" customFormat="1" ht="14.25"/>
    <row r="71" spans="1:10" s="20" customFormat="1" ht="14.25"/>
    <row r="72" spans="1:10" s="20" customFormat="1" ht="14.25"/>
    <row r="73" spans="1:10" s="20" customFormat="1" ht="14.25"/>
  </sheetData>
  <phoneticPr fontId="16" type="noConversion"/>
  <pageMargins left="0.75" right="0.75" top="1" bottom="1" header="0.5" footer="0.5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P69"/>
  <sheetViews>
    <sheetView workbookViewId="0">
      <selection activeCell="N1" sqref="N1"/>
    </sheetView>
  </sheetViews>
  <sheetFormatPr defaultRowHeight="12.75"/>
  <cols>
    <col min="1" max="1" width="25.28515625" customWidth="1"/>
    <col min="2" max="2" width="7.7109375" customWidth="1"/>
    <col min="3" max="3" width="9.7109375" customWidth="1"/>
    <col min="4" max="17" width="8.7109375" customWidth="1"/>
  </cols>
  <sheetData>
    <row r="1" spans="1:15" s="20" customFormat="1" ht="16.5" customHeight="1">
      <c r="A1" s="6" t="s">
        <v>535</v>
      </c>
    </row>
    <row r="2" spans="1:15" s="20" customFormat="1" ht="9.75" customHeight="1" thickBot="1">
      <c r="A2" s="7"/>
    </row>
    <row r="3" spans="1:15" s="20" customFormat="1" ht="16.5" customHeight="1" thickBot="1">
      <c r="A3" s="8" t="s">
        <v>0</v>
      </c>
      <c r="B3" s="9" t="s">
        <v>1</v>
      </c>
      <c r="C3" s="9" t="s">
        <v>2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9">
        <v>7</v>
      </c>
      <c r="J3" s="9">
        <v>8</v>
      </c>
      <c r="K3" s="51"/>
      <c r="L3" s="42" t="s">
        <v>99</v>
      </c>
      <c r="M3" s="40">
        <f>SUM(7280/10169)</f>
        <v>0.71590126856131375</v>
      </c>
    </row>
    <row r="4" spans="1:15" s="20" customFormat="1" ht="16.5" customHeight="1" thickBot="1">
      <c r="A4" s="10" t="s">
        <v>151</v>
      </c>
      <c r="B4" s="11" t="s">
        <v>4</v>
      </c>
      <c r="C4" s="12">
        <v>1435</v>
      </c>
      <c r="D4" s="13"/>
      <c r="E4" s="14"/>
      <c r="F4" s="13"/>
      <c r="G4" s="13"/>
      <c r="H4" s="13"/>
      <c r="I4" s="14"/>
      <c r="J4" s="13"/>
      <c r="K4" s="14" t="s">
        <v>41</v>
      </c>
      <c r="L4" s="41"/>
      <c r="M4" s="42" t="s">
        <v>63</v>
      </c>
      <c r="N4" s="42" t="s">
        <v>64</v>
      </c>
      <c r="O4" s="42" t="s">
        <v>65</v>
      </c>
    </row>
    <row r="5" spans="1:15" s="20" customFormat="1" ht="16.5" customHeight="1" thickBot="1">
      <c r="A5" s="10" t="s">
        <v>152</v>
      </c>
      <c r="B5" s="15" t="s">
        <v>6</v>
      </c>
      <c r="C5" s="13">
        <v>906</v>
      </c>
      <c r="D5" s="13">
        <v>977</v>
      </c>
      <c r="E5" s="13">
        <v>987</v>
      </c>
      <c r="F5" s="16">
        <v>1014</v>
      </c>
      <c r="G5" s="16">
        <v>1074</v>
      </c>
      <c r="H5" s="12">
        <v>1264</v>
      </c>
      <c r="I5" s="14"/>
      <c r="J5" s="13"/>
      <c r="K5" s="14" t="s">
        <v>42</v>
      </c>
      <c r="L5" s="43" t="s">
        <v>4</v>
      </c>
      <c r="M5" s="44">
        <f>SUM(C4+C7+C8)</f>
        <v>2896</v>
      </c>
      <c r="N5" s="46">
        <f>SUM(M5/M10)</f>
        <v>0.40199888950583007</v>
      </c>
      <c r="O5" s="41">
        <v>2</v>
      </c>
    </row>
    <row r="6" spans="1:15" s="20" customFormat="1" ht="16.5" customHeight="1" thickBot="1">
      <c r="A6" s="10" t="s">
        <v>153</v>
      </c>
      <c r="B6" s="15" t="s">
        <v>6</v>
      </c>
      <c r="C6" s="13">
        <v>820</v>
      </c>
      <c r="D6" s="13">
        <v>828</v>
      </c>
      <c r="E6" s="13">
        <v>831</v>
      </c>
      <c r="F6" s="13">
        <v>843</v>
      </c>
      <c r="G6" s="13">
        <v>891</v>
      </c>
      <c r="H6" s="13">
        <v>946</v>
      </c>
      <c r="I6" s="13">
        <v>963</v>
      </c>
      <c r="J6" s="12">
        <v>1085</v>
      </c>
      <c r="K6" s="14" t="s">
        <v>44</v>
      </c>
      <c r="L6" s="45" t="s">
        <v>6</v>
      </c>
      <c r="M6" s="44">
        <f>SUM(C5+C6+C9+C10)</f>
        <v>2888</v>
      </c>
      <c r="N6" s="46">
        <f>SUM(M6/M10)</f>
        <v>0.40088839533592446</v>
      </c>
      <c r="O6" s="41">
        <v>3</v>
      </c>
    </row>
    <row r="7" spans="1:15" s="20" customFormat="1" ht="16.5" customHeight="1" thickBot="1">
      <c r="A7" s="10" t="s">
        <v>154</v>
      </c>
      <c r="B7" s="11" t="s">
        <v>4</v>
      </c>
      <c r="C7" s="13">
        <v>777</v>
      </c>
      <c r="D7" s="13">
        <v>802</v>
      </c>
      <c r="E7" s="13">
        <v>863</v>
      </c>
      <c r="F7" s="13">
        <v>948</v>
      </c>
      <c r="G7" s="13">
        <v>998</v>
      </c>
      <c r="H7" s="16">
        <v>1116</v>
      </c>
      <c r="I7" s="16">
        <v>1124</v>
      </c>
      <c r="J7" s="12">
        <v>1269</v>
      </c>
      <c r="K7" s="14" t="s">
        <v>43</v>
      </c>
      <c r="L7" s="66" t="s">
        <v>60</v>
      </c>
      <c r="M7" s="41">
        <v>469</v>
      </c>
      <c r="N7" s="46">
        <f>SUM(M7/M10)</f>
        <v>6.5102720710716266E-2</v>
      </c>
      <c r="O7" s="41"/>
    </row>
    <row r="8" spans="1:15" s="20" customFormat="1" ht="16.5" customHeight="1" thickBot="1">
      <c r="A8" s="17" t="s">
        <v>155</v>
      </c>
      <c r="B8" s="18" t="s">
        <v>4</v>
      </c>
      <c r="C8" s="13">
        <v>684</v>
      </c>
      <c r="D8" s="13">
        <v>726</v>
      </c>
      <c r="E8" s="13">
        <v>729</v>
      </c>
      <c r="F8" s="13">
        <v>749</v>
      </c>
      <c r="G8" s="13">
        <v>798</v>
      </c>
      <c r="H8" s="13">
        <v>820</v>
      </c>
      <c r="I8" s="13">
        <v>823</v>
      </c>
      <c r="J8" s="13">
        <v>908</v>
      </c>
      <c r="K8" s="14"/>
      <c r="L8" s="65" t="s">
        <v>51</v>
      </c>
      <c r="M8" s="41">
        <v>330</v>
      </c>
      <c r="N8" s="46">
        <f>SUM(M8/M10)</f>
        <v>4.5807884508606331E-2</v>
      </c>
      <c r="O8" s="41"/>
    </row>
    <row r="9" spans="1:15" s="20" customFormat="1" ht="16.5" customHeight="1" thickBot="1">
      <c r="A9" s="10" t="s">
        <v>156</v>
      </c>
      <c r="B9" s="15" t="s">
        <v>6</v>
      </c>
      <c r="C9" s="13">
        <v>602</v>
      </c>
      <c r="D9" s="13">
        <v>611</v>
      </c>
      <c r="E9" s="13">
        <v>616</v>
      </c>
      <c r="F9" s="13">
        <v>640</v>
      </c>
      <c r="G9" s="13">
        <v>775</v>
      </c>
      <c r="H9" s="13">
        <v>831</v>
      </c>
      <c r="I9" s="13">
        <v>847</v>
      </c>
      <c r="J9" s="12">
        <v>1032</v>
      </c>
      <c r="K9" s="14" t="s">
        <v>45</v>
      </c>
      <c r="L9" s="42" t="s">
        <v>67</v>
      </c>
      <c r="M9" s="20">
        <f>SUM(C11+C14)</f>
        <v>621</v>
      </c>
      <c r="N9" s="40">
        <f>SUM(M9/M10)</f>
        <v>8.6202109938922827E-2</v>
      </c>
    </row>
    <row r="10" spans="1:15" s="20" customFormat="1" ht="16.5" customHeight="1" thickBot="1">
      <c r="A10" s="17" t="s">
        <v>157</v>
      </c>
      <c r="B10" s="19" t="s">
        <v>6</v>
      </c>
      <c r="C10" s="13">
        <v>560</v>
      </c>
      <c r="D10" s="13">
        <v>593</v>
      </c>
      <c r="E10" s="13">
        <v>602</v>
      </c>
      <c r="F10" s="13">
        <v>628</v>
      </c>
      <c r="G10" s="13">
        <v>654</v>
      </c>
      <c r="H10" s="13" t="s">
        <v>17</v>
      </c>
      <c r="M10" s="72">
        <v>7204</v>
      </c>
    </row>
    <row r="11" spans="1:15" s="20" customFormat="1" ht="16.5" customHeight="1" thickBot="1">
      <c r="A11" s="17" t="s">
        <v>158</v>
      </c>
      <c r="B11" s="13" t="s">
        <v>10</v>
      </c>
      <c r="C11" s="13">
        <v>481</v>
      </c>
      <c r="D11" s="13">
        <v>507</v>
      </c>
      <c r="E11" s="13">
        <v>519</v>
      </c>
      <c r="F11" s="13">
        <v>575</v>
      </c>
      <c r="G11" s="13">
        <v>666</v>
      </c>
      <c r="H11" s="13">
        <v>776</v>
      </c>
      <c r="I11" s="13">
        <v>795</v>
      </c>
      <c r="J11" s="13" t="s">
        <v>17</v>
      </c>
    </row>
    <row r="12" spans="1:15" s="20" customFormat="1" ht="16.5" customHeight="1" thickBot="1">
      <c r="A12" s="17" t="s">
        <v>159</v>
      </c>
      <c r="B12" s="22" t="s">
        <v>60</v>
      </c>
      <c r="C12" s="13">
        <v>469</v>
      </c>
      <c r="D12" s="13">
        <v>474</v>
      </c>
      <c r="E12" s="13">
        <v>501</v>
      </c>
      <c r="F12" s="13">
        <v>556</v>
      </c>
      <c r="G12" s="13" t="s">
        <v>17</v>
      </c>
    </row>
    <row r="13" spans="1:15" s="20" customFormat="1" ht="16.5" customHeight="1" thickBot="1">
      <c r="A13" s="17" t="s">
        <v>160</v>
      </c>
      <c r="B13" s="21" t="s">
        <v>51</v>
      </c>
      <c r="C13" s="13">
        <v>330</v>
      </c>
      <c r="D13" s="13">
        <v>343</v>
      </c>
      <c r="E13" s="13">
        <v>349</v>
      </c>
      <c r="F13" s="13" t="s">
        <v>17</v>
      </c>
    </row>
    <row r="14" spans="1:15" s="20" customFormat="1" ht="16.5" customHeight="1" thickBot="1">
      <c r="A14" s="17" t="s">
        <v>161</v>
      </c>
      <c r="B14" s="13" t="s">
        <v>10</v>
      </c>
      <c r="C14" s="13">
        <v>140</v>
      </c>
      <c r="D14" s="13">
        <v>142</v>
      </c>
      <c r="E14" s="13" t="s">
        <v>17</v>
      </c>
    </row>
    <row r="15" spans="1:15" s="20" customFormat="1" ht="10.5" customHeight="1">
      <c r="A15" s="6"/>
    </row>
    <row r="16" spans="1:15" s="20" customFormat="1" ht="17.45" customHeight="1">
      <c r="A16" s="6" t="s">
        <v>539</v>
      </c>
    </row>
    <row r="17" spans="1:12" s="20" customFormat="1" ht="8.25" customHeight="1" thickBot="1">
      <c r="A17" s="6"/>
    </row>
    <row r="18" spans="1:12" s="20" customFormat="1" ht="17.45" customHeight="1" thickBot="1">
      <c r="A18" s="8" t="s">
        <v>0</v>
      </c>
      <c r="B18" s="9" t="s">
        <v>1</v>
      </c>
      <c r="C18" s="9" t="s">
        <v>2</v>
      </c>
      <c r="D18" s="9">
        <v>2</v>
      </c>
      <c r="E18" s="9">
        <v>3</v>
      </c>
      <c r="F18" s="9">
        <v>4</v>
      </c>
      <c r="G18" s="9">
        <v>5</v>
      </c>
      <c r="H18" s="9"/>
      <c r="I18" s="42" t="s">
        <v>99</v>
      </c>
      <c r="J18" s="40">
        <f>SUM(5574/7418)</f>
        <v>0.75141547586950663</v>
      </c>
    </row>
    <row r="19" spans="1:12" s="20" customFormat="1" ht="16.5" customHeight="1" thickBot="1">
      <c r="A19" s="10" t="s">
        <v>162</v>
      </c>
      <c r="B19" s="14" t="s">
        <v>10</v>
      </c>
      <c r="C19" s="12">
        <v>1790</v>
      </c>
      <c r="D19" s="13"/>
      <c r="E19" s="14"/>
      <c r="F19" s="13"/>
      <c r="G19" s="13"/>
      <c r="H19" s="14" t="s">
        <v>41</v>
      </c>
      <c r="I19" s="41"/>
      <c r="J19" s="42" t="s">
        <v>63</v>
      </c>
      <c r="K19" s="42" t="s">
        <v>64</v>
      </c>
      <c r="L19" s="42" t="s">
        <v>65</v>
      </c>
    </row>
    <row r="20" spans="1:12" s="20" customFormat="1" ht="16.5" customHeight="1" thickBot="1">
      <c r="A20" s="10" t="s">
        <v>163</v>
      </c>
      <c r="B20" s="11" t="s">
        <v>4</v>
      </c>
      <c r="C20" s="13">
        <v>917</v>
      </c>
      <c r="D20" s="13">
        <v>984</v>
      </c>
      <c r="E20" s="12">
        <v>1116</v>
      </c>
      <c r="F20" s="14"/>
      <c r="G20" s="13"/>
      <c r="H20" s="14" t="s">
        <v>42</v>
      </c>
      <c r="I20" s="43" t="s">
        <v>4</v>
      </c>
      <c r="J20" s="44">
        <f>SUM(C20+C22+C25)</f>
        <v>1948</v>
      </c>
      <c r="K20" s="46">
        <f>SUM(J20/J23)</f>
        <v>0.3543106584212441</v>
      </c>
      <c r="L20" s="41">
        <v>2</v>
      </c>
    </row>
    <row r="21" spans="1:12" s="20" customFormat="1" ht="16.5" customHeight="1" thickBot="1">
      <c r="A21" s="10" t="s">
        <v>164</v>
      </c>
      <c r="B21" s="15" t="s">
        <v>6</v>
      </c>
      <c r="C21" s="13">
        <v>742</v>
      </c>
      <c r="D21" s="13">
        <v>911</v>
      </c>
      <c r="E21" s="16">
        <v>1001</v>
      </c>
      <c r="F21" s="12">
        <v>1277</v>
      </c>
      <c r="G21" s="13"/>
      <c r="H21" s="14" t="s">
        <v>43</v>
      </c>
      <c r="I21" s="45" t="s">
        <v>6</v>
      </c>
      <c r="J21" s="44">
        <f>SUM(C21+C23+C24)</f>
        <v>1760</v>
      </c>
      <c r="K21" s="46">
        <f>SUM(J21/J23)</f>
        <v>0.32011640596580576</v>
      </c>
      <c r="L21" s="41">
        <v>1</v>
      </c>
    </row>
    <row r="22" spans="1:12" s="20" customFormat="1" ht="16.5" customHeight="1" thickBot="1">
      <c r="A22" s="10" t="s">
        <v>165</v>
      </c>
      <c r="B22" s="11" t="s">
        <v>4</v>
      </c>
      <c r="C22" s="13">
        <v>659</v>
      </c>
      <c r="D22" s="13">
        <v>743</v>
      </c>
      <c r="E22" s="13">
        <v>846</v>
      </c>
      <c r="F22" s="13">
        <v>971</v>
      </c>
      <c r="G22" s="12">
        <v>1030</v>
      </c>
      <c r="H22" s="14" t="s">
        <v>44</v>
      </c>
      <c r="I22" s="42" t="s">
        <v>67</v>
      </c>
      <c r="J22" s="67">
        <f>SUM(C19)</f>
        <v>1790</v>
      </c>
      <c r="K22" s="40">
        <f>SUM(J22/J23)</f>
        <v>0.32557293561295014</v>
      </c>
      <c r="L22" s="20">
        <v>1</v>
      </c>
    </row>
    <row r="23" spans="1:12" s="20" customFormat="1" ht="16.5" customHeight="1" thickBot="1">
      <c r="A23" s="17" t="s">
        <v>166</v>
      </c>
      <c r="B23" s="19" t="s">
        <v>6</v>
      </c>
      <c r="C23" s="13">
        <v>606</v>
      </c>
      <c r="D23" s="13">
        <v>730</v>
      </c>
      <c r="E23" s="13">
        <v>780</v>
      </c>
      <c r="F23" s="13">
        <v>876</v>
      </c>
      <c r="G23" s="13">
        <v>994</v>
      </c>
      <c r="H23" s="14"/>
      <c r="J23" s="72">
        <v>5498</v>
      </c>
    </row>
    <row r="24" spans="1:12" s="20" customFormat="1" ht="16.5" customHeight="1" thickBot="1">
      <c r="A24" s="17" t="s">
        <v>167</v>
      </c>
      <c r="B24" s="19" t="s">
        <v>6</v>
      </c>
      <c r="C24" s="13">
        <v>412</v>
      </c>
      <c r="D24" s="13">
        <v>516</v>
      </c>
      <c r="E24" s="13">
        <v>576</v>
      </c>
      <c r="F24" s="13" t="s">
        <v>17</v>
      </c>
    </row>
    <row r="25" spans="1:12" s="20" customFormat="1" ht="16.5" customHeight="1" thickBot="1">
      <c r="A25" s="17" t="s">
        <v>168</v>
      </c>
      <c r="B25" s="18" t="s">
        <v>4</v>
      </c>
      <c r="C25" s="13">
        <v>372</v>
      </c>
      <c r="D25" s="13">
        <v>514</v>
      </c>
      <c r="E25" s="13" t="s">
        <v>17</v>
      </c>
    </row>
    <row r="26" spans="1:12" s="20" customFormat="1" ht="12" customHeight="1"/>
    <row r="27" spans="1:12" s="20" customFormat="1" ht="16.5" customHeight="1">
      <c r="A27" s="6" t="s">
        <v>536</v>
      </c>
    </row>
    <row r="28" spans="1:12" s="20" customFormat="1" ht="9.75" customHeight="1" thickBot="1">
      <c r="A28" s="6" t="s">
        <v>169</v>
      </c>
    </row>
    <row r="29" spans="1:12" s="20" customFormat="1" ht="16.5" customHeight="1" thickBot="1">
      <c r="A29" s="8" t="s">
        <v>0</v>
      </c>
      <c r="B29" s="9" t="s">
        <v>1</v>
      </c>
      <c r="C29" s="9" t="s">
        <v>2</v>
      </c>
      <c r="D29" s="9">
        <v>2</v>
      </c>
      <c r="E29" s="9">
        <v>3</v>
      </c>
      <c r="F29" s="9"/>
      <c r="G29" s="42" t="s">
        <v>99</v>
      </c>
      <c r="H29" s="40">
        <f>SUM(4104/5793)</f>
        <v>0.70844122216468153</v>
      </c>
    </row>
    <row r="30" spans="1:12" s="20" customFormat="1" ht="16.5" customHeight="1" thickBot="1">
      <c r="A30" s="10" t="s">
        <v>170</v>
      </c>
      <c r="B30" s="11" t="s">
        <v>4</v>
      </c>
      <c r="C30" s="12">
        <v>1254</v>
      </c>
      <c r="D30" s="13"/>
      <c r="E30" s="14"/>
      <c r="F30" s="14" t="s">
        <v>41</v>
      </c>
      <c r="G30" s="41"/>
      <c r="H30" s="42" t="s">
        <v>63</v>
      </c>
      <c r="I30" s="42" t="s">
        <v>64</v>
      </c>
      <c r="J30" s="42" t="s">
        <v>65</v>
      </c>
    </row>
    <row r="31" spans="1:12" s="20" customFormat="1" ht="16.5" customHeight="1" thickBot="1">
      <c r="A31" s="10" t="s">
        <v>171</v>
      </c>
      <c r="B31" s="15" t="s">
        <v>6</v>
      </c>
      <c r="C31" s="12">
        <v>1075</v>
      </c>
      <c r="D31" s="13"/>
      <c r="E31" s="13"/>
      <c r="F31" s="14" t="s">
        <v>42</v>
      </c>
      <c r="G31" s="43" t="s">
        <v>4</v>
      </c>
      <c r="H31" s="44">
        <f>SUM(C30+C34)</f>
        <v>1632</v>
      </c>
      <c r="I31" s="46">
        <f>SUM(H31/H34)</f>
        <v>0.40236686390532544</v>
      </c>
      <c r="J31" s="41">
        <v>1</v>
      </c>
    </row>
    <row r="32" spans="1:12" s="20" customFormat="1" ht="16.5" customHeight="1" thickBot="1">
      <c r="A32" s="10" t="s">
        <v>172</v>
      </c>
      <c r="B32" s="15" t="s">
        <v>6</v>
      </c>
      <c r="C32" s="13">
        <v>820</v>
      </c>
      <c r="D32" s="13">
        <v>927</v>
      </c>
      <c r="E32" s="12">
        <v>1036</v>
      </c>
      <c r="F32" s="14" t="s">
        <v>43</v>
      </c>
      <c r="G32" s="45" t="s">
        <v>6</v>
      </c>
      <c r="H32" s="44">
        <f>SUM(C31+C32)</f>
        <v>1895</v>
      </c>
      <c r="I32" s="46">
        <f>SUM(H32/H34)</f>
        <v>0.46720907297830377</v>
      </c>
      <c r="J32" s="41">
        <v>2</v>
      </c>
    </row>
    <row r="33" spans="1:15" s="20" customFormat="1" ht="16.5" customHeight="1" thickBot="1">
      <c r="A33" s="17" t="s">
        <v>173</v>
      </c>
      <c r="B33" s="21" t="s">
        <v>51</v>
      </c>
      <c r="C33" s="13">
        <v>529</v>
      </c>
      <c r="D33" s="13">
        <v>584</v>
      </c>
      <c r="E33" s="13">
        <v>758</v>
      </c>
      <c r="F33" s="14"/>
      <c r="G33" s="65" t="s">
        <v>51</v>
      </c>
      <c r="H33" s="67">
        <v>529</v>
      </c>
      <c r="I33" s="40">
        <f>SUM(H33/H34)</f>
        <v>0.13042406311637081</v>
      </c>
    </row>
    <row r="34" spans="1:15" s="20" customFormat="1" ht="16.5" customHeight="1" thickBot="1">
      <c r="A34" s="17" t="s">
        <v>174</v>
      </c>
      <c r="B34" s="18" t="s">
        <v>4</v>
      </c>
      <c r="C34" s="13">
        <v>378</v>
      </c>
      <c r="D34" s="13">
        <v>455</v>
      </c>
      <c r="E34" s="13" t="s">
        <v>17</v>
      </c>
      <c r="H34" s="72">
        <v>4056</v>
      </c>
    </row>
    <row r="35" spans="1:15" s="20" customFormat="1" ht="12.75" customHeight="1"/>
    <row r="36" spans="1:15" s="20" customFormat="1" ht="16.5" customHeight="1">
      <c r="A36" s="6" t="s">
        <v>538</v>
      </c>
    </row>
    <row r="37" spans="1:15" s="20" customFormat="1" ht="10.5" customHeight="1" thickBot="1">
      <c r="A37" s="6"/>
    </row>
    <row r="38" spans="1:15" s="20" customFormat="1" ht="16.5" customHeight="1" thickBot="1">
      <c r="A38" s="8" t="s">
        <v>0</v>
      </c>
      <c r="B38" s="9" t="s">
        <v>1</v>
      </c>
      <c r="C38" s="9" t="s">
        <v>2</v>
      </c>
      <c r="D38" s="9">
        <v>2</v>
      </c>
      <c r="E38" s="9">
        <v>3</v>
      </c>
      <c r="F38" s="9">
        <v>4</v>
      </c>
      <c r="G38" s="9">
        <v>5</v>
      </c>
      <c r="H38" s="9">
        <v>6</v>
      </c>
      <c r="I38" s="9">
        <v>7</v>
      </c>
      <c r="J38" s="9">
        <v>8</v>
      </c>
      <c r="K38" s="9"/>
      <c r="L38" s="42" t="s">
        <v>99</v>
      </c>
      <c r="M38" s="40">
        <f>SUM(8703/13445)</f>
        <v>0.64730383042023054</v>
      </c>
    </row>
    <row r="39" spans="1:15" s="20" customFormat="1" ht="16.5" customHeight="1" thickBot="1">
      <c r="A39" s="10" t="s">
        <v>175</v>
      </c>
      <c r="B39" s="15" t="s">
        <v>6</v>
      </c>
      <c r="C39" s="12">
        <v>2054</v>
      </c>
      <c r="D39" s="13"/>
      <c r="E39" s="14"/>
      <c r="F39" s="13"/>
      <c r="G39" s="13"/>
      <c r="H39" s="13"/>
      <c r="I39" s="14"/>
      <c r="J39" s="13"/>
      <c r="K39" s="14" t="s">
        <v>41</v>
      </c>
      <c r="L39" s="41"/>
      <c r="M39" s="42" t="s">
        <v>63</v>
      </c>
      <c r="N39" s="42" t="s">
        <v>64</v>
      </c>
      <c r="O39" s="42" t="s">
        <v>65</v>
      </c>
    </row>
    <row r="40" spans="1:15" s="20" customFormat="1" ht="16.5" customHeight="1" thickBot="1">
      <c r="A40" s="10" t="s">
        <v>176</v>
      </c>
      <c r="B40" s="31" t="s">
        <v>60</v>
      </c>
      <c r="C40" s="12">
        <v>1147</v>
      </c>
      <c r="D40" s="13"/>
      <c r="E40" s="13"/>
      <c r="F40" s="14"/>
      <c r="G40" s="13"/>
      <c r="H40" s="13"/>
      <c r="I40" s="14"/>
      <c r="J40" s="13"/>
      <c r="K40" s="14" t="s">
        <v>42</v>
      </c>
      <c r="L40" s="43" t="s">
        <v>4</v>
      </c>
      <c r="M40" s="44">
        <f>SUM(C43+C44+C46+C47)</f>
        <v>2346</v>
      </c>
      <c r="N40" s="46">
        <f>SUM(M40/M45)</f>
        <v>0.27554615926708947</v>
      </c>
      <c r="O40" s="41">
        <v>2</v>
      </c>
    </row>
    <row r="41" spans="1:15" s="20" customFormat="1" ht="16.5" customHeight="1" thickBot="1">
      <c r="A41" s="10" t="s">
        <v>177</v>
      </c>
      <c r="B41" s="57" t="s">
        <v>51</v>
      </c>
      <c r="C41" s="12">
        <v>1140</v>
      </c>
      <c r="D41" s="13"/>
      <c r="E41" s="13"/>
      <c r="F41" s="13"/>
      <c r="G41" s="13"/>
      <c r="H41" s="13"/>
      <c r="I41" s="14"/>
      <c r="J41" s="13"/>
      <c r="K41" s="14" t="s">
        <v>43</v>
      </c>
      <c r="L41" s="45" t="s">
        <v>6</v>
      </c>
      <c r="M41" s="44">
        <f>SUM(C39+C45+C48)</f>
        <v>2950</v>
      </c>
      <c r="N41" s="46">
        <f>SUM(M41/M45)</f>
        <v>0.34648813718581162</v>
      </c>
      <c r="O41" s="41">
        <v>2</v>
      </c>
    </row>
    <row r="42" spans="1:15" s="20" customFormat="1" ht="16.5" customHeight="1" thickBot="1">
      <c r="A42" s="10" t="s">
        <v>178</v>
      </c>
      <c r="B42" s="31" t="s">
        <v>60</v>
      </c>
      <c r="C42" s="13">
        <v>813</v>
      </c>
      <c r="D42" s="13">
        <v>940</v>
      </c>
      <c r="E42" s="13">
        <v>973</v>
      </c>
      <c r="F42" s="16">
        <v>1004</v>
      </c>
      <c r="G42" s="16">
        <v>1028</v>
      </c>
      <c r="H42" s="12">
        <v>1067</v>
      </c>
      <c r="I42" s="14"/>
      <c r="J42" s="13"/>
      <c r="K42" s="14" t="s">
        <v>45</v>
      </c>
      <c r="L42" s="66" t="s">
        <v>60</v>
      </c>
      <c r="M42" s="44">
        <f>SUM(C40+C42)</f>
        <v>1960</v>
      </c>
      <c r="N42" s="46">
        <f>SUM(M42/M45)</f>
        <v>0.23020906741836974</v>
      </c>
      <c r="O42" s="41">
        <v>2</v>
      </c>
    </row>
    <row r="43" spans="1:15" s="20" customFormat="1" ht="16.5" customHeight="1" thickBot="1">
      <c r="A43" s="10" t="s">
        <v>179</v>
      </c>
      <c r="B43" s="11" t="s">
        <v>4</v>
      </c>
      <c r="C43" s="13">
        <v>769</v>
      </c>
      <c r="D43" s="13">
        <v>915</v>
      </c>
      <c r="E43" s="13">
        <v>922</v>
      </c>
      <c r="F43" s="13">
        <v>930</v>
      </c>
      <c r="G43" s="13">
        <v>939</v>
      </c>
      <c r="H43" s="13">
        <v>981</v>
      </c>
      <c r="I43" s="16">
        <v>1010</v>
      </c>
      <c r="J43" s="12">
        <v>1217</v>
      </c>
      <c r="K43" s="14" t="s">
        <v>494</v>
      </c>
      <c r="L43" s="65" t="s">
        <v>51</v>
      </c>
      <c r="M43" s="44">
        <v>1140</v>
      </c>
      <c r="N43" s="46">
        <f>SUM(M43/M45)</f>
        <v>0.1338971106412967</v>
      </c>
      <c r="O43" s="41">
        <v>1</v>
      </c>
    </row>
    <row r="44" spans="1:15" s="20" customFormat="1" ht="16.5" customHeight="1" thickBot="1">
      <c r="A44" s="10" t="s">
        <v>180</v>
      </c>
      <c r="B44" s="11" t="s">
        <v>4</v>
      </c>
      <c r="C44" s="13">
        <v>708</v>
      </c>
      <c r="D44" s="13">
        <v>835</v>
      </c>
      <c r="E44" s="13">
        <v>840</v>
      </c>
      <c r="F44" s="13">
        <v>846</v>
      </c>
      <c r="G44" s="13">
        <v>853</v>
      </c>
      <c r="H44" s="13">
        <v>883</v>
      </c>
      <c r="I44" s="13">
        <v>890</v>
      </c>
      <c r="J44" s="14">
        <v>967</v>
      </c>
      <c r="K44" s="14" t="s">
        <v>495</v>
      </c>
      <c r="L44" s="42" t="s">
        <v>67</v>
      </c>
      <c r="M44" s="20">
        <v>118</v>
      </c>
      <c r="N44" s="40">
        <f>SUM(M44/M45)</f>
        <v>1.3859525487432463E-2</v>
      </c>
    </row>
    <row r="45" spans="1:15" s="20" customFormat="1" ht="16.5" customHeight="1" thickBot="1">
      <c r="A45" s="10" t="s">
        <v>181</v>
      </c>
      <c r="B45" s="15" t="s">
        <v>6</v>
      </c>
      <c r="C45" s="13">
        <v>688</v>
      </c>
      <c r="D45" s="13">
        <v>966</v>
      </c>
      <c r="E45" s="13">
        <v>977</v>
      </c>
      <c r="F45" s="16">
        <v>1008</v>
      </c>
      <c r="G45" s="16">
        <v>1016</v>
      </c>
      <c r="H45" s="12">
        <v>1176</v>
      </c>
      <c r="I45" s="14"/>
      <c r="J45" s="13"/>
      <c r="K45" s="14" t="s">
        <v>44</v>
      </c>
      <c r="M45" s="72">
        <v>8514</v>
      </c>
    </row>
    <row r="46" spans="1:15" s="20" customFormat="1" ht="16.5" customHeight="1" thickBot="1">
      <c r="A46" s="17" t="s">
        <v>182</v>
      </c>
      <c r="B46" s="18" t="s">
        <v>4</v>
      </c>
      <c r="C46" s="13">
        <v>493</v>
      </c>
      <c r="D46" s="13">
        <v>567</v>
      </c>
      <c r="E46" s="13">
        <v>578</v>
      </c>
      <c r="F46" s="13">
        <v>587</v>
      </c>
      <c r="G46" s="13">
        <v>598</v>
      </c>
      <c r="H46" s="13">
        <v>607</v>
      </c>
      <c r="I46" s="13">
        <v>622</v>
      </c>
      <c r="J46" s="13">
        <v>681</v>
      </c>
      <c r="K46" s="14"/>
    </row>
    <row r="47" spans="1:15" s="20" customFormat="1" ht="16.5" customHeight="1" thickBot="1">
      <c r="A47" s="17" t="s">
        <v>183</v>
      </c>
      <c r="B47" s="18" t="s">
        <v>4</v>
      </c>
      <c r="C47" s="13">
        <v>376</v>
      </c>
      <c r="D47" s="13">
        <v>440</v>
      </c>
      <c r="E47" s="13">
        <v>447</v>
      </c>
      <c r="F47" s="13">
        <v>456</v>
      </c>
      <c r="G47" s="13">
        <v>468</v>
      </c>
      <c r="H47" s="13">
        <v>498</v>
      </c>
      <c r="I47" s="13">
        <v>513</v>
      </c>
      <c r="J47" s="13" t="s">
        <v>17</v>
      </c>
      <c r="M47" s="67"/>
    </row>
    <row r="48" spans="1:15" s="20" customFormat="1" ht="16.5" customHeight="1" thickBot="1">
      <c r="A48" s="17" t="s">
        <v>184</v>
      </c>
      <c r="B48" s="19" t="s">
        <v>6</v>
      </c>
      <c r="C48" s="13">
        <v>208</v>
      </c>
      <c r="D48" s="13">
        <v>360</v>
      </c>
      <c r="E48" s="13">
        <v>364</v>
      </c>
      <c r="F48" s="13">
        <v>375</v>
      </c>
      <c r="G48" s="13">
        <v>379</v>
      </c>
      <c r="H48" s="13" t="s">
        <v>17</v>
      </c>
    </row>
    <row r="49" spans="1:16" s="20" customFormat="1" ht="16.5" customHeight="1" thickBot="1">
      <c r="A49" s="17" t="s">
        <v>185</v>
      </c>
      <c r="B49" s="13" t="s">
        <v>10</v>
      </c>
      <c r="C49" s="13">
        <v>118</v>
      </c>
      <c r="D49" s="13">
        <v>139</v>
      </c>
      <c r="E49" s="13">
        <v>143</v>
      </c>
      <c r="F49" s="13" t="s">
        <v>17</v>
      </c>
    </row>
    <row r="50" spans="1:16" s="20" customFormat="1" ht="14.25"/>
    <row r="51" spans="1:16" s="20" customFormat="1" ht="16.5" customHeight="1">
      <c r="A51" s="6" t="s">
        <v>537</v>
      </c>
    </row>
    <row r="52" spans="1:16" s="20" customFormat="1" ht="9.75" customHeight="1" thickBot="1">
      <c r="A52" s="6"/>
    </row>
    <row r="53" spans="1:16" s="20" customFormat="1" ht="16.5" customHeight="1" thickBot="1">
      <c r="A53" s="8" t="s">
        <v>0</v>
      </c>
      <c r="B53" s="9" t="s">
        <v>1</v>
      </c>
      <c r="C53" s="9" t="s">
        <v>2</v>
      </c>
      <c r="D53" s="9">
        <v>2</v>
      </c>
      <c r="E53" s="9">
        <v>3</v>
      </c>
      <c r="F53" s="9">
        <v>4</v>
      </c>
      <c r="G53" s="9">
        <v>5</v>
      </c>
      <c r="H53" s="9">
        <v>6</v>
      </c>
      <c r="I53" s="9">
        <v>7</v>
      </c>
      <c r="J53" s="9">
        <v>8</v>
      </c>
      <c r="K53" s="9">
        <v>9</v>
      </c>
      <c r="L53" s="9"/>
      <c r="M53" s="42" t="s">
        <v>99</v>
      </c>
      <c r="N53" s="40">
        <f>SUM(7804/12221)</f>
        <v>0.63857294820391131</v>
      </c>
    </row>
    <row r="54" spans="1:16" s="20" customFormat="1" ht="16.5" customHeight="1" thickBot="1">
      <c r="A54" s="10" t="s">
        <v>186</v>
      </c>
      <c r="B54" s="15" t="s">
        <v>6</v>
      </c>
      <c r="C54" s="12">
        <v>1411</v>
      </c>
      <c r="D54" s="13"/>
      <c r="E54" s="14"/>
      <c r="F54" s="13"/>
      <c r="G54" s="13"/>
      <c r="H54" s="13"/>
      <c r="I54" s="14"/>
      <c r="J54" s="13"/>
      <c r="K54" s="14"/>
      <c r="L54" s="14" t="s">
        <v>41</v>
      </c>
      <c r="M54" s="41"/>
      <c r="N54" s="42" t="s">
        <v>63</v>
      </c>
      <c r="O54" s="42" t="s">
        <v>64</v>
      </c>
      <c r="P54" s="42" t="s">
        <v>65</v>
      </c>
    </row>
    <row r="55" spans="1:16" s="20" customFormat="1" ht="16.5" customHeight="1" thickBot="1">
      <c r="A55" s="10" t="s">
        <v>187</v>
      </c>
      <c r="B55" s="11" t="s">
        <v>4</v>
      </c>
      <c r="C55" s="12">
        <v>1158</v>
      </c>
      <c r="D55" s="13"/>
      <c r="E55" s="13"/>
      <c r="F55" s="14"/>
      <c r="G55" s="13"/>
      <c r="H55" s="13"/>
      <c r="I55" s="14"/>
      <c r="J55" s="13"/>
      <c r="K55" s="13"/>
      <c r="L55" s="14" t="s">
        <v>42</v>
      </c>
      <c r="M55" s="43" t="s">
        <v>4</v>
      </c>
      <c r="N55" s="44">
        <f>SUM(C55+C56+C61+C62+C63)</f>
        <v>3503</v>
      </c>
      <c r="O55" s="46">
        <f>SUM(N55/$N$59)</f>
        <v>0.45629803308584083</v>
      </c>
      <c r="P55" s="41">
        <v>3</v>
      </c>
    </row>
    <row r="56" spans="1:16" s="20" customFormat="1" ht="16.5" customHeight="1" thickBot="1">
      <c r="A56" s="10" t="s">
        <v>188</v>
      </c>
      <c r="B56" s="11" t="s">
        <v>4</v>
      </c>
      <c r="C56" s="16">
        <v>1040</v>
      </c>
      <c r="D56" s="12">
        <v>1157</v>
      </c>
      <c r="E56" s="13"/>
      <c r="F56" s="13"/>
      <c r="G56" s="13"/>
      <c r="H56" s="13"/>
      <c r="I56" s="14"/>
      <c r="J56" s="14"/>
      <c r="K56" s="13"/>
      <c r="L56" s="14" t="s">
        <v>43</v>
      </c>
      <c r="M56" s="45" t="s">
        <v>6</v>
      </c>
      <c r="N56" s="44">
        <f>SUM(C54+C58+C59)</f>
        <v>2622</v>
      </c>
      <c r="O56" s="46">
        <f>SUM(N56/$N$59)</f>
        <v>0.34153966393122315</v>
      </c>
      <c r="P56" s="41">
        <v>2</v>
      </c>
    </row>
    <row r="57" spans="1:16" s="20" customFormat="1" ht="16.5" customHeight="1" thickBot="1">
      <c r="A57" s="10" t="s">
        <v>189</v>
      </c>
      <c r="B57" s="31" t="s">
        <v>60</v>
      </c>
      <c r="C57" s="13">
        <v>813</v>
      </c>
      <c r="D57" s="13">
        <v>839</v>
      </c>
      <c r="E57" s="13">
        <v>919</v>
      </c>
      <c r="F57" s="13">
        <v>930</v>
      </c>
      <c r="G57" s="13">
        <v>938</v>
      </c>
      <c r="H57" s="13">
        <v>994</v>
      </c>
      <c r="I57" s="16">
        <v>1056</v>
      </c>
      <c r="J57" s="12">
        <v>1236</v>
      </c>
      <c r="K57" s="13"/>
      <c r="L57" s="14" t="s">
        <v>44</v>
      </c>
      <c r="M57" s="66" t="s">
        <v>60</v>
      </c>
      <c r="N57" s="44">
        <f>SUM(C57+C64)</f>
        <v>1005</v>
      </c>
      <c r="O57" s="46">
        <f>SUM(N57/$N$59)</f>
        <v>0.13091051191871825</v>
      </c>
      <c r="P57" s="41">
        <v>1</v>
      </c>
    </row>
    <row r="58" spans="1:16" s="20" customFormat="1" ht="16.5" customHeight="1" thickBot="1">
      <c r="A58" s="10" t="s">
        <v>190</v>
      </c>
      <c r="B58" s="15" t="s">
        <v>6</v>
      </c>
      <c r="C58" s="13">
        <v>639</v>
      </c>
      <c r="D58" s="13">
        <v>699</v>
      </c>
      <c r="E58" s="13">
        <v>720</v>
      </c>
      <c r="F58" s="13">
        <v>727</v>
      </c>
      <c r="G58" s="13">
        <v>740</v>
      </c>
      <c r="H58" s="13">
        <v>855</v>
      </c>
      <c r="I58" s="13">
        <v>946</v>
      </c>
      <c r="J58" s="16">
        <v>1011</v>
      </c>
      <c r="K58" s="12">
        <v>1045</v>
      </c>
      <c r="L58" s="14" t="s">
        <v>45</v>
      </c>
      <c r="M58" s="65" t="s">
        <v>51</v>
      </c>
      <c r="N58" s="44">
        <v>547</v>
      </c>
      <c r="O58" s="46">
        <f>SUM(N58/$N$59)</f>
        <v>7.1251791064217793E-2</v>
      </c>
      <c r="P58" s="41"/>
    </row>
    <row r="59" spans="1:16" s="20" customFormat="1" ht="16.5" customHeight="1" thickBot="1">
      <c r="A59" s="17" t="s">
        <v>191</v>
      </c>
      <c r="B59" s="19" t="s">
        <v>6</v>
      </c>
      <c r="C59" s="13">
        <v>572</v>
      </c>
      <c r="D59" s="13">
        <v>630</v>
      </c>
      <c r="E59" s="13">
        <v>639</v>
      </c>
      <c r="F59" s="13">
        <v>646</v>
      </c>
      <c r="G59" s="13">
        <v>654</v>
      </c>
      <c r="H59" s="13">
        <v>690</v>
      </c>
      <c r="I59" s="13">
        <v>745</v>
      </c>
      <c r="J59" s="13">
        <v>794</v>
      </c>
      <c r="K59" s="13">
        <v>809</v>
      </c>
      <c r="L59" s="14"/>
      <c r="M59" s="42"/>
      <c r="N59" s="72">
        <v>7677</v>
      </c>
      <c r="O59" s="40"/>
    </row>
    <row r="60" spans="1:16" s="20" customFormat="1" ht="16.5" customHeight="1" thickBot="1">
      <c r="A60" s="17" t="s">
        <v>192</v>
      </c>
      <c r="B60" s="21" t="s">
        <v>51</v>
      </c>
      <c r="C60" s="13">
        <v>547</v>
      </c>
      <c r="D60" s="13">
        <v>571</v>
      </c>
      <c r="E60" s="13">
        <v>599</v>
      </c>
      <c r="F60" s="13">
        <v>603</v>
      </c>
      <c r="G60" s="13">
        <v>613</v>
      </c>
      <c r="H60" s="13">
        <v>637</v>
      </c>
      <c r="I60" s="13">
        <v>678</v>
      </c>
      <c r="J60" s="13" t="s">
        <v>17</v>
      </c>
      <c r="L60" s="42"/>
    </row>
    <row r="61" spans="1:16" s="20" customFormat="1" ht="16.5" customHeight="1" thickBot="1">
      <c r="A61" s="10" t="s">
        <v>193</v>
      </c>
      <c r="B61" s="11" t="s">
        <v>4</v>
      </c>
      <c r="C61" s="13">
        <v>515</v>
      </c>
      <c r="D61" s="13">
        <v>521</v>
      </c>
      <c r="E61" s="13">
        <v>525</v>
      </c>
      <c r="F61" s="13">
        <v>537</v>
      </c>
      <c r="G61" s="13">
        <v>540</v>
      </c>
      <c r="H61" s="13">
        <v>598</v>
      </c>
      <c r="I61" s="13">
        <v>762</v>
      </c>
      <c r="J61" s="13">
        <v>828</v>
      </c>
      <c r="K61" s="14">
        <v>849</v>
      </c>
      <c r="L61" s="14" t="s">
        <v>494</v>
      </c>
    </row>
    <row r="62" spans="1:16" s="20" customFormat="1" ht="16.5" customHeight="1" thickBot="1">
      <c r="A62" s="17" t="s">
        <v>194</v>
      </c>
      <c r="B62" s="18" t="s">
        <v>4</v>
      </c>
      <c r="C62" s="13">
        <v>398</v>
      </c>
      <c r="D62" s="13">
        <v>410</v>
      </c>
      <c r="E62" s="13">
        <v>418</v>
      </c>
      <c r="F62" s="13">
        <v>430</v>
      </c>
      <c r="G62" s="13">
        <v>445</v>
      </c>
      <c r="H62" s="13">
        <v>536</v>
      </c>
      <c r="I62" s="13" t="s">
        <v>17</v>
      </c>
    </row>
    <row r="63" spans="1:16" s="20" customFormat="1" ht="16.5" customHeight="1" thickBot="1">
      <c r="A63" s="17" t="s">
        <v>195</v>
      </c>
      <c r="B63" s="18" t="s">
        <v>4</v>
      </c>
      <c r="C63" s="13">
        <v>392</v>
      </c>
      <c r="D63" s="13">
        <v>399</v>
      </c>
      <c r="E63" s="13">
        <v>410</v>
      </c>
      <c r="F63" s="13">
        <v>418</v>
      </c>
      <c r="G63" s="13">
        <v>421</v>
      </c>
      <c r="H63" s="13" t="s">
        <v>17</v>
      </c>
      <c r="N63" s="67"/>
    </row>
    <row r="64" spans="1:16" s="20" customFormat="1" ht="16.5" customHeight="1" thickBot="1">
      <c r="A64" s="17" t="s">
        <v>196</v>
      </c>
      <c r="B64" s="22" t="s">
        <v>60</v>
      </c>
      <c r="C64" s="13">
        <v>192</v>
      </c>
      <c r="D64" s="13">
        <v>196</v>
      </c>
      <c r="E64" s="13" t="s">
        <v>17</v>
      </c>
    </row>
    <row r="65" spans="1:9" s="20" customFormat="1" ht="14.25"/>
    <row r="66" spans="1:9">
      <c r="A66" s="4"/>
      <c r="B66" s="4" t="s">
        <v>66</v>
      </c>
      <c r="C66" s="23" t="s">
        <v>4</v>
      </c>
      <c r="D66" s="24" t="s">
        <v>6</v>
      </c>
      <c r="E66" s="25" t="s">
        <v>60</v>
      </c>
      <c r="F66" s="26" t="s">
        <v>51</v>
      </c>
      <c r="G66" s="4" t="s">
        <v>67</v>
      </c>
      <c r="H66" s="4"/>
      <c r="I66" s="4" t="s">
        <v>571</v>
      </c>
    </row>
    <row r="67" spans="1:9" s="106" customFormat="1" ht="14.25">
      <c r="A67" s="104" t="s">
        <v>63</v>
      </c>
      <c r="B67" s="105">
        <f>SUM(7204+7677+8514+5498+4056)</f>
        <v>32949</v>
      </c>
      <c r="C67" s="106">
        <f>SUM(N55+M40+H31+J20+M5)</f>
        <v>12325</v>
      </c>
      <c r="D67" s="106">
        <f>SUM(N56+M41+H32+J21+M6)</f>
        <v>12115</v>
      </c>
      <c r="E67" s="106">
        <f>SUM(N57+M42+M7)</f>
        <v>3434</v>
      </c>
      <c r="F67" s="106">
        <f>SUM(N58+M43+H33+M8)</f>
        <v>2546</v>
      </c>
      <c r="G67" s="106">
        <f>SUM(M44+J22+M9)</f>
        <v>2529</v>
      </c>
      <c r="I67" s="106">
        <f>SUM(12221+13445+5793+7418+10169)</f>
        <v>49046</v>
      </c>
    </row>
    <row r="68" spans="1:9" ht="14.25">
      <c r="A68" s="27" t="s">
        <v>64</v>
      </c>
      <c r="B68" s="29">
        <v>1</v>
      </c>
      <c r="C68" s="28">
        <f>SUM(C67/$B$67)</f>
        <v>0.37406294576466659</v>
      </c>
      <c r="D68" s="28">
        <f>SUM(D67/$B$67)</f>
        <v>0.36768945946766213</v>
      </c>
      <c r="E68" s="28">
        <f>SUM(E67/$B$67)</f>
        <v>0.10422167592339676</v>
      </c>
      <c r="F68" s="28">
        <f>SUM(F67/$B$67)</f>
        <v>7.7270933867492189E-2</v>
      </c>
      <c r="G68" s="28">
        <f>SUM(G67/$B$67)</f>
        <v>7.6754984976782306E-2</v>
      </c>
      <c r="I68" s="4" t="s">
        <v>99</v>
      </c>
    </row>
    <row r="69" spans="1:9" ht="14.25">
      <c r="A69" s="27" t="s">
        <v>65</v>
      </c>
      <c r="B69" s="4">
        <v>25</v>
      </c>
      <c r="C69">
        <v>10</v>
      </c>
      <c r="D69">
        <v>10</v>
      </c>
      <c r="E69">
        <v>3</v>
      </c>
      <c r="F69">
        <v>1</v>
      </c>
      <c r="G69">
        <v>1</v>
      </c>
      <c r="I69" s="28">
        <f>SUM(B67/I67)</f>
        <v>0.67179790400848183</v>
      </c>
    </row>
  </sheetData>
  <phoneticPr fontId="16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N67"/>
  <sheetViews>
    <sheetView tabSelected="1" workbookViewId="0">
      <selection activeCell="P1" sqref="P1"/>
    </sheetView>
  </sheetViews>
  <sheetFormatPr defaultRowHeight="12.75"/>
  <cols>
    <col min="1" max="1" width="25.28515625" customWidth="1"/>
    <col min="2" max="2" width="7.7109375" customWidth="1"/>
    <col min="3" max="3" width="9.7109375" customWidth="1"/>
    <col min="4" max="18" width="8.5703125" customWidth="1"/>
  </cols>
  <sheetData>
    <row r="1" spans="1:13" s="20" customFormat="1" ht="16.5" customHeight="1">
      <c r="A1" s="6" t="s">
        <v>569</v>
      </c>
    </row>
    <row r="2" spans="1:13" s="20" customFormat="1" ht="9.75" customHeight="1" thickBot="1">
      <c r="A2" s="7"/>
    </row>
    <row r="3" spans="1:13" s="20" customFormat="1" ht="16.5" customHeight="1" thickBot="1">
      <c r="A3" s="8" t="s">
        <v>0</v>
      </c>
      <c r="B3" s="9" t="s">
        <v>1</v>
      </c>
      <c r="C3" s="9" t="s">
        <v>2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51"/>
      <c r="J3" s="42" t="s">
        <v>99</v>
      </c>
      <c r="K3" s="40">
        <f>SUM(5964/8628)</f>
        <v>0.69123783031988872</v>
      </c>
    </row>
    <row r="4" spans="1:13" s="20" customFormat="1" ht="16.5" customHeight="1" thickBot="1">
      <c r="A4" s="10" t="s">
        <v>554</v>
      </c>
      <c r="B4" s="15" t="s">
        <v>6</v>
      </c>
      <c r="C4" s="12">
        <v>1437</v>
      </c>
      <c r="D4" s="16"/>
      <c r="E4" s="12"/>
      <c r="F4" s="16"/>
      <c r="G4" s="16"/>
      <c r="H4" s="16"/>
      <c r="I4" s="14" t="s">
        <v>41</v>
      </c>
      <c r="J4" s="41"/>
      <c r="K4" s="42" t="s">
        <v>63</v>
      </c>
      <c r="L4" s="42" t="s">
        <v>64</v>
      </c>
      <c r="M4" s="42" t="s">
        <v>65</v>
      </c>
    </row>
    <row r="5" spans="1:13" s="20" customFormat="1" ht="16.5" customHeight="1" thickBot="1">
      <c r="A5" s="10" t="s">
        <v>555</v>
      </c>
      <c r="B5" s="11" t="s">
        <v>4</v>
      </c>
      <c r="C5" s="16">
        <v>1113</v>
      </c>
      <c r="D5" s="12">
        <v>1208</v>
      </c>
      <c r="E5" s="16"/>
      <c r="F5" s="16"/>
      <c r="G5" s="16"/>
      <c r="H5" s="16"/>
      <c r="I5" s="14" t="s">
        <v>42</v>
      </c>
      <c r="J5" s="43" t="s">
        <v>4</v>
      </c>
      <c r="K5" s="44">
        <f>SUM(C5+C9)</f>
        <v>1726</v>
      </c>
      <c r="L5" s="46">
        <f>SUM(K5/K9)</f>
        <v>0.29244323957980345</v>
      </c>
      <c r="M5" s="41">
        <v>1</v>
      </c>
    </row>
    <row r="6" spans="1:13" s="20" customFormat="1" ht="16.5" customHeight="1" thickBot="1">
      <c r="A6" s="10" t="s">
        <v>354</v>
      </c>
      <c r="B6" s="15" t="s">
        <v>6</v>
      </c>
      <c r="C6" s="16">
        <v>713</v>
      </c>
      <c r="D6" s="16">
        <v>783</v>
      </c>
      <c r="E6" s="16">
        <v>796</v>
      </c>
      <c r="F6" s="16">
        <v>870</v>
      </c>
      <c r="G6" s="16">
        <v>880</v>
      </c>
      <c r="H6" s="12">
        <v>1119</v>
      </c>
      <c r="I6" s="14" t="s">
        <v>43</v>
      </c>
      <c r="J6" s="45" t="s">
        <v>6</v>
      </c>
      <c r="K6" s="44">
        <f>SUM(C4+C6+C7)</f>
        <v>2863</v>
      </c>
      <c r="L6" s="46">
        <f>SUM(K6/K9)</f>
        <v>0.48508980006777364</v>
      </c>
      <c r="M6" s="41">
        <v>3</v>
      </c>
    </row>
    <row r="7" spans="1:13" s="20" customFormat="1" ht="16.5" customHeight="1" thickBot="1">
      <c r="A7" s="10" t="s">
        <v>564</v>
      </c>
      <c r="B7" s="15" t="s">
        <v>6</v>
      </c>
      <c r="C7" s="16">
        <v>713</v>
      </c>
      <c r="D7" s="16">
        <v>762</v>
      </c>
      <c r="E7" s="16">
        <v>785</v>
      </c>
      <c r="F7" s="16">
        <v>994</v>
      </c>
      <c r="G7" s="16">
        <v>999</v>
      </c>
      <c r="H7" s="12">
        <v>1106</v>
      </c>
      <c r="I7" s="14" t="s">
        <v>44</v>
      </c>
      <c r="J7" s="65" t="s">
        <v>51</v>
      </c>
      <c r="K7" s="44">
        <v>645</v>
      </c>
      <c r="L7" s="46">
        <f>SUM(K7/K9)</f>
        <v>0.1092849881396137</v>
      </c>
      <c r="M7" s="41"/>
    </row>
    <row r="8" spans="1:13" s="20" customFormat="1" ht="16.5" customHeight="1" thickBot="1">
      <c r="A8" s="17" t="s">
        <v>556</v>
      </c>
      <c r="B8" s="21" t="s">
        <v>51</v>
      </c>
      <c r="C8" s="16">
        <v>645</v>
      </c>
      <c r="D8" s="16">
        <v>660</v>
      </c>
      <c r="E8" s="16">
        <v>666</v>
      </c>
      <c r="F8" s="16">
        <v>765</v>
      </c>
      <c r="G8" s="16">
        <v>768</v>
      </c>
      <c r="H8" s="16" t="s">
        <v>17</v>
      </c>
      <c r="J8" s="42" t="s">
        <v>67</v>
      </c>
      <c r="K8" s="44">
        <f>SUM(C10+C11)</f>
        <v>668</v>
      </c>
      <c r="L8" s="40">
        <f>SUM(K8/K9)</f>
        <v>0.11318197221280922</v>
      </c>
    </row>
    <row r="9" spans="1:13" s="20" customFormat="1" ht="16.5" customHeight="1" thickBot="1">
      <c r="A9" s="17" t="s">
        <v>557</v>
      </c>
      <c r="B9" s="18" t="s">
        <v>4</v>
      </c>
      <c r="C9" s="16">
        <v>613</v>
      </c>
      <c r="D9" s="16">
        <v>625</v>
      </c>
      <c r="E9" s="16">
        <v>644</v>
      </c>
      <c r="F9" s="16">
        <v>766</v>
      </c>
      <c r="G9" s="16">
        <v>775</v>
      </c>
      <c r="H9" s="16">
        <v>915</v>
      </c>
      <c r="I9" s="14"/>
      <c r="K9" s="72">
        <v>5902</v>
      </c>
    </row>
    <row r="10" spans="1:13" s="20" customFormat="1" ht="16.5" customHeight="1" thickBot="1">
      <c r="A10" s="17" t="s">
        <v>159</v>
      </c>
      <c r="B10" s="13" t="s">
        <v>10</v>
      </c>
      <c r="C10" s="16">
        <v>542</v>
      </c>
      <c r="D10" s="16">
        <v>554</v>
      </c>
      <c r="E10" s="16">
        <v>605</v>
      </c>
      <c r="F10" s="16" t="s">
        <v>17</v>
      </c>
      <c r="G10" s="67"/>
      <c r="H10" s="67"/>
    </row>
    <row r="11" spans="1:13" s="20" customFormat="1" ht="16.5" customHeight="1" thickBot="1">
      <c r="A11" s="17" t="s">
        <v>558</v>
      </c>
      <c r="B11" s="13" t="s">
        <v>10</v>
      </c>
      <c r="C11" s="16">
        <v>126</v>
      </c>
      <c r="D11" s="16">
        <v>129</v>
      </c>
      <c r="E11" s="16" t="s">
        <v>17</v>
      </c>
      <c r="F11" s="67"/>
      <c r="G11" s="67"/>
      <c r="H11" s="67"/>
    </row>
    <row r="12" spans="1:13" s="20" customFormat="1" ht="10.5" customHeight="1">
      <c r="A12" s="6"/>
      <c r="C12" s="67"/>
    </row>
    <row r="13" spans="1:13" s="20" customFormat="1" ht="17.45" customHeight="1">
      <c r="A13" s="6" t="s">
        <v>573</v>
      </c>
    </row>
    <row r="14" spans="1:13" s="20" customFormat="1" ht="8.25" customHeight="1" thickBot="1">
      <c r="A14" s="6"/>
    </row>
    <row r="15" spans="1:13" s="20" customFormat="1" ht="17.45" customHeight="1" thickBot="1">
      <c r="A15" s="8" t="s">
        <v>0</v>
      </c>
      <c r="B15" s="9" t="s">
        <v>1</v>
      </c>
      <c r="C15" s="9" t="s">
        <v>2</v>
      </c>
      <c r="D15" s="9">
        <v>2</v>
      </c>
      <c r="E15" s="9">
        <v>4</v>
      </c>
      <c r="F15" s="9"/>
      <c r="G15" s="42" t="s">
        <v>99</v>
      </c>
      <c r="H15" s="40">
        <f>SUM(5982/8294)</f>
        <v>0.72124427296841087</v>
      </c>
    </row>
    <row r="16" spans="1:13" s="20" customFormat="1" ht="16.5" customHeight="1" thickBot="1">
      <c r="A16" s="10" t="s">
        <v>162</v>
      </c>
      <c r="B16" s="14" t="s">
        <v>10</v>
      </c>
      <c r="C16" s="12">
        <v>2162</v>
      </c>
      <c r="D16" s="16"/>
      <c r="E16" s="16"/>
      <c r="F16" s="14" t="s">
        <v>41</v>
      </c>
      <c r="G16" s="41"/>
      <c r="H16" s="42" t="s">
        <v>63</v>
      </c>
      <c r="I16" s="42" t="s">
        <v>64</v>
      </c>
      <c r="J16" s="42" t="s">
        <v>65</v>
      </c>
    </row>
    <row r="17" spans="1:12" s="20" customFormat="1" ht="16.5" customHeight="1" thickBot="1">
      <c r="A17" s="10" t="s">
        <v>559</v>
      </c>
      <c r="B17" s="11" t="s">
        <v>4</v>
      </c>
      <c r="C17" s="16">
        <v>970</v>
      </c>
      <c r="D17" s="16">
        <v>1157</v>
      </c>
      <c r="E17" s="12">
        <v>1266</v>
      </c>
      <c r="F17" s="14" t="s">
        <v>43</v>
      </c>
      <c r="G17" s="43" t="s">
        <v>4</v>
      </c>
      <c r="H17" s="44">
        <f>SUM(C17+C19)</f>
        <v>1738</v>
      </c>
      <c r="I17" s="46">
        <f>SUM(H17/H20)</f>
        <v>0.29338284942606346</v>
      </c>
      <c r="J17" s="41">
        <v>1</v>
      </c>
    </row>
    <row r="18" spans="1:12" s="20" customFormat="1" ht="16.5" customHeight="1" thickBot="1">
      <c r="A18" s="10" t="s">
        <v>153</v>
      </c>
      <c r="B18" s="15" t="s">
        <v>6</v>
      </c>
      <c r="C18" s="16">
        <v>904</v>
      </c>
      <c r="D18" s="12">
        <v>1211</v>
      </c>
      <c r="E18" s="12"/>
      <c r="F18" s="14" t="s">
        <v>42</v>
      </c>
      <c r="G18" s="45" t="s">
        <v>6</v>
      </c>
      <c r="H18" s="44">
        <f>SUM(C18+C20)</f>
        <v>1670</v>
      </c>
      <c r="I18" s="46">
        <f>SUM(H18/H20)</f>
        <v>0.28190411883862254</v>
      </c>
      <c r="J18" s="41">
        <v>2</v>
      </c>
    </row>
    <row r="19" spans="1:12" s="20" customFormat="1" ht="16.5" customHeight="1" thickBot="1">
      <c r="A19" s="17" t="s">
        <v>163</v>
      </c>
      <c r="B19" s="18" t="s">
        <v>4</v>
      </c>
      <c r="C19" s="16">
        <v>768</v>
      </c>
      <c r="D19" s="16">
        <v>890</v>
      </c>
      <c r="E19" s="16">
        <v>960</v>
      </c>
      <c r="F19" s="14"/>
      <c r="G19" s="42" t="s">
        <v>67</v>
      </c>
      <c r="H19" s="67">
        <f>SUM(C21+C16)</f>
        <v>2516</v>
      </c>
      <c r="I19" s="40">
        <f>SUM(H19/H20)</f>
        <v>0.42471303173531399</v>
      </c>
      <c r="J19" s="20">
        <v>1</v>
      </c>
    </row>
    <row r="20" spans="1:12" s="20" customFormat="1" ht="16.5" customHeight="1" thickBot="1">
      <c r="A20" s="10" t="s">
        <v>164</v>
      </c>
      <c r="B20" s="15" t="s">
        <v>6</v>
      </c>
      <c r="C20" s="16">
        <v>766</v>
      </c>
      <c r="D20" s="16">
        <v>985</v>
      </c>
      <c r="E20" s="12">
        <v>1169</v>
      </c>
      <c r="F20" s="14" t="s">
        <v>44</v>
      </c>
      <c r="H20" s="72">
        <v>5924</v>
      </c>
    </row>
    <row r="21" spans="1:12" s="20" customFormat="1" ht="16.5" customHeight="1" thickBot="1">
      <c r="A21" s="17" t="s">
        <v>560</v>
      </c>
      <c r="B21" s="13" t="s">
        <v>10</v>
      </c>
      <c r="C21" s="16">
        <v>354</v>
      </c>
      <c r="D21" s="16">
        <v>496</v>
      </c>
      <c r="E21" s="16" t="s">
        <v>17</v>
      </c>
      <c r="F21" s="67"/>
    </row>
    <row r="22" spans="1:12" s="20" customFormat="1" ht="12" customHeight="1"/>
    <row r="23" spans="1:12" s="20" customFormat="1" ht="16.5" customHeight="1">
      <c r="A23" s="6" t="s">
        <v>570</v>
      </c>
    </row>
    <row r="24" spans="1:12" s="20" customFormat="1" ht="9.75" customHeight="1" thickBot="1">
      <c r="A24" s="6" t="s">
        <v>169</v>
      </c>
    </row>
    <row r="25" spans="1:12" s="20" customFormat="1" ht="16.5" customHeight="1" thickBot="1">
      <c r="A25" s="8" t="s">
        <v>0</v>
      </c>
      <c r="B25" s="9" t="s">
        <v>1</v>
      </c>
      <c r="C25" s="9" t="s">
        <v>2</v>
      </c>
      <c r="D25" s="9">
        <v>2</v>
      </c>
      <c r="E25" s="9">
        <v>3</v>
      </c>
      <c r="F25" s="9">
        <v>4</v>
      </c>
      <c r="G25" s="9">
        <v>5</v>
      </c>
      <c r="H25" s="9"/>
      <c r="I25" s="42" t="s">
        <v>99</v>
      </c>
      <c r="J25" s="40">
        <f>SUM(6474/8963)</f>
        <v>0.72230280040165118</v>
      </c>
    </row>
    <row r="26" spans="1:12" s="20" customFormat="1" ht="16.5" customHeight="1" thickBot="1">
      <c r="A26" s="10" t="s">
        <v>210</v>
      </c>
      <c r="B26" s="14" t="s">
        <v>10</v>
      </c>
      <c r="C26" s="12">
        <v>1408</v>
      </c>
      <c r="D26" s="16"/>
      <c r="E26" s="12"/>
      <c r="F26" s="16"/>
      <c r="G26" s="12"/>
      <c r="H26" s="14" t="s">
        <v>41</v>
      </c>
      <c r="I26" s="41"/>
      <c r="J26" s="42" t="s">
        <v>63</v>
      </c>
      <c r="K26" s="42" t="s">
        <v>64</v>
      </c>
      <c r="L26" s="42" t="s">
        <v>65</v>
      </c>
    </row>
    <row r="27" spans="1:12" s="20" customFormat="1" ht="16.5" customHeight="1" thickBot="1">
      <c r="A27" s="10" t="s">
        <v>170</v>
      </c>
      <c r="B27" s="11" t="s">
        <v>4</v>
      </c>
      <c r="C27" s="16">
        <v>1047</v>
      </c>
      <c r="D27" s="16">
        <v>1062</v>
      </c>
      <c r="E27" s="16">
        <v>1229</v>
      </c>
      <c r="F27" s="12">
        <v>1298</v>
      </c>
      <c r="G27" s="16"/>
      <c r="H27" s="14" t="s">
        <v>42</v>
      </c>
      <c r="I27" s="43" t="s">
        <v>4</v>
      </c>
      <c r="J27" s="44">
        <f>SUM(C27+C33)</f>
        <v>1412</v>
      </c>
      <c r="K27" s="46">
        <f>SUM(J27/J32)</f>
        <v>0.22000623247117482</v>
      </c>
      <c r="L27" s="41">
        <v>1</v>
      </c>
    </row>
    <row r="28" spans="1:12" s="20" customFormat="1" ht="16.5" customHeight="1" thickBot="1">
      <c r="A28" s="10" t="s">
        <v>171</v>
      </c>
      <c r="B28" s="15" t="s">
        <v>6</v>
      </c>
      <c r="C28" s="16">
        <v>1019</v>
      </c>
      <c r="D28" s="16">
        <v>1060</v>
      </c>
      <c r="E28" s="16">
        <v>1144</v>
      </c>
      <c r="F28" s="16">
        <v>1253</v>
      </c>
      <c r="G28" s="12">
        <v>1319</v>
      </c>
      <c r="H28" s="14" t="s">
        <v>43</v>
      </c>
      <c r="I28" s="45" t="s">
        <v>6</v>
      </c>
      <c r="J28" s="44">
        <f>SUM(C28:C30)</f>
        <v>2531</v>
      </c>
      <c r="K28" s="46">
        <f>SUM(J28/J32)</f>
        <v>0.39435961358678717</v>
      </c>
      <c r="L28" s="20">
        <v>2</v>
      </c>
    </row>
    <row r="29" spans="1:12" s="20" customFormat="1" ht="16.5" customHeight="1" thickBot="1">
      <c r="A29" s="10" t="s">
        <v>561</v>
      </c>
      <c r="B29" s="15" t="s">
        <v>6</v>
      </c>
      <c r="C29" s="16">
        <v>797</v>
      </c>
      <c r="D29" s="16">
        <v>802</v>
      </c>
      <c r="E29" s="16">
        <v>832</v>
      </c>
      <c r="F29" s="16">
        <v>856</v>
      </c>
      <c r="G29" s="12">
        <v>1298</v>
      </c>
      <c r="H29" s="14" t="s">
        <v>44</v>
      </c>
      <c r="I29" s="66" t="s">
        <v>60</v>
      </c>
      <c r="J29" s="67">
        <v>666</v>
      </c>
      <c r="K29" s="46">
        <f>SUM(J29/J32)</f>
        <v>0.10377064506076659</v>
      </c>
    </row>
    <row r="30" spans="1:12" s="20" customFormat="1" ht="16.5" customHeight="1" thickBot="1">
      <c r="A30" s="17" t="s">
        <v>172</v>
      </c>
      <c r="B30" s="19" t="s">
        <v>6</v>
      </c>
      <c r="C30" s="16">
        <v>715</v>
      </c>
      <c r="D30" s="16">
        <v>726</v>
      </c>
      <c r="E30" s="16">
        <v>749</v>
      </c>
      <c r="F30" s="16">
        <v>809</v>
      </c>
      <c r="G30" s="16">
        <v>856</v>
      </c>
      <c r="H30" s="14"/>
      <c r="I30" s="65" t="s">
        <v>51</v>
      </c>
      <c r="J30" s="67">
        <v>401</v>
      </c>
      <c r="K30" s="40">
        <f>SUM(J30/J32)</f>
        <v>6.2480523527578685E-2</v>
      </c>
    </row>
    <row r="31" spans="1:12" s="20" customFormat="1" ht="16.5" customHeight="1" thickBot="1">
      <c r="A31" s="17" t="s">
        <v>562</v>
      </c>
      <c r="B31" s="96" t="s">
        <v>60</v>
      </c>
      <c r="C31" s="16">
        <v>666</v>
      </c>
      <c r="D31" s="16">
        <v>674</v>
      </c>
      <c r="E31" s="16">
        <v>702</v>
      </c>
      <c r="F31" s="16">
        <v>779</v>
      </c>
      <c r="G31" s="12" t="s">
        <v>17</v>
      </c>
      <c r="I31" s="42" t="s">
        <v>67</v>
      </c>
      <c r="J31" s="67">
        <v>1408</v>
      </c>
      <c r="K31" s="40">
        <f>SUM(J31/J32)</f>
        <v>0.21938298535369274</v>
      </c>
      <c r="L31" s="20">
        <v>1</v>
      </c>
    </row>
    <row r="32" spans="1:12" s="20" customFormat="1" ht="16.5" customHeight="1" thickBot="1">
      <c r="A32" s="17" t="s">
        <v>173</v>
      </c>
      <c r="B32" s="21" t="s">
        <v>51</v>
      </c>
      <c r="C32" s="16">
        <v>401</v>
      </c>
      <c r="D32" s="16">
        <v>430</v>
      </c>
      <c r="E32" s="16">
        <v>454</v>
      </c>
      <c r="F32" s="16" t="s">
        <v>17</v>
      </c>
      <c r="J32" s="72">
        <v>6418</v>
      </c>
    </row>
    <row r="33" spans="1:13" s="20" customFormat="1" ht="16.5" customHeight="1" thickBot="1">
      <c r="A33" s="17" t="s">
        <v>563</v>
      </c>
      <c r="B33" s="18" t="s">
        <v>4</v>
      </c>
      <c r="C33" s="16">
        <v>365</v>
      </c>
      <c r="D33" s="16">
        <v>380</v>
      </c>
      <c r="E33" s="16" t="s">
        <v>17</v>
      </c>
      <c r="J33" s="42"/>
      <c r="L33" s="40"/>
    </row>
    <row r="34" spans="1:13" s="20" customFormat="1" ht="12.75" customHeight="1"/>
    <row r="35" spans="1:13" s="20" customFormat="1" ht="16.5" customHeight="1">
      <c r="A35" s="6" t="s">
        <v>565</v>
      </c>
    </row>
    <row r="36" spans="1:13" s="20" customFormat="1" ht="10.5" customHeight="1" thickBot="1">
      <c r="A36" s="6"/>
    </row>
    <row r="37" spans="1:13" s="20" customFormat="1" ht="16.5" customHeight="1" thickBot="1">
      <c r="A37" s="8" t="s">
        <v>0</v>
      </c>
      <c r="B37" s="9" t="s">
        <v>1</v>
      </c>
      <c r="C37" s="9" t="s">
        <v>2</v>
      </c>
      <c r="D37" s="9">
        <v>2</v>
      </c>
      <c r="E37" s="9">
        <v>3</v>
      </c>
      <c r="F37" s="9">
        <v>4</v>
      </c>
      <c r="G37" s="9">
        <v>5</v>
      </c>
      <c r="H37" s="9">
        <v>6</v>
      </c>
      <c r="I37" s="9"/>
      <c r="J37" s="42" t="s">
        <v>99</v>
      </c>
      <c r="K37" s="40">
        <f>SUM(8226/13517)</f>
        <v>0.60856698971665313</v>
      </c>
    </row>
    <row r="38" spans="1:13" s="20" customFormat="1" ht="16.5" customHeight="1" thickBot="1">
      <c r="A38" s="10" t="s">
        <v>175</v>
      </c>
      <c r="B38" s="15" t="s">
        <v>6</v>
      </c>
      <c r="C38" s="12">
        <v>2019</v>
      </c>
      <c r="D38" s="16"/>
      <c r="E38" s="12"/>
      <c r="F38" s="16"/>
      <c r="G38" s="16"/>
      <c r="H38" s="16"/>
      <c r="I38" s="14" t="s">
        <v>41</v>
      </c>
      <c r="J38" s="41"/>
      <c r="K38" s="42" t="s">
        <v>63</v>
      </c>
      <c r="L38" s="42" t="s">
        <v>64</v>
      </c>
      <c r="M38" s="42" t="s">
        <v>65</v>
      </c>
    </row>
    <row r="39" spans="1:13" s="20" customFormat="1" ht="16.5" customHeight="1" thickBot="1">
      <c r="A39" s="10" t="s">
        <v>176</v>
      </c>
      <c r="B39" s="14" t="s">
        <v>10</v>
      </c>
      <c r="C39" s="12">
        <v>1366</v>
      </c>
      <c r="D39" s="16"/>
      <c r="E39" s="16"/>
      <c r="F39" s="16"/>
      <c r="G39" s="16"/>
      <c r="H39" s="16"/>
      <c r="I39" s="14" t="s">
        <v>42</v>
      </c>
      <c r="J39" s="43" t="s">
        <v>4</v>
      </c>
      <c r="K39" s="44">
        <f>SUM(C41+C43+C45)</f>
        <v>1846</v>
      </c>
      <c r="L39" s="46">
        <f>SUM(K39/K44)</f>
        <v>0.22731190740056642</v>
      </c>
      <c r="M39" s="41">
        <v>2</v>
      </c>
    </row>
    <row r="40" spans="1:13" s="20" customFormat="1" ht="16.5" customHeight="1" thickBot="1">
      <c r="A40" s="10" t="s">
        <v>177</v>
      </c>
      <c r="B40" s="57" t="s">
        <v>51</v>
      </c>
      <c r="C40" s="12">
        <v>1044</v>
      </c>
      <c r="D40" s="16"/>
      <c r="E40" s="16"/>
      <c r="F40" s="16"/>
      <c r="G40" s="16"/>
      <c r="H40" s="16"/>
      <c r="I40" s="14" t="s">
        <v>43</v>
      </c>
      <c r="J40" s="45" t="s">
        <v>6</v>
      </c>
      <c r="K40" s="44">
        <f>SUM(C38+C42+C46)</f>
        <v>3079</v>
      </c>
      <c r="L40" s="46">
        <f>SUM(K40/K44)</f>
        <v>0.37914049993843124</v>
      </c>
      <c r="M40" s="41">
        <v>2</v>
      </c>
    </row>
    <row r="41" spans="1:13" s="20" customFormat="1" ht="16.5" customHeight="1" thickBot="1">
      <c r="A41" s="10" t="s">
        <v>544</v>
      </c>
      <c r="B41" s="11" t="s">
        <v>4</v>
      </c>
      <c r="C41" s="16">
        <v>811</v>
      </c>
      <c r="D41" s="16">
        <v>1010</v>
      </c>
      <c r="E41" s="12">
        <v>1047</v>
      </c>
      <c r="F41" s="16"/>
      <c r="G41" s="16"/>
      <c r="H41" s="12"/>
      <c r="I41" s="14" t="s">
        <v>45</v>
      </c>
      <c r="J41" s="66" t="s">
        <v>60</v>
      </c>
      <c r="K41" s="44">
        <f>SUM(C44+C47)</f>
        <v>786</v>
      </c>
      <c r="L41" s="46">
        <f>SUM(K41/K44)</f>
        <v>9.6786110084964905E-2</v>
      </c>
      <c r="M41" s="41">
        <v>1</v>
      </c>
    </row>
    <row r="42" spans="1:13" s="20" customFormat="1" ht="16.5" customHeight="1" thickBot="1">
      <c r="A42" s="10" t="s">
        <v>545</v>
      </c>
      <c r="B42" s="15" t="s">
        <v>6</v>
      </c>
      <c r="C42" s="16">
        <v>682</v>
      </c>
      <c r="D42" s="16">
        <v>1015</v>
      </c>
      <c r="E42" s="12">
        <v>1075</v>
      </c>
      <c r="F42" s="16"/>
      <c r="G42" s="16"/>
      <c r="H42" s="16"/>
      <c r="I42" s="14" t="s">
        <v>44</v>
      </c>
      <c r="J42" s="65" t="s">
        <v>51</v>
      </c>
      <c r="K42" s="44">
        <v>1044</v>
      </c>
      <c r="L42" s="46">
        <f>SUM(K42/K44)</f>
        <v>0.12855559660140375</v>
      </c>
      <c r="M42" s="20">
        <v>1</v>
      </c>
    </row>
    <row r="43" spans="1:13" s="20" customFormat="1" ht="16.5" customHeight="1" thickBot="1">
      <c r="A43" s="10" t="s">
        <v>548</v>
      </c>
      <c r="B43" s="11" t="s">
        <v>4</v>
      </c>
      <c r="C43" s="16">
        <v>593</v>
      </c>
      <c r="D43" s="16">
        <v>688</v>
      </c>
      <c r="E43" s="16">
        <v>730</v>
      </c>
      <c r="F43" s="16">
        <v>734</v>
      </c>
      <c r="G43" s="16">
        <v>778</v>
      </c>
      <c r="H43" s="12">
        <v>985</v>
      </c>
      <c r="I43" s="14" t="s">
        <v>494</v>
      </c>
      <c r="J43" s="42" t="s">
        <v>67</v>
      </c>
      <c r="K43" s="67">
        <v>1366</v>
      </c>
      <c r="L43" s="40">
        <f>SUM(K43/K44)</f>
        <v>0.16820588597463368</v>
      </c>
      <c r="M43" s="20">
        <v>1</v>
      </c>
    </row>
    <row r="44" spans="1:13" s="20" customFormat="1" ht="16.5" customHeight="1" thickBot="1">
      <c r="A44" s="10" t="s">
        <v>178</v>
      </c>
      <c r="B44" s="31" t="s">
        <v>60</v>
      </c>
      <c r="C44" s="16">
        <v>499</v>
      </c>
      <c r="D44" s="16">
        <v>580</v>
      </c>
      <c r="E44" s="16">
        <v>648</v>
      </c>
      <c r="F44" s="16">
        <v>655</v>
      </c>
      <c r="G44" s="16">
        <v>793</v>
      </c>
      <c r="H44" s="12">
        <v>840</v>
      </c>
      <c r="I44" s="14" t="s">
        <v>495</v>
      </c>
      <c r="K44" s="72">
        <v>8121</v>
      </c>
    </row>
    <row r="45" spans="1:13" s="20" customFormat="1" ht="16.5" customHeight="1" thickBot="1">
      <c r="A45" s="17" t="s">
        <v>180</v>
      </c>
      <c r="B45" s="18" t="s">
        <v>4</v>
      </c>
      <c r="C45" s="16">
        <v>442</v>
      </c>
      <c r="D45" s="16">
        <v>494</v>
      </c>
      <c r="E45" s="16">
        <v>509</v>
      </c>
      <c r="F45" s="16">
        <v>512</v>
      </c>
      <c r="G45" s="16">
        <v>532</v>
      </c>
      <c r="H45" s="16" t="s">
        <v>17</v>
      </c>
    </row>
    <row r="46" spans="1:13" s="20" customFormat="1" ht="16.5" customHeight="1" thickBot="1">
      <c r="A46" s="17" t="s">
        <v>547</v>
      </c>
      <c r="B46" s="19" t="s">
        <v>6</v>
      </c>
      <c r="C46" s="16">
        <v>378</v>
      </c>
      <c r="D46" s="16">
        <v>558</v>
      </c>
      <c r="E46" s="16">
        <v>605</v>
      </c>
      <c r="F46" s="16">
        <v>617</v>
      </c>
      <c r="G46" s="16">
        <v>689</v>
      </c>
      <c r="H46" s="16">
        <v>749</v>
      </c>
      <c r="I46" s="14"/>
      <c r="K46" s="67"/>
    </row>
    <row r="47" spans="1:13" s="20" customFormat="1" ht="16.5" customHeight="1" thickBot="1">
      <c r="A47" s="17" t="s">
        <v>546</v>
      </c>
      <c r="B47" s="22" t="s">
        <v>60</v>
      </c>
      <c r="C47" s="16">
        <v>287</v>
      </c>
      <c r="D47" s="16">
        <v>350</v>
      </c>
      <c r="E47" s="16">
        <v>431</v>
      </c>
      <c r="F47" s="16">
        <v>438</v>
      </c>
      <c r="G47" s="16" t="s">
        <v>17</v>
      </c>
    </row>
    <row r="48" spans="1:13" s="20" customFormat="1" ht="14.25">
      <c r="C48" s="67"/>
    </row>
    <row r="49" spans="1:14" s="20" customFormat="1" ht="16.5" customHeight="1">
      <c r="A49" s="6" t="s">
        <v>572</v>
      </c>
    </row>
    <row r="50" spans="1:14" s="20" customFormat="1" ht="9.75" customHeight="1" thickBot="1">
      <c r="A50" s="6"/>
    </row>
    <row r="51" spans="1:14" s="20" customFormat="1" ht="16.5" customHeight="1" thickBot="1">
      <c r="A51" s="8" t="s">
        <v>0</v>
      </c>
      <c r="B51" s="9" t="s">
        <v>1</v>
      </c>
      <c r="C51" s="9" t="s">
        <v>2</v>
      </c>
      <c r="D51" s="9">
        <v>2</v>
      </c>
      <c r="E51" s="9">
        <v>3</v>
      </c>
      <c r="F51" s="9">
        <v>4</v>
      </c>
      <c r="G51" s="9">
        <v>5</v>
      </c>
      <c r="H51" s="9">
        <v>6</v>
      </c>
      <c r="I51" s="9"/>
      <c r="J51" s="42" t="s">
        <v>99</v>
      </c>
      <c r="K51" s="40">
        <f>SUM(7822/12947)</f>
        <v>0.60415540279601454</v>
      </c>
    </row>
    <row r="52" spans="1:14" s="20" customFormat="1" ht="16.5" customHeight="1" thickBot="1">
      <c r="A52" s="10" t="s">
        <v>186</v>
      </c>
      <c r="B52" s="15" t="s">
        <v>6</v>
      </c>
      <c r="C52" s="12">
        <v>1528</v>
      </c>
      <c r="D52" s="16"/>
      <c r="E52" s="12"/>
      <c r="F52" s="16"/>
      <c r="G52" s="16"/>
      <c r="H52" s="16"/>
      <c r="I52" s="14" t="s">
        <v>41</v>
      </c>
      <c r="J52" s="41"/>
      <c r="K52" s="42" t="s">
        <v>63</v>
      </c>
      <c r="L52" s="42" t="s">
        <v>64</v>
      </c>
      <c r="M52" s="42" t="s">
        <v>65</v>
      </c>
    </row>
    <row r="53" spans="1:14" s="20" customFormat="1" ht="16.5" customHeight="1" thickBot="1">
      <c r="A53" s="10" t="s">
        <v>549</v>
      </c>
      <c r="B53" s="31" t="s">
        <v>60</v>
      </c>
      <c r="C53" s="16">
        <v>1047</v>
      </c>
      <c r="D53" s="16">
        <v>1084</v>
      </c>
      <c r="E53" s="16">
        <v>1090</v>
      </c>
      <c r="F53" s="12">
        <v>1149</v>
      </c>
      <c r="G53" s="16"/>
      <c r="H53" s="16"/>
      <c r="I53" s="14" t="s">
        <v>42</v>
      </c>
      <c r="J53" s="43" t="s">
        <v>4</v>
      </c>
      <c r="K53" s="44">
        <f>SUM(C54:C56)</f>
        <v>2260</v>
      </c>
      <c r="L53" s="46">
        <f>SUM(K53/$K$58)</f>
        <v>0.29255663430420714</v>
      </c>
      <c r="M53" s="41">
        <v>2</v>
      </c>
    </row>
    <row r="54" spans="1:14" s="20" customFormat="1" ht="16.5" customHeight="1" thickBot="1">
      <c r="A54" s="10" t="s">
        <v>551</v>
      </c>
      <c r="B54" s="11" t="s">
        <v>4</v>
      </c>
      <c r="C54" s="16">
        <v>844</v>
      </c>
      <c r="D54" s="16">
        <v>860</v>
      </c>
      <c r="E54" s="16">
        <v>861</v>
      </c>
      <c r="F54" s="16">
        <v>878</v>
      </c>
      <c r="G54" s="16">
        <v>926</v>
      </c>
      <c r="H54" s="12">
        <v>1001</v>
      </c>
      <c r="I54" s="14" t="s">
        <v>494</v>
      </c>
      <c r="J54" s="45" t="s">
        <v>6</v>
      </c>
      <c r="K54" s="44">
        <f>SUM(C52+C57+C59+C60)</f>
        <v>3271</v>
      </c>
      <c r="L54" s="46">
        <f>SUM(K54/$K$58)</f>
        <v>0.42343042071197412</v>
      </c>
      <c r="M54" s="41">
        <v>3</v>
      </c>
    </row>
    <row r="55" spans="1:14" s="20" customFormat="1" ht="16.5" customHeight="1" thickBot="1">
      <c r="A55" s="10" t="s">
        <v>188</v>
      </c>
      <c r="B55" s="11" t="s">
        <v>4</v>
      </c>
      <c r="C55" s="16">
        <v>708</v>
      </c>
      <c r="D55" s="16">
        <v>797</v>
      </c>
      <c r="E55" s="16">
        <v>806</v>
      </c>
      <c r="F55" s="16">
        <v>866</v>
      </c>
      <c r="G55" s="16">
        <v>983</v>
      </c>
      <c r="H55" s="12">
        <v>1028</v>
      </c>
      <c r="I55" s="14" t="s">
        <v>43</v>
      </c>
      <c r="J55" s="66" t="s">
        <v>60</v>
      </c>
      <c r="K55" s="44">
        <v>1047</v>
      </c>
      <c r="L55" s="46">
        <f>SUM(K55/$K$58)</f>
        <v>0.13553398058252428</v>
      </c>
      <c r="M55" s="41">
        <v>1</v>
      </c>
    </row>
    <row r="56" spans="1:14" s="20" customFormat="1" ht="16.5" customHeight="1" thickBot="1">
      <c r="A56" s="17" t="s">
        <v>193</v>
      </c>
      <c r="B56" s="18" t="s">
        <v>4</v>
      </c>
      <c r="C56" s="16">
        <v>708</v>
      </c>
      <c r="D56" s="16">
        <v>721</v>
      </c>
      <c r="E56" s="16">
        <v>723</v>
      </c>
      <c r="F56" s="16">
        <v>741</v>
      </c>
      <c r="G56" s="16">
        <v>811</v>
      </c>
      <c r="H56" s="16">
        <v>852</v>
      </c>
      <c r="I56" s="14"/>
      <c r="J56" s="65" t="s">
        <v>51</v>
      </c>
      <c r="K56" s="44">
        <v>619</v>
      </c>
      <c r="L56" s="46">
        <f>SUM(K56/$K$58)</f>
        <v>8.0129449838187705E-2</v>
      </c>
      <c r="M56" s="41"/>
    </row>
    <row r="57" spans="1:14" s="20" customFormat="1" ht="16.5" customHeight="1" thickBot="1">
      <c r="A57" s="10" t="s">
        <v>550</v>
      </c>
      <c r="B57" s="15" t="s">
        <v>6</v>
      </c>
      <c r="C57" s="16">
        <v>641</v>
      </c>
      <c r="D57" s="16">
        <v>697</v>
      </c>
      <c r="E57" s="16">
        <v>703</v>
      </c>
      <c r="F57" s="16">
        <v>761</v>
      </c>
      <c r="G57" s="16">
        <v>923</v>
      </c>
      <c r="H57" s="12">
        <v>1023</v>
      </c>
      <c r="I57" s="14" t="s">
        <v>44</v>
      </c>
      <c r="J57" s="42" t="s">
        <v>67</v>
      </c>
      <c r="K57" s="44">
        <f>SUM(C61:C62)</f>
        <v>528</v>
      </c>
      <c r="L57" s="46">
        <f>SUM(K57/$K$58)</f>
        <v>6.8349514563106797E-2</v>
      </c>
      <c r="M57" s="41"/>
    </row>
    <row r="58" spans="1:14" s="20" customFormat="1" ht="16.5" customHeight="1" thickBot="1">
      <c r="A58" s="17" t="s">
        <v>552</v>
      </c>
      <c r="B58" s="21" t="s">
        <v>51</v>
      </c>
      <c r="C58" s="16">
        <v>619</v>
      </c>
      <c r="D58" s="16">
        <v>646</v>
      </c>
      <c r="E58" s="16">
        <v>649</v>
      </c>
      <c r="F58" s="16">
        <v>697</v>
      </c>
      <c r="G58" s="16">
        <v>733</v>
      </c>
      <c r="H58" s="16" t="s">
        <v>17</v>
      </c>
      <c r="I58" s="42"/>
      <c r="J58" s="42"/>
      <c r="K58" s="72">
        <v>7725</v>
      </c>
      <c r="L58" s="40"/>
    </row>
    <row r="59" spans="1:14" s="20" customFormat="1" ht="16.5" customHeight="1" thickBot="1">
      <c r="A59" s="10" t="s">
        <v>244</v>
      </c>
      <c r="B59" s="15" t="s">
        <v>6</v>
      </c>
      <c r="C59" s="16">
        <v>564</v>
      </c>
      <c r="D59" s="16">
        <v>637</v>
      </c>
      <c r="E59" s="16">
        <v>638</v>
      </c>
      <c r="F59" s="16">
        <v>687</v>
      </c>
      <c r="G59" s="16">
        <v>873</v>
      </c>
      <c r="H59" s="12">
        <v>1016</v>
      </c>
      <c r="I59" s="14" t="s">
        <v>45</v>
      </c>
    </row>
    <row r="60" spans="1:14" s="20" customFormat="1" ht="16.5" customHeight="1" thickBot="1">
      <c r="A60" s="17" t="s">
        <v>190</v>
      </c>
      <c r="B60" s="19" t="s">
        <v>6</v>
      </c>
      <c r="C60" s="16">
        <v>538</v>
      </c>
      <c r="D60" s="16">
        <v>575</v>
      </c>
      <c r="E60" s="16">
        <v>576</v>
      </c>
      <c r="F60" s="16">
        <v>608</v>
      </c>
      <c r="G60" s="16" t="s">
        <v>17</v>
      </c>
    </row>
    <row r="61" spans="1:14" s="20" customFormat="1" ht="16.5" customHeight="1" thickBot="1">
      <c r="A61" s="17" t="s">
        <v>393</v>
      </c>
      <c r="B61" s="13" t="s">
        <v>10</v>
      </c>
      <c r="C61" s="16">
        <v>474</v>
      </c>
      <c r="D61" s="16">
        <v>546</v>
      </c>
      <c r="E61" s="16">
        <v>566</v>
      </c>
      <c r="F61" s="16" t="s">
        <v>17</v>
      </c>
      <c r="I61" s="67"/>
      <c r="J61" s="67"/>
      <c r="K61" s="67"/>
      <c r="N61" s="67"/>
    </row>
    <row r="62" spans="1:14" s="20" customFormat="1" ht="16.5" customHeight="1" thickBot="1">
      <c r="A62" s="17" t="s">
        <v>553</v>
      </c>
      <c r="B62" s="13" t="s">
        <v>10</v>
      </c>
      <c r="C62" s="16">
        <v>54</v>
      </c>
      <c r="D62" s="16">
        <v>58</v>
      </c>
      <c r="E62" s="16" t="s">
        <v>17</v>
      </c>
      <c r="F62" s="67"/>
      <c r="G62" s="67"/>
      <c r="H62" s="67"/>
      <c r="I62" s="67"/>
      <c r="J62" s="67"/>
      <c r="K62" s="67"/>
    </row>
    <row r="63" spans="1:14" s="20" customFormat="1" ht="14.25">
      <c r="C63" s="67"/>
    </row>
    <row r="64" spans="1:14">
      <c r="A64" s="4"/>
      <c r="B64" s="4" t="s">
        <v>66</v>
      </c>
      <c r="C64" s="23" t="s">
        <v>4</v>
      </c>
      <c r="D64" s="24" t="s">
        <v>6</v>
      </c>
      <c r="E64" s="25" t="s">
        <v>60</v>
      </c>
      <c r="F64" s="26" t="s">
        <v>51</v>
      </c>
      <c r="G64" s="4" t="s">
        <v>67</v>
      </c>
      <c r="I64" s="4" t="s">
        <v>571</v>
      </c>
    </row>
    <row r="65" spans="1:9" ht="14.25">
      <c r="A65" s="27" t="s">
        <v>63</v>
      </c>
      <c r="B65" s="97">
        <f>SUM(K58+K44+J32+H20+K9)</f>
        <v>34090</v>
      </c>
      <c r="C65" s="2">
        <f>SUM(K53+K39+J27+H17+K5)</f>
        <v>8982</v>
      </c>
      <c r="D65" s="2">
        <f>SUM(K54+K40+J28+H18+K6)</f>
        <v>13414</v>
      </c>
      <c r="E65" s="2">
        <f>SUM(K55+K41+J29)</f>
        <v>2499</v>
      </c>
      <c r="F65" s="2">
        <f>SUM(K56+K42+J30+K7)</f>
        <v>2709</v>
      </c>
      <c r="G65" s="2">
        <f>SUM(K57+K43+J31+H19+K8)</f>
        <v>6486</v>
      </c>
      <c r="H65" s="2"/>
      <c r="I65" s="106">
        <f>SUM(12947+13517+8963+8294+8628)</f>
        <v>52349</v>
      </c>
    </row>
    <row r="66" spans="1:9" ht="14.25">
      <c r="A66" s="27" t="s">
        <v>64</v>
      </c>
      <c r="B66" s="29">
        <v>1</v>
      </c>
      <c r="C66" s="28">
        <f>SUM(C65/$B$65)</f>
        <v>0.26347902610736285</v>
      </c>
      <c r="D66" s="28">
        <f>SUM(D65/$B$65)</f>
        <v>0.39348782634203577</v>
      </c>
      <c r="E66" s="28">
        <f>SUM(E65/$B$65)</f>
        <v>7.3305954825462011E-2</v>
      </c>
      <c r="F66" s="28">
        <f>SUM(F65/$B$65)</f>
        <v>7.9466119096509247E-2</v>
      </c>
      <c r="G66" s="28">
        <f>SUM(G65/$B$65)</f>
        <v>0.1902610736286301</v>
      </c>
      <c r="I66" s="4" t="s">
        <v>99</v>
      </c>
    </row>
    <row r="67" spans="1:9" ht="14.25">
      <c r="A67" s="27" t="s">
        <v>65</v>
      </c>
      <c r="B67" s="4">
        <v>25</v>
      </c>
      <c r="C67">
        <v>7</v>
      </c>
      <c r="D67">
        <v>12</v>
      </c>
      <c r="E67">
        <v>2</v>
      </c>
      <c r="F67">
        <v>1</v>
      </c>
      <c r="G67">
        <v>3</v>
      </c>
      <c r="I67" s="28">
        <f>SUM(B65/I65)</f>
        <v>0.65120632676841961</v>
      </c>
    </row>
  </sheetData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B1:H82"/>
  <sheetViews>
    <sheetView workbookViewId="0">
      <selection activeCell="K2" sqref="K2"/>
    </sheetView>
  </sheetViews>
  <sheetFormatPr defaultRowHeight="12.75"/>
  <cols>
    <col min="1" max="1" width="7" customWidth="1"/>
    <col min="2" max="2" width="9.140625" style="76"/>
    <col min="3" max="3" width="24.7109375" customWidth="1"/>
    <col min="5" max="5" width="18.140625" customWidth="1"/>
    <col min="6" max="6" width="9.140625" style="32"/>
    <col min="7" max="7" width="9.140625" style="2"/>
    <col min="8" max="8" width="12.7109375" style="85" customWidth="1"/>
    <col min="9" max="9" width="11.28515625" customWidth="1"/>
  </cols>
  <sheetData>
    <row r="1" spans="2:8" s="47" customFormat="1" ht="8.25" customHeight="1" thickBot="1">
      <c r="B1" s="101"/>
      <c r="F1" s="1"/>
      <c r="G1" s="98"/>
      <c r="H1" s="81"/>
    </row>
    <row r="2" spans="2:8" s="47" customFormat="1" ht="16.5" customHeight="1" thickBot="1">
      <c r="B2" s="102" t="s">
        <v>432</v>
      </c>
      <c r="C2" s="56" t="s">
        <v>0</v>
      </c>
      <c r="D2" s="56" t="s">
        <v>1</v>
      </c>
      <c r="E2" s="56" t="s">
        <v>433</v>
      </c>
      <c r="F2" s="56" t="s">
        <v>434</v>
      </c>
      <c r="G2" s="99" t="s">
        <v>435</v>
      </c>
      <c r="H2" s="82" t="s">
        <v>452</v>
      </c>
    </row>
    <row r="3" spans="2:8" s="47" customFormat="1" ht="16.5" thickBot="1">
      <c r="B3" s="79">
        <v>2162</v>
      </c>
      <c r="C3" s="49" t="s">
        <v>437</v>
      </c>
      <c r="D3" s="64" t="s">
        <v>10</v>
      </c>
      <c r="E3" s="49" t="s">
        <v>438</v>
      </c>
      <c r="F3" s="48">
        <v>2009</v>
      </c>
      <c r="G3" s="50">
        <v>1185</v>
      </c>
      <c r="H3" s="83">
        <f>SUM(B3/G3)</f>
        <v>1.8244725738396625</v>
      </c>
    </row>
    <row r="4" spans="2:8" s="47" customFormat="1" ht="16.5" thickBot="1">
      <c r="B4" s="79">
        <v>2054</v>
      </c>
      <c r="C4" s="49" t="s">
        <v>322</v>
      </c>
      <c r="D4" s="53" t="s">
        <v>6</v>
      </c>
      <c r="E4" s="49" t="s">
        <v>436</v>
      </c>
      <c r="F4" s="48">
        <v>2004</v>
      </c>
      <c r="G4" s="50">
        <v>1065</v>
      </c>
      <c r="H4" s="83">
        <f>SUM(B4/G4)</f>
        <v>1.9286384976525821</v>
      </c>
    </row>
    <row r="5" spans="2:8" s="47" customFormat="1" ht="16.5" thickBot="1">
      <c r="B5" s="79">
        <v>2019</v>
      </c>
      <c r="C5" s="49" t="s">
        <v>322</v>
      </c>
      <c r="D5" s="53" t="s">
        <v>6</v>
      </c>
      <c r="E5" s="49" t="s">
        <v>436</v>
      </c>
      <c r="F5" s="48">
        <v>2009</v>
      </c>
      <c r="G5" s="50">
        <v>1016</v>
      </c>
      <c r="H5" s="83">
        <f>SUM(B5/G5)</f>
        <v>1.9872047244094488</v>
      </c>
    </row>
    <row r="6" spans="2:8" s="47" customFormat="1" ht="16.5" thickBot="1">
      <c r="B6" s="79">
        <v>1790</v>
      </c>
      <c r="C6" s="49" t="s">
        <v>437</v>
      </c>
      <c r="D6" s="64" t="s">
        <v>10</v>
      </c>
      <c r="E6" s="49" t="s">
        <v>438</v>
      </c>
      <c r="F6" s="48">
        <v>2004</v>
      </c>
      <c r="G6" s="50">
        <v>1100</v>
      </c>
      <c r="H6" s="83">
        <f t="shared" ref="H6:H73" si="0">SUM(B6/G6)</f>
        <v>1.6272727272727272</v>
      </c>
    </row>
    <row r="7" spans="2:8" s="47" customFormat="1" ht="16.5" thickBot="1">
      <c r="B7" s="79">
        <v>1766</v>
      </c>
      <c r="C7" s="49" t="s">
        <v>439</v>
      </c>
      <c r="D7" s="53" t="s">
        <v>6</v>
      </c>
      <c r="E7" s="49" t="s">
        <v>440</v>
      </c>
      <c r="F7" s="48">
        <v>1945</v>
      </c>
      <c r="G7" s="50">
        <v>1012</v>
      </c>
      <c r="H7" s="83">
        <f t="shared" si="0"/>
        <v>1.7450592885375493</v>
      </c>
    </row>
    <row r="8" spans="2:8" s="47" customFormat="1" ht="16.5" thickBot="1">
      <c r="B8" s="79">
        <v>1698</v>
      </c>
      <c r="C8" s="49" t="s">
        <v>392</v>
      </c>
      <c r="D8" s="53" t="s">
        <v>6</v>
      </c>
      <c r="E8" s="49" t="s">
        <v>441</v>
      </c>
      <c r="F8" s="48">
        <v>1945</v>
      </c>
      <c r="G8" s="50">
        <v>1039</v>
      </c>
      <c r="H8" s="83">
        <f t="shared" si="0"/>
        <v>1.6342637151106834</v>
      </c>
    </row>
    <row r="9" spans="2:8" s="47" customFormat="1" ht="16.5" thickBot="1">
      <c r="B9" s="79">
        <v>1686</v>
      </c>
      <c r="C9" s="49" t="s">
        <v>439</v>
      </c>
      <c r="D9" s="53" t="s">
        <v>6</v>
      </c>
      <c r="E9" s="49" t="s">
        <v>440</v>
      </c>
      <c r="F9" s="48">
        <v>1942</v>
      </c>
      <c r="G9" s="50">
        <v>1134</v>
      </c>
      <c r="H9" s="83">
        <f t="shared" si="0"/>
        <v>1.4867724867724867</v>
      </c>
    </row>
    <row r="10" spans="2:8" s="47" customFormat="1" ht="16.5" thickBot="1">
      <c r="B10" s="79">
        <v>1641</v>
      </c>
      <c r="C10" s="49" t="s">
        <v>322</v>
      </c>
      <c r="D10" s="53" t="s">
        <v>6</v>
      </c>
      <c r="E10" s="49" t="s">
        <v>436</v>
      </c>
      <c r="F10" s="48">
        <v>1999</v>
      </c>
      <c r="G10" s="50">
        <v>1018</v>
      </c>
      <c r="H10" s="83">
        <f t="shared" si="0"/>
        <v>1.611984282907662</v>
      </c>
    </row>
    <row r="11" spans="2:8" s="47" customFormat="1" ht="16.5" thickBot="1">
      <c r="B11" s="79">
        <v>1591</v>
      </c>
      <c r="C11" s="49" t="s">
        <v>442</v>
      </c>
      <c r="D11" s="52" t="s">
        <v>4</v>
      </c>
      <c r="E11" s="49" t="s">
        <v>441</v>
      </c>
      <c r="F11" s="48">
        <v>1950</v>
      </c>
      <c r="G11" s="50">
        <v>996</v>
      </c>
      <c r="H11" s="83">
        <f t="shared" si="0"/>
        <v>1.5973895582329318</v>
      </c>
    </row>
    <row r="12" spans="2:8" s="47" customFormat="1" ht="16.5" thickBot="1">
      <c r="B12" s="79">
        <v>1591</v>
      </c>
      <c r="C12" s="49" t="s">
        <v>346</v>
      </c>
      <c r="D12" s="52" t="s">
        <v>4</v>
      </c>
      <c r="E12" s="49" t="s">
        <v>441</v>
      </c>
      <c r="F12" s="48">
        <v>1974</v>
      </c>
      <c r="G12" s="50">
        <v>1065</v>
      </c>
      <c r="H12" s="83">
        <f t="shared" si="0"/>
        <v>1.4938967136150234</v>
      </c>
    </row>
    <row r="13" spans="2:8" s="47" customFormat="1" ht="16.5" thickBot="1">
      <c r="B13" s="79">
        <v>1547</v>
      </c>
      <c r="C13" s="49" t="s">
        <v>323</v>
      </c>
      <c r="D13" s="55" t="s">
        <v>60</v>
      </c>
      <c r="E13" s="49" t="s">
        <v>436</v>
      </c>
      <c r="F13" s="48">
        <v>1999</v>
      </c>
      <c r="G13" s="50">
        <v>1018</v>
      </c>
      <c r="H13" s="83">
        <f t="shared" si="0"/>
        <v>1.5196463654223968</v>
      </c>
    </row>
    <row r="14" spans="2:8" s="47" customFormat="1" ht="16.5" thickBot="1">
      <c r="B14" s="79">
        <v>1528</v>
      </c>
      <c r="C14" s="49" t="s">
        <v>278</v>
      </c>
      <c r="D14" s="53" t="s">
        <v>6</v>
      </c>
      <c r="E14" s="49" t="s">
        <v>443</v>
      </c>
      <c r="F14" s="48">
        <v>2009</v>
      </c>
      <c r="G14" s="50">
        <v>1104</v>
      </c>
      <c r="H14" s="83">
        <f>SUM(B14/G14)</f>
        <v>1.3840579710144927</v>
      </c>
    </row>
    <row r="15" spans="2:8" s="47" customFormat="1" ht="16.5" thickBot="1">
      <c r="B15" s="79">
        <v>1485</v>
      </c>
      <c r="C15" s="49" t="s">
        <v>442</v>
      </c>
      <c r="D15" s="52" t="s">
        <v>4</v>
      </c>
      <c r="E15" s="49" t="s">
        <v>441</v>
      </c>
      <c r="F15" s="48">
        <v>1955</v>
      </c>
      <c r="G15" s="50">
        <v>1024</v>
      </c>
      <c r="H15" s="83">
        <f t="shared" si="0"/>
        <v>1.4501953125</v>
      </c>
    </row>
    <row r="16" spans="2:8" s="47" customFormat="1" ht="16.5" thickBot="1">
      <c r="B16" s="79">
        <v>1482</v>
      </c>
      <c r="C16" s="49" t="s">
        <v>278</v>
      </c>
      <c r="D16" s="53" t="s">
        <v>6</v>
      </c>
      <c r="E16" s="49" t="s">
        <v>443</v>
      </c>
      <c r="F16" s="48">
        <v>1999</v>
      </c>
      <c r="G16" s="50">
        <v>974</v>
      </c>
      <c r="H16" s="83">
        <f t="shared" si="0"/>
        <v>1.5215605749486654</v>
      </c>
    </row>
    <row r="17" spans="2:8" s="47" customFormat="1" ht="16.5" thickBot="1">
      <c r="B17" s="79">
        <v>1475</v>
      </c>
      <c r="C17" s="49" t="s">
        <v>299</v>
      </c>
      <c r="D17" s="52" t="s">
        <v>4</v>
      </c>
      <c r="E17" s="49" t="s">
        <v>441</v>
      </c>
      <c r="F17" s="48">
        <v>1979</v>
      </c>
      <c r="G17" s="50">
        <v>1187</v>
      </c>
      <c r="H17" s="83">
        <f t="shared" si="0"/>
        <v>1.2426284751474306</v>
      </c>
    </row>
    <row r="18" spans="2:8" s="47" customFormat="1" ht="16.5" thickBot="1">
      <c r="B18" s="79">
        <v>1467</v>
      </c>
      <c r="C18" s="49" t="s">
        <v>145</v>
      </c>
      <c r="D18" s="49" t="s">
        <v>10</v>
      </c>
      <c r="E18" s="49" t="s">
        <v>441</v>
      </c>
      <c r="F18" s="48">
        <v>1950</v>
      </c>
      <c r="G18" s="50">
        <v>996</v>
      </c>
      <c r="H18" s="83">
        <f t="shared" si="0"/>
        <v>1.4728915662650603</v>
      </c>
    </row>
    <row r="19" spans="2:8" s="47" customFormat="1" ht="16.5" thickBot="1">
      <c r="B19" s="79">
        <v>1437</v>
      </c>
      <c r="C19" s="49" t="s">
        <v>152</v>
      </c>
      <c r="D19" s="53" t="s">
        <v>6</v>
      </c>
      <c r="E19" s="49" t="s">
        <v>440</v>
      </c>
      <c r="F19" s="48">
        <v>2009</v>
      </c>
      <c r="G19" s="50">
        <v>1181</v>
      </c>
      <c r="H19" s="83">
        <f>SUM(B19/G19)</f>
        <v>1.2167654530059271</v>
      </c>
    </row>
    <row r="20" spans="2:8" s="47" customFormat="1" ht="16.5" thickBot="1">
      <c r="B20" s="79">
        <v>1435</v>
      </c>
      <c r="C20" s="49" t="s">
        <v>151</v>
      </c>
      <c r="D20" s="52" t="s">
        <v>4</v>
      </c>
      <c r="E20" s="49" t="s">
        <v>440</v>
      </c>
      <c r="F20" s="48">
        <v>2004</v>
      </c>
      <c r="G20" s="50">
        <v>1201</v>
      </c>
      <c r="H20" s="83">
        <f t="shared" si="0"/>
        <v>1.1948376353039134</v>
      </c>
    </row>
    <row r="21" spans="2:8" s="47" customFormat="1" ht="16.5" thickBot="1">
      <c r="B21" s="79">
        <v>1429</v>
      </c>
      <c r="C21" s="49" t="s">
        <v>444</v>
      </c>
      <c r="D21" s="53" t="s">
        <v>6</v>
      </c>
      <c r="E21" s="49" t="s">
        <v>441</v>
      </c>
      <c r="F21" s="48">
        <v>1950</v>
      </c>
      <c r="G21" s="50">
        <v>996</v>
      </c>
      <c r="H21" s="83">
        <f t="shared" si="0"/>
        <v>1.4347389558232932</v>
      </c>
    </row>
    <row r="22" spans="2:8" s="47" customFormat="1" ht="16.5" thickBot="1">
      <c r="B22" s="79">
        <v>1420</v>
      </c>
      <c r="C22" s="49" t="s">
        <v>444</v>
      </c>
      <c r="D22" s="53" t="s">
        <v>6</v>
      </c>
      <c r="E22" s="49" t="s">
        <v>441</v>
      </c>
      <c r="F22" s="48">
        <v>1955</v>
      </c>
      <c r="G22" s="50">
        <v>1024</v>
      </c>
      <c r="H22" s="83">
        <f t="shared" si="0"/>
        <v>1.38671875</v>
      </c>
    </row>
    <row r="23" spans="2:8" s="47" customFormat="1" ht="16.5" thickBot="1">
      <c r="B23" s="79">
        <v>1414</v>
      </c>
      <c r="C23" s="49" t="s">
        <v>392</v>
      </c>
      <c r="D23" s="53" t="s">
        <v>6</v>
      </c>
      <c r="E23" s="49" t="s">
        <v>441</v>
      </c>
      <c r="F23" s="48">
        <v>1942</v>
      </c>
      <c r="G23" s="50">
        <v>1043</v>
      </c>
      <c r="H23" s="83">
        <f t="shared" si="0"/>
        <v>1.3557046979865772</v>
      </c>
    </row>
    <row r="24" spans="2:8" s="47" customFormat="1" ht="16.5" thickBot="1">
      <c r="B24" s="79">
        <v>1411</v>
      </c>
      <c r="C24" s="49" t="s">
        <v>278</v>
      </c>
      <c r="D24" s="53" t="s">
        <v>6</v>
      </c>
      <c r="E24" s="49" t="s">
        <v>443</v>
      </c>
      <c r="F24" s="48">
        <v>2004</v>
      </c>
      <c r="G24" s="50">
        <v>1097</v>
      </c>
      <c r="H24" s="83">
        <f t="shared" si="0"/>
        <v>1.2862351868732909</v>
      </c>
    </row>
    <row r="25" spans="2:8" s="47" customFormat="1" ht="16.5" thickBot="1">
      <c r="B25" s="79">
        <v>1408</v>
      </c>
      <c r="C25" s="49" t="s">
        <v>210</v>
      </c>
      <c r="D25" s="49" t="s">
        <v>10</v>
      </c>
      <c r="E25" s="49" t="s">
        <v>447</v>
      </c>
      <c r="F25" s="48">
        <v>2009</v>
      </c>
      <c r="G25" s="50">
        <v>1284</v>
      </c>
      <c r="H25" s="83">
        <f>SUM(B25/G25)</f>
        <v>1.0965732087227413</v>
      </c>
    </row>
    <row r="26" spans="2:8" s="47" customFormat="1" ht="16.5" thickBot="1">
      <c r="B26" s="79">
        <v>1366</v>
      </c>
      <c r="C26" s="49" t="s">
        <v>323</v>
      </c>
      <c r="D26" s="49" t="s">
        <v>10</v>
      </c>
      <c r="E26" s="49" t="s">
        <v>436</v>
      </c>
      <c r="F26" s="48">
        <v>2009</v>
      </c>
      <c r="G26" s="50">
        <v>1016</v>
      </c>
      <c r="H26" s="83">
        <f>SUM(B26/G26)</f>
        <v>1.344488188976378</v>
      </c>
    </row>
    <row r="27" spans="2:8" s="47" customFormat="1" ht="16.5" thickBot="1">
      <c r="B27" s="79">
        <v>1316</v>
      </c>
      <c r="C27" s="49" t="s">
        <v>445</v>
      </c>
      <c r="D27" s="52" t="s">
        <v>4</v>
      </c>
      <c r="E27" s="49" t="s">
        <v>440</v>
      </c>
      <c r="F27" s="48">
        <v>1955</v>
      </c>
      <c r="G27" s="50">
        <v>1043</v>
      </c>
      <c r="H27" s="83">
        <f t="shared" si="0"/>
        <v>1.261744966442953</v>
      </c>
    </row>
    <row r="28" spans="2:8" s="47" customFormat="1" ht="16.5" thickBot="1">
      <c r="B28" s="79">
        <v>1312</v>
      </c>
      <c r="C28" s="49" t="s">
        <v>442</v>
      </c>
      <c r="D28" s="52" t="s">
        <v>4</v>
      </c>
      <c r="E28" s="49" t="s">
        <v>441</v>
      </c>
      <c r="F28" s="48">
        <v>1967</v>
      </c>
      <c r="G28" s="50">
        <v>1137</v>
      </c>
      <c r="H28" s="83">
        <f t="shared" si="0"/>
        <v>1.1539138082673703</v>
      </c>
    </row>
    <row r="29" spans="2:8" s="47" customFormat="1" ht="16.5" thickBot="1">
      <c r="B29" s="79">
        <v>1269</v>
      </c>
      <c r="C29" s="49" t="s">
        <v>49</v>
      </c>
      <c r="D29" s="49" t="s">
        <v>10</v>
      </c>
      <c r="E29" s="49" t="s">
        <v>441</v>
      </c>
      <c r="F29" s="48">
        <v>1960</v>
      </c>
      <c r="G29" s="50">
        <v>947</v>
      </c>
      <c r="H29" s="83">
        <f t="shared" si="0"/>
        <v>1.3400211193241816</v>
      </c>
    </row>
    <row r="30" spans="2:8" s="47" customFormat="1" ht="16.5" thickBot="1">
      <c r="B30" s="79">
        <v>1256</v>
      </c>
      <c r="C30" s="49" t="s">
        <v>600</v>
      </c>
      <c r="D30" s="54" t="s">
        <v>51</v>
      </c>
      <c r="E30" s="49" t="s">
        <v>441</v>
      </c>
      <c r="F30" s="48">
        <v>1920</v>
      </c>
      <c r="G30" s="50">
        <v>879</v>
      </c>
      <c r="H30" s="83">
        <f t="shared" ref="H30" si="1">SUM(B30/G30)</f>
        <v>1.428896473265074</v>
      </c>
    </row>
    <row r="31" spans="2:8" s="47" customFormat="1" ht="16.5" thickBot="1">
      <c r="B31" s="79">
        <v>1254</v>
      </c>
      <c r="C31" s="49" t="s">
        <v>446</v>
      </c>
      <c r="D31" s="52" t="s">
        <v>4</v>
      </c>
      <c r="E31" s="49" t="s">
        <v>447</v>
      </c>
      <c r="F31" s="48">
        <v>2004</v>
      </c>
      <c r="G31" s="50">
        <v>1015</v>
      </c>
      <c r="H31" s="83">
        <f t="shared" si="0"/>
        <v>1.2354679802955666</v>
      </c>
    </row>
    <row r="32" spans="2:8" s="47" customFormat="1" ht="16.5" thickBot="1">
      <c r="B32" s="79">
        <v>1252</v>
      </c>
      <c r="C32" s="49" t="s">
        <v>54</v>
      </c>
      <c r="D32" s="53" t="s">
        <v>6</v>
      </c>
      <c r="E32" s="49" t="s">
        <v>441</v>
      </c>
      <c r="F32" s="48">
        <v>1942</v>
      </c>
      <c r="G32" s="50">
        <v>1043</v>
      </c>
      <c r="H32" s="83">
        <f t="shared" si="0"/>
        <v>1.2003835091083412</v>
      </c>
    </row>
    <row r="33" spans="2:8" s="47" customFormat="1" ht="16.5" thickBot="1">
      <c r="B33" s="79">
        <v>1236</v>
      </c>
      <c r="C33" s="49" t="s">
        <v>293</v>
      </c>
      <c r="D33" s="53" t="s">
        <v>6</v>
      </c>
      <c r="E33" s="49" t="s">
        <v>447</v>
      </c>
      <c r="F33" s="48">
        <v>1985</v>
      </c>
      <c r="G33" s="50">
        <v>904</v>
      </c>
      <c r="H33" s="83">
        <f t="shared" si="0"/>
        <v>1.3672566371681416</v>
      </c>
    </row>
    <row r="34" spans="2:8" s="47" customFormat="1" ht="16.5" thickBot="1">
      <c r="B34" s="79">
        <v>1206</v>
      </c>
      <c r="C34" s="49" t="s">
        <v>211</v>
      </c>
      <c r="D34" s="54" t="s">
        <v>51</v>
      </c>
      <c r="E34" s="49" t="s">
        <v>436</v>
      </c>
      <c r="F34" s="48">
        <v>1999</v>
      </c>
      <c r="G34" s="50">
        <v>1018</v>
      </c>
      <c r="H34" s="83">
        <f t="shared" si="0"/>
        <v>1.1846758349705304</v>
      </c>
    </row>
    <row r="35" spans="2:8" s="47" customFormat="1" ht="16.5" thickBot="1">
      <c r="B35" s="79">
        <v>1201</v>
      </c>
      <c r="C35" s="49" t="s">
        <v>300</v>
      </c>
      <c r="D35" s="52" t="s">
        <v>4</v>
      </c>
      <c r="E35" s="49" t="s">
        <v>441</v>
      </c>
      <c r="F35" s="48">
        <v>1979</v>
      </c>
      <c r="G35" s="50">
        <v>1187</v>
      </c>
      <c r="H35" s="83">
        <f t="shared" si="0"/>
        <v>1.0117944397641112</v>
      </c>
    </row>
    <row r="36" spans="2:8" s="47" customFormat="1" ht="16.5" thickBot="1">
      <c r="B36" s="79">
        <v>1195</v>
      </c>
      <c r="C36" s="49" t="s">
        <v>341</v>
      </c>
      <c r="D36" s="52" t="s">
        <v>4</v>
      </c>
      <c r="E36" s="49" t="s">
        <v>447</v>
      </c>
      <c r="F36" s="48">
        <v>1974</v>
      </c>
      <c r="G36" s="50">
        <v>791</v>
      </c>
      <c r="H36" s="83">
        <f t="shared" si="0"/>
        <v>1.5107458912768648</v>
      </c>
    </row>
    <row r="37" spans="2:8" s="47" customFormat="1" ht="16.5" thickBot="1">
      <c r="B37" s="79">
        <v>1194</v>
      </c>
      <c r="C37" s="49" t="s">
        <v>591</v>
      </c>
      <c r="D37" s="54" t="s">
        <v>51</v>
      </c>
      <c r="E37" s="49" t="s">
        <v>447</v>
      </c>
      <c r="F37" s="48">
        <v>1920</v>
      </c>
      <c r="G37" s="50">
        <v>779</v>
      </c>
      <c r="H37" s="83">
        <f t="shared" ref="H37" si="2">SUM(B37/G37)</f>
        <v>1.5327342747111681</v>
      </c>
    </row>
    <row r="38" spans="2:8" s="47" customFormat="1" ht="16.5" thickBot="1">
      <c r="B38" s="79">
        <v>1193</v>
      </c>
      <c r="C38" s="49" t="s">
        <v>437</v>
      </c>
      <c r="D38" s="49" t="s">
        <v>10</v>
      </c>
      <c r="E38" s="49" t="s">
        <v>438</v>
      </c>
      <c r="F38" s="48">
        <v>1999</v>
      </c>
      <c r="G38" s="50">
        <v>1058</v>
      </c>
      <c r="H38" s="83">
        <f t="shared" si="0"/>
        <v>1.1275992438563327</v>
      </c>
    </row>
    <row r="39" spans="2:8" s="47" customFormat="1" ht="16.5" thickBot="1">
      <c r="B39" s="79">
        <v>1191</v>
      </c>
      <c r="C39" s="49" t="s">
        <v>442</v>
      </c>
      <c r="D39" s="52" t="s">
        <v>4</v>
      </c>
      <c r="E39" s="49" t="s">
        <v>441</v>
      </c>
      <c r="F39" s="48">
        <v>1960</v>
      </c>
      <c r="G39" s="50">
        <v>947</v>
      </c>
      <c r="H39" s="83">
        <f t="shared" si="0"/>
        <v>1.2576557550158396</v>
      </c>
    </row>
    <row r="40" spans="2:8" s="47" customFormat="1" ht="16.5" thickBot="1">
      <c r="B40" s="79">
        <v>1188</v>
      </c>
      <c r="C40" s="49" t="s">
        <v>145</v>
      </c>
      <c r="D40" s="55" t="s">
        <v>60</v>
      </c>
      <c r="E40" s="49" t="s">
        <v>441</v>
      </c>
      <c r="F40" s="48">
        <v>1945</v>
      </c>
      <c r="G40" s="50">
        <v>1039</v>
      </c>
      <c r="H40" s="83">
        <f t="shared" si="0"/>
        <v>1.1434071222329163</v>
      </c>
    </row>
    <row r="41" spans="2:8" s="47" customFormat="1" ht="16.5" thickBot="1">
      <c r="B41" s="79">
        <v>1187</v>
      </c>
      <c r="C41" s="49" t="s">
        <v>439</v>
      </c>
      <c r="D41" s="53" t="s">
        <v>6</v>
      </c>
      <c r="E41" s="49" t="s">
        <v>440</v>
      </c>
      <c r="F41" s="48">
        <v>1955</v>
      </c>
      <c r="G41" s="50">
        <v>1043</v>
      </c>
      <c r="H41" s="83">
        <f t="shared" si="0"/>
        <v>1.1380632790028764</v>
      </c>
    </row>
    <row r="42" spans="2:8" s="47" customFormat="1" ht="16.5" thickBot="1">
      <c r="B42" s="79">
        <v>1173</v>
      </c>
      <c r="C42" s="49" t="s">
        <v>11</v>
      </c>
      <c r="D42" s="53" t="s">
        <v>6</v>
      </c>
      <c r="E42" s="49" t="s">
        <v>440</v>
      </c>
      <c r="F42" s="48">
        <v>1967</v>
      </c>
      <c r="G42" s="50">
        <v>865</v>
      </c>
      <c r="H42" s="83">
        <f t="shared" si="0"/>
        <v>1.3560693641618498</v>
      </c>
    </row>
    <row r="43" spans="2:8" s="47" customFormat="1" ht="16.5" thickBot="1">
      <c r="B43" s="79">
        <v>1165</v>
      </c>
      <c r="C43" s="49" t="s">
        <v>11</v>
      </c>
      <c r="D43" s="53" t="s">
        <v>6</v>
      </c>
      <c r="E43" s="49" t="s">
        <v>440</v>
      </c>
      <c r="F43" s="48">
        <v>1960</v>
      </c>
      <c r="G43" s="50">
        <v>885</v>
      </c>
      <c r="H43" s="83">
        <f t="shared" si="0"/>
        <v>1.3163841807909604</v>
      </c>
    </row>
    <row r="44" spans="2:8" s="47" customFormat="1" ht="16.5" thickBot="1">
      <c r="B44" s="79">
        <v>1159</v>
      </c>
      <c r="C44" s="49" t="s">
        <v>445</v>
      </c>
      <c r="D44" s="52" t="s">
        <v>4</v>
      </c>
      <c r="E44" s="49" t="s">
        <v>440</v>
      </c>
      <c r="F44" s="48">
        <v>1960</v>
      </c>
      <c r="G44" s="50">
        <v>885</v>
      </c>
      <c r="H44" s="83">
        <f t="shared" si="0"/>
        <v>1.3096045197740114</v>
      </c>
    </row>
    <row r="45" spans="2:8" s="47" customFormat="1" ht="16.5" thickBot="1">
      <c r="B45" s="79">
        <v>1158</v>
      </c>
      <c r="C45" s="49" t="s">
        <v>187</v>
      </c>
      <c r="D45" s="52" t="s">
        <v>4</v>
      </c>
      <c r="E45" s="49" t="s">
        <v>443</v>
      </c>
      <c r="F45" s="48">
        <v>2004</v>
      </c>
      <c r="G45" s="50">
        <v>1097</v>
      </c>
      <c r="H45" s="83">
        <f t="shared" si="0"/>
        <v>1.0556061987237921</v>
      </c>
    </row>
    <row r="46" spans="2:8" s="47" customFormat="1" ht="16.5" thickBot="1">
      <c r="B46" s="79" t="s">
        <v>448</v>
      </c>
      <c r="C46" s="49" t="s">
        <v>323</v>
      </c>
      <c r="D46" s="49" t="s">
        <v>10</v>
      </c>
      <c r="E46" s="49" t="s">
        <v>441</v>
      </c>
      <c r="F46" s="48">
        <v>1979</v>
      </c>
      <c r="G46" s="50">
        <v>1187</v>
      </c>
      <c r="H46" s="83">
        <f>SUM(1154/1187)</f>
        <v>0.97219882055602358</v>
      </c>
    </row>
    <row r="47" spans="2:8" s="47" customFormat="1" ht="16.5" thickBot="1">
      <c r="B47" s="79">
        <v>1147</v>
      </c>
      <c r="C47" s="49" t="s">
        <v>323</v>
      </c>
      <c r="D47" s="55" t="s">
        <v>60</v>
      </c>
      <c r="E47" s="49" t="s">
        <v>436</v>
      </c>
      <c r="F47" s="48">
        <v>2004</v>
      </c>
      <c r="G47" s="50">
        <v>1065</v>
      </c>
      <c r="H47" s="83">
        <f t="shared" si="0"/>
        <v>1.0769953051643193</v>
      </c>
    </row>
    <row r="48" spans="2:8" s="47" customFormat="1" ht="16.5" thickBot="1">
      <c r="B48" s="79">
        <v>1140</v>
      </c>
      <c r="C48" s="49" t="s">
        <v>211</v>
      </c>
      <c r="D48" s="54" t="s">
        <v>51</v>
      </c>
      <c r="E48" s="49" t="s">
        <v>436</v>
      </c>
      <c r="F48" s="48">
        <v>2004</v>
      </c>
      <c r="G48" s="50">
        <v>1065</v>
      </c>
      <c r="H48" s="83">
        <f t="shared" si="0"/>
        <v>1.0704225352112675</v>
      </c>
    </row>
    <row r="49" spans="2:8" s="47" customFormat="1" ht="16.5" thickBot="1">
      <c r="B49" s="79">
        <v>1124</v>
      </c>
      <c r="C49" s="49" t="s">
        <v>449</v>
      </c>
      <c r="D49" s="52" t="s">
        <v>4</v>
      </c>
      <c r="E49" s="49" t="s">
        <v>440</v>
      </c>
      <c r="F49" s="48">
        <v>1945</v>
      </c>
      <c r="G49" s="50">
        <v>1012</v>
      </c>
      <c r="H49" s="83">
        <f t="shared" si="0"/>
        <v>1.1106719367588933</v>
      </c>
    </row>
    <row r="50" spans="2:8" s="47" customFormat="1" ht="16.5" thickBot="1">
      <c r="B50" s="79">
        <v>1124</v>
      </c>
      <c r="C50" s="49" t="s">
        <v>249</v>
      </c>
      <c r="D50" s="52" t="s">
        <v>4</v>
      </c>
      <c r="E50" s="49" t="s">
        <v>443</v>
      </c>
      <c r="F50" s="48">
        <v>1999</v>
      </c>
      <c r="G50" s="50">
        <v>974</v>
      </c>
      <c r="H50" s="83">
        <f t="shared" si="0"/>
        <v>1.1540041067761806</v>
      </c>
    </row>
    <row r="51" spans="2:8" s="47" customFormat="1" ht="16.5" thickBot="1">
      <c r="B51" s="79" t="s">
        <v>450</v>
      </c>
      <c r="C51" s="49" t="s">
        <v>322</v>
      </c>
      <c r="D51" s="53" t="s">
        <v>6</v>
      </c>
      <c r="E51" s="49" t="s">
        <v>441</v>
      </c>
      <c r="F51" s="48">
        <v>1979</v>
      </c>
      <c r="G51" s="50">
        <v>1187</v>
      </c>
      <c r="H51" s="83">
        <f>SUM(1116/1187)</f>
        <v>0.94018534119629316</v>
      </c>
    </row>
    <row r="52" spans="2:8" s="47" customFormat="1" ht="16.5" thickBot="1">
      <c r="B52" s="79" t="s">
        <v>566</v>
      </c>
      <c r="C52" s="49" t="s">
        <v>151</v>
      </c>
      <c r="D52" s="52" t="s">
        <v>4</v>
      </c>
      <c r="E52" s="49" t="s">
        <v>440</v>
      </c>
      <c r="F52" s="48">
        <v>2009</v>
      </c>
      <c r="G52" s="50">
        <v>1181</v>
      </c>
      <c r="H52" s="83">
        <v>0.94242167654530062</v>
      </c>
    </row>
    <row r="53" spans="2:8" s="47" customFormat="1" ht="16.5" thickBot="1">
      <c r="B53" s="79">
        <v>1107</v>
      </c>
      <c r="C53" s="49" t="s">
        <v>437</v>
      </c>
      <c r="D53" s="49" t="s">
        <v>10</v>
      </c>
      <c r="E53" s="49" t="s">
        <v>438</v>
      </c>
      <c r="F53" s="48">
        <v>1991</v>
      </c>
      <c r="G53" s="50">
        <v>863</v>
      </c>
      <c r="H53" s="83">
        <f t="shared" si="0"/>
        <v>1.2827346465816918</v>
      </c>
    </row>
    <row r="54" spans="2:8" s="47" customFormat="1" ht="16.5" thickBot="1">
      <c r="B54" s="79">
        <v>1102</v>
      </c>
      <c r="C54" s="49" t="s">
        <v>293</v>
      </c>
      <c r="D54" s="53" t="s">
        <v>6</v>
      </c>
      <c r="E54" s="49" t="s">
        <v>447</v>
      </c>
      <c r="F54" s="48">
        <v>1991</v>
      </c>
      <c r="G54" s="50">
        <v>842</v>
      </c>
      <c r="H54" s="83">
        <f t="shared" si="0"/>
        <v>1.3087885985748218</v>
      </c>
    </row>
    <row r="55" spans="2:8" s="47" customFormat="1" ht="16.5" thickBot="1">
      <c r="B55" s="79">
        <v>1091</v>
      </c>
      <c r="C55" s="49" t="s">
        <v>11</v>
      </c>
      <c r="D55" s="53" t="s">
        <v>6</v>
      </c>
      <c r="E55" s="49" t="s">
        <v>440</v>
      </c>
      <c r="F55" s="48">
        <v>1974</v>
      </c>
      <c r="G55" s="50">
        <v>942</v>
      </c>
      <c r="H55" s="83">
        <f t="shared" si="0"/>
        <v>1.1581740976645436</v>
      </c>
    </row>
    <row r="56" spans="2:8" s="47" customFormat="1" ht="16.5" thickBot="1">
      <c r="B56" s="79">
        <v>1090</v>
      </c>
      <c r="C56" s="49" t="s">
        <v>317</v>
      </c>
      <c r="D56" s="52" t="s">
        <v>4</v>
      </c>
      <c r="E56" s="49" t="s">
        <v>438</v>
      </c>
      <c r="F56" s="48">
        <v>1985</v>
      </c>
      <c r="G56" s="50">
        <v>973</v>
      </c>
      <c r="H56" s="83">
        <f t="shared" si="0"/>
        <v>1.1202466598150052</v>
      </c>
    </row>
    <row r="57" spans="2:8" s="47" customFormat="1" ht="16.5" thickBot="1">
      <c r="B57" s="79">
        <v>1075</v>
      </c>
      <c r="C57" s="49" t="s">
        <v>238</v>
      </c>
      <c r="D57" s="53" t="s">
        <v>6</v>
      </c>
      <c r="E57" s="49" t="s">
        <v>447</v>
      </c>
      <c r="F57" s="48">
        <v>2004</v>
      </c>
      <c r="G57" s="50">
        <v>1015</v>
      </c>
      <c r="H57" s="83">
        <f t="shared" si="0"/>
        <v>1.0591133004926108</v>
      </c>
    </row>
    <row r="58" spans="2:8" s="47" customFormat="1" ht="16.5" thickBot="1">
      <c r="B58" s="79">
        <v>1074</v>
      </c>
      <c r="C58" s="49" t="s">
        <v>54</v>
      </c>
      <c r="D58" s="53" t="s">
        <v>6</v>
      </c>
      <c r="E58" s="49" t="s">
        <v>441</v>
      </c>
      <c r="F58" s="48">
        <v>1945</v>
      </c>
      <c r="G58" s="50">
        <v>1039</v>
      </c>
      <c r="H58" s="83">
        <f t="shared" si="0"/>
        <v>1.0336862367661213</v>
      </c>
    </row>
    <row r="59" spans="2:8" s="47" customFormat="1" ht="16.5" thickBot="1">
      <c r="B59" s="79">
        <v>1066</v>
      </c>
      <c r="C59" s="49" t="s">
        <v>442</v>
      </c>
      <c r="D59" s="52" t="s">
        <v>4</v>
      </c>
      <c r="E59" s="49" t="s">
        <v>441</v>
      </c>
      <c r="F59" s="48">
        <v>1945</v>
      </c>
      <c r="G59" s="50">
        <v>1039</v>
      </c>
      <c r="H59" s="83">
        <f t="shared" si="0"/>
        <v>1.0259865255052936</v>
      </c>
    </row>
    <row r="60" spans="2:8" s="47" customFormat="1" ht="16.5" thickBot="1">
      <c r="B60" s="79">
        <v>1065</v>
      </c>
      <c r="C60" s="49" t="s">
        <v>341</v>
      </c>
      <c r="D60" s="52" t="s">
        <v>4</v>
      </c>
      <c r="E60" s="49" t="s">
        <v>447</v>
      </c>
      <c r="F60" s="48">
        <v>1979</v>
      </c>
      <c r="G60" s="50">
        <v>801</v>
      </c>
      <c r="H60" s="83">
        <f t="shared" si="0"/>
        <v>1.3295880149812733</v>
      </c>
    </row>
    <row r="61" spans="2:8" s="47" customFormat="1" ht="16.5" thickBot="1">
      <c r="B61" s="79">
        <v>1065</v>
      </c>
      <c r="C61" s="49" t="s">
        <v>240</v>
      </c>
      <c r="D61" s="53" t="s">
        <v>6</v>
      </c>
      <c r="E61" s="49" t="s">
        <v>436</v>
      </c>
      <c r="F61" s="48">
        <v>1999</v>
      </c>
      <c r="G61" s="50">
        <v>1018</v>
      </c>
      <c r="H61" s="83">
        <f t="shared" si="0"/>
        <v>1.0461689587426326</v>
      </c>
    </row>
    <row r="62" spans="2:8" s="47" customFormat="1" ht="16.5" thickBot="1">
      <c r="B62" s="79">
        <v>1056</v>
      </c>
      <c r="C62" s="49" t="s">
        <v>522</v>
      </c>
      <c r="D62" s="54" t="s">
        <v>51</v>
      </c>
      <c r="E62" s="49" t="s">
        <v>440</v>
      </c>
      <c r="F62" s="48">
        <v>1920</v>
      </c>
      <c r="G62" s="50">
        <v>683</v>
      </c>
      <c r="H62" s="83">
        <f>SUM(B62/G62)</f>
        <v>1.5461200585651538</v>
      </c>
    </row>
    <row r="63" spans="2:8" s="47" customFormat="1" ht="16.5" thickBot="1">
      <c r="B63" s="79" t="s">
        <v>567</v>
      </c>
      <c r="C63" s="49" t="s">
        <v>189</v>
      </c>
      <c r="D63" s="55" t="s">
        <v>60</v>
      </c>
      <c r="E63" s="49" t="s">
        <v>443</v>
      </c>
      <c r="F63" s="48">
        <v>2009</v>
      </c>
      <c r="G63" s="50">
        <v>1104</v>
      </c>
      <c r="H63" s="83">
        <f>SUM(1047/1104)</f>
        <v>0.94836956521739135</v>
      </c>
    </row>
    <row r="64" spans="2:8" s="47" customFormat="1" ht="16.5" thickBot="1">
      <c r="B64" s="79" t="s">
        <v>567</v>
      </c>
      <c r="C64" s="49" t="s">
        <v>446</v>
      </c>
      <c r="D64" s="52" t="s">
        <v>4</v>
      </c>
      <c r="E64" s="49" t="s">
        <v>447</v>
      </c>
      <c r="F64" s="48">
        <v>2009</v>
      </c>
      <c r="G64" s="50">
        <v>1284</v>
      </c>
      <c r="H64" s="83">
        <v>0.81542056074766356</v>
      </c>
    </row>
    <row r="65" spans="2:8" s="47" customFormat="1" ht="16.5" thickBot="1">
      <c r="B65" s="79">
        <v>1044</v>
      </c>
      <c r="C65" s="49" t="s">
        <v>211</v>
      </c>
      <c r="D65" s="54" t="s">
        <v>51</v>
      </c>
      <c r="E65" s="49" t="s">
        <v>436</v>
      </c>
      <c r="F65" s="48">
        <v>2009</v>
      </c>
      <c r="G65" s="50">
        <v>1016</v>
      </c>
      <c r="H65" s="83">
        <f>SUM(B65/G65)</f>
        <v>1.0275590551181102</v>
      </c>
    </row>
    <row r="66" spans="2:8" s="47" customFormat="1" ht="16.5" thickBot="1">
      <c r="B66" s="79">
        <v>1043</v>
      </c>
      <c r="C66" s="49" t="s">
        <v>239</v>
      </c>
      <c r="D66" s="52" t="s">
        <v>4</v>
      </c>
      <c r="E66" s="49" t="s">
        <v>441</v>
      </c>
      <c r="F66" s="48">
        <v>1991</v>
      </c>
      <c r="G66" s="50">
        <v>867</v>
      </c>
      <c r="H66" s="83">
        <f t="shared" si="0"/>
        <v>1.2029988465974626</v>
      </c>
    </row>
    <row r="67" spans="2:8" s="47" customFormat="1" ht="16.5" thickBot="1">
      <c r="B67" s="79">
        <v>1040</v>
      </c>
      <c r="C67" s="49" t="s">
        <v>369</v>
      </c>
      <c r="D67" s="54" t="s">
        <v>51</v>
      </c>
      <c r="E67" s="49" t="s">
        <v>440</v>
      </c>
      <c r="F67" s="48">
        <v>1920</v>
      </c>
      <c r="G67" s="50">
        <v>683</v>
      </c>
      <c r="H67" s="83">
        <f>SUM(B67/G67)</f>
        <v>1.5226939970717424</v>
      </c>
    </row>
    <row r="68" spans="2:8" s="47" customFormat="1" ht="16.5" thickBot="1">
      <c r="B68" s="79">
        <v>1035</v>
      </c>
      <c r="C68" s="49" t="s">
        <v>317</v>
      </c>
      <c r="D68" s="52" t="s">
        <v>4</v>
      </c>
      <c r="E68" s="49" t="s">
        <v>438</v>
      </c>
      <c r="F68" s="48">
        <v>1979</v>
      </c>
      <c r="G68" s="50">
        <v>823</v>
      </c>
      <c r="H68" s="83">
        <f t="shared" si="0"/>
        <v>1.2575941676792224</v>
      </c>
    </row>
    <row r="69" spans="2:8" s="47" customFormat="1" ht="16.5" thickBot="1">
      <c r="B69" s="79">
        <v>1029</v>
      </c>
      <c r="C69" s="49" t="s">
        <v>100</v>
      </c>
      <c r="D69" s="52" t="s">
        <v>4</v>
      </c>
      <c r="E69" s="49" t="s">
        <v>440</v>
      </c>
      <c r="F69" s="48">
        <v>1950</v>
      </c>
      <c r="G69" s="50">
        <v>1017</v>
      </c>
      <c r="H69" s="83">
        <f t="shared" si="0"/>
        <v>1.0117994100294985</v>
      </c>
    </row>
    <row r="70" spans="2:8" s="47" customFormat="1" ht="17.25" customHeight="1" thickBot="1">
      <c r="B70" s="79" t="s">
        <v>568</v>
      </c>
      <c r="C70" s="49" t="s">
        <v>238</v>
      </c>
      <c r="D70" s="53" t="s">
        <v>6</v>
      </c>
      <c r="E70" s="49" t="s">
        <v>447</v>
      </c>
      <c r="F70" s="48">
        <v>2009</v>
      </c>
      <c r="G70" s="50">
        <v>1284</v>
      </c>
      <c r="H70" s="83">
        <f>SUM(1019/1284)</f>
        <v>0.79361370716510904</v>
      </c>
    </row>
    <row r="71" spans="2:8" s="47" customFormat="1" ht="16.5" thickBot="1">
      <c r="B71" s="79" t="s">
        <v>451</v>
      </c>
      <c r="C71" s="49" t="s">
        <v>439</v>
      </c>
      <c r="D71" s="53" t="s">
        <v>6</v>
      </c>
      <c r="E71" s="49" t="s">
        <v>440</v>
      </c>
      <c r="F71" s="48">
        <v>1950</v>
      </c>
      <c r="G71" s="50">
        <v>1017</v>
      </c>
      <c r="H71" s="83">
        <f>SUM(1010/1017)</f>
        <v>0.99311701081612591</v>
      </c>
    </row>
    <row r="72" spans="2:8" s="47" customFormat="1" ht="16.5" thickBot="1">
      <c r="B72" s="79">
        <v>1009</v>
      </c>
      <c r="C72" s="49" t="s">
        <v>317</v>
      </c>
      <c r="D72" s="52" t="s">
        <v>4</v>
      </c>
      <c r="E72" s="49" t="s">
        <v>438</v>
      </c>
      <c r="F72" s="48">
        <v>1991</v>
      </c>
      <c r="G72" s="50">
        <v>863</v>
      </c>
      <c r="H72" s="83">
        <f t="shared" si="0"/>
        <v>1.1691772885283893</v>
      </c>
    </row>
    <row r="73" spans="2:8" s="47" customFormat="1" ht="16.5" thickBot="1">
      <c r="B73" s="79">
        <v>1004</v>
      </c>
      <c r="C73" s="49" t="s">
        <v>130</v>
      </c>
      <c r="D73" s="52" t="s">
        <v>4</v>
      </c>
      <c r="E73" s="49" t="s">
        <v>438</v>
      </c>
      <c r="F73" s="48">
        <v>1942</v>
      </c>
      <c r="G73" s="50">
        <v>836</v>
      </c>
      <c r="H73" s="83">
        <f t="shared" si="0"/>
        <v>1.200956937799043</v>
      </c>
    </row>
    <row r="74" spans="2:8" s="47" customFormat="1" ht="15.75">
      <c r="B74" s="101"/>
      <c r="F74" s="1"/>
      <c r="G74" s="98"/>
      <c r="H74" s="81"/>
    </row>
    <row r="75" spans="2:8" s="5" customFormat="1">
      <c r="B75" s="103"/>
      <c r="F75" s="80"/>
      <c r="G75" s="100"/>
      <c r="H75" s="84"/>
    </row>
    <row r="76" spans="2:8" s="5" customFormat="1">
      <c r="B76" s="103"/>
      <c r="F76" s="80"/>
      <c r="G76" s="100"/>
      <c r="H76" s="84"/>
    </row>
    <row r="77" spans="2:8" s="5" customFormat="1">
      <c r="B77" s="103"/>
      <c r="F77" s="80"/>
      <c r="G77" s="100"/>
      <c r="H77" s="84"/>
    </row>
    <row r="78" spans="2:8" s="5" customFormat="1">
      <c r="B78" s="103"/>
      <c r="F78" s="80"/>
      <c r="G78" s="100"/>
      <c r="H78" s="84"/>
    </row>
    <row r="79" spans="2:8" s="5" customFormat="1">
      <c r="B79" s="103"/>
      <c r="F79" s="80"/>
      <c r="G79" s="100"/>
      <c r="H79" s="84"/>
    </row>
    <row r="80" spans="2:8" s="5" customFormat="1">
      <c r="B80" s="103"/>
      <c r="F80" s="80"/>
      <c r="G80" s="100"/>
      <c r="H80" s="84"/>
    </row>
    <row r="81" spans="2:8" s="5" customFormat="1">
      <c r="B81" s="103"/>
      <c r="F81" s="80"/>
      <c r="G81" s="100"/>
      <c r="H81" s="84"/>
    </row>
    <row r="82" spans="2:8" s="5" customFormat="1">
      <c r="B82" s="103"/>
      <c r="F82" s="80"/>
      <c r="G82" s="100"/>
      <c r="H82" s="84"/>
    </row>
  </sheetData>
  <phoneticPr fontId="16" type="noConversion"/>
  <pageMargins left="0.75" right="0.75" top="1" bottom="1" header="0.5" footer="0.5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L19"/>
  <sheetViews>
    <sheetView workbookViewId="0">
      <selection activeCell="A22" sqref="A22"/>
    </sheetView>
  </sheetViews>
  <sheetFormatPr defaultRowHeight="12.75"/>
  <cols>
    <col min="1" max="1" width="14.85546875" style="4" customWidth="1"/>
    <col min="2" max="2" width="7.85546875" customWidth="1"/>
    <col min="3" max="3" width="9.28515625" bestFit="1" customWidth="1"/>
    <col min="7" max="7" width="9.28515625" bestFit="1" customWidth="1"/>
    <col min="12" max="12" width="9.140625" style="89"/>
  </cols>
  <sheetData>
    <row r="1" spans="1:12" s="4" customFormat="1">
      <c r="A1" s="4" t="s">
        <v>434</v>
      </c>
      <c r="B1" s="4" t="s">
        <v>65</v>
      </c>
      <c r="C1" s="23" t="s">
        <v>4</v>
      </c>
      <c r="D1" s="24" t="s">
        <v>6</v>
      </c>
      <c r="E1" s="25" t="s">
        <v>60</v>
      </c>
      <c r="F1" s="26" t="s">
        <v>51</v>
      </c>
      <c r="G1" s="4" t="s">
        <v>67</v>
      </c>
      <c r="H1" s="75" t="s">
        <v>101</v>
      </c>
      <c r="I1" s="87" t="s">
        <v>88</v>
      </c>
      <c r="J1" s="86" t="s">
        <v>217</v>
      </c>
      <c r="K1" s="73" t="s">
        <v>233</v>
      </c>
      <c r="L1" s="88" t="s">
        <v>309</v>
      </c>
    </row>
    <row r="3" spans="1:12">
      <c r="A3" s="4">
        <v>1920</v>
      </c>
      <c r="B3">
        <v>20</v>
      </c>
      <c r="C3" s="89" t="s">
        <v>17</v>
      </c>
      <c r="D3" s="89" t="s">
        <v>17</v>
      </c>
      <c r="E3" s="89" t="s">
        <v>17</v>
      </c>
      <c r="F3" s="89">
        <v>0.91920000000000002</v>
      </c>
      <c r="G3" s="89">
        <v>8.0799999999999997E-2</v>
      </c>
      <c r="H3" s="89" t="s">
        <v>17</v>
      </c>
      <c r="I3" s="89" t="s">
        <v>17</v>
      </c>
      <c r="J3" s="89" t="s">
        <v>17</v>
      </c>
      <c r="K3" s="89" t="s">
        <v>17</v>
      </c>
      <c r="L3" s="89" t="s">
        <v>17</v>
      </c>
    </row>
    <row r="4" spans="1:12">
      <c r="A4" s="4">
        <v>1925</v>
      </c>
      <c r="B4">
        <v>28</v>
      </c>
      <c r="C4" s="89"/>
      <c r="D4" s="89"/>
      <c r="E4" s="89"/>
      <c r="F4" s="89" t="s">
        <v>17</v>
      </c>
      <c r="G4" s="89"/>
      <c r="H4" s="89" t="s">
        <v>17</v>
      </c>
      <c r="I4" s="89" t="s">
        <v>17</v>
      </c>
      <c r="J4" s="89" t="s">
        <v>17</v>
      </c>
      <c r="K4" s="89" t="s">
        <v>17</v>
      </c>
      <c r="L4" s="89" t="s">
        <v>17</v>
      </c>
    </row>
    <row r="5" spans="1:12">
      <c r="A5" s="4">
        <v>1928</v>
      </c>
      <c r="B5">
        <v>28</v>
      </c>
      <c r="C5" s="28">
        <v>0.40029999999999999</v>
      </c>
      <c r="D5" s="28">
        <v>0.45939999999999998</v>
      </c>
      <c r="E5" s="28">
        <v>1.01E-2</v>
      </c>
      <c r="F5" s="28" t="s">
        <v>17</v>
      </c>
      <c r="G5" s="28">
        <v>0.1245</v>
      </c>
      <c r="H5" s="28" t="s">
        <v>17</v>
      </c>
      <c r="I5" s="28" t="s">
        <v>17</v>
      </c>
      <c r="J5" s="28" t="s">
        <v>17</v>
      </c>
      <c r="K5" s="28" t="s">
        <v>17</v>
      </c>
      <c r="L5" s="28" t="s">
        <v>17</v>
      </c>
    </row>
    <row r="6" spans="1:12">
      <c r="A6" s="4">
        <v>1934</v>
      </c>
      <c r="B6">
        <v>28</v>
      </c>
      <c r="C6" s="28">
        <v>0.37159999999999999</v>
      </c>
      <c r="D6" s="28">
        <v>0.56189999999999996</v>
      </c>
      <c r="E6" s="28">
        <v>6.1999999999999998E-3</v>
      </c>
      <c r="F6" s="28" t="s">
        <v>17</v>
      </c>
      <c r="G6" s="28">
        <v>6.0299999999999999E-2</v>
      </c>
      <c r="H6" s="28" t="s">
        <v>17</v>
      </c>
      <c r="I6" s="28" t="s">
        <v>17</v>
      </c>
      <c r="J6" s="28" t="s">
        <v>17</v>
      </c>
      <c r="K6" s="28" t="s">
        <v>17</v>
      </c>
      <c r="L6" s="28" t="s">
        <v>17</v>
      </c>
    </row>
    <row r="7" spans="1:12">
      <c r="A7" s="4">
        <v>1942</v>
      </c>
      <c r="B7">
        <v>24</v>
      </c>
      <c r="C7" s="28">
        <v>0.39150000000000001</v>
      </c>
      <c r="D7" s="28">
        <v>0.3735</v>
      </c>
      <c r="E7" s="28">
        <v>7.0000000000000001E-3</v>
      </c>
      <c r="F7" s="28" t="s">
        <v>17</v>
      </c>
      <c r="G7" s="28">
        <v>0.17430000000000001</v>
      </c>
      <c r="H7" s="28">
        <v>4.4600000000000001E-2</v>
      </c>
      <c r="I7" s="28" t="s">
        <v>17</v>
      </c>
      <c r="J7" s="28" t="s">
        <v>17</v>
      </c>
      <c r="K7" s="28" t="s">
        <v>17</v>
      </c>
      <c r="L7" s="28" t="s">
        <v>17</v>
      </c>
    </row>
    <row r="8" spans="1:12">
      <c r="A8" s="4">
        <v>1945</v>
      </c>
      <c r="B8">
        <v>24</v>
      </c>
      <c r="C8" s="28">
        <v>0.31680000000000003</v>
      </c>
      <c r="D8" s="28">
        <v>0.42309999999999998</v>
      </c>
      <c r="E8" s="28">
        <v>4.48E-2</v>
      </c>
      <c r="F8" s="28" t="s">
        <v>17</v>
      </c>
      <c r="G8" s="28">
        <v>0.11360000000000001</v>
      </c>
      <c r="H8" s="28">
        <v>0.1016</v>
      </c>
      <c r="I8" s="28" t="s">
        <v>17</v>
      </c>
      <c r="J8" s="28" t="s">
        <v>17</v>
      </c>
      <c r="K8" s="28" t="s">
        <v>17</v>
      </c>
      <c r="L8" s="28" t="s">
        <v>17</v>
      </c>
    </row>
    <row r="9" spans="1:12">
      <c r="A9" s="4">
        <v>1950</v>
      </c>
      <c r="B9">
        <v>24</v>
      </c>
      <c r="C9" s="28">
        <v>0.31169999999999998</v>
      </c>
      <c r="D9" s="28">
        <v>0.3962</v>
      </c>
      <c r="E9" s="28">
        <v>1.7399999999999999E-2</v>
      </c>
      <c r="F9" s="28" t="s">
        <v>17</v>
      </c>
      <c r="G9" s="28">
        <v>0.2465</v>
      </c>
      <c r="H9" s="28" t="s">
        <v>17</v>
      </c>
      <c r="I9" s="28">
        <v>1.9599999999999999E-2</v>
      </c>
      <c r="J9" s="28" t="s">
        <v>17</v>
      </c>
      <c r="K9" s="28" t="s">
        <v>17</v>
      </c>
      <c r="L9" s="28" t="s">
        <v>17</v>
      </c>
    </row>
    <row r="10" spans="1:12">
      <c r="A10" s="4">
        <v>1955</v>
      </c>
      <c r="B10">
        <v>24</v>
      </c>
      <c r="C10" s="28">
        <v>0.39290000000000003</v>
      </c>
      <c r="D10" s="28">
        <v>0.39529999999999998</v>
      </c>
      <c r="E10" s="28">
        <v>1.23E-2</v>
      </c>
      <c r="F10" s="28">
        <v>2.0799999999999999E-2</v>
      </c>
      <c r="G10" s="28">
        <v>0.1787</v>
      </c>
      <c r="H10" s="28" t="s">
        <v>17</v>
      </c>
      <c r="I10" s="28" t="s">
        <v>17</v>
      </c>
      <c r="J10" s="28" t="s">
        <v>17</v>
      </c>
      <c r="K10" s="28" t="s">
        <v>17</v>
      </c>
      <c r="L10" s="28" t="s">
        <v>17</v>
      </c>
    </row>
    <row r="11" spans="1:12">
      <c r="A11" s="4">
        <v>1960</v>
      </c>
      <c r="B11">
        <v>24</v>
      </c>
      <c r="C11" s="28">
        <v>0.35589999999999999</v>
      </c>
      <c r="D11" s="28">
        <v>0.40799999999999997</v>
      </c>
      <c r="E11" s="28" t="s">
        <v>17</v>
      </c>
      <c r="F11" s="28">
        <v>5.1400000000000001E-2</v>
      </c>
      <c r="G11" s="28">
        <v>0.1847</v>
      </c>
      <c r="H11" s="28" t="s">
        <v>17</v>
      </c>
      <c r="I11" s="28" t="s">
        <v>17</v>
      </c>
      <c r="J11" s="28" t="s">
        <v>17</v>
      </c>
      <c r="K11" s="28" t="s">
        <v>17</v>
      </c>
      <c r="L11" s="28" t="s">
        <v>17</v>
      </c>
    </row>
    <row r="12" spans="1:12">
      <c r="A12" s="4">
        <v>1967</v>
      </c>
      <c r="B12">
        <v>24</v>
      </c>
      <c r="C12" s="28">
        <v>0.39079999999999998</v>
      </c>
      <c r="D12" s="28">
        <v>0.43140000000000001</v>
      </c>
      <c r="E12" s="28">
        <v>5.8700000000000002E-2</v>
      </c>
      <c r="F12" s="28">
        <v>2.8400000000000002E-2</v>
      </c>
      <c r="G12" s="28">
        <v>9.0700000000000003E-2</v>
      </c>
      <c r="H12" s="28" t="s">
        <v>17</v>
      </c>
      <c r="I12" s="28" t="s">
        <v>17</v>
      </c>
      <c r="J12" s="28" t="s">
        <v>17</v>
      </c>
      <c r="K12" s="28" t="s">
        <v>17</v>
      </c>
      <c r="L12" s="28" t="s">
        <v>17</v>
      </c>
    </row>
    <row r="13" spans="1:12">
      <c r="A13" s="4">
        <v>1974</v>
      </c>
      <c r="B13">
        <v>24</v>
      </c>
      <c r="C13" s="28">
        <v>0.40489999999999998</v>
      </c>
      <c r="D13" s="28">
        <v>0.46589999999999998</v>
      </c>
      <c r="E13" s="28">
        <v>4.4999999999999998E-2</v>
      </c>
      <c r="F13" s="28">
        <v>5.7000000000000002E-3</v>
      </c>
      <c r="G13" s="28">
        <v>7.85E-2</v>
      </c>
      <c r="H13" s="28" t="s">
        <v>17</v>
      </c>
      <c r="I13" s="28" t="s">
        <v>17</v>
      </c>
      <c r="J13" s="28" t="s">
        <v>17</v>
      </c>
      <c r="K13" s="28" t="s">
        <v>17</v>
      </c>
      <c r="L13" s="28" t="s">
        <v>17</v>
      </c>
    </row>
    <row r="14" spans="1:12">
      <c r="A14" s="4">
        <v>1979</v>
      </c>
      <c r="B14">
        <v>24</v>
      </c>
      <c r="C14" s="28">
        <v>0.40739999999999998</v>
      </c>
      <c r="D14" s="28">
        <v>0.42780000000000001</v>
      </c>
      <c r="E14" s="28">
        <v>2.3699999999999999E-2</v>
      </c>
      <c r="F14" s="28">
        <v>1.15E-2</v>
      </c>
      <c r="G14" s="28">
        <v>0.1153</v>
      </c>
      <c r="H14" s="28" t="s">
        <v>17</v>
      </c>
      <c r="I14" s="28" t="s">
        <v>17</v>
      </c>
      <c r="J14" s="28" t="s">
        <v>17</v>
      </c>
      <c r="K14" s="28" t="s">
        <v>17</v>
      </c>
      <c r="L14" s="89">
        <v>6.1000000000000004E-3</v>
      </c>
    </row>
    <row r="15" spans="1:12">
      <c r="A15" s="4">
        <v>1985</v>
      </c>
      <c r="B15">
        <v>25</v>
      </c>
      <c r="C15" s="28">
        <v>0.45600000000000002</v>
      </c>
      <c r="D15" s="28">
        <v>0.37930000000000003</v>
      </c>
      <c r="E15" s="28">
        <v>2.8400000000000002E-2</v>
      </c>
      <c r="F15" s="28">
        <v>1.1599999999999999E-2</v>
      </c>
      <c r="G15" s="28">
        <v>8.1699999999999995E-2</v>
      </c>
      <c r="H15" s="28" t="s">
        <v>17</v>
      </c>
      <c r="I15" s="28" t="s">
        <v>17</v>
      </c>
      <c r="J15" s="28" t="s">
        <v>17</v>
      </c>
      <c r="K15" s="28">
        <v>4.3099999999999999E-2</v>
      </c>
      <c r="L15" s="28" t="s">
        <v>17</v>
      </c>
    </row>
    <row r="16" spans="1:12">
      <c r="A16" s="4">
        <v>1991</v>
      </c>
      <c r="B16">
        <v>25</v>
      </c>
      <c r="C16" s="28">
        <v>0.44429999999999997</v>
      </c>
      <c r="D16" s="28">
        <v>0.34289999999999998</v>
      </c>
      <c r="E16" s="28">
        <v>3.3500000000000002E-2</v>
      </c>
      <c r="F16" s="28">
        <v>1.61E-2</v>
      </c>
      <c r="G16" s="28">
        <v>9.9000000000000005E-2</v>
      </c>
      <c r="H16" s="28" t="s">
        <v>17</v>
      </c>
      <c r="I16" s="28" t="s">
        <v>17</v>
      </c>
      <c r="J16" s="28">
        <v>9.5999999999999992E-3</v>
      </c>
      <c r="K16" s="28">
        <v>5.4600000000000003E-2</v>
      </c>
      <c r="L16" s="28" t="s">
        <v>17</v>
      </c>
    </row>
    <row r="17" spans="1:12">
      <c r="A17" s="4">
        <v>1999</v>
      </c>
      <c r="B17">
        <v>25</v>
      </c>
      <c r="C17" s="28">
        <v>0.35189999999999999</v>
      </c>
      <c r="D17" s="28">
        <v>0.39129999999999998</v>
      </c>
      <c r="E17" s="28">
        <v>9.4399999999999998E-2</v>
      </c>
      <c r="F17" s="28">
        <v>3.9800000000000002E-2</v>
      </c>
      <c r="G17" s="28">
        <v>0.11550000000000001</v>
      </c>
      <c r="H17" s="28" t="s">
        <v>17</v>
      </c>
      <c r="I17" s="28" t="s">
        <v>17</v>
      </c>
      <c r="J17" s="28">
        <v>7.0000000000000001E-3</v>
      </c>
      <c r="K17" s="28" t="s">
        <v>17</v>
      </c>
      <c r="L17" s="28" t="s">
        <v>17</v>
      </c>
    </row>
    <row r="18" spans="1:12">
      <c r="A18" s="4">
        <v>2004</v>
      </c>
      <c r="B18">
        <v>25</v>
      </c>
      <c r="C18" s="28">
        <v>0.37409999999999999</v>
      </c>
      <c r="D18" s="28">
        <v>0.36770000000000003</v>
      </c>
      <c r="E18" s="28">
        <v>0.1042</v>
      </c>
      <c r="F18" s="28">
        <v>7.7299999999999994E-2</v>
      </c>
      <c r="G18" s="28">
        <v>7.6799999999999993E-2</v>
      </c>
      <c r="H18" s="28" t="s">
        <v>17</v>
      </c>
      <c r="I18" s="28" t="s">
        <v>17</v>
      </c>
      <c r="J18" s="28" t="s">
        <v>17</v>
      </c>
      <c r="K18" s="28" t="s">
        <v>17</v>
      </c>
      <c r="L18" s="28" t="s">
        <v>17</v>
      </c>
    </row>
    <row r="19" spans="1:12">
      <c r="A19" s="4">
        <v>2009</v>
      </c>
      <c r="B19">
        <v>25</v>
      </c>
      <c r="C19" s="28">
        <v>0.26350000000000001</v>
      </c>
      <c r="D19" s="28">
        <v>0.39350000000000002</v>
      </c>
      <c r="E19" s="28">
        <v>7.3300000000000004E-2</v>
      </c>
      <c r="F19" s="28">
        <v>7.9500000000000001E-2</v>
      </c>
      <c r="G19" s="28">
        <v>0.1903</v>
      </c>
      <c r="H19" s="28" t="s">
        <v>17</v>
      </c>
      <c r="I19" s="28" t="s">
        <v>17</v>
      </c>
      <c r="J19" s="28" t="s">
        <v>17</v>
      </c>
      <c r="K19" s="28" t="s">
        <v>17</v>
      </c>
      <c r="L19" s="28" t="s">
        <v>17</v>
      </c>
    </row>
  </sheetData>
  <phoneticPr fontId="16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1920</vt:lpstr>
      <vt:lpstr>1925</vt:lpstr>
      <vt:lpstr>1928</vt:lpstr>
      <vt:lpstr>1934</vt:lpstr>
      <vt:lpstr>1942</vt:lpstr>
      <vt:lpstr>1945</vt:lpstr>
      <vt:lpstr>1950</vt:lpstr>
      <vt:lpstr>1955</vt:lpstr>
      <vt:lpstr>1960</vt:lpstr>
      <vt:lpstr>1967</vt:lpstr>
      <vt:lpstr>1974</vt:lpstr>
      <vt:lpstr>1979</vt:lpstr>
      <vt:lpstr>1985</vt:lpstr>
      <vt:lpstr>1991</vt:lpstr>
      <vt:lpstr>1999</vt:lpstr>
      <vt:lpstr>2004</vt:lpstr>
      <vt:lpstr>2009</vt:lpstr>
      <vt:lpstr>HighVotes</vt:lpstr>
      <vt:lpstr>Party%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dcterms:created xsi:type="dcterms:W3CDTF">2005-05-21T23:10:27Z</dcterms:created>
  <dcterms:modified xsi:type="dcterms:W3CDTF">2011-06-01T20:26:57Z</dcterms:modified>
</cp:coreProperties>
</file>