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30" windowWidth="15195" windowHeight="9210" activeTab="1"/>
  </bookViews>
  <sheets>
    <sheet name="2011Ass" sheetId="33" r:id="rId1"/>
    <sheet name="2007Ass" sheetId="2" r:id="rId2"/>
    <sheet name="2003Ass" sheetId="13" r:id="rId3"/>
    <sheet name="1998Ass" sheetId="14" r:id="rId4"/>
    <sheet name="1982Ass" sheetId="16" r:id="rId5"/>
    <sheet name="1975Con" sheetId="22" r:id="rId6"/>
    <sheet name="1973Ass" sheetId="24" r:id="rId7"/>
    <sheet name="2010" sheetId="15" r:id="rId8"/>
    <sheet name="2005" sheetId="17" r:id="rId9"/>
    <sheet name="2001" sheetId="18" r:id="rId10"/>
    <sheet name="1997" sheetId="23" r:id="rId11"/>
    <sheet name="1992" sheetId="25" r:id="rId12"/>
    <sheet name="1987" sheetId="26" r:id="rId13"/>
    <sheet name="1986By" sheetId="28" r:id="rId14"/>
    <sheet name="1983" sheetId="27" r:id="rId15"/>
    <sheet name="1979" sheetId="29" r:id="rId16"/>
    <sheet name="Oct1974" sheetId="30" r:id="rId17"/>
    <sheet name="Feb1974" sheetId="31" r:id="rId18"/>
    <sheet name="1970" sheetId="32" r:id="rId19"/>
    <sheet name="1966" sheetId="34" r:id="rId20"/>
    <sheet name="1964" sheetId="35" r:id="rId21"/>
    <sheet name="1959" sheetId="36" r:id="rId22"/>
    <sheet name="1955" sheetId="37" r:id="rId23"/>
    <sheet name="1951" sheetId="38" r:id="rId24"/>
    <sheet name="1950" sheetId="39" r:id="rId25"/>
    <sheet name="1945" sheetId="42" r:id="rId26"/>
    <sheet name="1935" sheetId="43" r:id="rId27"/>
    <sheet name="1931" sheetId="44" r:id="rId28"/>
    <sheet name="1929" sheetId="45" r:id="rId29"/>
    <sheet name="1924" sheetId="46" r:id="rId30"/>
    <sheet name="1923" sheetId="47" r:id="rId31"/>
    <sheet name="1922" sheetId="48" r:id="rId32"/>
    <sheet name="1969Stor" sheetId="40" r:id="rId33"/>
    <sheet name="2011Local" sheetId="41" r:id="rId34"/>
    <sheet name="2005Local" sheetId="3" r:id="rId35"/>
    <sheet name="2001Local" sheetId="4" r:id="rId36"/>
    <sheet name="1997Local" sheetId="9" r:id="rId37"/>
    <sheet name="1993Local" sheetId="10" r:id="rId38"/>
    <sheet name="1989Local" sheetId="11" r:id="rId39"/>
    <sheet name="1985Local" sheetId="12" r:id="rId40"/>
    <sheet name="1981Local" sheetId="19" r:id="rId41"/>
    <sheet name="1977Local" sheetId="20" r:id="rId42"/>
    <sheet name="1973Local" sheetId="21" r:id="rId43"/>
  </sheets>
  <definedNames>
    <definedName name="_xlnm._FilterDatabase" localSheetId="6" hidden="1">'1973Ass'!$A$55:$C$71</definedName>
    <definedName name="_xlnm._FilterDatabase" localSheetId="0" hidden="1">'2011Ass'!$A$204:$B$217</definedName>
  </definedNames>
  <calcPr calcId="125725"/>
</workbook>
</file>

<file path=xl/calcChain.xml><?xml version="1.0" encoding="utf-8"?>
<calcChain xmlns="http://schemas.openxmlformats.org/spreadsheetml/2006/main">
  <c r="F128" i="29"/>
  <c r="F135"/>
  <c r="K63" i="21"/>
  <c r="B63"/>
  <c r="Z63"/>
  <c r="K63" i="20"/>
  <c r="B63"/>
  <c r="Z63"/>
  <c r="K63" i="19"/>
  <c r="B63"/>
  <c r="Z63"/>
  <c r="K10" i="21"/>
  <c r="B10"/>
  <c r="Z10"/>
  <c r="K11" i="20"/>
  <c r="B11"/>
  <c r="Z11"/>
  <c r="K11" i="19"/>
  <c r="B11"/>
  <c r="Z11"/>
  <c r="T63" i="21"/>
  <c r="U63"/>
  <c r="V63"/>
  <c r="W63"/>
  <c r="X63"/>
  <c r="Y63"/>
  <c r="T63" i="20"/>
  <c r="U63"/>
  <c r="V63"/>
  <c r="W63"/>
  <c r="X63"/>
  <c r="Y63"/>
  <c r="T63" i="19"/>
  <c r="U63"/>
  <c r="V63"/>
  <c r="W63"/>
  <c r="X63"/>
  <c r="Y63"/>
  <c r="X11" i="20"/>
  <c r="X10" i="21"/>
  <c r="W11" i="19"/>
  <c r="T10" i="21"/>
  <c r="U10"/>
  <c r="V10"/>
  <c r="W10"/>
  <c r="Y10"/>
  <c r="T11" i="20"/>
  <c r="U11"/>
  <c r="V11"/>
  <c r="W11"/>
  <c r="Y11"/>
  <c r="T11" i="19"/>
  <c r="U11"/>
  <c r="V11"/>
  <c r="X11"/>
  <c r="Y11"/>
  <c r="D370" i="40"/>
  <c r="D371"/>
  <c r="D369"/>
  <c r="F368"/>
  <c r="F355"/>
  <c r="F347"/>
  <c r="F339"/>
  <c r="F331"/>
  <c r="C335"/>
  <c r="D333"/>
  <c r="F324"/>
  <c r="F317"/>
  <c r="F310"/>
  <c r="F303"/>
  <c r="F296"/>
  <c r="F288"/>
  <c r="F279"/>
  <c r="F272"/>
  <c r="F264"/>
  <c r="F257"/>
  <c r="F248"/>
  <c r="F241"/>
  <c r="F234"/>
  <c r="F227"/>
  <c r="F219"/>
  <c r="F212"/>
  <c r="F205"/>
  <c r="F198"/>
  <c r="F181"/>
  <c r="F174"/>
  <c r="F162"/>
  <c r="F155"/>
  <c r="F148"/>
  <c r="F141"/>
  <c r="F128"/>
  <c r="F120"/>
  <c r="F113"/>
  <c r="F105"/>
  <c r="D4" i="48"/>
  <c r="F12"/>
  <c r="F15"/>
  <c r="C15"/>
  <c r="D14"/>
  <c r="F3"/>
  <c r="F8"/>
  <c r="C8"/>
  <c r="D7"/>
  <c r="D6"/>
  <c r="D5"/>
  <c r="F41" i="47"/>
  <c r="F34"/>
  <c r="F3"/>
  <c r="F44"/>
  <c r="C44"/>
  <c r="D43"/>
  <c r="D42"/>
  <c r="F37"/>
  <c r="C37"/>
  <c r="D36"/>
  <c r="D35"/>
  <c r="F8"/>
  <c r="C8"/>
  <c r="D7"/>
  <c r="D6"/>
  <c r="D5"/>
  <c r="D4"/>
  <c r="F50" i="46"/>
  <c r="C54"/>
  <c r="D53"/>
  <c r="F43"/>
  <c r="F35"/>
  <c r="F27"/>
  <c r="F20"/>
  <c r="F12"/>
  <c r="F16"/>
  <c r="C16"/>
  <c r="D14"/>
  <c r="F3"/>
  <c r="F8"/>
  <c r="C8"/>
  <c r="D7"/>
  <c r="D6"/>
  <c r="D5"/>
  <c r="D4"/>
  <c r="F54"/>
  <c r="D52"/>
  <c r="D51"/>
  <c r="F46"/>
  <c r="C46"/>
  <c r="D45"/>
  <c r="D44"/>
  <c r="F39"/>
  <c r="C39"/>
  <c r="D38"/>
  <c r="D37"/>
  <c r="D36"/>
  <c r="F31"/>
  <c r="C31"/>
  <c r="D30"/>
  <c r="D29"/>
  <c r="D28"/>
  <c r="F23"/>
  <c r="C23"/>
  <c r="D22"/>
  <c r="D64" i="44"/>
  <c r="D63"/>
  <c r="F62"/>
  <c r="F65"/>
  <c r="C65"/>
  <c r="F61" i="45"/>
  <c r="F54"/>
  <c r="F47"/>
  <c r="F39"/>
  <c r="C43"/>
  <c r="D42"/>
  <c r="F30"/>
  <c r="C35"/>
  <c r="D34"/>
  <c r="F35"/>
  <c r="F21"/>
  <c r="F14"/>
  <c r="F17"/>
  <c r="C17"/>
  <c r="F64"/>
  <c r="C64"/>
  <c r="D63"/>
  <c r="D62"/>
  <c r="F57"/>
  <c r="C57"/>
  <c r="D56"/>
  <c r="D55"/>
  <c r="F50"/>
  <c r="C50"/>
  <c r="D49"/>
  <c r="D48"/>
  <c r="F43"/>
  <c r="D16"/>
  <c r="D41"/>
  <c r="D40"/>
  <c r="D33"/>
  <c r="D32"/>
  <c r="D31"/>
  <c r="F26"/>
  <c r="C26"/>
  <c r="D25"/>
  <c r="D24"/>
  <c r="D23"/>
  <c r="D22"/>
  <c r="F39" i="44"/>
  <c r="F3"/>
  <c r="F42"/>
  <c r="C42"/>
  <c r="D41"/>
  <c r="D40"/>
  <c r="F8"/>
  <c r="C8"/>
  <c r="D7"/>
  <c r="D6"/>
  <c r="D5"/>
  <c r="D4"/>
  <c r="F90" i="43"/>
  <c r="C94"/>
  <c r="D93"/>
  <c r="F81"/>
  <c r="F43"/>
  <c r="F24"/>
  <c r="F17"/>
  <c r="F3"/>
  <c r="F94"/>
  <c r="D92"/>
  <c r="D91"/>
  <c r="F86"/>
  <c r="C86"/>
  <c r="D85"/>
  <c r="D84"/>
  <c r="D83"/>
  <c r="D82"/>
  <c r="F46"/>
  <c r="C46"/>
  <c r="D45"/>
  <c r="D44"/>
  <c r="F28"/>
  <c r="C28"/>
  <c r="D27"/>
  <c r="D26"/>
  <c r="D25"/>
  <c r="F20"/>
  <c r="C20"/>
  <c r="D19"/>
  <c r="D18"/>
  <c r="F8"/>
  <c r="C8"/>
  <c r="D7"/>
  <c r="D6"/>
  <c r="D5"/>
  <c r="D4"/>
  <c r="F88" i="42"/>
  <c r="F91"/>
  <c r="C91"/>
  <c r="D90"/>
  <c r="F79"/>
  <c r="F84"/>
  <c r="C84"/>
  <c r="D81"/>
  <c r="F86" i="39"/>
  <c r="F89"/>
  <c r="C89"/>
  <c r="D88"/>
  <c r="F85" i="38"/>
  <c r="D87"/>
  <c r="D86"/>
  <c r="F88"/>
  <c r="C88"/>
  <c r="F110" i="37"/>
  <c r="F102"/>
  <c r="F94"/>
  <c r="F113"/>
  <c r="C113"/>
  <c r="D112"/>
  <c r="F106"/>
  <c r="C106"/>
  <c r="D104"/>
  <c r="F97"/>
  <c r="C97"/>
  <c r="D96"/>
  <c r="F93" i="36"/>
  <c r="F97"/>
  <c r="C97"/>
  <c r="D95"/>
  <c r="F91" i="34"/>
  <c r="F94"/>
  <c r="C94"/>
  <c r="D93"/>
  <c r="F146" i="29"/>
  <c r="F155"/>
  <c r="C155"/>
  <c r="D148"/>
  <c r="C142"/>
  <c r="D137"/>
  <c r="F142"/>
  <c r="F131"/>
  <c r="C131"/>
  <c r="F71" i="42"/>
  <c r="F74"/>
  <c r="C74"/>
  <c r="D73"/>
  <c r="F64"/>
  <c r="F56"/>
  <c r="F60"/>
  <c r="F49"/>
  <c r="F42"/>
  <c r="F34"/>
  <c r="F38"/>
  <c r="F25"/>
  <c r="D332" i="40"/>
  <c r="D334"/>
  <c r="D13" i="48"/>
  <c r="D21" i="46"/>
  <c r="D13"/>
  <c r="D15"/>
  <c r="D15" i="45"/>
  <c r="D89" i="42"/>
  <c r="D72"/>
  <c r="D80"/>
  <c r="D83"/>
  <c r="D82"/>
  <c r="D87" i="39"/>
  <c r="D111" i="37"/>
  <c r="D103"/>
  <c r="D105"/>
  <c r="D95"/>
  <c r="D94" i="36"/>
  <c r="D96"/>
  <c r="D92" i="34"/>
  <c r="D147" i="29"/>
  <c r="D154"/>
  <c r="D153"/>
  <c r="D152"/>
  <c r="D151"/>
  <c r="D150"/>
  <c r="D149"/>
  <c r="D136"/>
  <c r="D141"/>
  <c r="D140"/>
  <c r="D139"/>
  <c r="D138"/>
  <c r="D129"/>
  <c r="D130"/>
  <c r="F30" i="42"/>
  <c r="C30"/>
  <c r="F12"/>
  <c r="F16"/>
  <c r="F3"/>
  <c r="F8"/>
  <c r="C8"/>
  <c r="D5"/>
  <c r="F67"/>
  <c r="C67"/>
  <c r="D66"/>
  <c r="D65"/>
  <c r="C60"/>
  <c r="D59"/>
  <c r="D57"/>
  <c r="F52"/>
  <c r="C52"/>
  <c r="D51"/>
  <c r="D50"/>
  <c r="F45"/>
  <c r="C45"/>
  <c r="D44"/>
  <c r="D43"/>
  <c r="C38"/>
  <c r="D29"/>
  <c r="D28"/>
  <c r="D26"/>
  <c r="C16"/>
  <c r="D4"/>
  <c r="F202" i="15"/>
  <c r="C209"/>
  <c r="F209"/>
  <c r="D204"/>
  <c r="C197"/>
  <c r="F197"/>
  <c r="R153" i="41"/>
  <c r="Q153"/>
  <c r="P153"/>
  <c r="O153"/>
  <c r="N153"/>
  <c r="M153"/>
  <c r="L153"/>
  <c r="I153"/>
  <c r="H153"/>
  <c r="G153"/>
  <c r="F153"/>
  <c r="E153"/>
  <c r="D153"/>
  <c r="C153"/>
  <c r="K152"/>
  <c r="B152"/>
  <c r="Z152"/>
  <c r="K151"/>
  <c r="B151"/>
  <c r="Z151"/>
  <c r="K150"/>
  <c r="B150"/>
  <c r="Z150"/>
  <c r="K149"/>
  <c r="B149"/>
  <c r="Z149"/>
  <c r="K148"/>
  <c r="B148"/>
  <c r="Z148"/>
  <c r="K147"/>
  <c r="B147"/>
  <c r="Z147"/>
  <c r="K146"/>
  <c r="B146"/>
  <c r="Z146"/>
  <c r="K145"/>
  <c r="B145"/>
  <c r="Z145"/>
  <c r="K144"/>
  <c r="K153"/>
  <c r="B144"/>
  <c r="B153"/>
  <c r="R142"/>
  <c r="Q142"/>
  <c r="P142"/>
  <c r="O142"/>
  <c r="N142"/>
  <c r="M142"/>
  <c r="L142"/>
  <c r="I142"/>
  <c r="H142"/>
  <c r="G142"/>
  <c r="F142"/>
  <c r="E142"/>
  <c r="D142"/>
  <c r="C142"/>
  <c r="K141"/>
  <c r="B141"/>
  <c r="Z141"/>
  <c r="K140"/>
  <c r="B140"/>
  <c r="Z140"/>
  <c r="K139"/>
  <c r="B139"/>
  <c r="Z139"/>
  <c r="K138"/>
  <c r="K142"/>
  <c r="B138"/>
  <c r="B142"/>
  <c r="R136"/>
  <c r="Q136"/>
  <c r="P136"/>
  <c r="O136"/>
  <c r="N136"/>
  <c r="M136"/>
  <c r="L136"/>
  <c r="I136"/>
  <c r="H136"/>
  <c r="G136"/>
  <c r="F136"/>
  <c r="E136"/>
  <c r="D136"/>
  <c r="C136"/>
  <c r="K135"/>
  <c r="B135"/>
  <c r="Z135"/>
  <c r="K134"/>
  <c r="B134"/>
  <c r="Z134"/>
  <c r="K133"/>
  <c r="K136"/>
  <c r="B133"/>
  <c r="B136"/>
  <c r="R131"/>
  <c r="Q131"/>
  <c r="P131"/>
  <c r="O131"/>
  <c r="N131"/>
  <c r="M131"/>
  <c r="L131"/>
  <c r="I131"/>
  <c r="H131"/>
  <c r="G131"/>
  <c r="F131"/>
  <c r="E131"/>
  <c r="D131"/>
  <c r="C131"/>
  <c r="K130"/>
  <c r="B130"/>
  <c r="Z130"/>
  <c r="K129"/>
  <c r="B129"/>
  <c r="Z129"/>
  <c r="K128"/>
  <c r="K131"/>
  <c r="B128"/>
  <c r="B131"/>
  <c r="R126"/>
  <c r="Q126"/>
  <c r="P126"/>
  <c r="O126"/>
  <c r="N126"/>
  <c r="M126"/>
  <c r="L126"/>
  <c r="I126"/>
  <c r="H126"/>
  <c r="G126"/>
  <c r="F126"/>
  <c r="E126"/>
  <c r="D126"/>
  <c r="C126"/>
  <c r="K125"/>
  <c r="B125"/>
  <c r="Z125"/>
  <c r="K124"/>
  <c r="B124"/>
  <c r="Z124"/>
  <c r="K123"/>
  <c r="K126"/>
  <c r="B123"/>
  <c r="B126"/>
  <c r="R121"/>
  <c r="Q121"/>
  <c r="P121"/>
  <c r="O121"/>
  <c r="N121"/>
  <c r="M121"/>
  <c r="L121"/>
  <c r="I121"/>
  <c r="H121"/>
  <c r="G121"/>
  <c r="F121"/>
  <c r="E121"/>
  <c r="D121"/>
  <c r="C121"/>
  <c r="K120"/>
  <c r="B120"/>
  <c r="Z120"/>
  <c r="K119"/>
  <c r="B119"/>
  <c r="Z119"/>
  <c r="K118"/>
  <c r="K121"/>
  <c r="B118"/>
  <c r="B121"/>
  <c r="R116"/>
  <c r="Q116"/>
  <c r="P116"/>
  <c r="O116"/>
  <c r="N116"/>
  <c r="M116"/>
  <c r="L116"/>
  <c r="I116"/>
  <c r="H116"/>
  <c r="G116"/>
  <c r="F116"/>
  <c r="E116"/>
  <c r="D116"/>
  <c r="C116"/>
  <c r="K115"/>
  <c r="B115"/>
  <c r="Z115"/>
  <c r="K114"/>
  <c r="B114"/>
  <c r="Z114"/>
  <c r="K113"/>
  <c r="B113"/>
  <c r="Z113"/>
  <c r="K112"/>
  <c r="K116"/>
  <c r="B112"/>
  <c r="B116"/>
  <c r="R110"/>
  <c r="Q110"/>
  <c r="P110"/>
  <c r="O110"/>
  <c r="N110"/>
  <c r="M110"/>
  <c r="L110"/>
  <c r="I110"/>
  <c r="H110"/>
  <c r="G110"/>
  <c r="F110"/>
  <c r="E110"/>
  <c r="D110"/>
  <c r="C110"/>
  <c r="K109"/>
  <c r="B109"/>
  <c r="Z109"/>
  <c r="K108"/>
  <c r="B108"/>
  <c r="Z108"/>
  <c r="K107"/>
  <c r="K110"/>
  <c r="B107"/>
  <c r="B110"/>
  <c r="R105"/>
  <c r="Q105"/>
  <c r="P105"/>
  <c r="O105"/>
  <c r="N105"/>
  <c r="M105"/>
  <c r="L105"/>
  <c r="I105"/>
  <c r="H105"/>
  <c r="G105"/>
  <c r="F105"/>
  <c r="E105"/>
  <c r="D105"/>
  <c r="C105"/>
  <c r="K104"/>
  <c r="B104"/>
  <c r="Z104"/>
  <c r="K103"/>
  <c r="B103"/>
  <c r="Z103"/>
  <c r="K102"/>
  <c r="B102"/>
  <c r="Z102"/>
  <c r="K101"/>
  <c r="K105"/>
  <c r="B101"/>
  <c r="B105"/>
  <c r="R99"/>
  <c r="Q99"/>
  <c r="P99"/>
  <c r="O99"/>
  <c r="N99"/>
  <c r="M99"/>
  <c r="L99"/>
  <c r="I99"/>
  <c r="H99"/>
  <c r="G99"/>
  <c r="F99"/>
  <c r="E99"/>
  <c r="D99"/>
  <c r="C99"/>
  <c r="K98"/>
  <c r="B98"/>
  <c r="Z98"/>
  <c r="K97"/>
  <c r="B97"/>
  <c r="Z97"/>
  <c r="K96"/>
  <c r="B96"/>
  <c r="Z96"/>
  <c r="K95"/>
  <c r="K99"/>
  <c r="B95"/>
  <c r="B99"/>
  <c r="R93"/>
  <c r="Q93"/>
  <c r="P93"/>
  <c r="O93"/>
  <c r="N93"/>
  <c r="M93"/>
  <c r="L93"/>
  <c r="I93"/>
  <c r="H93"/>
  <c r="G93"/>
  <c r="F93"/>
  <c r="E93"/>
  <c r="D93"/>
  <c r="C93"/>
  <c r="K92"/>
  <c r="B92"/>
  <c r="Z92"/>
  <c r="K91"/>
  <c r="B91"/>
  <c r="Z91"/>
  <c r="K90"/>
  <c r="B90"/>
  <c r="Z90"/>
  <c r="K89"/>
  <c r="K93"/>
  <c r="B89"/>
  <c r="B93"/>
  <c r="R87"/>
  <c r="Q87"/>
  <c r="P87"/>
  <c r="O87"/>
  <c r="N87"/>
  <c r="M87"/>
  <c r="L87"/>
  <c r="I87"/>
  <c r="H87"/>
  <c r="G87"/>
  <c r="F87"/>
  <c r="E87"/>
  <c r="D87"/>
  <c r="C87"/>
  <c r="K86"/>
  <c r="B86"/>
  <c r="Z86"/>
  <c r="K85"/>
  <c r="B85"/>
  <c r="Z85"/>
  <c r="K84"/>
  <c r="B84"/>
  <c r="Z84"/>
  <c r="K83"/>
  <c r="B83"/>
  <c r="Z83"/>
  <c r="K82"/>
  <c r="K87"/>
  <c r="B82"/>
  <c r="B87"/>
  <c r="R80"/>
  <c r="Q80"/>
  <c r="P80"/>
  <c r="O80"/>
  <c r="N80"/>
  <c r="M80"/>
  <c r="L80"/>
  <c r="I80"/>
  <c r="H80"/>
  <c r="G80"/>
  <c r="F80"/>
  <c r="E80"/>
  <c r="D80"/>
  <c r="C80"/>
  <c r="K79"/>
  <c r="B79"/>
  <c r="Z79"/>
  <c r="K78"/>
  <c r="B78"/>
  <c r="Z78"/>
  <c r="K77"/>
  <c r="B77"/>
  <c r="Z77"/>
  <c r="K76"/>
  <c r="K80"/>
  <c r="B76"/>
  <c r="B80"/>
  <c r="R74"/>
  <c r="Q74"/>
  <c r="P74"/>
  <c r="O74"/>
  <c r="N74"/>
  <c r="M74"/>
  <c r="L74"/>
  <c r="I74"/>
  <c r="H74"/>
  <c r="G74"/>
  <c r="F74"/>
  <c r="E74"/>
  <c r="D74"/>
  <c r="C74"/>
  <c r="K73"/>
  <c r="B73"/>
  <c r="Z73"/>
  <c r="K72"/>
  <c r="B72"/>
  <c r="Z72"/>
  <c r="K71"/>
  <c r="K74"/>
  <c r="B71"/>
  <c r="B74"/>
  <c r="R69"/>
  <c r="Q69"/>
  <c r="P69"/>
  <c r="O69"/>
  <c r="N69"/>
  <c r="M69"/>
  <c r="L69"/>
  <c r="I69"/>
  <c r="H69"/>
  <c r="G69"/>
  <c r="F69"/>
  <c r="E69"/>
  <c r="D69"/>
  <c r="C69"/>
  <c r="K68"/>
  <c r="B68"/>
  <c r="Z68"/>
  <c r="K67"/>
  <c r="B67"/>
  <c r="Z67"/>
  <c r="K66"/>
  <c r="B66"/>
  <c r="Z66"/>
  <c r="K65"/>
  <c r="K69"/>
  <c r="B65"/>
  <c r="B69"/>
  <c r="R63"/>
  <c r="Q63"/>
  <c r="P63"/>
  <c r="O63"/>
  <c r="N63"/>
  <c r="M63"/>
  <c r="L63"/>
  <c r="I63"/>
  <c r="H63"/>
  <c r="G63"/>
  <c r="F63"/>
  <c r="E63"/>
  <c r="D63"/>
  <c r="C63"/>
  <c r="K62"/>
  <c r="B62"/>
  <c r="Z62"/>
  <c r="K61"/>
  <c r="B61"/>
  <c r="Z61"/>
  <c r="K60"/>
  <c r="B60"/>
  <c r="Z60"/>
  <c r="K59"/>
  <c r="B59"/>
  <c r="Z59"/>
  <c r="K58"/>
  <c r="K63"/>
  <c r="B58"/>
  <c r="B63"/>
  <c r="R56"/>
  <c r="Q56"/>
  <c r="P56"/>
  <c r="O56"/>
  <c r="N56"/>
  <c r="M56"/>
  <c r="L56"/>
  <c r="I56"/>
  <c r="H56"/>
  <c r="G56"/>
  <c r="F56"/>
  <c r="E56"/>
  <c r="D56"/>
  <c r="C56"/>
  <c r="K55"/>
  <c r="B55"/>
  <c r="Z55"/>
  <c r="K54"/>
  <c r="B54"/>
  <c r="Z54"/>
  <c r="K53"/>
  <c r="B53"/>
  <c r="Z53"/>
  <c r="K52"/>
  <c r="K56"/>
  <c r="B52"/>
  <c r="B56"/>
  <c r="R50"/>
  <c r="Q50"/>
  <c r="P50"/>
  <c r="O50"/>
  <c r="N50"/>
  <c r="M50"/>
  <c r="L50"/>
  <c r="I50"/>
  <c r="H50"/>
  <c r="G50"/>
  <c r="F50"/>
  <c r="E50"/>
  <c r="D50"/>
  <c r="C50"/>
  <c r="K49"/>
  <c r="B49"/>
  <c r="Z49"/>
  <c r="K48"/>
  <c r="B48"/>
  <c r="Z48"/>
  <c r="K47"/>
  <c r="B47"/>
  <c r="Z47"/>
  <c r="K46"/>
  <c r="K50"/>
  <c r="B46"/>
  <c r="B50"/>
  <c r="R44"/>
  <c r="Q44"/>
  <c r="P44"/>
  <c r="O44"/>
  <c r="N44"/>
  <c r="M44"/>
  <c r="L44"/>
  <c r="I44"/>
  <c r="H44"/>
  <c r="G44"/>
  <c r="F44"/>
  <c r="E44"/>
  <c r="D44"/>
  <c r="C44"/>
  <c r="K43"/>
  <c r="B43"/>
  <c r="Z43"/>
  <c r="K42"/>
  <c r="B42"/>
  <c r="Z42"/>
  <c r="K41"/>
  <c r="K44"/>
  <c r="B41"/>
  <c r="B44"/>
  <c r="R39"/>
  <c r="Q39"/>
  <c r="P39"/>
  <c r="O39"/>
  <c r="N39"/>
  <c r="M39"/>
  <c r="L39"/>
  <c r="I39"/>
  <c r="H39"/>
  <c r="G39"/>
  <c r="F39"/>
  <c r="E39"/>
  <c r="D39"/>
  <c r="C39"/>
  <c r="K38"/>
  <c r="B38"/>
  <c r="Z38"/>
  <c r="K37"/>
  <c r="B37"/>
  <c r="Z37"/>
  <c r="K36"/>
  <c r="B36"/>
  <c r="Z36"/>
  <c r="K35"/>
  <c r="B35"/>
  <c r="Z35"/>
  <c r="K34"/>
  <c r="K39"/>
  <c r="B34"/>
  <c r="B39"/>
  <c r="R32"/>
  <c r="Q32"/>
  <c r="P32"/>
  <c r="O32"/>
  <c r="N32"/>
  <c r="M32"/>
  <c r="L32"/>
  <c r="I32"/>
  <c r="H32"/>
  <c r="G32"/>
  <c r="F32"/>
  <c r="E32"/>
  <c r="D32"/>
  <c r="C32"/>
  <c r="K31"/>
  <c r="B31"/>
  <c r="Z31"/>
  <c r="K30"/>
  <c r="B30"/>
  <c r="Z30"/>
  <c r="K29"/>
  <c r="K32"/>
  <c r="B29"/>
  <c r="B32"/>
  <c r="R27"/>
  <c r="Q27"/>
  <c r="P27"/>
  <c r="O27"/>
  <c r="N27"/>
  <c r="M27"/>
  <c r="L27"/>
  <c r="I27"/>
  <c r="H27"/>
  <c r="G27"/>
  <c r="F27"/>
  <c r="E27"/>
  <c r="D27"/>
  <c r="C27"/>
  <c r="K26"/>
  <c r="B26"/>
  <c r="Z26"/>
  <c r="K25"/>
  <c r="B25"/>
  <c r="Z25"/>
  <c r="K24"/>
  <c r="K27"/>
  <c r="B24"/>
  <c r="B27"/>
  <c r="R22"/>
  <c r="Q22"/>
  <c r="P22"/>
  <c r="O22"/>
  <c r="N22"/>
  <c r="M22"/>
  <c r="L22"/>
  <c r="I22"/>
  <c r="H22"/>
  <c r="G22"/>
  <c r="F22"/>
  <c r="E22"/>
  <c r="D22"/>
  <c r="C22"/>
  <c r="K21"/>
  <c r="B21"/>
  <c r="Z21"/>
  <c r="K20"/>
  <c r="B20"/>
  <c r="Z20"/>
  <c r="K19"/>
  <c r="B19"/>
  <c r="Z19"/>
  <c r="K18"/>
  <c r="K22"/>
  <c r="B18"/>
  <c r="B22"/>
  <c r="R16"/>
  <c r="Q16"/>
  <c r="P16"/>
  <c r="O16"/>
  <c r="N16"/>
  <c r="M16"/>
  <c r="L16"/>
  <c r="I16"/>
  <c r="H16"/>
  <c r="G16"/>
  <c r="F16"/>
  <c r="E16"/>
  <c r="D16"/>
  <c r="C16"/>
  <c r="K15"/>
  <c r="B15"/>
  <c r="Z15"/>
  <c r="K14"/>
  <c r="B14"/>
  <c r="Z14"/>
  <c r="K13"/>
  <c r="K16"/>
  <c r="B13"/>
  <c r="B16"/>
  <c r="R11"/>
  <c r="Q11"/>
  <c r="P11"/>
  <c r="O11"/>
  <c r="N11"/>
  <c r="M11"/>
  <c r="L11"/>
  <c r="I11"/>
  <c r="H11"/>
  <c r="G11"/>
  <c r="F11"/>
  <c r="E11"/>
  <c r="D11"/>
  <c r="C11"/>
  <c r="K10"/>
  <c r="B10"/>
  <c r="Z10"/>
  <c r="K9"/>
  <c r="B9"/>
  <c r="Z9"/>
  <c r="K8"/>
  <c r="K11"/>
  <c r="B8"/>
  <c r="B11"/>
  <c r="R6"/>
  <c r="Q6"/>
  <c r="P6"/>
  <c r="O6"/>
  <c r="N6"/>
  <c r="M6"/>
  <c r="L6"/>
  <c r="I6"/>
  <c r="H6"/>
  <c r="G6"/>
  <c r="F6"/>
  <c r="E6"/>
  <c r="D6"/>
  <c r="C6"/>
  <c r="K5"/>
  <c r="B5"/>
  <c r="Z5"/>
  <c r="K4"/>
  <c r="B4"/>
  <c r="Z4"/>
  <c r="K3"/>
  <c r="B3"/>
  <c r="Z3"/>
  <c r="K2"/>
  <c r="K6"/>
  <c r="B2"/>
  <c r="B6"/>
  <c r="P272" i="33"/>
  <c r="P236"/>
  <c r="O172"/>
  <c r="P204"/>
  <c r="L112"/>
  <c r="L221"/>
  <c r="K189"/>
  <c r="J254"/>
  <c r="I143"/>
  <c r="L50"/>
  <c r="L33"/>
  <c r="J18"/>
  <c r="K3"/>
  <c r="K5"/>
  <c r="K7"/>
  <c r="K6"/>
  <c r="O179"/>
  <c r="O178"/>
  <c r="O176"/>
  <c r="O175"/>
  <c r="L40"/>
  <c r="L38"/>
  <c r="L35"/>
  <c r="J22"/>
  <c r="J20"/>
  <c r="P279"/>
  <c r="P278"/>
  <c r="P276"/>
  <c r="P275"/>
  <c r="P280"/>
  <c r="P243"/>
  <c r="P241"/>
  <c r="P238"/>
  <c r="N157"/>
  <c r="N164"/>
  <c r="N161"/>
  <c r="N160"/>
  <c r="P211"/>
  <c r="P210"/>
  <c r="P208"/>
  <c r="P207"/>
  <c r="L223"/>
  <c r="L225"/>
  <c r="L228"/>
  <c r="J257"/>
  <c r="J258"/>
  <c r="J259"/>
  <c r="J261"/>
  <c r="K196"/>
  <c r="K193"/>
  <c r="K192"/>
  <c r="I150"/>
  <c r="I147"/>
  <c r="I146"/>
  <c r="L52"/>
  <c r="L54"/>
  <c r="L56"/>
  <c r="L57"/>
  <c r="D14" i="42"/>
  <c r="D58"/>
  <c r="D36"/>
  <c r="D37"/>
  <c r="D35"/>
  <c r="D27"/>
  <c r="D13"/>
  <c r="D15"/>
  <c r="D7"/>
  <c r="D6"/>
  <c r="D203" i="15"/>
  <c r="D208"/>
  <c r="D207"/>
  <c r="D206"/>
  <c r="D205"/>
  <c r="T6" i="41"/>
  <c r="U6"/>
  <c r="V6"/>
  <c r="W6"/>
  <c r="X6"/>
  <c r="Y6"/>
  <c r="Z6"/>
  <c r="T11"/>
  <c r="U11"/>
  <c r="V11"/>
  <c r="W11"/>
  <c r="X11"/>
  <c r="Y11"/>
  <c r="Z11"/>
  <c r="T16"/>
  <c r="U16"/>
  <c r="V16"/>
  <c r="W16"/>
  <c r="X16"/>
  <c r="Y16"/>
  <c r="Z16"/>
  <c r="T22"/>
  <c r="U22"/>
  <c r="V22"/>
  <c r="W22"/>
  <c r="X22"/>
  <c r="Y22"/>
  <c r="Z22"/>
  <c r="T27"/>
  <c r="U27"/>
  <c r="V27"/>
  <c r="W27"/>
  <c r="X27"/>
  <c r="Y27"/>
  <c r="Z27"/>
  <c r="T32"/>
  <c r="U32"/>
  <c r="V32"/>
  <c r="W32"/>
  <c r="X32"/>
  <c r="Y32"/>
  <c r="Z32"/>
  <c r="T39"/>
  <c r="U39"/>
  <c r="V39"/>
  <c r="W39"/>
  <c r="X39"/>
  <c r="Y39"/>
  <c r="Z39"/>
  <c r="T2"/>
  <c r="U2"/>
  <c r="V2"/>
  <c r="W2"/>
  <c r="X2"/>
  <c r="Y2"/>
  <c r="Z2"/>
  <c r="T3"/>
  <c r="U3"/>
  <c r="V3"/>
  <c r="W3"/>
  <c r="X3"/>
  <c r="Y3"/>
  <c r="T4"/>
  <c r="U4"/>
  <c r="V4"/>
  <c r="W4"/>
  <c r="X4"/>
  <c r="Y4"/>
  <c r="T5"/>
  <c r="U5"/>
  <c r="V5"/>
  <c r="W5"/>
  <c r="X5"/>
  <c r="Y5"/>
  <c r="T8"/>
  <c r="U8"/>
  <c r="V8"/>
  <c r="W8"/>
  <c r="X8"/>
  <c r="Y8"/>
  <c r="Z8"/>
  <c r="T9"/>
  <c r="U9"/>
  <c r="V9"/>
  <c r="W9"/>
  <c r="X9"/>
  <c r="Y9"/>
  <c r="T10"/>
  <c r="U10"/>
  <c r="V10"/>
  <c r="W10"/>
  <c r="X10"/>
  <c r="Y10"/>
  <c r="T13"/>
  <c r="U13"/>
  <c r="V13"/>
  <c r="W13"/>
  <c r="X13"/>
  <c r="Y13"/>
  <c r="Z13"/>
  <c r="T14"/>
  <c r="U14"/>
  <c r="V14"/>
  <c r="W14"/>
  <c r="X14"/>
  <c r="Y14"/>
  <c r="T15"/>
  <c r="U15"/>
  <c r="V15"/>
  <c r="W15"/>
  <c r="X15"/>
  <c r="Y15"/>
  <c r="T18"/>
  <c r="U18"/>
  <c r="V18"/>
  <c r="W18"/>
  <c r="X18"/>
  <c r="Y18"/>
  <c r="Z18"/>
  <c r="T19"/>
  <c r="U19"/>
  <c r="V19"/>
  <c r="W19"/>
  <c r="X19"/>
  <c r="Y19"/>
  <c r="T20"/>
  <c r="U20"/>
  <c r="V20"/>
  <c r="W20"/>
  <c r="X20"/>
  <c r="Y20"/>
  <c r="T21"/>
  <c r="U21"/>
  <c r="V21"/>
  <c r="W21"/>
  <c r="X21"/>
  <c r="Y21"/>
  <c r="T24"/>
  <c r="U24"/>
  <c r="V24"/>
  <c r="W24"/>
  <c r="X24"/>
  <c r="Y24"/>
  <c r="Z24"/>
  <c r="T25"/>
  <c r="U25"/>
  <c r="V25"/>
  <c r="W25"/>
  <c r="X25"/>
  <c r="Y25"/>
  <c r="T26"/>
  <c r="U26"/>
  <c r="V26"/>
  <c r="W26"/>
  <c r="X26"/>
  <c r="Y26"/>
  <c r="T29"/>
  <c r="U29"/>
  <c r="V29"/>
  <c r="W29"/>
  <c r="X29"/>
  <c r="Y29"/>
  <c r="Z29"/>
  <c r="T30"/>
  <c r="U30"/>
  <c r="V30"/>
  <c r="W30"/>
  <c r="X30"/>
  <c r="Y30"/>
  <c r="T31"/>
  <c r="U31"/>
  <c r="V31"/>
  <c r="W31"/>
  <c r="X31"/>
  <c r="Y31"/>
  <c r="T34"/>
  <c r="U34"/>
  <c r="V34"/>
  <c r="W34"/>
  <c r="X34"/>
  <c r="Y34"/>
  <c r="Z34"/>
  <c r="T35"/>
  <c r="U35"/>
  <c r="V35"/>
  <c r="W35"/>
  <c r="X35"/>
  <c r="Y35"/>
  <c r="T36"/>
  <c r="U36"/>
  <c r="V36"/>
  <c r="W36"/>
  <c r="X36"/>
  <c r="Y36"/>
  <c r="T37"/>
  <c r="U37"/>
  <c r="V37"/>
  <c r="W37"/>
  <c r="X37"/>
  <c r="Y37"/>
  <c r="T38"/>
  <c r="U38"/>
  <c r="V38"/>
  <c r="W38"/>
  <c r="X38"/>
  <c r="Y38"/>
  <c r="T41"/>
  <c r="U41"/>
  <c r="V41"/>
  <c r="W41"/>
  <c r="X41"/>
  <c r="Y41"/>
  <c r="Z41"/>
  <c r="T42"/>
  <c r="U42"/>
  <c r="V42"/>
  <c r="W42"/>
  <c r="X42"/>
  <c r="Y42"/>
  <c r="T44"/>
  <c r="U44"/>
  <c r="V44"/>
  <c r="W44"/>
  <c r="X44"/>
  <c r="Y44"/>
  <c r="Z44"/>
  <c r="T50"/>
  <c r="U50"/>
  <c r="V50"/>
  <c r="W50"/>
  <c r="X50"/>
  <c r="Y50"/>
  <c r="Z50"/>
  <c r="T56"/>
  <c r="U56"/>
  <c r="V56"/>
  <c r="W56"/>
  <c r="X56"/>
  <c r="Y56"/>
  <c r="Z56"/>
  <c r="T63"/>
  <c r="U63"/>
  <c r="V63"/>
  <c r="W63"/>
  <c r="X63"/>
  <c r="Y63"/>
  <c r="Z63"/>
  <c r="T69"/>
  <c r="U69"/>
  <c r="V69"/>
  <c r="W69"/>
  <c r="X69"/>
  <c r="Y69"/>
  <c r="Z69"/>
  <c r="T74"/>
  <c r="U74"/>
  <c r="V74"/>
  <c r="W74"/>
  <c r="X74"/>
  <c r="Y74"/>
  <c r="Z74"/>
  <c r="T80"/>
  <c r="U80"/>
  <c r="V80"/>
  <c r="W80"/>
  <c r="X80"/>
  <c r="Y80"/>
  <c r="Z80"/>
  <c r="T87"/>
  <c r="U87"/>
  <c r="V87"/>
  <c r="W87"/>
  <c r="X87"/>
  <c r="Y87"/>
  <c r="Z87"/>
  <c r="T93"/>
  <c r="U93"/>
  <c r="V93"/>
  <c r="W93"/>
  <c r="X93"/>
  <c r="Y93"/>
  <c r="Z93"/>
  <c r="T99"/>
  <c r="U99"/>
  <c r="V99"/>
  <c r="W99"/>
  <c r="X99"/>
  <c r="Y99"/>
  <c r="Z99"/>
  <c r="T105"/>
  <c r="U105"/>
  <c r="V105"/>
  <c r="W105"/>
  <c r="X105"/>
  <c r="Y105"/>
  <c r="Z105"/>
  <c r="T110"/>
  <c r="U110"/>
  <c r="V110"/>
  <c r="W110"/>
  <c r="X110"/>
  <c r="Y110"/>
  <c r="Z110"/>
  <c r="T116"/>
  <c r="U116"/>
  <c r="V116"/>
  <c r="T43"/>
  <c r="U43"/>
  <c r="V43"/>
  <c r="W43"/>
  <c r="X43"/>
  <c r="Y43"/>
  <c r="T46"/>
  <c r="U46"/>
  <c r="V46"/>
  <c r="W46"/>
  <c r="X46"/>
  <c r="Y46"/>
  <c r="Z46"/>
  <c r="T47"/>
  <c r="U47"/>
  <c r="V47"/>
  <c r="W47"/>
  <c r="X47"/>
  <c r="Y47"/>
  <c r="T48"/>
  <c r="U48"/>
  <c r="V48"/>
  <c r="W48"/>
  <c r="X48"/>
  <c r="Y48"/>
  <c r="T49"/>
  <c r="U49"/>
  <c r="V49"/>
  <c r="W49"/>
  <c r="X49"/>
  <c r="Y49"/>
  <c r="T52"/>
  <c r="U52"/>
  <c r="V52"/>
  <c r="W52"/>
  <c r="X52"/>
  <c r="Y52"/>
  <c r="Z52"/>
  <c r="T53"/>
  <c r="U53"/>
  <c r="V53"/>
  <c r="W53"/>
  <c r="X53"/>
  <c r="Y53"/>
  <c r="T54"/>
  <c r="U54"/>
  <c r="V54"/>
  <c r="W54"/>
  <c r="X54"/>
  <c r="Y54"/>
  <c r="T55"/>
  <c r="U55"/>
  <c r="V55"/>
  <c r="W55"/>
  <c r="X55"/>
  <c r="Y55"/>
  <c r="T58"/>
  <c r="U58"/>
  <c r="V58"/>
  <c r="W58"/>
  <c r="X58"/>
  <c r="Y58"/>
  <c r="Z58"/>
  <c r="T59"/>
  <c r="U59"/>
  <c r="V59"/>
  <c r="W59"/>
  <c r="X59"/>
  <c r="Y59"/>
  <c r="T60"/>
  <c r="U60"/>
  <c r="V60"/>
  <c r="W60"/>
  <c r="X60"/>
  <c r="Y60"/>
  <c r="T61"/>
  <c r="U61"/>
  <c r="V61"/>
  <c r="W61"/>
  <c r="X61"/>
  <c r="Y61"/>
  <c r="T62"/>
  <c r="U62"/>
  <c r="V62"/>
  <c r="W62"/>
  <c r="X62"/>
  <c r="Y62"/>
  <c r="T65"/>
  <c r="U65"/>
  <c r="V65"/>
  <c r="W65"/>
  <c r="X65"/>
  <c r="Y65"/>
  <c r="Z65"/>
  <c r="T66"/>
  <c r="U66"/>
  <c r="V66"/>
  <c r="W66"/>
  <c r="X66"/>
  <c r="Y66"/>
  <c r="T67"/>
  <c r="U67"/>
  <c r="V67"/>
  <c r="W67"/>
  <c r="X67"/>
  <c r="Y67"/>
  <c r="T68"/>
  <c r="U68"/>
  <c r="V68"/>
  <c r="W68"/>
  <c r="X68"/>
  <c r="Y68"/>
  <c r="T71"/>
  <c r="U71"/>
  <c r="V71"/>
  <c r="W71"/>
  <c r="X71"/>
  <c r="Y71"/>
  <c r="Z71"/>
  <c r="T72"/>
  <c r="U72"/>
  <c r="V72"/>
  <c r="W72"/>
  <c r="X72"/>
  <c r="Y72"/>
  <c r="T73"/>
  <c r="U73"/>
  <c r="V73"/>
  <c r="W73"/>
  <c r="X73"/>
  <c r="Y73"/>
  <c r="T76"/>
  <c r="U76"/>
  <c r="V76"/>
  <c r="W76"/>
  <c r="X76"/>
  <c r="Y76"/>
  <c r="Z76"/>
  <c r="T77"/>
  <c r="U77"/>
  <c r="V77"/>
  <c r="W77"/>
  <c r="X77"/>
  <c r="Y77"/>
  <c r="T78"/>
  <c r="U78"/>
  <c r="V78"/>
  <c r="W78"/>
  <c r="X78"/>
  <c r="Y78"/>
  <c r="T79"/>
  <c r="U79"/>
  <c r="V79"/>
  <c r="W79"/>
  <c r="X79"/>
  <c r="Y79"/>
  <c r="T82"/>
  <c r="U82"/>
  <c r="V82"/>
  <c r="W82"/>
  <c r="X82"/>
  <c r="Y82"/>
  <c r="Z82"/>
  <c r="T83"/>
  <c r="U83"/>
  <c r="V83"/>
  <c r="W83"/>
  <c r="X83"/>
  <c r="Y83"/>
  <c r="T84"/>
  <c r="U84"/>
  <c r="V84"/>
  <c r="W84"/>
  <c r="X84"/>
  <c r="Y84"/>
  <c r="T85"/>
  <c r="U85"/>
  <c r="V85"/>
  <c r="W85"/>
  <c r="X85"/>
  <c r="Y85"/>
  <c r="T86"/>
  <c r="U86"/>
  <c r="V86"/>
  <c r="W86"/>
  <c r="X86"/>
  <c r="Y86"/>
  <c r="T89"/>
  <c r="U89"/>
  <c r="V89"/>
  <c r="W89"/>
  <c r="X89"/>
  <c r="Y89"/>
  <c r="Z89"/>
  <c r="T90"/>
  <c r="U90"/>
  <c r="V90"/>
  <c r="W90"/>
  <c r="X90"/>
  <c r="Y90"/>
  <c r="T91"/>
  <c r="U91"/>
  <c r="V91"/>
  <c r="W91"/>
  <c r="X91"/>
  <c r="Y91"/>
  <c r="T92"/>
  <c r="U92"/>
  <c r="V92"/>
  <c r="W92"/>
  <c r="X92"/>
  <c r="Y92"/>
  <c r="T95"/>
  <c r="U95"/>
  <c r="V95"/>
  <c r="W95"/>
  <c r="X95"/>
  <c r="Y95"/>
  <c r="Z95"/>
  <c r="T96"/>
  <c r="U96"/>
  <c r="V96"/>
  <c r="W96"/>
  <c r="X96"/>
  <c r="Y96"/>
  <c r="T97"/>
  <c r="U97"/>
  <c r="V97"/>
  <c r="W97"/>
  <c r="X97"/>
  <c r="Y97"/>
  <c r="T98"/>
  <c r="U98"/>
  <c r="V98"/>
  <c r="W98"/>
  <c r="X98"/>
  <c r="Y98"/>
  <c r="T101"/>
  <c r="U101"/>
  <c r="V101"/>
  <c r="W101"/>
  <c r="X101"/>
  <c r="Y101"/>
  <c r="Z101"/>
  <c r="T102"/>
  <c r="U102"/>
  <c r="V102"/>
  <c r="W102"/>
  <c r="X102"/>
  <c r="Y102"/>
  <c r="T103"/>
  <c r="U103"/>
  <c r="V103"/>
  <c r="W103"/>
  <c r="X103"/>
  <c r="Y103"/>
  <c r="T104"/>
  <c r="U104"/>
  <c r="V104"/>
  <c r="W104"/>
  <c r="X104"/>
  <c r="Y104"/>
  <c r="T107"/>
  <c r="U107"/>
  <c r="V107"/>
  <c r="W107"/>
  <c r="X107"/>
  <c r="Y107"/>
  <c r="Z107"/>
  <c r="T108"/>
  <c r="U108"/>
  <c r="V108"/>
  <c r="W108"/>
  <c r="X108"/>
  <c r="Y108"/>
  <c r="T109"/>
  <c r="U109"/>
  <c r="V109"/>
  <c r="W109"/>
  <c r="X109"/>
  <c r="Y109"/>
  <c r="T112"/>
  <c r="U112"/>
  <c r="V112"/>
  <c r="W112"/>
  <c r="X112"/>
  <c r="Y112"/>
  <c r="Z112"/>
  <c r="T113"/>
  <c r="U113"/>
  <c r="V113"/>
  <c r="W113"/>
  <c r="X113"/>
  <c r="Y113"/>
  <c r="T114"/>
  <c r="U114"/>
  <c r="V114"/>
  <c r="W114"/>
  <c r="X114"/>
  <c r="Y114"/>
  <c r="T115"/>
  <c r="U115"/>
  <c r="V115"/>
  <c r="W115"/>
  <c r="X115"/>
  <c r="Y115"/>
  <c r="W116"/>
  <c r="X116"/>
  <c r="Y116"/>
  <c r="Z116"/>
  <c r="T121"/>
  <c r="U121"/>
  <c r="V121"/>
  <c r="W121"/>
  <c r="X121"/>
  <c r="Y121"/>
  <c r="Z121"/>
  <c r="T126"/>
  <c r="U126"/>
  <c r="V126"/>
  <c r="W126"/>
  <c r="X126"/>
  <c r="Y126"/>
  <c r="Z126"/>
  <c r="T131"/>
  <c r="U131"/>
  <c r="V131"/>
  <c r="W131"/>
  <c r="X131"/>
  <c r="Y131"/>
  <c r="Z131"/>
  <c r="T136"/>
  <c r="U136"/>
  <c r="V136"/>
  <c r="W136"/>
  <c r="X136"/>
  <c r="Y136"/>
  <c r="Z136"/>
  <c r="T142"/>
  <c r="U142"/>
  <c r="V142"/>
  <c r="W142"/>
  <c r="X142"/>
  <c r="Y142"/>
  <c r="Z142"/>
  <c r="B155"/>
  <c r="K155"/>
  <c r="C155"/>
  <c r="T155"/>
  <c r="D155"/>
  <c r="U155"/>
  <c r="E155"/>
  <c r="V155"/>
  <c r="F155"/>
  <c r="W155"/>
  <c r="G155"/>
  <c r="X155"/>
  <c r="H155"/>
  <c r="Y155"/>
  <c r="I155"/>
  <c r="Z155"/>
  <c r="L155"/>
  <c r="M155"/>
  <c r="N155"/>
  <c r="O155"/>
  <c r="P155"/>
  <c r="Q155"/>
  <c r="R155"/>
  <c r="T118"/>
  <c r="U118"/>
  <c r="V118"/>
  <c r="W118"/>
  <c r="X118"/>
  <c r="Y118"/>
  <c r="Z118"/>
  <c r="T119"/>
  <c r="U119"/>
  <c r="V119"/>
  <c r="W119"/>
  <c r="X119"/>
  <c r="Y119"/>
  <c r="T120"/>
  <c r="U120"/>
  <c r="V120"/>
  <c r="W120"/>
  <c r="X120"/>
  <c r="Y120"/>
  <c r="T123"/>
  <c r="U123"/>
  <c r="V123"/>
  <c r="W123"/>
  <c r="X123"/>
  <c r="Y123"/>
  <c r="Z123"/>
  <c r="T124"/>
  <c r="U124"/>
  <c r="V124"/>
  <c r="W124"/>
  <c r="X124"/>
  <c r="Y124"/>
  <c r="T125"/>
  <c r="U125"/>
  <c r="V125"/>
  <c r="W125"/>
  <c r="X125"/>
  <c r="Y125"/>
  <c r="T128"/>
  <c r="U128"/>
  <c r="V128"/>
  <c r="W128"/>
  <c r="X128"/>
  <c r="Y128"/>
  <c r="Z128"/>
  <c r="T129"/>
  <c r="U129"/>
  <c r="V129"/>
  <c r="W129"/>
  <c r="X129"/>
  <c r="Y129"/>
  <c r="T130"/>
  <c r="U130"/>
  <c r="V130"/>
  <c r="W130"/>
  <c r="X130"/>
  <c r="Y130"/>
  <c r="T133"/>
  <c r="U133"/>
  <c r="V133"/>
  <c r="W133"/>
  <c r="X133"/>
  <c r="Y133"/>
  <c r="Z133"/>
  <c r="T134"/>
  <c r="U134"/>
  <c r="V134"/>
  <c r="W134"/>
  <c r="X134"/>
  <c r="Y134"/>
  <c r="T135"/>
  <c r="U135"/>
  <c r="V135"/>
  <c r="W135"/>
  <c r="X135"/>
  <c r="Y135"/>
  <c r="T138"/>
  <c r="U138"/>
  <c r="V138"/>
  <c r="W138"/>
  <c r="X138"/>
  <c r="Y138"/>
  <c r="Z138"/>
  <c r="T139"/>
  <c r="U139"/>
  <c r="V139"/>
  <c r="W139"/>
  <c r="X139"/>
  <c r="Y139"/>
  <c r="T140"/>
  <c r="U140"/>
  <c r="V140"/>
  <c r="W140"/>
  <c r="X140"/>
  <c r="Y140"/>
  <c r="T141"/>
  <c r="U141"/>
  <c r="V141"/>
  <c r="W141"/>
  <c r="X141"/>
  <c r="Y141"/>
  <c r="T144"/>
  <c r="U144"/>
  <c r="V144"/>
  <c r="W144"/>
  <c r="X144"/>
  <c r="Y144"/>
  <c r="Z144"/>
  <c r="T145"/>
  <c r="U145"/>
  <c r="V145"/>
  <c r="W145"/>
  <c r="X145"/>
  <c r="Y145"/>
  <c r="T146"/>
  <c r="U146"/>
  <c r="V146"/>
  <c r="W146"/>
  <c r="X146"/>
  <c r="Y146"/>
  <c r="T147"/>
  <c r="U147"/>
  <c r="V147"/>
  <c r="W147"/>
  <c r="X147"/>
  <c r="Y147"/>
  <c r="T148"/>
  <c r="U148"/>
  <c r="V148"/>
  <c r="W148"/>
  <c r="X148"/>
  <c r="Y148"/>
  <c r="T149"/>
  <c r="U149"/>
  <c r="V149"/>
  <c r="W149"/>
  <c r="X149"/>
  <c r="Y149"/>
  <c r="T150"/>
  <c r="U150"/>
  <c r="V150"/>
  <c r="W150"/>
  <c r="X150"/>
  <c r="Y150"/>
  <c r="T151"/>
  <c r="U151"/>
  <c r="V151"/>
  <c r="W151"/>
  <c r="X151"/>
  <c r="Y151"/>
  <c r="T152"/>
  <c r="U152"/>
  <c r="V152"/>
  <c r="W152"/>
  <c r="X152"/>
  <c r="Y152"/>
  <c r="T153"/>
  <c r="U153"/>
  <c r="V153"/>
  <c r="W153"/>
  <c r="X153"/>
  <c r="Y153"/>
  <c r="Z153"/>
  <c r="L128" i="33"/>
  <c r="N99"/>
  <c r="N102"/>
  <c r="N104"/>
  <c r="N97"/>
  <c r="L135"/>
  <c r="L132"/>
  <c r="L131"/>
  <c r="L136"/>
  <c r="L68"/>
  <c r="L69"/>
  <c r="L70"/>
  <c r="L71"/>
  <c r="L73"/>
  <c r="L74"/>
  <c r="L66"/>
  <c r="L119"/>
  <c r="L118"/>
  <c r="K84"/>
  <c r="K87"/>
  <c r="K89"/>
  <c r="K82"/>
  <c r="L114"/>
  <c r="L115"/>
  <c r="L116"/>
  <c r="L120"/>
  <c r="J25"/>
  <c r="J26"/>
  <c r="K24"/>
  <c r="K10"/>
  <c r="F219" i="23"/>
  <c r="F226"/>
  <c r="C226"/>
  <c r="D221"/>
  <c r="F189" i="25"/>
  <c r="F198"/>
  <c r="C198"/>
  <c r="D194"/>
  <c r="D168" i="26"/>
  <c r="D169"/>
  <c r="D170"/>
  <c r="D171"/>
  <c r="D172"/>
  <c r="D173"/>
  <c r="D174"/>
  <c r="D175"/>
  <c r="D176"/>
  <c r="D177"/>
  <c r="D167"/>
  <c r="F166"/>
  <c r="C178"/>
  <c r="F178"/>
  <c r="F88" i="28"/>
  <c r="F111"/>
  <c r="F103"/>
  <c r="F95"/>
  <c r="F60"/>
  <c r="F74"/>
  <c r="F67"/>
  <c r="F21"/>
  <c r="F12"/>
  <c r="F3"/>
  <c r="F28"/>
  <c r="F46"/>
  <c r="F53"/>
  <c r="F37"/>
  <c r="F81"/>
  <c r="D220" i="23"/>
  <c r="D225"/>
  <c r="D224"/>
  <c r="D223"/>
  <c r="D222"/>
  <c r="D190" i="25"/>
  <c r="D197"/>
  <c r="D196"/>
  <c r="D195"/>
  <c r="D191"/>
  <c r="D192"/>
  <c r="D193"/>
  <c r="F93" i="40"/>
  <c r="F86"/>
  <c r="F77"/>
  <c r="F69"/>
  <c r="F61"/>
  <c r="F48"/>
  <c r="F40"/>
  <c r="F33"/>
  <c r="F26"/>
  <c r="F19"/>
  <c r="F11"/>
  <c r="F3"/>
  <c r="F89"/>
  <c r="C89"/>
  <c r="D88"/>
  <c r="F82"/>
  <c r="C82"/>
  <c r="D79"/>
  <c r="F73"/>
  <c r="C73"/>
  <c r="D71"/>
  <c r="F65"/>
  <c r="C65"/>
  <c r="D63"/>
  <c r="F165"/>
  <c r="C165"/>
  <c r="F184"/>
  <c r="C184"/>
  <c r="F177"/>
  <c r="C177"/>
  <c r="F158"/>
  <c r="C158"/>
  <c r="F151"/>
  <c r="C151"/>
  <c r="F144"/>
  <c r="C144"/>
  <c r="F132"/>
  <c r="C132"/>
  <c r="F124"/>
  <c r="C124"/>
  <c r="F284"/>
  <c r="C284"/>
  <c r="F275"/>
  <c r="C275"/>
  <c r="F268"/>
  <c r="C268"/>
  <c r="F260"/>
  <c r="C260"/>
  <c r="F253"/>
  <c r="C253"/>
  <c r="F244"/>
  <c r="C244"/>
  <c r="F237"/>
  <c r="C237"/>
  <c r="F230"/>
  <c r="C230"/>
  <c r="F223"/>
  <c r="C223"/>
  <c r="F215"/>
  <c r="C215"/>
  <c r="F208"/>
  <c r="C208"/>
  <c r="F201"/>
  <c r="C201"/>
  <c r="F372"/>
  <c r="C372"/>
  <c r="F359"/>
  <c r="C359"/>
  <c r="F351"/>
  <c r="C351"/>
  <c r="F343"/>
  <c r="C343"/>
  <c r="F335"/>
  <c r="F327"/>
  <c r="C327"/>
  <c r="F320"/>
  <c r="C320"/>
  <c r="F313"/>
  <c r="C313"/>
  <c r="F306"/>
  <c r="C306"/>
  <c r="F299"/>
  <c r="C299"/>
  <c r="F292"/>
  <c r="C292"/>
  <c r="F116"/>
  <c r="C116"/>
  <c r="D115"/>
  <c r="D114"/>
  <c r="F109"/>
  <c r="C109"/>
  <c r="D108"/>
  <c r="D107"/>
  <c r="D106"/>
  <c r="F96"/>
  <c r="C96"/>
  <c r="D95"/>
  <c r="D94"/>
  <c r="F51"/>
  <c r="C51"/>
  <c r="D50"/>
  <c r="D49"/>
  <c r="F44"/>
  <c r="C44"/>
  <c r="D43"/>
  <c r="D42"/>
  <c r="D41"/>
  <c r="F36"/>
  <c r="C36"/>
  <c r="D35"/>
  <c r="D34"/>
  <c r="F29"/>
  <c r="C29"/>
  <c r="D28"/>
  <c r="D27"/>
  <c r="F22"/>
  <c r="C22"/>
  <c r="D21"/>
  <c r="D20"/>
  <c r="F15"/>
  <c r="C15"/>
  <c r="D14"/>
  <c r="D13"/>
  <c r="D12"/>
  <c r="F7"/>
  <c r="C7"/>
  <c r="D6"/>
  <c r="D5"/>
  <c r="D4"/>
  <c r="F78" i="39"/>
  <c r="F71"/>
  <c r="F62"/>
  <c r="C66"/>
  <c r="D65"/>
  <c r="F55"/>
  <c r="F48"/>
  <c r="F36"/>
  <c r="F39"/>
  <c r="C39"/>
  <c r="F29"/>
  <c r="F17"/>
  <c r="F20"/>
  <c r="C20"/>
  <c r="F10"/>
  <c r="F3"/>
  <c r="F81"/>
  <c r="C81"/>
  <c r="D80"/>
  <c r="D79"/>
  <c r="F74"/>
  <c r="C74"/>
  <c r="D73"/>
  <c r="D72"/>
  <c r="F66"/>
  <c r="D64"/>
  <c r="D63"/>
  <c r="F58"/>
  <c r="C58"/>
  <c r="D57"/>
  <c r="D56"/>
  <c r="F51"/>
  <c r="C51"/>
  <c r="D50"/>
  <c r="D49"/>
  <c r="F32"/>
  <c r="C32"/>
  <c r="D31"/>
  <c r="D30"/>
  <c r="F13"/>
  <c r="C13"/>
  <c r="D12"/>
  <c r="D11"/>
  <c r="F6"/>
  <c r="C6"/>
  <c r="D5"/>
  <c r="D4"/>
  <c r="F72" i="38"/>
  <c r="F65"/>
  <c r="F58"/>
  <c r="F51"/>
  <c r="F44"/>
  <c r="F27"/>
  <c r="F10"/>
  <c r="F3"/>
  <c r="F75"/>
  <c r="C75"/>
  <c r="D74"/>
  <c r="D73"/>
  <c r="F68"/>
  <c r="C68"/>
  <c r="D67"/>
  <c r="D66"/>
  <c r="F61"/>
  <c r="C61"/>
  <c r="D60"/>
  <c r="D59"/>
  <c r="F54"/>
  <c r="C54"/>
  <c r="D53"/>
  <c r="D52"/>
  <c r="F47"/>
  <c r="C47"/>
  <c r="D46"/>
  <c r="D45"/>
  <c r="F30"/>
  <c r="C30"/>
  <c r="D29"/>
  <c r="D28"/>
  <c r="F13"/>
  <c r="C13"/>
  <c r="D12"/>
  <c r="D11"/>
  <c r="F6"/>
  <c r="C6"/>
  <c r="D5"/>
  <c r="D4"/>
  <c r="F85" i="37"/>
  <c r="F77"/>
  <c r="F69"/>
  <c r="F61"/>
  <c r="F54"/>
  <c r="F47"/>
  <c r="F40"/>
  <c r="F33"/>
  <c r="F26"/>
  <c r="F19"/>
  <c r="F11"/>
  <c r="F3"/>
  <c r="F89"/>
  <c r="C89"/>
  <c r="D88"/>
  <c r="D87"/>
  <c r="D86"/>
  <c r="F81"/>
  <c r="C81"/>
  <c r="D80"/>
  <c r="D79"/>
  <c r="D78"/>
  <c r="F73"/>
  <c r="C73"/>
  <c r="D72"/>
  <c r="D71"/>
  <c r="D70"/>
  <c r="F65"/>
  <c r="C65"/>
  <c r="D64"/>
  <c r="D63"/>
  <c r="D62"/>
  <c r="F57"/>
  <c r="C57"/>
  <c r="D56"/>
  <c r="D55"/>
  <c r="F50"/>
  <c r="C50"/>
  <c r="D49"/>
  <c r="D48"/>
  <c r="F43"/>
  <c r="C43"/>
  <c r="D42"/>
  <c r="D41"/>
  <c r="F36"/>
  <c r="C36"/>
  <c r="D35"/>
  <c r="D34"/>
  <c r="F29"/>
  <c r="C29"/>
  <c r="D28"/>
  <c r="D27"/>
  <c r="F22"/>
  <c r="C22"/>
  <c r="D21"/>
  <c r="D20"/>
  <c r="F14"/>
  <c r="C14"/>
  <c r="D13"/>
  <c r="D12"/>
  <c r="F6"/>
  <c r="C6"/>
  <c r="D5"/>
  <c r="D4"/>
  <c r="F84" i="36"/>
  <c r="F75"/>
  <c r="F67"/>
  <c r="F59"/>
  <c r="F52"/>
  <c r="F45"/>
  <c r="F38"/>
  <c r="F31"/>
  <c r="F24"/>
  <c r="F17"/>
  <c r="F10"/>
  <c r="F3"/>
  <c r="F88"/>
  <c r="C88"/>
  <c r="D87"/>
  <c r="D86"/>
  <c r="D85"/>
  <c r="F80"/>
  <c r="C80"/>
  <c r="D79"/>
  <c r="D78"/>
  <c r="D77"/>
  <c r="D76"/>
  <c r="F71"/>
  <c r="C71"/>
  <c r="D70"/>
  <c r="D69"/>
  <c r="D68"/>
  <c r="F63"/>
  <c r="C63"/>
  <c r="D62"/>
  <c r="D61"/>
  <c r="D60"/>
  <c r="F55"/>
  <c r="C55"/>
  <c r="D54"/>
  <c r="D53"/>
  <c r="F48"/>
  <c r="C48"/>
  <c r="D47"/>
  <c r="D46"/>
  <c r="F41"/>
  <c r="C41"/>
  <c r="D40"/>
  <c r="D39"/>
  <c r="F34"/>
  <c r="C34"/>
  <c r="D33"/>
  <c r="D32"/>
  <c r="F27"/>
  <c r="C27"/>
  <c r="D26"/>
  <c r="D25"/>
  <c r="F20"/>
  <c r="C20"/>
  <c r="D19"/>
  <c r="D18"/>
  <c r="F13"/>
  <c r="C13"/>
  <c r="D12"/>
  <c r="D11"/>
  <c r="F6"/>
  <c r="C6"/>
  <c r="D5"/>
  <c r="D4"/>
  <c r="F94" i="35"/>
  <c r="C98"/>
  <c r="D97"/>
  <c r="F85"/>
  <c r="C90"/>
  <c r="F76"/>
  <c r="C81"/>
  <c r="F68"/>
  <c r="C72"/>
  <c r="D71"/>
  <c r="F59"/>
  <c r="C64"/>
  <c r="D62"/>
  <c r="D63"/>
  <c r="F44"/>
  <c r="C48"/>
  <c r="D47"/>
  <c r="F35"/>
  <c r="F27"/>
  <c r="C31"/>
  <c r="D30"/>
  <c r="F20"/>
  <c r="F12"/>
  <c r="C16"/>
  <c r="D15"/>
  <c r="F3"/>
  <c r="F52"/>
  <c r="F98"/>
  <c r="D96"/>
  <c r="D95"/>
  <c r="F90"/>
  <c r="D88"/>
  <c r="D87"/>
  <c r="D86"/>
  <c r="F81"/>
  <c r="D80"/>
  <c r="D78"/>
  <c r="D77"/>
  <c r="F72"/>
  <c r="D70"/>
  <c r="D69"/>
  <c r="F64"/>
  <c r="D61"/>
  <c r="D60"/>
  <c r="F55"/>
  <c r="C55"/>
  <c r="D54"/>
  <c r="D53"/>
  <c r="F48"/>
  <c r="D46"/>
  <c r="D45"/>
  <c r="F40"/>
  <c r="C40"/>
  <c r="D38"/>
  <c r="D39"/>
  <c r="D37"/>
  <c r="D36"/>
  <c r="F31"/>
  <c r="D29"/>
  <c r="D28"/>
  <c r="F23"/>
  <c r="C23"/>
  <c r="D22"/>
  <c r="D21"/>
  <c r="F16"/>
  <c r="D14"/>
  <c r="D13"/>
  <c r="F8"/>
  <c r="C8"/>
  <c r="D6"/>
  <c r="D7"/>
  <c r="D5"/>
  <c r="D4"/>
  <c r="F83" i="34"/>
  <c r="F76"/>
  <c r="F69"/>
  <c r="F62"/>
  <c r="F55"/>
  <c r="F48"/>
  <c r="F41"/>
  <c r="F33"/>
  <c r="F26"/>
  <c r="F18"/>
  <c r="F11"/>
  <c r="F3"/>
  <c r="F7"/>
  <c r="C7"/>
  <c r="F86"/>
  <c r="C86"/>
  <c r="D85"/>
  <c r="D84"/>
  <c r="F79"/>
  <c r="C79"/>
  <c r="D78"/>
  <c r="D77"/>
  <c r="F72"/>
  <c r="C72"/>
  <c r="D71"/>
  <c r="D70"/>
  <c r="F65"/>
  <c r="C65"/>
  <c r="D64"/>
  <c r="D63"/>
  <c r="F58"/>
  <c r="C58"/>
  <c r="D57"/>
  <c r="D56"/>
  <c r="F51"/>
  <c r="C51"/>
  <c r="D50"/>
  <c r="D49"/>
  <c r="F44"/>
  <c r="C44"/>
  <c r="D43"/>
  <c r="D42"/>
  <c r="F37"/>
  <c r="C37"/>
  <c r="D36"/>
  <c r="D35"/>
  <c r="D34"/>
  <c r="F29"/>
  <c r="C29"/>
  <c r="D28"/>
  <c r="D27"/>
  <c r="F22"/>
  <c r="C22"/>
  <c r="D21"/>
  <c r="D20"/>
  <c r="D19"/>
  <c r="F14"/>
  <c r="C14"/>
  <c r="D13"/>
  <c r="D12"/>
  <c r="D5"/>
  <c r="D6"/>
  <c r="D4"/>
  <c r="O255" i="2"/>
  <c r="O235"/>
  <c r="R216"/>
  <c r="R198"/>
  <c r="O181"/>
  <c r="M163"/>
  <c r="Q279" i="33"/>
  <c r="Q278"/>
  <c r="Q277"/>
  <c r="Q276"/>
  <c r="Q275"/>
  <c r="Q274"/>
  <c r="K261"/>
  <c r="K260"/>
  <c r="K259"/>
  <c r="K258"/>
  <c r="K257"/>
  <c r="K256"/>
  <c r="Q243"/>
  <c r="Q242"/>
  <c r="Q241"/>
  <c r="Q240"/>
  <c r="Q239"/>
  <c r="Q238"/>
  <c r="M228"/>
  <c r="M227"/>
  <c r="M226"/>
  <c r="M225"/>
  <c r="M224"/>
  <c r="M223"/>
  <c r="P212"/>
  <c r="Q211"/>
  <c r="Q210"/>
  <c r="Q209"/>
  <c r="Q208"/>
  <c r="Q207"/>
  <c r="Q206"/>
  <c r="K197"/>
  <c r="L196"/>
  <c r="L195"/>
  <c r="L194"/>
  <c r="L193"/>
  <c r="L192"/>
  <c r="L191"/>
  <c r="O180"/>
  <c r="P179"/>
  <c r="G292"/>
  <c r="P177"/>
  <c r="P176"/>
  <c r="P175"/>
  <c r="P174"/>
  <c r="N165"/>
  <c r="O164"/>
  <c r="O163"/>
  <c r="O162"/>
  <c r="O161"/>
  <c r="O160"/>
  <c r="O159"/>
  <c r="I151"/>
  <c r="J150"/>
  <c r="J149"/>
  <c r="J148"/>
  <c r="J147"/>
  <c r="J146"/>
  <c r="J145"/>
  <c r="M135"/>
  <c r="M134"/>
  <c r="M133"/>
  <c r="M132"/>
  <c r="M131"/>
  <c r="M130"/>
  <c r="M119"/>
  <c r="M118"/>
  <c r="M117"/>
  <c r="M116"/>
  <c r="M115"/>
  <c r="M114"/>
  <c r="N105"/>
  <c r="O103"/>
  <c r="O100"/>
  <c r="L89"/>
  <c r="L88"/>
  <c r="L87"/>
  <c r="L86"/>
  <c r="L85"/>
  <c r="L84"/>
  <c r="M73"/>
  <c r="M72"/>
  <c r="M71"/>
  <c r="M70"/>
  <c r="M68"/>
  <c r="M56"/>
  <c r="M55"/>
  <c r="M54"/>
  <c r="M53"/>
  <c r="M52"/>
  <c r="M40"/>
  <c r="M39"/>
  <c r="M38"/>
  <c r="M37"/>
  <c r="M36"/>
  <c r="M35"/>
  <c r="K25"/>
  <c r="K23"/>
  <c r="K22"/>
  <c r="K21"/>
  <c r="K20"/>
  <c r="K11"/>
  <c r="L10"/>
  <c r="L9"/>
  <c r="L8"/>
  <c r="L7"/>
  <c r="L6"/>
  <c r="L5"/>
  <c r="K4" i="21"/>
  <c r="B4"/>
  <c r="Z4"/>
  <c r="K4" i="20"/>
  <c r="B4"/>
  <c r="Z4"/>
  <c r="K4" i="19"/>
  <c r="B4"/>
  <c r="Z4"/>
  <c r="F10" i="32"/>
  <c r="F19"/>
  <c r="F3"/>
  <c r="F35"/>
  <c r="F63"/>
  <c r="F82"/>
  <c r="F89"/>
  <c r="F73"/>
  <c r="F96"/>
  <c r="F27"/>
  <c r="F43"/>
  <c r="C49"/>
  <c r="F53"/>
  <c r="F99"/>
  <c r="C99"/>
  <c r="D98"/>
  <c r="D97"/>
  <c r="F92"/>
  <c r="C92"/>
  <c r="D91"/>
  <c r="D90"/>
  <c r="F85"/>
  <c r="C85"/>
  <c r="D84"/>
  <c r="D83"/>
  <c r="F78"/>
  <c r="C78"/>
  <c r="D77"/>
  <c r="D76"/>
  <c r="D75"/>
  <c r="D74"/>
  <c r="F69"/>
  <c r="C69"/>
  <c r="D67"/>
  <c r="D68"/>
  <c r="D65"/>
  <c r="D64"/>
  <c r="F59"/>
  <c r="C59"/>
  <c r="D56"/>
  <c r="D58"/>
  <c r="D55"/>
  <c r="D54"/>
  <c r="F49"/>
  <c r="D48"/>
  <c r="D47"/>
  <c r="D46"/>
  <c r="D45"/>
  <c r="D44"/>
  <c r="F39"/>
  <c r="C39"/>
  <c r="D38"/>
  <c r="D37"/>
  <c r="D36"/>
  <c r="F31"/>
  <c r="C31"/>
  <c r="D30"/>
  <c r="D29"/>
  <c r="D28"/>
  <c r="F23"/>
  <c r="C23"/>
  <c r="D22"/>
  <c r="D21"/>
  <c r="D20"/>
  <c r="F15"/>
  <c r="C15"/>
  <c r="D14"/>
  <c r="D13"/>
  <c r="D12"/>
  <c r="D11"/>
  <c r="F6"/>
  <c r="C6"/>
  <c r="D5"/>
  <c r="D4"/>
  <c r="F3" i="31"/>
  <c r="F12"/>
  <c r="F21"/>
  <c r="F40"/>
  <c r="F65"/>
  <c r="F30"/>
  <c r="F48"/>
  <c r="F57"/>
  <c r="F82"/>
  <c r="F102"/>
  <c r="F92"/>
  <c r="F73"/>
  <c r="F107"/>
  <c r="C107"/>
  <c r="D105"/>
  <c r="D106"/>
  <c r="D104"/>
  <c r="D103"/>
  <c r="F98"/>
  <c r="C98"/>
  <c r="D97"/>
  <c r="D96"/>
  <c r="D95"/>
  <c r="D94"/>
  <c r="D93"/>
  <c r="F88"/>
  <c r="C88"/>
  <c r="D87"/>
  <c r="D86"/>
  <c r="D85"/>
  <c r="D84"/>
  <c r="D83"/>
  <c r="F78"/>
  <c r="C78"/>
  <c r="D77"/>
  <c r="D76"/>
  <c r="D75"/>
  <c r="D74"/>
  <c r="F69"/>
  <c r="C69"/>
  <c r="D68"/>
  <c r="D67"/>
  <c r="D66"/>
  <c r="F61"/>
  <c r="C61"/>
  <c r="D60"/>
  <c r="D59"/>
  <c r="D58"/>
  <c r="F53"/>
  <c r="C53"/>
  <c r="D51"/>
  <c r="D52"/>
  <c r="D50"/>
  <c r="D49"/>
  <c r="F44"/>
  <c r="C44"/>
  <c r="D43"/>
  <c r="D42"/>
  <c r="D41"/>
  <c r="F36"/>
  <c r="C36"/>
  <c r="D33"/>
  <c r="D35"/>
  <c r="D32"/>
  <c r="D31"/>
  <c r="F26"/>
  <c r="C26"/>
  <c r="D25"/>
  <c r="D24"/>
  <c r="D23"/>
  <c r="D22"/>
  <c r="F17"/>
  <c r="C17"/>
  <c r="D15"/>
  <c r="D16"/>
  <c r="D14"/>
  <c r="D13"/>
  <c r="F8"/>
  <c r="C8"/>
  <c r="D6"/>
  <c r="D7"/>
  <c r="D5"/>
  <c r="D4"/>
  <c r="F3" i="30"/>
  <c r="F11"/>
  <c r="F36"/>
  <c r="F61"/>
  <c r="F28"/>
  <c r="F45"/>
  <c r="F53"/>
  <c r="F78"/>
  <c r="F98"/>
  <c r="F88"/>
  <c r="F69"/>
  <c r="F102"/>
  <c r="C102"/>
  <c r="D101"/>
  <c r="D100"/>
  <c r="D99"/>
  <c r="F94"/>
  <c r="C94"/>
  <c r="D93"/>
  <c r="D92"/>
  <c r="D91"/>
  <c r="D90"/>
  <c r="D89"/>
  <c r="F84"/>
  <c r="C84"/>
  <c r="D83"/>
  <c r="D82"/>
  <c r="D81"/>
  <c r="D80"/>
  <c r="D79"/>
  <c r="F74"/>
  <c r="C74"/>
  <c r="D73"/>
  <c r="D72"/>
  <c r="D71"/>
  <c r="D70"/>
  <c r="F65"/>
  <c r="C65"/>
  <c r="D64"/>
  <c r="D63"/>
  <c r="D62"/>
  <c r="F57"/>
  <c r="C57"/>
  <c r="D56"/>
  <c r="D55"/>
  <c r="D54"/>
  <c r="F49"/>
  <c r="C49"/>
  <c r="D48"/>
  <c r="D47"/>
  <c r="D46"/>
  <c r="F41"/>
  <c r="C41"/>
  <c r="D40"/>
  <c r="D39"/>
  <c r="D38"/>
  <c r="D37"/>
  <c r="F32"/>
  <c r="C32"/>
  <c r="D31"/>
  <c r="D30"/>
  <c r="D29"/>
  <c r="F24"/>
  <c r="C24"/>
  <c r="D23"/>
  <c r="D22"/>
  <c r="D21"/>
  <c r="D20"/>
  <c r="F19"/>
  <c r="F15"/>
  <c r="C15"/>
  <c r="D14"/>
  <c r="D13"/>
  <c r="D12"/>
  <c r="F7"/>
  <c r="C7"/>
  <c r="D6"/>
  <c r="D5"/>
  <c r="D4"/>
  <c r="F3" i="29"/>
  <c r="F13"/>
  <c r="F23"/>
  <c r="F44"/>
  <c r="F76"/>
  <c r="F34"/>
  <c r="F56"/>
  <c r="F66"/>
  <c r="F96"/>
  <c r="F117"/>
  <c r="F107"/>
  <c r="F84"/>
  <c r="F123"/>
  <c r="C123"/>
  <c r="D122"/>
  <c r="D121"/>
  <c r="D120"/>
  <c r="D119"/>
  <c r="D118"/>
  <c r="F113"/>
  <c r="C113"/>
  <c r="D112"/>
  <c r="D111"/>
  <c r="D110"/>
  <c r="D109"/>
  <c r="D108"/>
  <c r="F103"/>
  <c r="C103"/>
  <c r="D102"/>
  <c r="D101"/>
  <c r="D100"/>
  <c r="D99"/>
  <c r="D98"/>
  <c r="D97"/>
  <c r="F92"/>
  <c r="C92"/>
  <c r="D91"/>
  <c r="D90"/>
  <c r="D89"/>
  <c r="D88"/>
  <c r="D87"/>
  <c r="D86"/>
  <c r="D85"/>
  <c r="F80"/>
  <c r="C80"/>
  <c r="D79"/>
  <c r="D78"/>
  <c r="D77"/>
  <c r="F72"/>
  <c r="C72"/>
  <c r="D71"/>
  <c r="D70"/>
  <c r="D69"/>
  <c r="D68"/>
  <c r="D67"/>
  <c r="F62"/>
  <c r="C62"/>
  <c r="D61"/>
  <c r="D60"/>
  <c r="D59"/>
  <c r="D58"/>
  <c r="D57"/>
  <c r="F52"/>
  <c r="C52"/>
  <c r="D49"/>
  <c r="D51"/>
  <c r="D50"/>
  <c r="D48"/>
  <c r="D47"/>
  <c r="D46"/>
  <c r="D45"/>
  <c r="F40"/>
  <c r="C40"/>
  <c r="D38"/>
  <c r="D39"/>
  <c r="D37"/>
  <c r="D36"/>
  <c r="D35"/>
  <c r="F30"/>
  <c r="C30"/>
  <c r="D29"/>
  <c r="D28"/>
  <c r="D27"/>
  <c r="D26"/>
  <c r="D25"/>
  <c r="D24"/>
  <c r="F19"/>
  <c r="C19"/>
  <c r="D18"/>
  <c r="D17"/>
  <c r="D16"/>
  <c r="D15"/>
  <c r="D14"/>
  <c r="F9"/>
  <c r="C9"/>
  <c r="D7"/>
  <c r="D8"/>
  <c r="D6"/>
  <c r="D5"/>
  <c r="D4"/>
  <c r="F170" i="27"/>
  <c r="F159"/>
  <c r="F148"/>
  <c r="F136"/>
  <c r="F85"/>
  <c r="F106"/>
  <c r="F96"/>
  <c r="F33"/>
  <c r="F23"/>
  <c r="F12"/>
  <c r="F3"/>
  <c r="F44"/>
  <c r="F64"/>
  <c r="F74"/>
  <c r="F53"/>
  <c r="F117"/>
  <c r="F127"/>
  <c r="F115" i="28"/>
  <c r="C115"/>
  <c r="D114"/>
  <c r="D113"/>
  <c r="D112"/>
  <c r="F107"/>
  <c r="C107"/>
  <c r="D106"/>
  <c r="D105"/>
  <c r="D104"/>
  <c r="F99"/>
  <c r="C99"/>
  <c r="D98"/>
  <c r="D97"/>
  <c r="D96"/>
  <c r="F91"/>
  <c r="C91"/>
  <c r="D90"/>
  <c r="D89"/>
  <c r="F84"/>
  <c r="C84"/>
  <c r="D83"/>
  <c r="D82"/>
  <c r="F77"/>
  <c r="C77"/>
  <c r="D76"/>
  <c r="D75"/>
  <c r="F70"/>
  <c r="C70"/>
  <c r="D69"/>
  <c r="D68"/>
  <c r="F63"/>
  <c r="C63"/>
  <c r="D62"/>
  <c r="D61"/>
  <c r="F56"/>
  <c r="C56"/>
  <c r="D55"/>
  <c r="D54"/>
  <c r="F49"/>
  <c r="C49"/>
  <c r="D48"/>
  <c r="D47"/>
  <c r="F42"/>
  <c r="C42"/>
  <c r="D41"/>
  <c r="D40"/>
  <c r="D39"/>
  <c r="D38"/>
  <c r="F33"/>
  <c r="C33"/>
  <c r="D32"/>
  <c r="D31"/>
  <c r="D30"/>
  <c r="D29"/>
  <c r="F24"/>
  <c r="C24"/>
  <c r="D23"/>
  <c r="D22"/>
  <c r="F17"/>
  <c r="C17"/>
  <c r="D16"/>
  <c r="D15"/>
  <c r="D14"/>
  <c r="D13"/>
  <c r="F8"/>
  <c r="C8"/>
  <c r="D7"/>
  <c r="D6"/>
  <c r="D5"/>
  <c r="D4"/>
  <c r="F179" i="27"/>
  <c r="C179"/>
  <c r="D176"/>
  <c r="D178"/>
  <c r="D177"/>
  <c r="D172"/>
  <c r="D171"/>
  <c r="F166"/>
  <c r="C166"/>
  <c r="D164"/>
  <c r="D165"/>
  <c r="D163"/>
  <c r="D162"/>
  <c r="D161"/>
  <c r="D160"/>
  <c r="F155"/>
  <c r="C155"/>
  <c r="D152"/>
  <c r="D154"/>
  <c r="D153"/>
  <c r="D150"/>
  <c r="D149"/>
  <c r="F144"/>
  <c r="C144"/>
  <c r="D142"/>
  <c r="D143"/>
  <c r="D141"/>
  <c r="D140"/>
  <c r="D139"/>
  <c r="D138"/>
  <c r="D137"/>
  <c r="F132"/>
  <c r="C132"/>
  <c r="D130"/>
  <c r="D131"/>
  <c r="D129"/>
  <c r="D128"/>
  <c r="F123"/>
  <c r="C123"/>
  <c r="D121"/>
  <c r="D122"/>
  <c r="D119"/>
  <c r="D118"/>
  <c r="F113"/>
  <c r="C113"/>
  <c r="D109"/>
  <c r="D112"/>
  <c r="D108"/>
  <c r="D107"/>
  <c r="F102"/>
  <c r="C102"/>
  <c r="D100"/>
  <c r="D101"/>
  <c r="D99"/>
  <c r="D98"/>
  <c r="D97"/>
  <c r="F92"/>
  <c r="C92"/>
  <c r="D89"/>
  <c r="D91"/>
  <c r="D90"/>
  <c r="D87"/>
  <c r="D86"/>
  <c r="F81"/>
  <c r="C81"/>
  <c r="D78"/>
  <c r="D80"/>
  <c r="D79"/>
  <c r="D77"/>
  <c r="D76"/>
  <c r="D75"/>
  <c r="F70"/>
  <c r="C70"/>
  <c r="D69"/>
  <c r="D68"/>
  <c r="D67"/>
  <c r="D66"/>
  <c r="D65"/>
  <c r="F60"/>
  <c r="C60"/>
  <c r="D57"/>
  <c r="D59"/>
  <c r="D58"/>
  <c r="D56"/>
  <c r="D55"/>
  <c r="D54"/>
  <c r="F49"/>
  <c r="C49"/>
  <c r="D48"/>
  <c r="D47"/>
  <c r="D46"/>
  <c r="D45"/>
  <c r="F40"/>
  <c r="C40"/>
  <c r="D39"/>
  <c r="D38"/>
  <c r="D37"/>
  <c r="D36"/>
  <c r="D35"/>
  <c r="D34"/>
  <c r="F29"/>
  <c r="C29"/>
  <c r="D28"/>
  <c r="D27"/>
  <c r="D26"/>
  <c r="D25"/>
  <c r="D24"/>
  <c r="F19"/>
  <c r="C19"/>
  <c r="D16"/>
  <c r="D18"/>
  <c r="D17"/>
  <c r="D15"/>
  <c r="D14"/>
  <c r="D13"/>
  <c r="F8"/>
  <c r="C8"/>
  <c r="D7"/>
  <c r="D6"/>
  <c r="D5"/>
  <c r="D4"/>
  <c r="F137" i="26"/>
  <c r="F146"/>
  <c r="F156"/>
  <c r="F126"/>
  <c r="F84"/>
  <c r="F102"/>
  <c r="F93"/>
  <c r="F33"/>
  <c r="F23"/>
  <c r="F13"/>
  <c r="F3"/>
  <c r="F44"/>
  <c r="F64"/>
  <c r="F74"/>
  <c r="F54"/>
  <c r="F110"/>
  <c r="F118"/>
  <c r="F161"/>
  <c r="C161"/>
  <c r="D160"/>
  <c r="D159"/>
  <c r="D158"/>
  <c r="D157"/>
  <c r="F152"/>
  <c r="C152"/>
  <c r="D151"/>
  <c r="D150"/>
  <c r="D149"/>
  <c r="D148"/>
  <c r="D147"/>
  <c r="F142"/>
  <c r="C142"/>
  <c r="D141"/>
  <c r="D140"/>
  <c r="D139"/>
  <c r="D138"/>
  <c r="F133"/>
  <c r="C133"/>
  <c r="D132"/>
  <c r="D131"/>
  <c r="D130"/>
  <c r="D129"/>
  <c r="D128"/>
  <c r="D127"/>
  <c r="F122"/>
  <c r="C122"/>
  <c r="D121"/>
  <c r="D120"/>
  <c r="D119"/>
  <c r="F114"/>
  <c r="C114"/>
  <c r="D113"/>
  <c r="D112"/>
  <c r="D111"/>
  <c r="F106"/>
  <c r="C106"/>
  <c r="D105"/>
  <c r="D104"/>
  <c r="D103"/>
  <c r="F98"/>
  <c r="C98"/>
  <c r="D95"/>
  <c r="D97"/>
  <c r="D96"/>
  <c r="D94"/>
  <c r="F89"/>
  <c r="C89"/>
  <c r="D88"/>
  <c r="D87"/>
  <c r="D86"/>
  <c r="D85"/>
  <c r="F80"/>
  <c r="C80"/>
  <c r="D79"/>
  <c r="D78"/>
  <c r="D77"/>
  <c r="D76"/>
  <c r="D75"/>
  <c r="F70"/>
  <c r="C70"/>
  <c r="D69"/>
  <c r="D68"/>
  <c r="D67"/>
  <c r="D66"/>
  <c r="D65"/>
  <c r="F60"/>
  <c r="C60"/>
  <c r="D59"/>
  <c r="D58"/>
  <c r="D57"/>
  <c r="D56"/>
  <c r="D55"/>
  <c r="F50"/>
  <c r="C50"/>
  <c r="D48"/>
  <c r="D49"/>
  <c r="D47"/>
  <c r="D46"/>
  <c r="D45"/>
  <c r="F40"/>
  <c r="C40"/>
  <c r="D38"/>
  <c r="D39"/>
  <c r="D37"/>
  <c r="D36"/>
  <c r="D35"/>
  <c r="D34"/>
  <c r="F29"/>
  <c r="C29"/>
  <c r="D28"/>
  <c r="D27"/>
  <c r="D26"/>
  <c r="D25"/>
  <c r="D24"/>
  <c r="F19"/>
  <c r="C19"/>
  <c r="D18"/>
  <c r="D17"/>
  <c r="D16"/>
  <c r="D15"/>
  <c r="D14"/>
  <c r="F9"/>
  <c r="C9"/>
  <c r="D8"/>
  <c r="D7"/>
  <c r="D6"/>
  <c r="D5"/>
  <c r="D4"/>
  <c r="O242" i="2"/>
  <c r="P112"/>
  <c r="P107"/>
  <c r="P110"/>
  <c r="P109"/>
  <c r="H260" i="24"/>
  <c r="G260"/>
  <c r="E260"/>
  <c r="D260"/>
  <c r="C260"/>
  <c r="W241"/>
  <c r="W240"/>
  <c r="W237"/>
  <c r="W236"/>
  <c r="U218"/>
  <c r="U217"/>
  <c r="U215"/>
  <c r="U214"/>
  <c r="U213"/>
  <c r="Q197"/>
  <c r="Q196"/>
  <c r="Q195"/>
  <c r="T175"/>
  <c r="T174"/>
  <c r="T173"/>
  <c r="T172"/>
  <c r="T171"/>
  <c r="T170"/>
  <c r="R148"/>
  <c r="R149"/>
  <c r="R153"/>
  <c r="R152"/>
  <c r="S148"/>
  <c r="X236"/>
  <c r="V213"/>
  <c r="T126"/>
  <c r="T127"/>
  <c r="T128"/>
  <c r="T129"/>
  <c r="T130"/>
  <c r="T131"/>
  <c r="U126"/>
  <c r="W101"/>
  <c r="W102"/>
  <c r="W103"/>
  <c r="W105"/>
  <c r="W106"/>
  <c r="X101"/>
  <c r="V78"/>
  <c r="V80"/>
  <c r="V81"/>
  <c r="V82"/>
  <c r="Q57"/>
  <c r="Q58"/>
  <c r="Q59"/>
  <c r="Q60"/>
  <c r="Q61"/>
  <c r="Q62"/>
  <c r="P43"/>
  <c r="P39"/>
  <c r="P40"/>
  <c r="P41"/>
  <c r="P42"/>
  <c r="R21"/>
  <c r="R23"/>
  <c r="R25"/>
  <c r="R24"/>
  <c r="L10"/>
  <c r="L8"/>
  <c r="L6"/>
  <c r="R18"/>
  <c r="P37"/>
  <c r="L3"/>
  <c r="V75"/>
  <c r="R146"/>
  <c r="Q55"/>
  <c r="W99"/>
  <c r="T124"/>
  <c r="Q190"/>
  <c r="W234"/>
  <c r="U211"/>
  <c r="T168"/>
  <c r="Q112" i="22"/>
  <c r="Q113"/>
  <c r="Q115"/>
  <c r="Q114"/>
  <c r="Q116"/>
  <c r="Q117"/>
  <c r="M130"/>
  <c r="M134"/>
  <c r="M135"/>
  <c r="O146"/>
  <c r="O149"/>
  <c r="O151"/>
  <c r="O150"/>
  <c r="M166"/>
  <c r="M168"/>
  <c r="P183"/>
  <c r="P185"/>
  <c r="P184"/>
  <c r="P188"/>
  <c r="P199"/>
  <c r="P200"/>
  <c r="P203"/>
  <c r="P204"/>
  <c r="C215"/>
  <c r="H215"/>
  <c r="G215"/>
  <c r="P201"/>
  <c r="P197"/>
  <c r="Q201"/>
  <c r="P187"/>
  <c r="P181"/>
  <c r="Q185"/>
  <c r="M164"/>
  <c r="M162"/>
  <c r="O144"/>
  <c r="M128"/>
  <c r="N132"/>
  <c r="R114"/>
  <c r="Q110"/>
  <c r="Q92"/>
  <c r="Q93"/>
  <c r="Q94"/>
  <c r="R94"/>
  <c r="Q95"/>
  <c r="Q96"/>
  <c r="Q97"/>
  <c r="Q90"/>
  <c r="N80"/>
  <c r="N75"/>
  <c r="N78"/>
  <c r="N79"/>
  <c r="N73"/>
  <c r="N59"/>
  <c r="N57"/>
  <c r="N60"/>
  <c r="N61"/>
  <c r="N62"/>
  <c r="N55"/>
  <c r="Q39"/>
  <c r="Q37"/>
  <c r="Q40"/>
  <c r="Q41"/>
  <c r="Q42"/>
  <c r="Q35"/>
  <c r="P19"/>
  <c r="P23"/>
  <c r="P24"/>
  <c r="P22"/>
  <c r="P17"/>
  <c r="N5"/>
  <c r="N8"/>
  <c r="N10"/>
  <c r="N3"/>
  <c r="F176" i="25"/>
  <c r="F163"/>
  <c r="F153"/>
  <c r="F140"/>
  <c r="F130"/>
  <c r="F136"/>
  <c r="F120"/>
  <c r="F110"/>
  <c r="F99"/>
  <c r="F89"/>
  <c r="F78"/>
  <c r="F67"/>
  <c r="F57"/>
  <c r="F48"/>
  <c r="F38"/>
  <c r="F27"/>
  <c r="F14"/>
  <c r="F3"/>
  <c r="F184"/>
  <c r="C184"/>
  <c r="D183"/>
  <c r="D182"/>
  <c r="D181"/>
  <c r="D180"/>
  <c r="D179"/>
  <c r="D178"/>
  <c r="D177"/>
  <c r="F172"/>
  <c r="C172"/>
  <c r="D171"/>
  <c r="D170"/>
  <c r="D169"/>
  <c r="D168"/>
  <c r="D167"/>
  <c r="D166"/>
  <c r="D165"/>
  <c r="D164"/>
  <c r="F159"/>
  <c r="C159"/>
  <c r="D158"/>
  <c r="D157"/>
  <c r="D156"/>
  <c r="D155"/>
  <c r="D154"/>
  <c r="F149"/>
  <c r="C149"/>
  <c r="D145"/>
  <c r="D148"/>
  <c r="D147"/>
  <c r="D146"/>
  <c r="D144"/>
  <c r="D143"/>
  <c r="D142"/>
  <c r="D141"/>
  <c r="C136"/>
  <c r="D135"/>
  <c r="D134"/>
  <c r="D133"/>
  <c r="D132"/>
  <c r="D131"/>
  <c r="F126"/>
  <c r="C126"/>
  <c r="D125"/>
  <c r="D124"/>
  <c r="D123"/>
  <c r="D122"/>
  <c r="D121"/>
  <c r="F116"/>
  <c r="C116"/>
  <c r="D115"/>
  <c r="D114"/>
  <c r="D113"/>
  <c r="D112"/>
  <c r="D111"/>
  <c r="F106"/>
  <c r="C106"/>
  <c r="D105"/>
  <c r="D104"/>
  <c r="D103"/>
  <c r="D102"/>
  <c r="D101"/>
  <c r="D100"/>
  <c r="F95"/>
  <c r="C95"/>
  <c r="D94"/>
  <c r="D93"/>
  <c r="D92"/>
  <c r="D91"/>
  <c r="D90"/>
  <c r="F85"/>
  <c r="C85"/>
  <c r="D84"/>
  <c r="D83"/>
  <c r="D82"/>
  <c r="D81"/>
  <c r="D80"/>
  <c r="D79"/>
  <c r="F74"/>
  <c r="C74"/>
  <c r="D73"/>
  <c r="D72"/>
  <c r="D71"/>
  <c r="D70"/>
  <c r="D69"/>
  <c r="D68"/>
  <c r="F63"/>
  <c r="C63"/>
  <c r="D62"/>
  <c r="D61"/>
  <c r="D60"/>
  <c r="D59"/>
  <c r="D58"/>
  <c r="F53"/>
  <c r="C53"/>
  <c r="D52"/>
  <c r="D51"/>
  <c r="D50"/>
  <c r="D49"/>
  <c r="F44"/>
  <c r="C44"/>
  <c r="D43"/>
  <c r="D42"/>
  <c r="D41"/>
  <c r="D40"/>
  <c r="D39"/>
  <c r="F34"/>
  <c r="C34"/>
  <c r="D32"/>
  <c r="D33"/>
  <c r="D31"/>
  <c r="D30"/>
  <c r="D29"/>
  <c r="D28"/>
  <c r="F23"/>
  <c r="C23"/>
  <c r="D20"/>
  <c r="D22"/>
  <c r="D21"/>
  <c r="D18"/>
  <c r="D17"/>
  <c r="D16"/>
  <c r="D15"/>
  <c r="F10"/>
  <c r="C10"/>
  <c r="D7"/>
  <c r="D9"/>
  <c r="D8"/>
  <c r="D6"/>
  <c r="D5"/>
  <c r="D4"/>
  <c r="B260" i="24"/>
  <c r="X241"/>
  <c r="X240"/>
  <c r="X239"/>
  <c r="X238"/>
  <c r="X237"/>
  <c r="V218"/>
  <c r="V217"/>
  <c r="V216"/>
  <c r="V215"/>
  <c r="V214"/>
  <c r="R197"/>
  <c r="R196"/>
  <c r="R195"/>
  <c r="R194"/>
  <c r="R193"/>
  <c r="R192"/>
  <c r="U175"/>
  <c r="U174"/>
  <c r="U173"/>
  <c r="U172"/>
  <c r="U171"/>
  <c r="U170"/>
  <c r="S153"/>
  <c r="S152"/>
  <c r="S151"/>
  <c r="S150"/>
  <c r="S149"/>
  <c r="U131"/>
  <c r="U130"/>
  <c r="U129"/>
  <c r="U128"/>
  <c r="U127"/>
  <c r="X106"/>
  <c r="X105"/>
  <c r="X104"/>
  <c r="X103"/>
  <c r="X102"/>
  <c r="W82"/>
  <c r="W81"/>
  <c r="W77"/>
  <c r="R62"/>
  <c r="R61"/>
  <c r="R60"/>
  <c r="R59"/>
  <c r="R58"/>
  <c r="R57"/>
  <c r="G261"/>
  <c r="Q41"/>
  <c r="Q40"/>
  <c r="S25"/>
  <c r="S24"/>
  <c r="S23"/>
  <c r="S22"/>
  <c r="S21"/>
  <c r="S20"/>
  <c r="M10"/>
  <c r="M9"/>
  <c r="M8"/>
  <c r="M7"/>
  <c r="M6"/>
  <c r="M5"/>
  <c r="F204" i="23"/>
  <c r="F189"/>
  <c r="F178"/>
  <c r="F166"/>
  <c r="F153"/>
  <c r="F141"/>
  <c r="F127"/>
  <c r="F115"/>
  <c r="F104"/>
  <c r="F91"/>
  <c r="F78"/>
  <c r="F68"/>
  <c r="F58"/>
  <c r="F45"/>
  <c r="F35"/>
  <c r="F24"/>
  <c r="F13"/>
  <c r="F3"/>
  <c r="F214"/>
  <c r="C214"/>
  <c r="D213"/>
  <c r="D212"/>
  <c r="D211"/>
  <c r="D210"/>
  <c r="D209"/>
  <c r="D208"/>
  <c r="D207"/>
  <c r="D206"/>
  <c r="D205"/>
  <c r="F200"/>
  <c r="C200"/>
  <c r="D196"/>
  <c r="D199"/>
  <c r="D198"/>
  <c r="D197"/>
  <c r="D194"/>
  <c r="D193"/>
  <c r="D192"/>
  <c r="D191"/>
  <c r="D190"/>
  <c r="F185"/>
  <c r="C185"/>
  <c r="D184"/>
  <c r="D183"/>
  <c r="D182"/>
  <c r="D181"/>
  <c r="D180"/>
  <c r="D179"/>
  <c r="F174"/>
  <c r="C174"/>
  <c r="D172"/>
  <c r="D173"/>
  <c r="D171"/>
  <c r="D170"/>
  <c r="D169"/>
  <c r="D168"/>
  <c r="D167"/>
  <c r="F162"/>
  <c r="C162"/>
  <c r="D159"/>
  <c r="D161"/>
  <c r="D160"/>
  <c r="D157"/>
  <c r="D156"/>
  <c r="D155"/>
  <c r="D154"/>
  <c r="F149"/>
  <c r="C149"/>
  <c r="D147"/>
  <c r="D148"/>
  <c r="D146"/>
  <c r="D145"/>
  <c r="D144"/>
  <c r="D143"/>
  <c r="D142"/>
  <c r="F137"/>
  <c r="C137"/>
  <c r="D133"/>
  <c r="D136"/>
  <c r="D134"/>
  <c r="D132"/>
  <c r="D131"/>
  <c r="D130"/>
  <c r="D129"/>
  <c r="D128"/>
  <c r="F123"/>
  <c r="C123"/>
  <c r="D120"/>
  <c r="D122"/>
  <c r="D121"/>
  <c r="D118"/>
  <c r="D117"/>
  <c r="D116"/>
  <c r="F111"/>
  <c r="C111"/>
  <c r="D110"/>
  <c r="D109"/>
  <c r="D108"/>
  <c r="D107"/>
  <c r="D106"/>
  <c r="D105"/>
  <c r="F100"/>
  <c r="C100"/>
  <c r="D96"/>
  <c r="D99"/>
  <c r="D98"/>
  <c r="D97"/>
  <c r="D93"/>
  <c r="D92"/>
  <c r="F87"/>
  <c r="C87"/>
  <c r="D83"/>
  <c r="D86"/>
  <c r="D85"/>
  <c r="D84"/>
  <c r="D80"/>
  <c r="D79"/>
  <c r="F74"/>
  <c r="C74"/>
  <c r="D73"/>
  <c r="D72"/>
  <c r="D71"/>
  <c r="D70"/>
  <c r="D69"/>
  <c r="F64"/>
  <c r="C64"/>
  <c r="D62"/>
  <c r="D63"/>
  <c r="D61"/>
  <c r="D60"/>
  <c r="D59"/>
  <c r="F54"/>
  <c r="C54"/>
  <c r="D50"/>
  <c r="D53"/>
  <c r="D52"/>
  <c r="D51"/>
  <c r="D47"/>
  <c r="D46"/>
  <c r="F41"/>
  <c r="C41"/>
  <c r="D40"/>
  <c r="D39"/>
  <c r="D38"/>
  <c r="D37"/>
  <c r="D36"/>
  <c r="F31"/>
  <c r="C31"/>
  <c r="D28"/>
  <c r="D30"/>
  <c r="D29"/>
  <c r="D26"/>
  <c r="D25"/>
  <c r="F20"/>
  <c r="C20"/>
  <c r="D18"/>
  <c r="D19"/>
  <c r="D15"/>
  <c r="D14"/>
  <c r="F9"/>
  <c r="C9"/>
  <c r="D7"/>
  <c r="D8"/>
  <c r="D6"/>
  <c r="D5"/>
  <c r="D4"/>
  <c r="K137" i="11"/>
  <c r="B137"/>
  <c r="Z137"/>
  <c r="AB137" i="12"/>
  <c r="L137"/>
  <c r="B137"/>
  <c r="AC137"/>
  <c r="W4" i="19"/>
  <c r="D357" i="40"/>
  <c r="D358"/>
  <c r="D356"/>
  <c r="D349"/>
  <c r="D350"/>
  <c r="D348"/>
  <c r="D341"/>
  <c r="D342"/>
  <c r="D340"/>
  <c r="D319"/>
  <c r="D318"/>
  <c r="D326"/>
  <c r="D325"/>
  <c r="D312"/>
  <c r="D311"/>
  <c r="D298"/>
  <c r="D297"/>
  <c r="D305"/>
  <c r="D304"/>
  <c r="D290"/>
  <c r="D291"/>
  <c r="D289"/>
  <c r="D274"/>
  <c r="D273"/>
  <c r="D281"/>
  <c r="D282"/>
  <c r="D283"/>
  <c r="D280"/>
  <c r="D266"/>
  <c r="D267"/>
  <c r="D265"/>
  <c r="D259"/>
  <c r="D258"/>
  <c r="D229"/>
  <c r="D228"/>
  <c r="D236"/>
  <c r="D235"/>
  <c r="D243"/>
  <c r="D242"/>
  <c r="D250"/>
  <c r="D251"/>
  <c r="D252"/>
  <c r="D249"/>
  <c r="D207"/>
  <c r="D206"/>
  <c r="D214"/>
  <c r="D213"/>
  <c r="D221"/>
  <c r="D222"/>
  <c r="D220"/>
  <c r="D200"/>
  <c r="D199"/>
  <c r="D183"/>
  <c r="D182"/>
  <c r="D176"/>
  <c r="D175"/>
  <c r="D143"/>
  <c r="D142"/>
  <c r="D150"/>
  <c r="D149"/>
  <c r="D157"/>
  <c r="D156"/>
  <c r="D164"/>
  <c r="D163"/>
  <c r="D122"/>
  <c r="D123"/>
  <c r="D121"/>
  <c r="D130"/>
  <c r="D131"/>
  <c r="D129"/>
  <c r="D19" i="39"/>
  <c r="D18"/>
  <c r="D38"/>
  <c r="D37"/>
  <c r="F292" i="33"/>
  <c r="D78" i="40"/>
  <c r="D81"/>
  <c r="D80"/>
  <c r="D87"/>
  <c r="D62"/>
  <c r="D64"/>
  <c r="D70"/>
  <c r="D72"/>
  <c r="D89" i="35"/>
  <c r="D79"/>
  <c r="C292" i="33"/>
  <c r="D292"/>
  <c r="E292"/>
  <c r="H292"/>
  <c r="B292"/>
  <c r="G293"/>
  <c r="M69"/>
  <c r="O99"/>
  <c r="O101"/>
  <c r="O102"/>
  <c r="O104"/>
  <c r="P178"/>
  <c r="X4" i="21"/>
  <c r="X4" i="20"/>
  <c r="T4" i="21"/>
  <c r="U4"/>
  <c r="V4"/>
  <c r="W4"/>
  <c r="Y4"/>
  <c r="T4" i="20"/>
  <c r="U4"/>
  <c r="V4"/>
  <c r="W4"/>
  <c r="Y4"/>
  <c r="T4" i="19"/>
  <c r="U4"/>
  <c r="V4"/>
  <c r="X4"/>
  <c r="Y4"/>
  <c r="D66" i="32"/>
  <c r="D57"/>
  <c r="D34" i="31"/>
  <c r="D173" i="27"/>
  <c r="D174"/>
  <c r="D175"/>
  <c r="D151"/>
  <c r="D88"/>
  <c r="D110"/>
  <c r="D111"/>
  <c r="D120"/>
  <c r="C261" i="24"/>
  <c r="H261"/>
  <c r="F260"/>
  <c r="F261"/>
  <c r="D261"/>
  <c r="E261"/>
  <c r="D19" i="25"/>
  <c r="Q39" i="24"/>
  <c r="Q42"/>
  <c r="Q43"/>
  <c r="W78"/>
  <c r="W79"/>
  <c r="W80"/>
  <c r="D195" i="23"/>
  <c r="D158"/>
  <c r="D135"/>
  <c r="D119"/>
  <c r="D94"/>
  <c r="D95"/>
  <c r="D81"/>
  <c r="D82"/>
  <c r="D48"/>
  <c r="D49"/>
  <c r="D27"/>
  <c r="D17"/>
  <c r="D16"/>
  <c r="T137" i="11"/>
  <c r="U137"/>
  <c r="V137"/>
  <c r="W137"/>
  <c r="X137"/>
  <c r="Y137"/>
  <c r="V137" i="12"/>
  <c r="W137"/>
  <c r="X137"/>
  <c r="Y137"/>
  <c r="Z137"/>
  <c r="AA137"/>
  <c r="L41"/>
  <c r="B215" i="22"/>
  <c r="Q204"/>
  <c r="Q203"/>
  <c r="Q202"/>
  <c r="Q200"/>
  <c r="Q199"/>
  <c r="Q188"/>
  <c r="Q187"/>
  <c r="Q186"/>
  <c r="Q184"/>
  <c r="Q183"/>
  <c r="N168"/>
  <c r="N167"/>
  <c r="N166"/>
  <c r="N165"/>
  <c r="N164"/>
  <c r="P151"/>
  <c r="P150"/>
  <c r="P149"/>
  <c r="P147"/>
  <c r="P146"/>
  <c r="P148"/>
  <c r="N135"/>
  <c r="N134"/>
  <c r="N133"/>
  <c r="N131"/>
  <c r="N130"/>
  <c r="R117"/>
  <c r="R116"/>
  <c r="R115"/>
  <c r="R113"/>
  <c r="R112"/>
  <c r="R97"/>
  <c r="R96"/>
  <c r="R95"/>
  <c r="R93"/>
  <c r="R92"/>
  <c r="O80"/>
  <c r="O79"/>
  <c r="O77"/>
  <c r="O62"/>
  <c r="O61"/>
  <c r="O60"/>
  <c r="O58"/>
  <c r="O57"/>
  <c r="O59"/>
  <c r="G216"/>
  <c r="R40"/>
  <c r="R38"/>
  <c r="R37"/>
  <c r="Q24"/>
  <c r="Q23"/>
  <c r="Q22"/>
  <c r="Q20"/>
  <c r="Q19"/>
  <c r="Q21"/>
  <c r="O10"/>
  <c r="O9"/>
  <c r="O8"/>
  <c r="O6"/>
  <c r="O5"/>
  <c r="O7"/>
  <c r="R150" i="21"/>
  <c r="Q150"/>
  <c r="P150"/>
  <c r="O150"/>
  <c r="N150"/>
  <c r="M150"/>
  <c r="L150"/>
  <c r="I150"/>
  <c r="H150"/>
  <c r="G150"/>
  <c r="F150"/>
  <c r="E150"/>
  <c r="D150"/>
  <c r="C150"/>
  <c r="K149"/>
  <c r="B149"/>
  <c r="K148"/>
  <c r="B148"/>
  <c r="K147"/>
  <c r="B147"/>
  <c r="K146"/>
  <c r="B146"/>
  <c r="K145"/>
  <c r="B145"/>
  <c r="K144"/>
  <c r="B144"/>
  <c r="K143"/>
  <c r="B143"/>
  <c r="K142"/>
  <c r="K150"/>
  <c r="B142"/>
  <c r="R140"/>
  <c r="Q140"/>
  <c r="P140"/>
  <c r="O140"/>
  <c r="N140"/>
  <c r="M140"/>
  <c r="L140"/>
  <c r="I140"/>
  <c r="H140"/>
  <c r="G140"/>
  <c r="F140"/>
  <c r="E140"/>
  <c r="D140"/>
  <c r="C140"/>
  <c r="K139"/>
  <c r="B139"/>
  <c r="K138"/>
  <c r="B138"/>
  <c r="K137"/>
  <c r="B137"/>
  <c r="K136"/>
  <c r="K140"/>
  <c r="B136"/>
  <c r="R134"/>
  <c r="Q134"/>
  <c r="P134"/>
  <c r="O134"/>
  <c r="N134"/>
  <c r="M134"/>
  <c r="L134"/>
  <c r="I134"/>
  <c r="H134"/>
  <c r="G134"/>
  <c r="F134"/>
  <c r="E134"/>
  <c r="D134"/>
  <c r="C134"/>
  <c r="K133"/>
  <c r="B133"/>
  <c r="K132"/>
  <c r="B132"/>
  <c r="K131"/>
  <c r="K134"/>
  <c r="B131"/>
  <c r="R129"/>
  <c r="Q129"/>
  <c r="P129"/>
  <c r="O129"/>
  <c r="N129"/>
  <c r="M129"/>
  <c r="L129"/>
  <c r="I129"/>
  <c r="H129"/>
  <c r="G129"/>
  <c r="F129"/>
  <c r="E129"/>
  <c r="D129"/>
  <c r="C129"/>
  <c r="K128"/>
  <c r="B128"/>
  <c r="K127"/>
  <c r="B127"/>
  <c r="K126"/>
  <c r="K129"/>
  <c r="B126"/>
  <c r="R124"/>
  <c r="Q124"/>
  <c r="P124"/>
  <c r="O124"/>
  <c r="N124"/>
  <c r="M124"/>
  <c r="L124"/>
  <c r="I124"/>
  <c r="H124"/>
  <c r="G124"/>
  <c r="F124"/>
  <c r="E124"/>
  <c r="D124"/>
  <c r="C124"/>
  <c r="K123"/>
  <c r="B123"/>
  <c r="K122"/>
  <c r="B122"/>
  <c r="K121"/>
  <c r="K124"/>
  <c r="B121"/>
  <c r="R119"/>
  <c r="Q119"/>
  <c r="P119"/>
  <c r="O119"/>
  <c r="N119"/>
  <c r="M119"/>
  <c r="L119"/>
  <c r="I119"/>
  <c r="H119"/>
  <c r="G119"/>
  <c r="F119"/>
  <c r="E119"/>
  <c r="D119"/>
  <c r="C119"/>
  <c r="K118"/>
  <c r="B118"/>
  <c r="K117"/>
  <c r="B117"/>
  <c r="K116"/>
  <c r="K119"/>
  <c r="B116"/>
  <c r="R114"/>
  <c r="Q114"/>
  <c r="P114"/>
  <c r="O114"/>
  <c r="N114"/>
  <c r="M114"/>
  <c r="L114"/>
  <c r="I114"/>
  <c r="H114"/>
  <c r="G114"/>
  <c r="F114"/>
  <c r="E114"/>
  <c r="D114"/>
  <c r="C114"/>
  <c r="K113"/>
  <c r="B113"/>
  <c r="K112"/>
  <c r="B112"/>
  <c r="K111"/>
  <c r="B111"/>
  <c r="K110"/>
  <c r="K114"/>
  <c r="B110"/>
  <c r="X110"/>
  <c r="R108"/>
  <c r="Q108"/>
  <c r="P108"/>
  <c r="O108"/>
  <c r="N108"/>
  <c r="M108"/>
  <c r="L108"/>
  <c r="I108"/>
  <c r="H108"/>
  <c r="G108"/>
  <c r="F108"/>
  <c r="E108"/>
  <c r="D108"/>
  <c r="C108"/>
  <c r="K107"/>
  <c r="B107"/>
  <c r="K106"/>
  <c r="B106"/>
  <c r="K105"/>
  <c r="K108"/>
  <c r="B105"/>
  <c r="R103"/>
  <c r="Q103"/>
  <c r="P103"/>
  <c r="O103"/>
  <c r="N103"/>
  <c r="M103"/>
  <c r="L103"/>
  <c r="I103"/>
  <c r="H103"/>
  <c r="G103"/>
  <c r="F103"/>
  <c r="E103"/>
  <c r="D103"/>
  <c r="C103"/>
  <c r="K102"/>
  <c r="B102"/>
  <c r="K101"/>
  <c r="B101"/>
  <c r="K100"/>
  <c r="K103"/>
  <c r="B100"/>
  <c r="R98"/>
  <c r="Q98"/>
  <c r="P98"/>
  <c r="O98"/>
  <c r="N98"/>
  <c r="M98"/>
  <c r="L98"/>
  <c r="I98"/>
  <c r="H98"/>
  <c r="G98"/>
  <c r="F98"/>
  <c r="E98"/>
  <c r="D98"/>
  <c r="C98"/>
  <c r="K97"/>
  <c r="B97"/>
  <c r="K96"/>
  <c r="B96"/>
  <c r="K95"/>
  <c r="B95"/>
  <c r="K94"/>
  <c r="K98"/>
  <c r="B94"/>
  <c r="R92"/>
  <c r="Q92"/>
  <c r="P92"/>
  <c r="O92"/>
  <c r="N92"/>
  <c r="M92"/>
  <c r="L92"/>
  <c r="I92"/>
  <c r="H92"/>
  <c r="G92"/>
  <c r="F92"/>
  <c r="E92"/>
  <c r="D92"/>
  <c r="C92"/>
  <c r="K91"/>
  <c r="B91"/>
  <c r="K90"/>
  <c r="B90"/>
  <c r="K89"/>
  <c r="K92"/>
  <c r="B89"/>
  <c r="R87"/>
  <c r="Q87"/>
  <c r="P87"/>
  <c r="O87"/>
  <c r="N87"/>
  <c r="M87"/>
  <c r="L87"/>
  <c r="I87"/>
  <c r="H87"/>
  <c r="G87"/>
  <c r="F87"/>
  <c r="E87"/>
  <c r="D87"/>
  <c r="C87"/>
  <c r="K86"/>
  <c r="B86"/>
  <c r="K85"/>
  <c r="B85"/>
  <c r="K84"/>
  <c r="B84"/>
  <c r="K83"/>
  <c r="B83"/>
  <c r="K82"/>
  <c r="K87"/>
  <c r="B82"/>
  <c r="R80"/>
  <c r="Q80"/>
  <c r="P80"/>
  <c r="O80"/>
  <c r="N80"/>
  <c r="M80"/>
  <c r="L80"/>
  <c r="I80"/>
  <c r="H80"/>
  <c r="G80"/>
  <c r="F80"/>
  <c r="E80"/>
  <c r="D80"/>
  <c r="C80"/>
  <c r="K79"/>
  <c r="B79"/>
  <c r="K78"/>
  <c r="B78"/>
  <c r="K77"/>
  <c r="K80"/>
  <c r="B77"/>
  <c r="R75"/>
  <c r="Q75"/>
  <c r="P75"/>
  <c r="O75"/>
  <c r="N75"/>
  <c r="M75"/>
  <c r="L75"/>
  <c r="I75"/>
  <c r="H75"/>
  <c r="G75"/>
  <c r="F75"/>
  <c r="E75"/>
  <c r="D75"/>
  <c r="C75"/>
  <c r="K74"/>
  <c r="B74"/>
  <c r="K73"/>
  <c r="K75"/>
  <c r="B73"/>
  <c r="R71"/>
  <c r="Q71"/>
  <c r="P71"/>
  <c r="O71"/>
  <c r="N71"/>
  <c r="M71"/>
  <c r="L71"/>
  <c r="I71"/>
  <c r="H71"/>
  <c r="G71"/>
  <c r="F71"/>
  <c r="E71"/>
  <c r="D71"/>
  <c r="C71"/>
  <c r="K70"/>
  <c r="B70"/>
  <c r="K69"/>
  <c r="B69"/>
  <c r="K68"/>
  <c r="B68"/>
  <c r="K67"/>
  <c r="K71"/>
  <c r="B67"/>
  <c r="R65"/>
  <c r="Q65"/>
  <c r="P65"/>
  <c r="O65"/>
  <c r="N65"/>
  <c r="M65"/>
  <c r="L65"/>
  <c r="I65"/>
  <c r="H65"/>
  <c r="G65"/>
  <c r="F65"/>
  <c r="E65"/>
  <c r="D65"/>
  <c r="C65"/>
  <c r="K64"/>
  <c r="B64"/>
  <c r="K62"/>
  <c r="B62"/>
  <c r="K61"/>
  <c r="B61"/>
  <c r="K60"/>
  <c r="B60"/>
  <c r="K59"/>
  <c r="K65"/>
  <c r="B59"/>
  <c r="R57"/>
  <c r="Q57"/>
  <c r="P57"/>
  <c r="O57"/>
  <c r="N57"/>
  <c r="M57"/>
  <c r="L57"/>
  <c r="I57"/>
  <c r="H57"/>
  <c r="G57"/>
  <c r="F57"/>
  <c r="E57"/>
  <c r="D57"/>
  <c r="C57"/>
  <c r="K56"/>
  <c r="B56"/>
  <c r="K55"/>
  <c r="B55"/>
  <c r="K54"/>
  <c r="B54"/>
  <c r="K53"/>
  <c r="K57"/>
  <c r="B53"/>
  <c r="R51"/>
  <c r="Q51"/>
  <c r="P51"/>
  <c r="O51"/>
  <c r="N51"/>
  <c r="M51"/>
  <c r="L51"/>
  <c r="I51"/>
  <c r="H51"/>
  <c r="G51"/>
  <c r="F51"/>
  <c r="E51"/>
  <c r="D51"/>
  <c r="C51"/>
  <c r="K50"/>
  <c r="B50"/>
  <c r="K49"/>
  <c r="B49"/>
  <c r="K48"/>
  <c r="K51"/>
  <c r="B48"/>
  <c r="R46"/>
  <c r="Q46"/>
  <c r="P46"/>
  <c r="O46"/>
  <c r="N46"/>
  <c r="M46"/>
  <c r="L46"/>
  <c r="I46"/>
  <c r="H46"/>
  <c r="G46"/>
  <c r="F46"/>
  <c r="E46"/>
  <c r="D46"/>
  <c r="C46"/>
  <c r="K45"/>
  <c r="B45"/>
  <c r="K44"/>
  <c r="B44"/>
  <c r="K43"/>
  <c r="K46"/>
  <c r="B43"/>
  <c r="R41"/>
  <c r="Q41"/>
  <c r="P41"/>
  <c r="O41"/>
  <c r="N41"/>
  <c r="M41"/>
  <c r="L41"/>
  <c r="I41"/>
  <c r="H41"/>
  <c r="G41"/>
  <c r="F41"/>
  <c r="E41"/>
  <c r="D41"/>
  <c r="C41"/>
  <c r="K40"/>
  <c r="B40"/>
  <c r="K39"/>
  <c r="B39"/>
  <c r="K38"/>
  <c r="B38"/>
  <c r="K37"/>
  <c r="B37"/>
  <c r="K36"/>
  <c r="K41"/>
  <c r="B36"/>
  <c r="R34"/>
  <c r="Q34"/>
  <c r="P34"/>
  <c r="O34"/>
  <c r="N34"/>
  <c r="M34"/>
  <c r="L34"/>
  <c r="I34"/>
  <c r="H34"/>
  <c r="G34"/>
  <c r="F34"/>
  <c r="E34"/>
  <c r="D34"/>
  <c r="C34"/>
  <c r="K33"/>
  <c r="B33"/>
  <c r="K32"/>
  <c r="B32"/>
  <c r="K31"/>
  <c r="K34"/>
  <c r="B31"/>
  <c r="X31"/>
  <c r="R29"/>
  <c r="Q29"/>
  <c r="P29"/>
  <c r="O29"/>
  <c r="N29"/>
  <c r="M29"/>
  <c r="L29"/>
  <c r="I29"/>
  <c r="H29"/>
  <c r="G29"/>
  <c r="F29"/>
  <c r="E29"/>
  <c r="D29"/>
  <c r="C29"/>
  <c r="K28"/>
  <c r="B28"/>
  <c r="K27"/>
  <c r="B27"/>
  <c r="K26"/>
  <c r="K29"/>
  <c r="B26"/>
  <c r="R24"/>
  <c r="Q24"/>
  <c r="P24"/>
  <c r="O24"/>
  <c r="N24"/>
  <c r="M24"/>
  <c r="L24"/>
  <c r="I24"/>
  <c r="H24"/>
  <c r="G24"/>
  <c r="F24"/>
  <c r="E24"/>
  <c r="D24"/>
  <c r="C24"/>
  <c r="K23"/>
  <c r="B23"/>
  <c r="K22"/>
  <c r="B22"/>
  <c r="K21"/>
  <c r="B21"/>
  <c r="K20"/>
  <c r="K24"/>
  <c r="B20"/>
  <c r="R18"/>
  <c r="Q18"/>
  <c r="P18"/>
  <c r="O18"/>
  <c r="N18"/>
  <c r="M18"/>
  <c r="L18"/>
  <c r="I18"/>
  <c r="H18"/>
  <c r="G18"/>
  <c r="F18"/>
  <c r="E18"/>
  <c r="D18"/>
  <c r="C18"/>
  <c r="K17"/>
  <c r="B17"/>
  <c r="K16"/>
  <c r="B16"/>
  <c r="K15"/>
  <c r="K18"/>
  <c r="B15"/>
  <c r="R13"/>
  <c r="Q13"/>
  <c r="P13"/>
  <c r="O13"/>
  <c r="N13"/>
  <c r="M13"/>
  <c r="L13"/>
  <c r="I13"/>
  <c r="H13"/>
  <c r="G13"/>
  <c r="F13"/>
  <c r="E13"/>
  <c r="D13"/>
  <c r="C13"/>
  <c r="K12"/>
  <c r="B12"/>
  <c r="K11"/>
  <c r="B11"/>
  <c r="K9"/>
  <c r="K13"/>
  <c r="B9"/>
  <c r="R7"/>
  <c r="Q7"/>
  <c r="P7"/>
  <c r="O7"/>
  <c r="N7"/>
  <c r="M7"/>
  <c r="L7"/>
  <c r="I7"/>
  <c r="H7"/>
  <c r="G7"/>
  <c r="F7"/>
  <c r="E7"/>
  <c r="D7"/>
  <c r="C7"/>
  <c r="K6"/>
  <c r="B6"/>
  <c r="K5"/>
  <c r="B5"/>
  <c r="K3"/>
  <c r="B3"/>
  <c r="K2"/>
  <c r="K7"/>
  <c r="B2"/>
  <c r="R150" i="20"/>
  <c r="Q150"/>
  <c r="O150"/>
  <c r="P150"/>
  <c r="N150"/>
  <c r="M150"/>
  <c r="L150"/>
  <c r="I150"/>
  <c r="H150"/>
  <c r="F150"/>
  <c r="G150"/>
  <c r="E150"/>
  <c r="D150"/>
  <c r="C150"/>
  <c r="K149"/>
  <c r="B149"/>
  <c r="K148"/>
  <c r="B148"/>
  <c r="K147"/>
  <c r="B147"/>
  <c r="K146"/>
  <c r="B146"/>
  <c r="K145"/>
  <c r="B145"/>
  <c r="K144"/>
  <c r="B144"/>
  <c r="K143"/>
  <c r="B143"/>
  <c r="K142"/>
  <c r="K150"/>
  <c r="B142"/>
  <c r="R140"/>
  <c r="Q140"/>
  <c r="O140"/>
  <c r="P140"/>
  <c r="N140"/>
  <c r="M140"/>
  <c r="L140"/>
  <c r="I140"/>
  <c r="H140"/>
  <c r="F140"/>
  <c r="G140"/>
  <c r="E140"/>
  <c r="D140"/>
  <c r="C140"/>
  <c r="K139"/>
  <c r="B139"/>
  <c r="K138"/>
  <c r="B138"/>
  <c r="K137"/>
  <c r="B137"/>
  <c r="K136"/>
  <c r="K140"/>
  <c r="B136"/>
  <c r="R134"/>
  <c r="Q134"/>
  <c r="O134"/>
  <c r="P134"/>
  <c r="N134"/>
  <c r="M134"/>
  <c r="L134"/>
  <c r="I134"/>
  <c r="H134"/>
  <c r="F134"/>
  <c r="G134"/>
  <c r="E134"/>
  <c r="D134"/>
  <c r="C134"/>
  <c r="K133"/>
  <c r="B133"/>
  <c r="K132"/>
  <c r="B132"/>
  <c r="K131"/>
  <c r="K134"/>
  <c r="B131"/>
  <c r="R129"/>
  <c r="Q129"/>
  <c r="O129"/>
  <c r="P129"/>
  <c r="N129"/>
  <c r="M129"/>
  <c r="L129"/>
  <c r="I129"/>
  <c r="H129"/>
  <c r="F129"/>
  <c r="G129"/>
  <c r="E129"/>
  <c r="D129"/>
  <c r="C129"/>
  <c r="K128"/>
  <c r="B128"/>
  <c r="K127"/>
  <c r="B127"/>
  <c r="K126"/>
  <c r="K129"/>
  <c r="B126"/>
  <c r="R124"/>
  <c r="Q124"/>
  <c r="O124"/>
  <c r="P124"/>
  <c r="N124"/>
  <c r="M124"/>
  <c r="L124"/>
  <c r="I124"/>
  <c r="H124"/>
  <c r="F124"/>
  <c r="G124"/>
  <c r="E124"/>
  <c r="D124"/>
  <c r="C124"/>
  <c r="K123"/>
  <c r="B123"/>
  <c r="K122"/>
  <c r="B122"/>
  <c r="K121"/>
  <c r="K124"/>
  <c r="B121"/>
  <c r="R119"/>
  <c r="Q119"/>
  <c r="O119"/>
  <c r="P119"/>
  <c r="N119"/>
  <c r="M119"/>
  <c r="L119"/>
  <c r="I119"/>
  <c r="H119"/>
  <c r="F119"/>
  <c r="G119"/>
  <c r="E119"/>
  <c r="D119"/>
  <c r="C119"/>
  <c r="K118"/>
  <c r="B118"/>
  <c r="K117"/>
  <c r="B117"/>
  <c r="K116"/>
  <c r="K119"/>
  <c r="B116"/>
  <c r="R114"/>
  <c r="Q114"/>
  <c r="O114"/>
  <c r="P114"/>
  <c r="N114"/>
  <c r="M114"/>
  <c r="L114"/>
  <c r="I114"/>
  <c r="H114"/>
  <c r="F114"/>
  <c r="G114"/>
  <c r="E114"/>
  <c r="D114"/>
  <c r="C114"/>
  <c r="K113"/>
  <c r="B113"/>
  <c r="K112"/>
  <c r="B112"/>
  <c r="K111"/>
  <c r="B111"/>
  <c r="K110"/>
  <c r="K114"/>
  <c r="B110"/>
  <c r="X110"/>
  <c r="R108"/>
  <c r="Q108"/>
  <c r="O108"/>
  <c r="P108"/>
  <c r="N108"/>
  <c r="M108"/>
  <c r="L108"/>
  <c r="I108"/>
  <c r="H108"/>
  <c r="F108"/>
  <c r="G108"/>
  <c r="E108"/>
  <c r="D108"/>
  <c r="C108"/>
  <c r="K107"/>
  <c r="B107"/>
  <c r="K106"/>
  <c r="B106"/>
  <c r="K105"/>
  <c r="K108"/>
  <c r="B105"/>
  <c r="R103"/>
  <c r="Q103"/>
  <c r="O103"/>
  <c r="P103"/>
  <c r="N103"/>
  <c r="M103"/>
  <c r="L103"/>
  <c r="I103"/>
  <c r="H103"/>
  <c r="F103"/>
  <c r="G103"/>
  <c r="E103"/>
  <c r="D103"/>
  <c r="C103"/>
  <c r="K102"/>
  <c r="B102"/>
  <c r="K101"/>
  <c r="B101"/>
  <c r="K100"/>
  <c r="K103"/>
  <c r="B100"/>
  <c r="R98"/>
  <c r="Q98"/>
  <c r="O98"/>
  <c r="P98"/>
  <c r="N98"/>
  <c r="M98"/>
  <c r="L98"/>
  <c r="I98"/>
  <c r="H98"/>
  <c r="F98"/>
  <c r="G98"/>
  <c r="E98"/>
  <c r="D98"/>
  <c r="C98"/>
  <c r="K97"/>
  <c r="B97"/>
  <c r="K96"/>
  <c r="B96"/>
  <c r="K95"/>
  <c r="B95"/>
  <c r="K94"/>
  <c r="K98"/>
  <c r="B94"/>
  <c r="R92"/>
  <c r="Q92"/>
  <c r="O92"/>
  <c r="P92"/>
  <c r="N92"/>
  <c r="M92"/>
  <c r="L92"/>
  <c r="I92"/>
  <c r="H92"/>
  <c r="F92"/>
  <c r="G92"/>
  <c r="E92"/>
  <c r="D92"/>
  <c r="C92"/>
  <c r="K91"/>
  <c r="B91"/>
  <c r="K90"/>
  <c r="B90"/>
  <c r="K89"/>
  <c r="K92"/>
  <c r="B89"/>
  <c r="R87"/>
  <c r="Q87"/>
  <c r="O87"/>
  <c r="P87"/>
  <c r="N87"/>
  <c r="M87"/>
  <c r="L87"/>
  <c r="I87"/>
  <c r="H87"/>
  <c r="F87"/>
  <c r="G87"/>
  <c r="E87"/>
  <c r="D87"/>
  <c r="C87"/>
  <c r="K86"/>
  <c r="B86"/>
  <c r="K85"/>
  <c r="B85"/>
  <c r="K84"/>
  <c r="B84"/>
  <c r="K83"/>
  <c r="B83"/>
  <c r="K82"/>
  <c r="K87"/>
  <c r="B82"/>
  <c r="R80"/>
  <c r="Q80"/>
  <c r="O80"/>
  <c r="P80"/>
  <c r="N80"/>
  <c r="M80"/>
  <c r="L80"/>
  <c r="I80"/>
  <c r="H80"/>
  <c r="F80"/>
  <c r="G80"/>
  <c r="E80"/>
  <c r="D80"/>
  <c r="C80"/>
  <c r="K79"/>
  <c r="B79"/>
  <c r="K78"/>
  <c r="B78"/>
  <c r="K77"/>
  <c r="K80"/>
  <c r="B77"/>
  <c r="R75"/>
  <c r="Q75"/>
  <c r="O75"/>
  <c r="P75"/>
  <c r="N75"/>
  <c r="M75"/>
  <c r="L75"/>
  <c r="I75"/>
  <c r="H75"/>
  <c r="F75"/>
  <c r="G75"/>
  <c r="E75"/>
  <c r="D75"/>
  <c r="C75"/>
  <c r="K74"/>
  <c r="B74"/>
  <c r="K73"/>
  <c r="K75"/>
  <c r="B73"/>
  <c r="R71"/>
  <c r="Q71"/>
  <c r="O71"/>
  <c r="P71"/>
  <c r="N71"/>
  <c r="M71"/>
  <c r="L71"/>
  <c r="I71"/>
  <c r="H71"/>
  <c r="F71"/>
  <c r="G71"/>
  <c r="E71"/>
  <c r="D71"/>
  <c r="C71"/>
  <c r="K70"/>
  <c r="B70"/>
  <c r="K69"/>
  <c r="B69"/>
  <c r="K68"/>
  <c r="B68"/>
  <c r="K67"/>
  <c r="K71"/>
  <c r="B67"/>
  <c r="R65"/>
  <c r="Q65"/>
  <c r="O65"/>
  <c r="P65"/>
  <c r="N65"/>
  <c r="M65"/>
  <c r="L65"/>
  <c r="I65"/>
  <c r="H65"/>
  <c r="F65"/>
  <c r="G65"/>
  <c r="E65"/>
  <c r="D65"/>
  <c r="C65"/>
  <c r="K64"/>
  <c r="B64"/>
  <c r="K62"/>
  <c r="B62"/>
  <c r="K61"/>
  <c r="B61"/>
  <c r="K60"/>
  <c r="B60"/>
  <c r="K59"/>
  <c r="K65"/>
  <c r="B59"/>
  <c r="R57"/>
  <c r="Q57"/>
  <c r="O57"/>
  <c r="P57"/>
  <c r="N57"/>
  <c r="M57"/>
  <c r="L57"/>
  <c r="I57"/>
  <c r="H57"/>
  <c r="F57"/>
  <c r="G57"/>
  <c r="E57"/>
  <c r="D57"/>
  <c r="C57"/>
  <c r="K56"/>
  <c r="B56"/>
  <c r="K55"/>
  <c r="B55"/>
  <c r="K54"/>
  <c r="B54"/>
  <c r="K53"/>
  <c r="K57"/>
  <c r="B53"/>
  <c r="R51"/>
  <c r="Q51"/>
  <c r="O51"/>
  <c r="P51"/>
  <c r="N51"/>
  <c r="M51"/>
  <c r="L51"/>
  <c r="I51"/>
  <c r="H51"/>
  <c r="F51"/>
  <c r="G51"/>
  <c r="E51"/>
  <c r="D51"/>
  <c r="C51"/>
  <c r="K50"/>
  <c r="B50"/>
  <c r="K49"/>
  <c r="B49"/>
  <c r="K48"/>
  <c r="K51"/>
  <c r="B48"/>
  <c r="R46"/>
  <c r="Q46"/>
  <c r="O46"/>
  <c r="P46"/>
  <c r="N46"/>
  <c r="M46"/>
  <c r="L46"/>
  <c r="I46"/>
  <c r="H46"/>
  <c r="F46"/>
  <c r="G46"/>
  <c r="E46"/>
  <c r="D46"/>
  <c r="C46"/>
  <c r="K45"/>
  <c r="B45"/>
  <c r="K44"/>
  <c r="B44"/>
  <c r="K43"/>
  <c r="K46"/>
  <c r="B43"/>
  <c r="R41"/>
  <c r="Q41"/>
  <c r="O41"/>
  <c r="P41"/>
  <c r="N41"/>
  <c r="M41"/>
  <c r="L41"/>
  <c r="I41"/>
  <c r="H41"/>
  <c r="F41"/>
  <c r="G41"/>
  <c r="E41"/>
  <c r="D41"/>
  <c r="C41"/>
  <c r="K40"/>
  <c r="B40"/>
  <c r="K39"/>
  <c r="B39"/>
  <c r="K38"/>
  <c r="B38"/>
  <c r="K37"/>
  <c r="B37"/>
  <c r="K36"/>
  <c r="K41"/>
  <c r="B36"/>
  <c r="R34"/>
  <c r="Q34"/>
  <c r="O34"/>
  <c r="P34"/>
  <c r="N34"/>
  <c r="M34"/>
  <c r="L34"/>
  <c r="I34"/>
  <c r="H34"/>
  <c r="F34"/>
  <c r="G34"/>
  <c r="E34"/>
  <c r="D34"/>
  <c r="C34"/>
  <c r="K33"/>
  <c r="B33"/>
  <c r="K32"/>
  <c r="B32"/>
  <c r="K31"/>
  <c r="K34"/>
  <c r="B31"/>
  <c r="X31"/>
  <c r="R29"/>
  <c r="Q29"/>
  <c r="O29"/>
  <c r="P29"/>
  <c r="N29"/>
  <c r="M29"/>
  <c r="L29"/>
  <c r="I29"/>
  <c r="H29"/>
  <c r="F29"/>
  <c r="G29"/>
  <c r="E29"/>
  <c r="D29"/>
  <c r="C29"/>
  <c r="K28"/>
  <c r="B28"/>
  <c r="K27"/>
  <c r="B27"/>
  <c r="K26"/>
  <c r="K29"/>
  <c r="B26"/>
  <c r="R24"/>
  <c r="Q24"/>
  <c r="O24"/>
  <c r="P24"/>
  <c r="N24"/>
  <c r="M24"/>
  <c r="L24"/>
  <c r="I24"/>
  <c r="H24"/>
  <c r="F24"/>
  <c r="G24"/>
  <c r="E24"/>
  <c r="D24"/>
  <c r="C24"/>
  <c r="K23"/>
  <c r="B23"/>
  <c r="K22"/>
  <c r="B22"/>
  <c r="K21"/>
  <c r="B21"/>
  <c r="K20"/>
  <c r="K24"/>
  <c r="B20"/>
  <c r="R18"/>
  <c r="Q18"/>
  <c r="O18"/>
  <c r="P18"/>
  <c r="N18"/>
  <c r="M18"/>
  <c r="L18"/>
  <c r="I18"/>
  <c r="H18"/>
  <c r="F18"/>
  <c r="G18"/>
  <c r="E18"/>
  <c r="D18"/>
  <c r="C18"/>
  <c r="K17"/>
  <c r="B17"/>
  <c r="K16"/>
  <c r="B16"/>
  <c r="K15"/>
  <c r="K18"/>
  <c r="B15"/>
  <c r="R13"/>
  <c r="Q13"/>
  <c r="O13"/>
  <c r="P13"/>
  <c r="N13"/>
  <c r="M13"/>
  <c r="L13"/>
  <c r="I13"/>
  <c r="H13"/>
  <c r="F13"/>
  <c r="G13"/>
  <c r="E13"/>
  <c r="D13"/>
  <c r="C13"/>
  <c r="K12"/>
  <c r="B12"/>
  <c r="K10"/>
  <c r="B10"/>
  <c r="K9"/>
  <c r="K13"/>
  <c r="B9"/>
  <c r="R7"/>
  <c r="Q7"/>
  <c r="O7"/>
  <c r="P7"/>
  <c r="N7"/>
  <c r="M7"/>
  <c r="L7"/>
  <c r="I7"/>
  <c r="H7"/>
  <c r="F7"/>
  <c r="G7"/>
  <c r="E7"/>
  <c r="D7"/>
  <c r="C7"/>
  <c r="K6"/>
  <c r="B6"/>
  <c r="K5"/>
  <c r="B5"/>
  <c r="K3"/>
  <c r="B3"/>
  <c r="K2"/>
  <c r="K7"/>
  <c r="B2"/>
  <c r="R150" i="19"/>
  <c r="O150"/>
  <c r="Q150"/>
  <c r="P150"/>
  <c r="N150"/>
  <c r="M150"/>
  <c r="L150"/>
  <c r="I150"/>
  <c r="F150"/>
  <c r="H150"/>
  <c r="G150"/>
  <c r="E150"/>
  <c r="D150"/>
  <c r="C150"/>
  <c r="K149"/>
  <c r="B149"/>
  <c r="K148"/>
  <c r="B148"/>
  <c r="K147"/>
  <c r="B147"/>
  <c r="K146"/>
  <c r="B146"/>
  <c r="K145"/>
  <c r="B145"/>
  <c r="K144"/>
  <c r="B144"/>
  <c r="K143"/>
  <c r="B143"/>
  <c r="K142"/>
  <c r="K150"/>
  <c r="B142"/>
  <c r="R140"/>
  <c r="O140"/>
  <c r="Q140"/>
  <c r="P140"/>
  <c r="N140"/>
  <c r="M140"/>
  <c r="L140"/>
  <c r="I140"/>
  <c r="F140"/>
  <c r="H140"/>
  <c r="G140"/>
  <c r="E140"/>
  <c r="D140"/>
  <c r="C140"/>
  <c r="K139"/>
  <c r="B139"/>
  <c r="K138"/>
  <c r="B138"/>
  <c r="K137"/>
  <c r="B137"/>
  <c r="K136"/>
  <c r="K140"/>
  <c r="B136"/>
  <c r="R134"/>
  <c r="O134"/>
  <c r="Q134"/>
  <c r="P134"/>
  <c r="N134"/>
  <c r="M134"/>
  <c r="L134"/>
  <c r="I134"/>
  <c r="F134"/>
  <c r="H134"/>
  <c r="G134"/>
  <c r="E134"/>
  <c r="D134"/>
  <c r="C134"/>
  <c r="K133"/>
  <c r="B133"/>
  <c r="K132"/>
  <c r="B132"/>
  <c r="K131"/>
  <c r="K134"/>
  <c r="B131"/>
  <c r="R129"/>
  <c r="O129"/>
  <c r="Q129"/>
  <c r="P129"/>
  <c r="N129"/>
  <c r="M129"/>
  <c r="L129"/>
  <c r="I129"/>
  <c r="F129"/>
  <c r="H129"/>
  <c r="G129"/>
  <c r="E129"/>
  <c r="D129"/>
  <c r="C129"/>
  <c r="K128"/>
  <c r="B128"/>
  <c r="K127"/>
  <c r="B127"/>
  <c r="K126"/>
  <c r="K129"/>
  <c r="B126"/>
  <c r="R124"/>
  <c r="O124"/>
  <c r="Q124"/>
  <c r="P124"/>
  <c r="N124"/>
  <c r="M124"/>
  <c r="L124"/>
  <c r="I124"/>
  <c r="F124"/>
  <c r="H124"/>
  <c r="G124"/>
  <c r="E124"/>
  <c r="D124"/>
  <c r="C124"/>
  <c r="K123"/>
  <c r="B123"/>
  <c r="K122"/>
  <c r="B122"/>
  <c r="K121"/>
  <c r="K124"/>
  <c r="B121"/>
  <c r="R119"/>
  <c r="O119"/>
  <c r="Q119"/>
  <c r="P119"/>
  <c r="N119"/>
  <c r="M119"/>
  <c r="L119"/>
  <c r="I119"/>
  <c r="F119"/>
  <c r="H119"/>
  <c r="G119"/>
  <c r="E119"/>
  <c r="D119"/>
  <c r="C119"/>
  <c r="K118"/>
  <c r="B118"/>
  <c r="K117"/>
  <c r="B117"/>
  <c r="K116"/>
  <c r="K119"/>
  <c r="B116"/>
  <c r="W116"/>
  <c r="R114"/>
  <c r="O114"/>
  <c r="Q114"/>
  <c r="P114"/>
  <c r="N114"/>
  <c r="M114"/>
  <c r="L114"/>
  <c r="I114"/>
  <c r="F114"/>
  <c r="H114"/>
  <c r="G114"/>
  <c r="E114"/>
  <c r="D114"/>
  <c r="C114"/>
  <c r="K113"/>
  <c r="B113"/>
  <c r="K112"/>
  <c r="B112"/>
  <c r="K111"/>
  <c r="B111"/>
  <c r="K110"/>
  <c r="K114"/>
  <c r="B110"/>
  <c r="R108"/>
  <c r="O108"/>
  <c r="Q108"/>
  <c r="P108"/>
  <c r="N108"/>
  <c r="M108"/>
  <c r="L108"/>
  <c r="I108"/>
  <c r="F108"/>
  <c r="H108"/>
  <c r="G108"/>
  <c r="E108"/>
  <c r="D108"/>
  <c r="C108"/>
  <c r="K107"/>
  <c r="B107"/>
  <c r="K106"/>
  <c r="B106"/>
  <c r="K105"/>
  <c r="K108"/>
  <c r="B105"/>
  <c r="R103"/>
  <c r="O103"/>
  <c r="Q103"/>
  <c r="P103"/>
  <c r="N103"/>
  <c r="M103"/>
  <c r="L103"/>
  <c r="I103"/>
  <c r="F103"/>
  <c r="H103"/>
  <c r="G103"/>
  <c r="E103"/>
  <c r="D103"/>
  <c r="C103"/>
  <c r="K102"/>
  <c r="B102"/>
  <c r="K101"/>
  <c r="B101"/>
  <c r="K100"/>
  <c r="K103"/>
  <c r="B100"/>
  <c r="R98"/>
  <c r="O98"/>
  <c r="Q98"/>
  <c r="P98"/>
  <c r="N98"/>
  <c r="M98"/>
  <c r="L98"/>
  <c r="I98"/>
  <c r="F98"/>
  <c r="H98"/>
  <c r="G98"/>
  <c r="E98"/>
  <c r="D98"/>
  <c r="C98"/>
  <c r="K97"/>
  <c r="B97"/>
  <c r="K96"/>
  <c r="B96"/>
  <c r="K95"/>
  <c r="B95"/>
  <c r="K94"/>
  <c r="K98"/>
  <c r="B94"/>
  <c r="R92"/>
  <c r="O92"/>
  <c r="Q92"/>
  <c r="P92"/>
  <c r="N92"/>
  <c r="M92"/>
  <c r="L92"/>
  <c r="I92"/>
  <c r="F92"/>
  <c r="H92"/>
  <c r="G92"/>
  <c r="E92"/>
  <c r="D92"/>
  <c r="C92"/>
  <c r="K91"/>
  <c r="B91"/>
  <c r="K90"/>
  <c r="B90"/>
  <c r="K89"/>
  <c r="K92"/>
  <c r="B89"/>
  <c r="R87"/>
  <c r="O87"/>
  <c r="Q87"/>
  <c r="P87"/>
  <c r="N87"/>
  <c r="M87"/>
  <c r="L87"/>
  <c r="I87"/>
  <c r="F87"/>
  <c r="H87"/>
  <c r="G87"/>
  <c r="E87"/>
  <c r="D87"/>
  <c r="C87"/>
  <c r="K86"/>
  <c r="B86"/>
  <c r="K85"/>
  <c r="B85"/>
  <c r="K84"/>
  <c r="B84"/>
  <c r="K83"/>
  <c r="B83"/>
  <c r="K82"/>
  <c r="K87"/>
  <c r="B82"/>
  <c r="R80"/>
  <c r="O80"/>
  <c r="Q80"/>
  <c r="P80"/>
  <c r="N80"/>
  <c r="M80"/>
  <c r="L80"/>
  <c r="I80"/>
  <c r="F80"/>
  <c r="H80"/>
  <c r="G80"/>
  <c r="E80"/>
  <c r="D80"/>
  <c r="C80"/>
  <c r="K79"/>
  <c r="B79"/>
  <c r="K78"/>
  <c r="B78"/>
  <c r="K77"/>
  <c r="K80"/>
  <c r="B77"/>
  <c r="R75"/>
  <c r="O75"/>
  <c r="Q75"/>
  <c r="P75"/>
  <c r="N75"/>
  <c r="M75"/>
  <c r="L75"/>
  <c r="I75"/>
  <c r="F75"/>
  <c r="H75"/>
  <c r="G75"/>
  <c r="E75"/>
  <c r="D75"/>
  <c r="C75"/>
  <c r="K74"/>
  <c r="B74"/>
  <c r="K73"/>
  <c r="K75"/>
  <c r="B73"/>
  <c r="R71"/>
  <c r="O71"/>
  <c r="Q71"/>
  <c r="P71"/>
  <c r="N71"/>
  <c r="M71"/>
  <c r="L71"/>
  <c r="I71"/>
  <c r="F71"/>
  <c r="H71"/>
  <c r="G71"/>
  <c r="E71"/>
  <c r="D71"/>
  <c r="C71"/>
  <c r="K70"/>
  <c r="B70"/>
  <c r="K69"/>
  <c r="B69"/>
  <c r="K68"/>
  <c r="B68"/>
  <c r="K67"/>
  <c r="K71"/>
  <c r="B67"/>
  <c r="R65"/>
  <c r="O65"/>
  <c r="Q65"/>
  <c r="P65"/>
  <c r="N65"/>
  <c r="M65"/>
  <c r="L65"/>
  <c r="I65"/>
  <c r="F65"/>
  <c r="H65"/>
  <c r="G65"/>
  <c r="E65"/>
  <c r="D65"/>
  <c r="C65"/>
  <c r="K64"/>
  <c r="B64"/>
  <c r="K62"/>
  <c r="B62"/>
  <c r="K61"/>
  <c r="B61"/>
  <c r="K60"/>
  <c r="B60"/>
  <c r="K59"/>
  <c r="K65"/>
  <c r="B59"/>
  <c r="R57"/>
  <c r="O57"/>
  <c r="Q57"/>
  <c r="P57"/>
  <c r="N57"/>
  <c r="M57"/>
  <c r="L57"/>
  <c r="I57"/>
  <c r="F57"/>
  <c r="H57"/>
  <c r="G57"/>
  <c r="E57"/>
  <c r="D57"/>
  <c r="C57"/>
  <c r="K56"/>
  <c r="B56"/>
  <c r="K55"/>
  <c r="B55"/>
  <c r="K54"/>
  <c r="B54"/>
  <c r="K53"/>
  <c r="K57"/>
  <c r="B53"/>
  <c r="R51"/>
  <c r="O51"/>
  <c r="Q51"/>
  <c r="P51"/>
  <c r="N51"/>
  <c r="M51"/>
  <c r="L51"/>
  <c r="I51"/>
  <c r="F51"/>
  <c r="H51"/>
  <c r="G51"/>
  <c r="E51"/>
  <c r="D51"/>
  <c r="C51"/>
  <c r="K50"/>
  <c r="B50"/>
  <c r="K49"/>
  <c r="B49"/>
  <c r="K48"/>
  <c r="K51"/>
  <c r="B48"/>
  <c r="W48"/>
  <c r="R46"/>
  <c r="O46"/>
  <c r="Q46"/>
  <c r="P46"/>
  <c r="N46"/>
  <c r="M46"/>
  <c r="L46"/>
  <c r="I46"/>
  <c r="F46"/>
  <c r="H46"/>
  <c r="G46"/>
  <c r="E46"/>
  <c r="D46"/>
  <c r="C46"/>
  <c r="K45"/>
  <c r="B45"/>
  <c r="K44"/>
  <c r="B44"/>
  <c r="K43"/>
  <c r="K46"/>
  <c r="B43"/>
  <c r="R41"/>
  <c r="O41"/>
  <c r="Q41"/>
  <c r="P41"/>
  <c r="N41"/>
  <c r="M41"/>
  <c r="L41"/>
  <c r="I41"/>
  <c r="F41"/>
  <c r="H41"/>
  <c r="G41"/>
  <c r="E41"/>
  <c r="D41"/>
  <c r="C41"/>
  <c r="K40"/>
  <c r="B40"/>
  <c r="K39"/>
  <c r="B39"/>
  <c r="K38"/>
  <c r="B38"/>
  <c r="K37"/>
  <c r="B37"/>
  <c r="K36"/>
  <c r="K41"/>
  <c r="B36"/>
  <c r="R34"/>
  <c r="O34"/>
  <c r="Q34"/>
  <c r="P34"/>
  <c r="N34"/>
  <c r="M34"/>
  <c r="L34"/>
  <c r="I34"/>
  <c r="F34"/>
  <c r="H34"/>
  <c r="G34"/>
  <c r="E34"/>
  <c r="D34"/>
  <c r="C34"/>
  <c r="K33"/>
  <c r="B33"/>
  <c r="K32"/>
  <c r="B32"/>
  <c r="K31"/>
  <c r="K34"/>
  <c r="B31"/>
  <c r="R29"/>
  <c r="O29"/>
  <c r="Q29"/>
  <c r="P29"/>
  <c r="N29"/>
  <c r="M29"/>
  <c r="L29"/>
  <c r="I29"/>
  <c r="F29"/>
  <c r="H29"/>
  <c r="G29"/>
  <c r="E29"/>
  <c r="D29"/>
  <c r="C29"/>
  <c r="K28"/>
  <c r="B28"/>
  <c r="K27"/>
  <c r="B27"/>
  <c r="K26"/>
  <c r="K29"/>
  <c r="B26"/>
  <c r="R24"/>
  <c r="O24"/>
  <c r="Q24"/>
  <c r="P24"/>
  <c r="N24"/>
  <c r="M24"/>
  <c r="L24"/>
  <c r="I24"/>
  <c r="F24"/>
  <c r="H24"/>
  <c r="G24"/>
  <c r="E24"/>
  <c r="D24"/>
  <c r="C24"/>
  <c r="K23"/>
  <c r="B23"/>
  <c r="K22"/>
  <c r="B22"/>
  <c r="K21"/>
  <c r="B21"/>
  <c r="K20"/>
  <c r="K24"/>
  <c r="B20"/>
  <c r="R18"/>
  <c r="O18"/>
  <c r="Q18"/>
  <c r="P18"/>
  <c r="N18"/>
  <c r="M18"/>
  <c r="L18"/>
  <c r="I18"/>
  <c r="F18"/>
  <c r="H18"/>
  <c r="G18"/>
  <c r="E18"/>
  <c r="D18"/>
  <c r="C18"/>
  <c r="K17"/>
  <c r="B17"/>
  <c r="K16"/>
  <c r="B16"/>
  <c r="K15"/>
  <c r="K18"/>
  <c r="B15"/>
  <c r="R13"/>
  <c r="O13"/>
  <c r="Q13"/>
  <c r="P13"/>
  <c r="N13"/>
  <c r="M13"/>
  <c r="L13"/>
  <c r="I13"/>
  <c r="F13"/>
  <c r="H13"/>
  <c r="G13"/>
  <c r="E13"/>
  <c r="D13"/>
  <c r="C13"/>
  <c r="K12"/>
  <c r="B12"/>
  <c r="K10"/>
  <c r="B10"/>
  <c r="K9"/>
  <c r="K13"/>
  <c r="B9"/>
  <c r="R7"/>
  <c r="O7"/>
  <c r="Q7"/>
  <c r="P7"/>
  <c r="N7"/>
  <c r="M7"/>
  <c r="L7"/>
  <c r="I7"/>
  <c r="F7"/>
  <c r="H7"/>
  <c r="G7"/>
  <c r="E7"/>
  <c r="D7"/>
  <c r="C7"/>
  <c r="K6"/>
  <c r="B6"/>
  <c r="K5"/>
  <c r="B5"/>
  <c r="K3"/>
  <c r="B3"/>
  <c r="K2"/>
  <c r="K7"/>
  <c r="B2"/>
  <c r="B7" i="20"/>
  <c r="X7"/>
  <c r="X2"/>
  <c r="Z3"/>
  <c r="X3"/>
  <c r="B13"/>
  <c r="X9"/>
  <c r="Z10"/>
  <c r="X10"/>
  <c r="Z12"/>
  <c r="X12"/>
  <c r="B51"/>
  <c r="X48"/>
  <c r="Z49"/>
  <c r="X49"/>
  <c r="Z50"/>
  <c r="X50"/>
  <c r="B57"/>
  <c r="X53"/>
  <c r="Z54"/>
  <c r="X54"/>
  <c r="Z55"/>
  <c r="X55"/>
  <c r="Z56"/>
  <c r="X56"/>
  <c r="B65"/>
  <c r="X59"/>
  <c r="Z60"/>
  <c r="X60"/>
  <c r="Z61"/>
  <c r="X61"/>
  <c r="Z62"/>
  <c r="X62"/>
  <c r="Z64"/>
  <c r="X64"/>
  <c r="B71"/>
  <c r="X67"/>
  <c r="Z68"/>
  <c r="X68"/>
  <c r="Z69"/>
  <c r="X69"/>
  <c r="Z70"/>
  <c r="X70"/>
  <c r="B75"/>
  <c r="X73"/>
  <c r="Z74"/>
  <c r="X74"/>
  <c r="B80"/>
  <c r="X77"/>
  <c r="Z78"/>
  <c r="X78"/>
  <c r="Z79"/>
  <c r="X79"/>
  <c r="B87"/>
  <c r="X82"/>
  <c r="Z83"/>
  <c r="X83"/>
  <c r="Z84"/>
  <c r="X84"/>
  <c r="Z85"/>
  <c r="X85"/>
  <c r="Z86"/>
  <c r="X86"/>
  <c r="B92"/>
  <c r="X89"/>
  <c r="Z90"/>
  <c r="X90"/>
  <c r="Z91"/>
  <c r="X91"/>
  <c r="B98"/>
  <c r="X94"/>
  <c r="Z95"/>
  <c r="X95"/>
  <c r="Z96"/>
  <c r="X96"/>
  <c r="Z97"/>
  <c r="X97"/>
  <c r="B103"/>
  <c r="X100"/>
  <c r="Z101"/>
  <c r="X101"/>
  <c r="Z102"/>
  <c r="X102"/>
  <c r="B108"/>
  <c r="X105"/>
  <c r="Z106"/>
  <c r="X106"/>
  <c r="Z107"/>
  <c r="X107"/>
  <c r="Z111"/>
  <c r="X111"/>
  <c r="Z112"/>
  <c r="X112"/>
  <c r="Z113"/>
  <c r="X113"/>
  <c r="B119"/>
  <c r="X116"/>
  <c r="Z117"/>
  <c r="X117"/>
  <c r="Z118"/>
  <c r="X118"/>
  <c r="B124"/>
  <c r="X121"/>
  <c r="Z122"/>
  <c r="X122"/>
  <c r="Z123"/>
  <c r="X123"/>
  <c r="B129"/>
  <c r="X126"/>
  <c r="Z127"/>
  <c r="X127"/>
  <c r="Z128"/>
  <c r="X128"/>
  <c r="B134"/>
  <c r="X131"/>
  <c r="Z132"/>
  <c r="X132"/>
  <c r="Z133"/>
  <c r="X133"/>
  <c r="B140"/>
  <c r="X136"/>
  <c r="Z137"/>
  <c r="X137"/>
  <c r="Z138"/>
  <c r="X138"/>
  <c r="Z139"/>
  <c r="X139"/>
  <c r="B150"/>
  <c r="X142"/>
  <c r="Z143"/>
  <c r="X143"/>
  <c r="Z144"/>
  <c r="X144"/>
  <c r="Z145"/>
  <c r="X145"/>
  <c r="Z146"/>
  <c r="X146"/>
  <c r="Z147"/>
  <c r="X147"/>
  <c r="Z148"/>
  <c r="X148"/>
  <c r="Z149"/>
  <c r="X149"/>
  <c r="X13"/>
  <c r="X51"/>
  <c r="X57"/>
  <c r="X65"/>
  <c r="X71"/>
  <c r="X75"/>
  <c r="X80"/>
  <c r="X87"/>
  <c r="X92"/>
  <c r="X98"/>
  <c r="X103"/>
  <c r="X108"/>
  <c r="X119"/>
  <c r="X124"/>
  <c r="X129"/>
  <c r="X134"/>
  <c r="X140"/>
  <c r="X150"/>
  <c r="B7" i="21"/>
  <c r="X7"/>
  <c r="X2"/>
  <c r="Z3"/>
  <c r="X3"/>
  <c r="B13"/>
  <c r="X13"/>
  <c r="X9"/>
  <c r="Z12"/>
  <c r="X12"/>
  <c r="B51"/>
  <c r="X48"/>
  <c r="Z49"/>
  <c r="X49"/>
  <c r="Z50"/>
  <c r="X50"/>
  <c r="B57"/>
  <c r="X53"/>
  <c r="Z54"/>
  <c r="X54"/>
  <c r="Z55"/>
  <c r="X55"/>
  <c r="Z56"/>
  <c r="X56"/>
  <c r="B65"/>
  <c r="X59"/>
  <c r="Z60"/>
  <c r="X60"/>
  <c r="Z61"/>
  <c r="X61"/>
  <c r="Z62"/>
  <c r="X62"/>
  <c r="Z64"/>
  <c r="X64"/>
  <c r="B71"/>
  <c r="X67"/>
  <c r="Z68"/>
  <c r="X68"/>
  <c r="Z69"/>
  <c r="X69"/>
  <c r="Z70"/>
  <c r="X70"/>
  <c r="B75"/>
  <c r="X73"/>
  <c r="Z74"/>
  <c r="X74"/>
  <c r="B80"/>
  <c r="X77"/>
  <c r="Z78"/>
  <c r="X78"/>
  <c r="Z79"/>
  <c r="X79"/>
  <c r="B87"/>
  <c r="X82"/>
  <c r="Z83"/>
  <c r="X83"/>
  <c r="Z84"/>
  <c r="X84"/>
  <c r="Z85"/>
  <c r="X85"/>
  <c r="Z86"/>
  <c r="X86"/>
  <c r="B92"/>
  <c r="X89"/>
  <c r="Z90"/>
  <c r="X90"/>
  <c r="Z91"/>
  <c r="X91"/>
  <c r="B98"/>
  <c r="X94"/>
  <c r="Z95"/>
  <c r="X95"/>
  <c r="Z96"/>
  <c r="X96"/>
  <c r="Z97"/>
  <c r="X97"/>
  <c r="B103"/>
  <c r="X100"/>
  <c r="Z101"/>
  <c r="X101"/>
  <c r="Z102"/>
  <c r="X102"/>
  <c r="B108"/>
  <c r="X105"/>
  <c r="Z106"/>
  <c r="X106"/>
  <c r="Z107"/>
  <c r="X107"/>
  <c r="Z111"/>
  <c r="X111"/>
  <c r="Z112"/>
  <c r="X112"/>
  <c r="Z113"/>
  <c r="X113"/>
  <c r="B119"/>
  <c r="X116"/>
  <c r="Z117"/>
  <c r="X117"/>
  <c r="Z118"/>
  <c r="X118"/>
  <c r="B124"/>
  <c r="X121"/>
  <c r="Z122"/>
  <c r="X122"/>
  <c r="Z123"/>
  <c r="X123"/>
  <c r="B129"/>
  <c r="X126"/>
  <c r="Z127"/>
  <c r="X127"/>
  <c r="Z128"/>
  <c r="X128"/>
  <c r="B134"/>
  <c r="X131"/>
  <c r="Z132"/>
  <c r="X132"/>
  <c r="Z133"/>
  <c r="X133"/>
  <c r="B140"/>
  <c r="X136"/>
  <c r="Z137"/>
  <c r="X137"/>
  <c r="Z138"/>
  <c r="X138"/>
  <c r="Z139"/>
  <c r="X139"/>
  <c r="B150"/>
  <c r="X142"/>
  <c r="Z143"/>
  <c r="X143"/>
  <c r="Z144"/>
  <c r="X144"/>
  <c r="Z145"/>
  <c r="X145"/>
  <c r="Z146"/>
  <c r="X146"/>
  <c r="Z147"/>
  <c r="X147"/>
  <c r="Z148"/>
  <c r="X148"/>
  <c r="Z149"/>
  <c r="X149"/>
  <c r="X51"/>
  <c r="X57"/>
  <c r="X65"/>
  <c r="X71"/>
  <c r="X75"/>
  <c r="X80"/>
  <c r="X87"/>
  <c r="X92"/>
  <c r="X98"/>
  <c r="X103"/>
  <c r="X108"/>
  <c r="X119"/>
  <c r="X124"/>
  <c r="X129"/>
  <c r="X134"/>
  <c r="X140"/>
  <c r="X150"/>
  <c r="B7" i="19"/>
  <c r="W7"/>
  <c r="W2"/>
  <c r="Z3"/>
  <c r="W3"/>
  <c r="B13"/>
  <c r="W13"/>
  <c r="W9"/>
  <c r="Z10"/>
  <c r="W10"/>
  <c r="Z49"/>
  <c r="W49"/>
  <c r="Z50"/>
  <c r="W50"/>
  <c r="B57"/>
  <c r="W53"/>
  <c r="Z54"/>
  <c r="W54"/>
  <c r="Z55"/>
  <c r="W55"/>
  <c r="Z56"/>
  <c r="W56"/>
  <c r="B65"/>
  <c r="W59"/>
  <c r="Z60"/>
  <c r="W60"/>
  <c r="Z61"/>
  <c r="W61"/>
  <c r="Z62"/>
  <c r="W62"/>
  <c r="Z64"/>
  <c r="W64"/>
  <c r="B71"/>
  <c r="W67"/>
  <c r="Z68"/>
  <c r="W68"/>
  <c r="Z69"/>
  <c r="W69"/>
  <c r="Z70"/>
  <c r="W70"/>
  <c r="B75"/>
  <c r="W73"/>
  <c r="Z74"/>
  <c r="W74"/>
  <c r="B80"/>
  <c r="W77"/>
  <c r="Z78"/>
  <c r="W78"/>
  <c r="Z79"/>
  <c r="W79"/>
  <c r="B87"/>
  <c r="W82"/>
  <c r="Z83"/>
  <c r="W83"/>
  <c r="Z84"/>
  <c r="W84"/>
  <c r="Z85"/>
  <c r="W85"/>
  <c r="Z86"/>
  <c r="W86"/>
  <c r="B92"/>
  <c r="W89"/>
  <c r="Z90"/>
  <c r="W90"/>
  <c r="Z91"/>
  <c r="W91"/>
  <c r="B98"/>
  <c r="W94"/>
  <c r="Z95"/>
  <c r="W95"/>
  <c r="Z96"/>
  <c r="W96"/>
  <c r="Z97"/>
  <c r="W97"/>
  <c r="B103"/>
  <c r="W100"/>
  <c r="Z101"/>
  <c r="W101"/>
  <c r="Z102"/>
  <c r="W102"/>
  <c r="B108"/>
  <c r="W105"/>
  <c r="Z106"/>
  <c r="W106"/>
  <c r="Z107"/>
  <c r="W107"/>
  <c r="B114"/>
  <c r="W110"/>
  <c r="Z111"/>
  <c r="W111"/>
  <c r="Z112"/>
  <c r="W112"/>
  <c r="Z113"/>
  <c r="W113"/>
  <c r="Z117"/>
  <c r="W117"/>
  <c r="Z118"/>
  <c r="W118"/>
  <c r="B124"/>
  <c r="W121"/>
  <c r="Z122"/>
  <c r="W122"/>
  <c r="Z123"/>
  <c r="W123"/>
  <c r="B129"/>
  <c r="W126"/>
  <c r="Z127"/>
  <c r="W127"/>
  <c r="Z128"/>
  <c r="W128"/>
  <c r="B134"/>
  <c r="W131"/>
  <c r="Z132"/>
  <c r="W132"/>
  <c r="Z133"/>
  <c r="W133"/>
  <c r="B140"/>
  <c r="W136"/>
  <c r="Z137"/>
  <c r="W137"/>
  <c r="Z138"/>
  <c r="W138"/>
  <c r="Z139"/>
  <c r="W139"/>
  <c r="B150"/>
  <c r="W142"/>
  <c r="Z143"/>
  <c r="W143"/>
  <c r="Z144"/>
  <c r="W144"/>
  <c r="Z145"/>
  <c r="W145"/>
  <c r="Z146"/>
  <c r="W146"/>
  <c r="Z147"/>
  <c r="W147"/>
  <c r="Z148"/>
  <c r="W148"/>
  <c r="Z149"/>
  <c r="W149"/>
  <c r="W57"/>
  <c r="W65"/>
  <c r="W71"/>
  <c r="W75"/>
  <c r="W80"/>
  <c r="W87"/>
  <c r="W92"/>
  <c r="W98"/>
  <c r="W103"/>
  <c r="W108"/>
  <c r="W114"/>
  <c r="W124"/>
  <c r="W129"/>
  <c r="W134"/>
  <c r="W140"/>
  <c r="W150"/>
  <c r="Z45" i="21"/>
  <c r="X45"/>
  <c r="Z44"/>
  <c r="X44"/>
  <c r="B46"/>
  <c r="X46"/>
  <c r="X43"/>
  <c r="Z45" i="20"/>
  <c r="X45"/>
  <c r="Z44"/>
  <c r="X44"/>
  <c r="B46"/>
  <c r="X46"/>
  <c r="X43"/>
  <c r="Z45" i="19"/>
  <c r="W45"/>
  <c r="Z44"/>
  <c r="W44"/>
  <c r="B46"/>
  <c r="W46"/>
  <c r="W43"/>
  <c r="Z40" i="21"/>
  <c r="X40"/>
  <c r="Z39"/>
  <c r="X39"/>
  <c r="Z38"/>
  <c r="X38"/>
  <c r="Z37"/>
  <c r="X37"/>
  <c r="B41"/>
  <c r="X41"/>
  <c r="X36"/>
  <c r="Z40" i="20"/>
  <c r="X40"/>
  <c r="Z39"/>
  <c r="X39"/>
  <c r="Z38"/>
  <c r="X38"/>
  <c r="Z37"/>
  <c r="X37"/>
  <c r="B41"/>
  <c r="X41"/>
  <c r="X36"/>
  <c r="Z40" i="19"/>
  <c r="W40"/>
  <c r="Z39"/>
  <c r="W39"/>
  <c r="Z38"/>
  <c r="W38"/>
  <c r="Z37"/>
  <c r="W37"/>
  <c r="B41"/>
  <c r="W41"/>
  <c r="W36"/>
  <c r="Z33" i="21"/>
  <c r="X33"/>
  <c r="Z32"/>
  <c r="X32"/>
  <c r="Z33" i="20"/>
  <c r="X33"/>
  <c r="Z32"/>
  <c r="X32"/>
  <c r="Z33" i="19"/>
  <c r="W33"/>
  <c r="Z32"/>
  <c r="W32"/>
  <c r="B34"/>
  <c r="W34"/>
  <c r="W31"/>
  <c r="Z28" i="21"/>
  <c r="X28"/>
  <c r="Z27"/>
  <c r="X27"/>
  <c r="B29"/>
  <c r="X29"/>
  <c r="X26"/>
  <c r="Z28" i="20"/>
  <c r="X28"/>
  <c r="Z27"/>
  <c r="X27"/>
  <c r="B29"/>
  <c r="X29"/>
  <c r="X26"/>
  <c r="Z28" i="19"/>
  <c r="W28"/>
  <c r="Z27"/>
  <c r="W27"/>
  <c r="B29"/>
  <c r="W29"/>
  <c r="W26"/>
  <c r="Z23" i="21"/>
  <c r="X23"/>
  <c r="Z23" i="20"/>
  <c r="X23"/>
  <c r="Z23" i="19"/>
  <c r="W23"/>
  <c r="Z22" i="21"/>
  <c r="X22"/>
  <c r="Z22" i="20"/>
  <c r="X22"/>
  <c r="Z22" i="19"/>
  <c r="W22"/>
  <c r="Z21" i="21"/>
  <c r="X21"/>
  <c r="Z21" i="20"/>
  <c r="X21"/>
  <c r="Z21" i="19"/>
  <c r="W21"/>
  <c r="B24" i="21"/>
  <c r="X24"/>
  <c r="X20"/>
  <c r="B24" i="20"/>
  <c r="X24"/>
  <c r="X20"/>
  <c r="B24" i="19"/>
  <c r="W24"/>
  <c r="W20"/>
  <c r="Z11" i="21"/>
  <c r="X11"/>
  <c r="Z17"/>
  <c r="X17"/>
  <c r="Z17" i="20"/>
  <c r="X17"/>
  <c r="Z17" i="19"/>
  <c r="W17"/>
  <c r="Z16" i="21"/>
  <c r="X16"/>
  <c r="Z16" i="20"/>
  <c r="X16"/>
  <c r="Z16" i="19"/>
  <c r="W16"/>
  <c r="B18" i="21"/>
  <c r="X18"/>
  <c r="X15"/>
  <c r="B18" i="20"/>
  <c r="X18"/>
  <c r="X15"/>
  <c r="B18" i="19"/>
  <c r="W18"/>
  <c r="W15"/>
  <c r="Z12"/>
  <c r="W12"/>
  <c r="C293" i="33"/>
  <c r="H293"/>
  <c r="E293"/>
  <c r="D293"/>
  <c r="F293"/>
  <c r="Z6" i="21"/>
  <c r="X6"/>
  <c r="Z6" i="20"/>
  <c r="X6"/>
  <c r="Z6" i="19"/>
  <c r="W6"/>
  <c r="Z5" i="21"/>
  <c r="X5"/>
  <c r="Z5" i="20"/>
  <c r="X5"/>
  <c r="Z5" i="19"/>
  <c r="W5"/>
  <c r="C216" i="22"/>
  <c r="H216"/>
  <c r="F215"/>
  <c r="F216"/>
  <c r="D215"/>
  <c r="D216"/>
  <c r="E215"/>
  <c r="E216"/>
  <c r="R39"/>
  <c r="R41"/>
  <c r="R42"/>
  <c r="O75"/>
  <c r="O76"/>
  <c r="O78"/>
  <c r="T7" i="21"/>
  <c r="U7"/>
  <c r="V7"/>
  <c r="W7"/>
  <c r="Y7"/>
  <c r="Z7"/>
  <c r="T13"/>
  <c r="U13"/>
  <c r="V13"/>
  <c r="W13"/>
  <c r="Y13"/>
  <c r="Z13"/>
  <c r="T18"/>
  <c r="U18"/>
  <c r="V18"/>
  <c r="W18"/>
  <c r="Y18"/>
  <c r="Z18"/>
  <c r="T24"/>
  <c r="U24"/>
  <c r="V24"/>
  <c r="W24"/>
  <c r="Y24"/>
  <c r="Z24"/>
  <c r="T29"/>
  <c r="U29"/>
  <c r="V29"/>
  <c r="W29"/>
  <c r="Y29"/>
  <c r="Z29"/>
  <c r="B34"/>
  <c r="X34"/>
  <c r="Z31"/>
  <c r="Y31"/>
  <c r="W31"/>
  <c r="V31"/>
  <c r="U31"/>
  <c r="T31"/>
  <c r="T2"/>
  <c r="U2"/>
  <c r="V2"/>
  <c r="W2"/>
  <c r="Y2"/>
  <c r="Z2"/>
  <c r="T3"/>
  <c r="U3"/>
  <c r="V3"/>
  <c r="W3"/>
  <c r="Y3"/>
  <c r="T5"/>
  <c r="U5"/>
  <c r="V5"/>
  <c r="W5"/>
  <c r="Y5"/>
  <c r="T6"/>
  <c r="U6"/>
  <c r="V6"/>
  <c r="W6"/>
  <c r="Y6"/>
  <c r="T9"/>
  <c r="U9"/>
  <c r="V9"/>
  <c r="W9"/>
  <c r="Y9"/>
  <c r="Z9"/>
  <c r="T11"/>
  <c r="U11"/>
  <c r="V11"/>
  <c r="W11"/>
  <c r="Y11"/>
  <c r="T12"/>
  <c r="U12"/>
  <c r="V12"/>
  <c r="W12"/>
  <c r="Y12"/>
  <c r="T15"/>
  <c r="U15"/>
  <c r="V15"/>
  <c r="W15"/>
  <c r="Y15"/>
  <c r="Z15"/>
  <c r="T16"/>
  <c r="U16"/>
  <c r="V16"/>
  <c r="W16"/>
  <c r="Y16"/>
  <c r="T17"/>
  <c r="U17"/>
  <c r="V17"/>
  <c r="W17"/>
  <c r="Y17"/>
  <c r="T20"/>
  <c r="U20"/>
  <c r="V20"/>
  <c r="W20"/>
  <c r="Y20"/>
  <c r="Z20"/>
  <c r="T21"/>
  <c r="U21"/>
  <c r="V21"/>
  <c r="W21"/>
  <c r="Y21"/>
  <c r="T22"/>
  <c r="U22"/>
  <c r="V22"/>
  <c r="W22"/>
  <c r="Y22"/>
  <c r="T23"/>
  <c r="U23"/>
  <c r="V23"/>
  <c r="W23"/>
  <c r="Y23"/>
  <c r="T26"/>
  <c r="U26"/>
  <c r="V26"/>
  <c r="W26"/>
  <c r="Y26"/>
  <c r="Z26"/>
  <c r="T27"/>
  <c r="U27"/>
  <c r="V27"/>
  <c r="W27"/>
  <c r="Y27"/>
  <c r="T28"/>
  <c r="U28"/>
  <c r="V28"/>
  <c r="W28"/>
  <c r="Y28"/>
  <c r="T34"/>
  <c r="U34"/>
  <c r="V34"/>
  <c r="W34"/>
  <c r="Y34"/>
  <c r="Z34"/>
  <c r="T41"/>
  <c r="U41"/>
  <c r="V41"/>
  <c r="W41"/>
  <c r="Y41"/>
  <c r="Z41"/>
  <c r="T46"/>
  <c r="U46"/>
  <c r="V46"/>
  <c r="W46"/>
  <c r="Y46"/>
  <c r="Z46"/>
  <c r="T51"/>
  <c r="U51"/>
  <c r="V51"/>
  <c r="W51"/>
  <c r="Y51"/>
  <c r="Z51"/>
  <c r="T57"/>
  <c r="U57"/>
  <c r="V57"/>
  <c r="W57"/>
  <c r="Y57"/>
  <c r="Z57"/>
  <c r="T65"/>
  <c r="U65"/>
  <c r="V65"/>
  <c r="W65"/>
  <c r="Y65"/>
  <c r="Z65"/>
  <c r="T71"/>
  <c r="U71"/>
  <c r="V71"/>
  <c r="W71"/>
  <c r="Y71"/>
  <c r="Z71"/>
  <c r="T75"/>
  <c r="U75"/>
  <c r="V75"/>
  <c r="W75"/>
  <c r="Y75"/>
  <c r="Z75"/>
  <c r="T80"/>
  <c r="U80"/>
  <c r="V80"/>
  <c r="W80"/>
  <c r="Y80"/>
  <c r="Z80"/>
  <c r="T87"/>
  <c r="U87"/>
  <c r="V87"/>
  <c r="W87"/>
  <c r="Y87"/>
  <c r="Z87"/>
  <c r="T92"/>
  <c r="U92"/>
  <c r="V92"/>
  <c r="W92"/>
  <c r="Y92"/>
  <c r="Z92"/>
  <c r="T98"/>
  <c r="U98"/>
  <c r="V98"/>
  <c r="W98"/>
  <c r="Y98"/>
  <c r="Z98"/>
  <c r="T103"/>
  <c r="U103"/>
  <c r="V103"/>
  <c r="W103"/>
  <c r="Y103"/>
  <c r="Z103"/>
  <c r="T108"/>
  <c r="U108"/>
  <c r="V108"/>
  <c r="W108"/>
  <c r="Y108"/>
  <c r="Z108"/>
  <c r="B114"/>
  <c r="X114"/>
  <c r="Z110"/>
  <c r="Y110"/>
  <c r="T32"/>
  <c r="U32"/>
  <c r="V32"/>
  <c r="W32"/>
  <c r="Y32"/>
  <c r="T33"/>
  <c r="U33"/>
  <c r="V33"/>
  <c r="W33"/>
  <c r="Y33"/>
  <c r="T36"/>
  <c r="U36"/>
  <c r="V36"/>
  <c r="W36"/>
  <c r="Y36"/>
  <c r="Z36"/>
  <c r="T37"/>
  <c r="U37"/>
  <c r="V37"/>
  <c r="W37"/>
  <c r="Y37"/>
  <c r="T38"/>
  <c r="U38"/>
  <c r="V38"/>
  <c r="W38"/>
  <c r="Y38"/>
  <c r="T39"/>
  <c r="U39"/>
  <c r="V39"/>
  <c r="W39"/>
  <c r="Y39"/>
  <c r="T40"/>
  <c r="U40"/>
  <c r="V40"/>
  <c r="W40"/>
  <c r="Y40"/>
  <c r="T43"/>
  <c r="U43"/>
  <c r="V43"/>
  <c r="W43"/>
  <c r="Y43"/>
  <c r="Z43"/>
  <c r="T44"/>
  <c r="U44"/>
  <c r="V44"/>
  <c r="W44"/>
  <c r="Y44"/>
  <c r="T45"/>
  <c r="U45"/>
  <c r="V45"/>
  <c r="W45"/>
  <c r="Y45"/>
  <c r="T48"/>
  <c r="U48"/>
  <c r="V48"/>
  <c r="W48"/>
  <c r="Y48"/>
  <c r="Z48"/>
  <c r="T49"/>
  <c r="U49"/>
  <c r="V49"/>
  <c r="W49"/>
  <c r="Y49"/>
  <c r="T50"/>
  <c r="U50"/>
  <c r="V50"/>
  <c r="W50"/>
  <c r="Y50"/>
  <c r="T53"/>
  <c r="U53"/>
  <c r="V53"/>
  <c r="W53"/>
  <c r="Y53"/>
  <c r="Z53"/>
  <c r="T54"/>
  <c r="U54"/>
  <c r="V54"/>
  <c r="W54"/>
  <c r="Y54"/>
  <c r="T55"/>
  <c r="U55"/>
  <c r="V55"/>
  <c r="W55"/>
  <c r="Y55"/>
  <c r="T56"/>
  <c r="U56"/>
  <c r="V56"/>
  <c r="W56"/>
  <c r="Y56"/>
  <c r="T59"/>
  <c r="U59"/>
  <c r="V59"/>
  <c r="W59"/>
  <c r="Y59"/>
  <c r="Z59"/>
  <c r="T60"/>
  <c r="U60"/>
  <c r="V60"/>
  <c r="W60"/>
  <c r="Y60"/>
  <c r="T61"/>
  <c r="U61"/>
  <c r="V61"/>
  <c r="W61"/>
  <c r="Y61"/>
  <c r="T62"/>
  <c r="U62"/>
  <c r="V62"/>
  <c r="W62"/>
  <c r="Y62"/>
  <c r="T64"/>
  <c r="U64"/>
  <c r="V64"/>
  <c r="W64"/>
  <c r="Y64"/>
  <c r="T67"/>
  <c r="U67"/>
  <c r="V67"/>
  <c r="W67"/>
  <c r="Y67"/>
  <c r="Z67"/>
  <c r="T68"/>
  <c r="U68"/>
  <c r="V68"/>
  <c r="W68"/>
  <c r="Y68"/>
  <c r="T69"/>
  <c r="U69"/>
  <c r="V69"/>
  <c r="W69"/>
  <c r="Y69"/>
  <c r="T70"/>
  <c r="U70"/>
  <c r="V70"/>
  <c r="W70"/>
  <c r="Y70"/>
  <c r="T73"/>
  <c r="U73"/>
  <c r="V73"/>
  <c r="W73"/>
  <c r="Y73"/>
  <c r="Z73"/>
  <c r="T74"/>
  <c r="U74"/>
  <c r="V74"/>
  <c r="W74"/>
  <c r="Y74"/>
  <c r="T77"/>
  <c r="U77"/>
  <c r="V77"/>
  <c r="W77"/>
  <c r="Y77"/>
  <c r="Z77"/>
  <c r="T78"/>
  <c r="U78"/>
  <c r="V78"/>
  <c r="W78"/>
  <c r="Y78"/>
  <c r="T79"/>
  <c r="U79"/>
  <c r="V79"/>
  <c r="W79"/>
  <c r="Y79"/>
  <c r="T82"/>
  <c r="U82"/>
  <c r="V82"/>
  <c r="W82"/>
  <c r="Y82"/>
  <c r="Z82"/>
  <c r="T83"/>
  <c r="U83"/>
  <c r="V83"/>
  <c r="W83"/>
  <c r="Y83"/>
  <c r="T84"/>
  <c r="U84"/>
  <c r="V84"/>
  <c r="W84"/>
  <c r="Y84"/>
  <c r="T85"/>
  <c r="U85"/>
  <c r="V85"/>
  <c r="W85"/>
  <c r="Y85"/>
  <c r="T86"/>
  <c r="U86"/>
  <c r="V86"/>
  <c r="W86"/>
  <c r="Y86"/>
  <c r="T89"/>
  <c r="U89"/>
  <c r="V89"/>
  <c r="W89"/>
  <c r="Y89"/>
  <c r="Z89"/>
  <c r="T90"/>
  <c r="U90"/>
  <c r="V90"/>
  <c r="W90"/>
  <c r="Y90"/>
  <c r="T91"/>
  <c r="U91"/>
  <c r="V91"/>
  <c r="W91"/>
  <c r="Y91"/>
  <c r="T94"/>
  <c r="U94"/>
  <c r="V94"/>
  <c r="W94"/>
  <c r="Y94"/>
  <c r="Z94"/>
  <c r="T95"/>
  <c r="U95"/>
  <c r="V95"/>
  <c r="W95"/>
  <c r="Y95"/>
  <c r="T96"/>
  <c r="U96"/>
  <c r="V96"/>
  <c r="W96"/>
  <c r="Y96"/>
  <c r="T97"/>
  <c r="U97"/>
  <c r="V97"/>
  <c r="W97"/>
  <c r="Y97"/>
  <c r="T100"/>
  <c r="U100"/>
  <c r="V100"/>
  <c r="W100"/>
  <c r="Y100"/>
  <c r="Z100"/>
  <c r="T101"/>
  <c r="U101"/>
  <c r="V101"/>
  <c r="W101"/>
  <c r="Y101"/>
  <c r="T102"/>
  <c r="U102"/>
  <c r="V102"/>
  <c r="W102"/>
  <c r="Y102"/>
  <c r="T105"/>
  <c r="U105"/>
  <c r="V105"/>
  <c r="W105"/>
  <c r="Y105"/>
  <c r="Z105"/>
  <c r="T106"/>
  <c r="U106"/>
  <c r="V106"/>
  <c r="W106"/>
  <c r="Y106"/>
  <c r="T107"/>
  <c r="U107"/>
  <c r="V107"/>
  <c r="W107"/>
  <c r="Y107"/>
  <c r="T110"/>
  <c r="U110"/>
  <c r="V110"/>
  <c r="W110"/>
  <c r="T114"/>
  <c r="U114"/>
  <c r="V114"/>
  <c r="W114"/>
  <c r="Y114"/>
  <c r="Z114"/>
  <c r="T119"/>
  <c r="U119"/>
  <c r="V119"/>
  <c r="W119"/>
  <c r="Y119"/>
  <c r="Z119"/>
  <c r="T124"/>
  <c r="U124"/>
  <c r="V124"/>
  <c r="W124"/>
  <c r="Y124"/>
  <c r="Z124"/>
  <c r="T129"/>
  <c r="U129"/>
  <c r="V129"/>
  <c r="W129"/>
  <c r="Y129"/>
  <c r="Z129"/>
  <c r="T134"/>
  <c r="U134"/>
  <c r="V134"/>
  <c r="W134"/>
  <c r="Y134"/>
  <c r="Z134"/>
  <c r="T140"/>
  <c r="U140"/>
  <c r="V140"/>
  <c r="W140"/>
  <c r="Y140"/>
  <c r="Z140"/>
  <c r="B152"/>
  <c r="K152"/>
  <c r="C152"/>
  <c r="T152"/>
  <c r="D152"/>
  <c r="U152"/>
  <c r="E152"/>
  <c r="V152"/>
  <c r="F152"/>
  <c r="W152"/>
  <c r="G152"/>
  <c r="H152"/>
  <c r="Y152"/>
  <c r="I152"/>
  <c r="Z152"/>
  <c r="L152"/>
  <c r="M152"/>
  <c r="N152"/>
  <c r="O152"/>
  <c r="P152"/>
  <c r="Q152"/>
  <c r="R152"/>
  <c r="T111"/>
  <c r="U111"/>
  <c r="V111"/>
  <c r="W111"/>
  <c r="Y111"/>
  <c r="T112"/>
  <c r="U112"/>
  <c r="V112"/>
  <c r="W112"/>
  <c r="Y112"/>
  <c r="T113"/>
  <c r="U113"/>
  <c r="V113"/>
  <c r="W113"/>
  <c r="Y113"/>
  <c r="T116"/>
  <c r="U116"/>
  <c r="V116"/>
  <c r="W116"/>
  <c r="Y116"/>
  <c r="Z116"/>
  <c r="T117"/>
  <c r="U117"/>
  <c r="V117"/>
  <c r="W117"/>
  <c r="Y117"/>
  <c r="T118"/>
  <c r="U118"/>
  <c r="V118"/>
  <c r="W118"/>
  <c r="Y118"/>
  <c r="T121"/>
  <c r="U121"/>
  <c r="V121"/>
  <c r="W121"/>
  <c r="Y121"/>
  <c r="Z121"/>
  <c r="T122"/>
  <c r="U122"/>
  <c r="V122"/>
  <c r="W122"/>
  <c r="Y122"/>
  <c r="T123"/>
  <c r="U123"/>
  <c r="V123"/>
  <c r="W123"/>
  <c r="Y123"/>
  <c r="T126"/>
  <c r="U126"/>
  <c r="V126"/>
  <c r="W126"/>
  <c r="Y126"/>
  <c r="Z126"/>
  <c r="T127"/>
  <c r="U127"/>
  <c r="V127"/>
  <c r="W127"/>
  <c r="Y127"/>
  <c r="T128"/>
  <c r="U128"/>
  <c r="V128"/>
  <c r="W128"/>
  <c r="Y128"/>
  <c r="T131"/>
  <c r="U131"/>
  <c r="V131"/>
  <c r="W131"/>
  <c r="Y131"/>
  <c r="Z131"/>
  <c r="T132"/>
  <c r="U132"/>
  <c r="V132"/>
  <c r="W132"/>
  <c r="Y132"/>
  <c r="T133"/>
  <c r="U133"/>
  <c r="V133"/>
  <c r="W133"/>
  <c r="Y133"/>
  <c r="T136"/>
  <c r="U136"/>
  <c r="V136"/>
  <c r="W136"/>
  <c r="Y136"/>
  <c r="Z136"/>
  <c r="T137"/>
  <c r="U137"/>
  <c r="V137"/>
  <c r="W137"/>
  <c r="Y137"/>
  <c r="T138"/>
  <c r="U138"/>
  <c r="V138"/>
  <c r="W138"/>
  <c r="Y138"/>
  <c r="T139"/>
  <c r="U139"/>
  <c r="V139"/>
  <c r="W139"/>
  <c r="Y139"/>
  <c r="T142"/>
  <c r="U142"/>
  <c r="V142"/>
  <c r="W142"/>
  <c r="Y142"/>
  <c r="Z142"/>
  <c r="T143"/>
  <c r="U143"/>
  <c r="V143"/>
  <c r="W143"/>
  <c r="Y143"/>
  <c r="T144"/>
  <c r="U144"/>
  <c r="V144"/>
  <c r="W144"/>
  <c r="Y144"/>
  <c r="T145"/>
  <c r="U145"/>
  <c r="V145"/>
  <c r="W145"/>
  <c r="Y145"/>
  <c r="T146"/>
  <c r="U146"/>
  <c r="V146"/>
  <c r="W146"/>
  <c r="Y146"/>
  <c r="T147"/>
  <c r="U147"/>
  <c r="V147"/>
  <c r="W147"/>
  <c r="Y147"/>
  <c r="T148"/>
  <c r="U148"/>
  <c r="V148"/>
  <c r="W148"/>
  <c r="Y148"/>
  <c r="T149"/>
  <c r="U149"/>
  <c r="V149"/>
  <c r="W149"/>
  <c r="Y149"/>
  <c r="T150"/>
  <c r="U150"/>
  <c r="V150"/>
  <c r="W150"/>
  <c r="Y150"/>
  <c r="Z150"/>
  <c r="T7" i="20"/>
  <c r="U7"/>
  <c r="V7"/>
  <c r="W7"/>
  <c r="Y7"/>
  <c r="Z7"/>
  <c r="T13"/>
  <c r="U13"/>
  <c r="V13"/>
  <c r="W13"/>
  <c r="Y13"/>
  <c r="Z13"/>
  <c r="T18"/>
  <c r="U18"/>
  <c r="V18"/>
  <c r="W18"/>
  <c r="Y18"/>
  <c r="Z18"/>
  <c r="T24"/>
  <c r="U24"/>
  <c r="V24"/>
  <c r="W24"/>
  <c r="Y24"/>
  <c r="Z24"/>
  <c r="T29"/>
  <c r="U29"/>
  <c r="V29"/>
  <c r="W29"/>
  <c r="Y29"/>
  <c r="Z29"/>
  <c r="B34"/>
  <c r="X34"/>
  <c r="Z31"/>
  <c r="Y31"/>
  <c r="W31"/>
  <c r="V31"/>
  <c r="U31"/>
  <c r="T31"/>
  <c r="T2"/>
  <c r="U2"/>
  <c r="V2"/>
  <c r="W2"/>
  <c r="Y2"/>
  <c r="Z2"/>
  <c r="T3"/>
  <c r="U3"/>
  <c r="V3"/>
  <c r="W3"/>
  <c r="Y3"/>
  <c r="T5"/>
  <c r="U5"/>
  <c r="V5"/>
  <c r="W5"/>
  <c r="Y5"/>
  <c r="T6"/>
  <c r="U6"/>
  <c r="V6"/>
  <c r="W6"/>
  <c r="Y6"/>
  <c r="T9"/>
  <c r="U9"/>
  <c r="V9"/>
  <c r="W9"/>
  <c r="Y9"/>
  <c r="Z9"/>
  <c r="T10"/>
  <c r="U10"/>
  <c r="V10"/>
  <c r="W10"/>
  <c r="Y10"/>
  <c r="T12"/>
  <c r="U12"/>
  <c r="V12"/>
  <c r="W12"/>
  <c r="Y12"/>
  <c r="T15"/>
  <c r="U15"/>
  <c r="V15"/>
  <c r="W15"/>
  <c r="Y15"/>
  <c r="Z15"/>
  <c r="T16"/>
  <c r="U16"/>
  <c r="V16"/>
  <c r="W16"/>
  <c r="Y16"/>
  <c r="T17"/>
  <c r="U17"/>
  <c r="V17"/>
  <c r="W17"/>
  <c r="Y17"/>
  <c r="T20"/>
  <c r="U20"/>
  <c r="V20"/>
  <c r="W20"/>
  <c r="Y20"/>
  <c r="Z20"/>
  <c r="T21"/>
  <c r="U21"/>
  <c r="V21"/>
  <c r="W21"/>
  <c r="Y21"/>
  <c r="T22"/>
  <c r="U22"/>
  <c r="V22"/>
  <c r="W22"/>
  <c r="Y22"/>
  <c r="T23"/>
  <c r="U23"/>
  <c r="V23"/>
  <c r="W23"/>
  <c r="Y23"/>
  <c r="T26"/>
  <c r="U26"/>
  <c r="V26"/>
  <c r="W26"/>
  <c r="Y26"/>
  <c r="Z26"/>
  <c r="T27"/>
  <c r="U27"/>
  <c r="V27"/>
  <c r="W27"/>
  <c r="Y27"/>
  <c r="T28"/>
  <c r="U28"/>
  <c r="V28"/>
  <c r="W28"/>
  <c r="Y28"/>
  <c r="T34"/>
  <c r="U34"/>
  <c r="V34"/>
  <c r="W34"/>
  <c r="Y34"/>
  <c r="Z34"/>
  <c r="T41"/>
  <c r="U41"/>
  <c r="V41"/>
  <c r="W41"/>
  <c r="Y41"/>
  <c r="Z41"/>
  <c r="T46"/>
  <c r="U46"/>
  <c r="V46"/>
  <c r="W46"/>
  <c r="Y46"/>
  <c r="Z46"/>
  <c r="T51"/>
  <c r="U51"/>
  <c r="V51"/>
  <c r="W51"/>
  <c r="Y51"/>
  <c r="Z51"/>
  <c r="T57"/>
  <c r="U57"/>
  <c r="V57"/>
  <c r="W57"/>
  <c r="Y57"/>
  <c r="Z57"/>
  <c r="T65"/>
  <c r="U65"/>
  <c r="V65"/>
  <c r="W65"/>
  <c r="Y65"/>
  <c r="Z65"/>
  <c r="T71"/>
  <c r="U71"/>
  <c r="V71"/>
  <c r="W71"/>
  <c r="Y71"/>
  <c r="Z71"/>
  <c r="T75"/>
  <c r="U75"/>
  <c r="V75"/>
  <c r="W75"/>
  <c r="Y75"/>
  <c r="Z75"/>
  <c r="T80"/>
  <c r="U80"/>
  <c r="V80"/>
  <c r="W80"/>
  <c r="Y80"/>
  <c r="Z80"/>
  <c r="T87"/>
  <c r="U87"/>
  <c r="V87"/>
  <c r="W87"/>
  <c r="Y87"/>
  <c r="Z87"/>
  <c r="T92"/>
  <c r="U92"/>
  <c r="V92"/>
  <c r="W92"/>
  <c r="Y92"/>
  <c r="Z92"/>
  <c r="T98"/>
  <c r="U98"/>
  <c r="V98"/>
  <c r="W98"/>
  <c r="Y98"/>
  <c r="Z98"/>
  <c r="T103"/>
  <c r="U103"/>
  <c r="V103"/>
  <c r="W103"/>
  <c r="Y103"/>
  <c r="Z103"/>
  <c r="T108"/>
  <c r="U108"/>
  <c r="V108"/>
  <c r="W108"/>
  <c r="Y108"/>
  <c r="Z108"/>
  <c r="B114"/>
  <c r="X114"/>
  <c r="Z110"/>
  <c r="Y110"/>
  <c r="T32"/>
  <c r="U32"/>
  <c r="V32"/>
  <c r="W32"/>
  <c r="Y32"/>
  <c r="T33"/>
  <c r="U33"/>
  <c r="V33"/>
  <c r="W33"/>
  <c r="Y33"/>
  <c r="T36"/>
  <c r="U36"/>
  <c r="V36"/>
  <c r="W36"/>
  <c r="Y36"/>
  <c r="Z36"/>
  <c r="T37"/>
  <c r="U37"/>
  <c r="V37"/>
  <c r="W37"/>
  <c r="Y37"/>
  <c r="T38"/>
  <c r="U38"/>
  <c r="V38"/>
  <c r="W38"/>
  <c r="Y38"/>
  <c r="T39"/>
  <c r="U39"/>
  <c r="V39"/>
  <c r="W39"/>
  <c r="Y39"/>
  <c r="T40"/>
  <c r="U40"/>
  <c r="V40"/>
  <c r="W40"/>
  <c r="Y40"/>
  <c r="T43"/>
  <c r="U43"/>
  <c r="V43"/>
  <c r="W43"/>
  <c r="Y43"/>
  <c r="Z43"/>
  <c r="T44"/>
  <c r="U44"/>
  <c r="V44"/>
  <c r="W44"/>
  <c r="Y44"/>
  <c r="T45"/>
  <c r="U45"/>
  <c r="V45"/>
  <c r="W45"/>
  <c r="Y45"/>
  <c r="T48"/>
  <c r="U48"/>
  <c r="V48"/>
  <c r="W48"/>
  <c r="Y48"/>
  <c r="Z48"/>
  <c r="T49"/>
  <c r="U49"/>
  <c r="V49"/>
  <c r="W49"/>
  <c r="Y49"/>
  <c r="T50"/>
  <c r="U50"/>
  <c r="V50"/>
  <c r="W50"/>
  <c r="Y50"/>
  <c r="T53"/>
  <c r="U53"/>
  <c r="V53"/>
  <c r="W53"/>
  <c r="Y53"/>
  <c r="Z53"/>
  <c r="T54"/>
  <c r="U54"/>
  <c r="V54"/>
  <c r="W54"/>
  <c r="Y54"/>
  <c r="T55"/>
  <c r="U55"/>
  <c r="V55"/>
  <c r="W55"/>
  <c r="Y55"/>
  <c r="T56"/>
  <c r="U56"/>
  <c r="V56"/>
  <c r="W56"/>
  <c r="Y56"/>
  <c r="T59"/>
  <c r="U59"/>
  <c r="V59"/>
  <c r="W59"/>
  <c r="Y59"/>
  <c r="Z59"/>
  <c r="T60"/>
  <c r="U60"/>
  <c r="V60"/>
  <c r="W60"/>
  <c r="Y60"/>
  <c r="T61"/>
  <c r="U61"/>
  <c r="V61"/>
  <c r="W61"/>
  <c r="Y61"/>
  <c r="T62"/>
  <c r="U62"/>
  <c r="V62"/>
  <c r="W62"/>
  <c r="Y62"/>
  <c r="T64"/>
  <c r="U64"/>
  <c r="V64"/>
  <c r="W64"/>
  <c r="Y64"/>
  <c r="T67"/>
  <c r="U67"/>
  <c r="V67"/>
  <c r="W67"/>
  <c r="Y67"/>
  <c r="Z67"/>
  <c r="T68"/>
  <c r="U68"/>
  <c r="V68"/>
  <c r="W68"/>
  <c r="Y68"/>
  <c r="T69"/>
  <c r="U69"/>
  <c r="V69"/>
  <c r="W69"/>
  <c r="Y69"/>
  <c r="T70"/>
  <c r="U70"/>
  <c r="V70"/>
  <c r="W70"/>
  <c r="Y70"/>
  <c r="T73"/>
  <c r="U73"/>
  <c r="V73"/>
  <c r="W73"/>
  <c r="Y73"/>
  <c r="Z73"/>
  <c r="T74"/>
  <c r="U74"/>
  <c r="V74"/>
  <c r="W74"/>
  <c r="Y74"/>
  <c r="T77"/>
  <c r="U77"/>
  <c r="V77"/>
  <c r="W77"/>
  <c r="Y77"/>
  <c r="Z77"/>
  <c r="T78"/>
  <c r="U78"/>
  <c r="V78"/>
  <c r="W78"/>
  <c r="Y78"/>
  <c r="T79"/>
  <c r="U79"/>
  <c r="V79"/>
  <c r="W79"/>
  <c r="Y79"/>
  <c r="T82"/>
  <c r="U82"/>
  <c r="V82"/>
  <c r="W82"/>
  <c r="Y82"/>
  <c r="Z82"/>
  <c r="T83"/>
  <c r="U83"/>
  <c r="V83"/>
  <c r="W83"/>
  <c r="Y83"/>
  <c r="T84"/>
  <c r="U84"/>
  <c r="V84"/>
  <c r="W84"/>
  <c r="Y84"/>
  <c r="T85"/>
  <c r="U85"/>
  <c r="V85"/>
  <c r="W85"/>
  <c r="Y85"/>
  <c r="T86"/>
  <c r="U86"/>
  <c r="V86"/>
  <c r="W86"/>
  <c r="Y86"/>
  <c r="T89"/>
  <c r="U89"/>
  <c r="V89"/>
  <c r="W89"/>
  <c r="Y89"/>
  <c r="Z89"/>
  <c r="T90"/>
  <c r="U90"/>
  <c r="V90"/>
  <c r="W90"/>
  <c r="Y90"/>
  <c r="T91"/>
  <c r="U91"/>
  <c r="V91"/>
  <c r="W91"/>
  <c r="Y91"/>
  <c r="T94"/>
  <c r="U94"/>
  <c r="V94"/>
  <c r="W94"/>
  <c r="Y94"/>
  <c r="Z94"/>
  <c r="T95"/>
  <c r="U95"/>
  <c r="V95"/>
  <c r="W95"/>
  <c r="Y95"/>
  <c r="T96"/>
  <c r="U96"/>
  <c r="V96"/>
  <c r="W96"/>
  <c r="Y96"/>
  <c r="T97"/>
  <c r="U97"/>
  <c r="V97"/>
  <c r="W97"/>
  <c r="Y97"/>
  <c r="T100"/>
  <c r="U100"/>
  <c r="V100"/>
  <c r="W100"/>
  <c r="Y100"/>
  <c r="Z100"/>
  <c r="T101"/>
  <c r="U101"/>
  <c r="V101"/>
  <c r="W101"/>
  <c r="Y101"/>
  <c r="T102"/>
  <c r="U102"/>
  <c r="V102"/>
  <c r="W102"/>
  <c r="Y102"/>
  <c r="T105"/>
  <c r="U105"/>
  <c r="V105"/>
  <c r="W105"/>
  <c r="Y105"/>
  <c r="Z105"/>
  <c r="T106"/>
  <c r="U106"/>
  <c r="V106"/>
  <c r="W106"/>
  <c r="Y106"/>
  <c r="T107"/>
  <c r="U107"/>
  <c r="V107"/>
  <c r="W107"/>
  <c r="Y107"/>
  <c r="T110"/>
  <c r="U110"/>
  <c r="V110"/>
  <c r="W110"/>
  <c r="T114"/>
  <c r="U114"/>
  <c r="V114"/>
  <c r="W114"/>
  <c r="Y114"/>
  <c r="Z114"/>
  <c r="T119"/>
  <c r="U119"/>
  <c r="V119"/>
  <c r="W119"/>
  <c r="Y119"/>
  <c r="Z119"/>
  <c r="T124"/>
  <c r="U124"/>
  <c r="V124"/>
  <c r="W124"/>
  <c r="Y124"/>
  <c r="Z124"/>
  <c r="T129"/>
  <c r="U129"/>
  <c r="V129"/>
  <c r="W129"/>
  <c r="Y129"/>
  <c r="Z129"/>
  <c r="T134"/>
  <c r="U134"/>
  <c r="V134"/>
  <c r="W134"/>
  <c r="Y134"/>
  <c r="Z134"/>
  <c r="T140"/>
  <c r="U140"/>
  <c r="V140"/>
  <c r="W140"/>
  <c r="Y140"/>
  <c r="Z140"/>
  <c r="B152"/>
  <c r="K152"/>
  <c r="C152"/>
  <c r="T152"/>
  <c r="D152"/>
  <c r="U152"/>
  <c r="E152"/>
  <c r="V152"/>
  <c r="G152"/>
  <c r="F152"/>
  <c r="W152"/>
  <c r="H152"/>
  <c r="Y152"/>
  <c r="I152"/>
  <c r="Z152"/>
  <c r="L152"/>
  <c r="M152"/>
  <c r="N152"/>
  <c r="P152"/>
  <c r="O152"/>
  <c r="Q152"/>
  <c r="R152"/>
  <c r="T111"/>
  <c r="U111"/>
  <c r="V111"/>
  <c r="W111"/>
  <c r="Y111"/>
  <c r="T112"/>
  <c r="U112"/>
  <c r="V112"/>
  <c r="W112"/>
  <c r="Y112"/>
  <c r="T113"/>
  <c r="U113"/>
  <c r="V113"/>
  <c r="W113"/>
  <c r="Y113"/>
  <c r="T116"/>
  <c r="U116"/>
  <c r="V116"/>
  <c r="W116"/>
  <c r="Y116"/>
  <c r="Z116"/>
  <c r="T117"/>
  <c r="U117"/>
  <c r="V117"/>
  <c r="W117"/>
  <c r="Y117"/>
  <c r="T118"/>
  <c r="U118"/>
  <c r="V118"/>
  <c r="W118"/>
  <c r="Y118"/>
  <c r="T121"/>
  <c r="U121"/>
  <c r="V121"/>
  <c r="W121"/>
  <c r="Y121"/>
  <c r="Z121"/>
  <c r="T122"/>
  <c r="U122"/>
  <c r="V122"/>
  <c r="W122"/>
  <c r="Y122"/>
  <c r="T123"/>
  <c r="U123"/>
  <c r="V123"/>
  <c r="W123"/>
  <c r="Y123"/>
  <c r="T126"/>
  <c r="U126"/>
  <c r="V126"/>
  <c r="W126"/>
  <c r="Y126"/>
  <c r="Z126"/>
  <c r="T127"/>
  <c r="U127"/>
  <c r="V127"/>
  <c r="W127"/>
  <c r="Y127"/>
  <c r="T128"/>
  <c r="U128"/>
  <c r="V128"/>
  <c r="W128"/>
  <c r="Y128"/>
  <c r="T131"/>
  <c r="U131"/>
  <c r="V131"/>
  <c r="W131"/>
  <c r="Y131"/>
  <c r="Z131"/>
  <c r="T132"/>
  <c r="U132"/>
  <c r="V132"/>
  <c r="W132"/>
  <c r="Y132"/>
  <c r="T133"/>
  <c r="U133"/>
  <c r="V133"/>
  <c r="W133"/>
  <c r="Y133"/>
  <c r="T136"/>
  <c r="U136"/>
  <c r="V136"/>
  <c r="W136"/>
  <c r="Y136"/>
  <c r="Z136"/>
  <c r="T137"/>
  <c r="U137"/>
  <c r="V137"/>
  <c r="W137"/>
  <c r="Y137"/>
  <c r="T138"/>
  <c r="U138"/>
  <c r="V138"/>
  <c r="W138"/>
  <c r="Y138"/>
  <c r="T139"/>
  <c r="U139"/>
  <c r="V139"/>
  <c r="W139"/>
  <c r="Y139"/>
  <c r="T142"/>
  <c r="U142"/>
  <c r="V142"/>
  <c r="W142"/>
  <c r="Y142"/>
  <c r="Z142"/>
  <c r="T143"/>
  <c r="U143"/>
  <c r="V143"/>
  <c r="W143"/>
  <c r="Y143"/>
  <c r="T144"/>
  <c r="U144"/>
  <c r="V144"/>
  <c r="W144"/>
  <c r="Y144"/>
  <c r="T145"/>
  <c r="U145"/>
  <c r="V145"/>
  <c r="W145"/>
  <c r="Y145"/>
  <c r="T146"/>
  <c r="U146"/>
  <c r="V146"/>
  <c r="W146"/>
  <c r="Y146"/>
  <c r="T147"/>
  <c r="U147"/>
  <c r="V147"/>
  <c r="W147"/>
  <c r="Y147"/>
  <c r="T148"/>
  <c r="U148"/>
  <c r="V148"/>
  <c r="W148"/>
  <c r="Y148"/>
  <c r="T149"/>
  <c r="U149"/>
  <c r="V149"/>
  <c r="W149"/>
  <c r="Y149"/>
  <c r="T150"/>
  <c r="U150"/>
  <c r="V150"/>
  <c r="W150"/>
  <c r="Y150"/>
  <c r="Z150"/>
  <c r="T7" i="19"/>
  <c r="U7"/>
  <c r="V7"/>
  <c r="X7"/>
  <c r="Y7"/>
  <c r="Z7"/>
  <c r="T13"/>
  <c r="U13"/>
  <c r="V13"/>
  <c r="X13"/>
  <c r="Y13"/>
  <c r="Z13"/>
  <c r="T18"/>
  <c r="U18"/>
  <c r="V18"/>
  <c r="X18"/>
  <c r="Y18"/>
  <c r="Z18"/>
  <c r="T24"/>
  <c r="U24"/>
  <c r="V24"/>
  <c r="X24"/>
  <c r="Y24"/>
  <c r="Z24"/>
  <c r="T29"/>
  <c r="U29"/>
  <c r="V29"/>
  <c r="X29"/>
  <c r="Y29"/>
  <c r="Z29"/>
  <c r="T34"/>
  <c r="U34"/>
  <c r="V34"/>
  <c r="X34"/>
  <c r="Y34"/>
  <c r="Z34"/>
  <c r="T41"/>
  <c r="U41"/>
  <c r="V41"/>
  <c r="X41"/>
  <c r="Y41"/>
  <c r="Z41"/>
  <c r="T46"/>
  <c r="U46"/>
  <c r="V46"/>
  <c r="X46"/>
  <c r="Y46"/>
  <c r="Z46"/>
  <c r="B51"/>
  <c r="W51"/>
  <c r="Z48"/>
  <c r="Y48"/>
  <c r="X48"/>
  <c r="V48"/>
  <c r="T2"/>
  <c r="U2"/>
  <c r="V2"/>
  <c r="X2"/>
  <c r="Y2"/>
  <c r="Z2"/>
  <c r="T3"/>
  <c r="U3"/>
  <c r="V3"/>
  <c r="X3"/>
  <c r="Y3"/>
  <c r="T5"/>
  <c r="U5"/>
  <c r="V5"/>
  <c r="X5"/>
  <c r="Y5"/>
  <c r="T6"/>
  <c r="U6"/>
  <c r="V6"/>
  <c r="X6"/>
  <c r="Y6"/>
  <c r="T9"/>
  <c r="U9"/>
  <c r="V9"/>
  <c r="X9"/>
  <c r="Y9"/>
  <c r="Z9"/>
  <c r="T10"/>
  <c r="U10"/>
  <c r="V10"/>
  <c r="X10"/>
  <c r="Y10"/>
  <c r="T12"/>
  <c r="U12"/>
  <c r="V12"/>
  <c r="X12"/>
  <c r="Y12"/>
  <c r="T15"/>
  <c r="U15"/>
  <c r="V15"/>
  <c r="X15"/>
  <c r="Y15"/>
  <c r="Z15"/>
  <c r="T16"/>
  <c r="U16"/>
  <c r="V16"/>
  <c r="X16"/>
  <c r="Y16"/>
  <c r="T17"/>
  <c r="U17"/>
  <c r="V17"/>
  <c r="X17"/>
  <c r="Y17"/>
  <c r="T20"/>
  <c r="U20"/>
  <c r="V20"/>
  <c r="X20"/>
  <c r="Y20"/>
  <c r="Z20"/>
  <c r="T21"/>
  <c r="U21"/>
  <c r="V21"/>
  <c r="X21"/>
  <c r="Y21"/>
  <c r="T22"/>
  <c r="U22"/>
  <c r="V22"/>
  <c r="X22"/>
  <c r="Y22"/>
  <c r="T23"/>
  <c r="U23"/>
  <c r="V23"/>
  <c r="X23"/>
  <c r="Y23"/>
  <c r="T26"/>
  <c r="U26"/>
  <c r="V26"/>
  <c r="X26"/>
  <c r="Y26"/>
  <c r="Z26"/>
  <c r="T27"/>
  <c r="U27"/>
  <c r="V27"/>
  <c r="X27"/>
  <c r="Y27"/>
  <c r="T28"/>
  <c r="U28"/>
  <c r="V28"/>
  <c r="X28"/>
  <c r="Y28"/>
  <c r="T31"/>
  <c r="U31"/>
  <c r="V31"/>
  <c r="X31"/>
  <c r="Y31"/>
  <c r="Z31"/>
  <c r="T32"/>
  <c r="U32"/>
  <c r="V32"/>
  <c r="X32"/>
  <c r="Y32"/>
  <c r="T33"/>
  <c r="U33"/>
  <c r="V33"/>
  <c r="X33"/>
  <c r="Y33"/>
  <c r="T36"/>
  <c r="U36"/>
  <c r="V36"/>
  <c r="X36"/>
  <c r="Y36"/>
  <c r="Z36"/>
  <c r="T37"/>
  <c r="U37"/>
  <c r="V37"/>
  <c r="X37"/>
  <c r="Y37"/>
  <c r="T38"/>
  <c r="U38"/>
  <c r="V38"/>
  <c r="X38"/>
  <c r="Y38"/>
  <c r="T39"/>
  <c r="U39"/>
  <c r="V39"/>
  <c r="X39"/>
  <c r="Y39"/>
  <c r="T40"/>
  <c r="U40"/>
  <c r="V40"/>
  <c r="X40"/>
  <c r="Y40"/>
  <c r="T43"/>
  <c r="U43"/>
  <c r="V43"/>
  <c r="X43"/>
  <c r="Y43"/>
  <c r="Z43"/>
  <c r="T44"/>
  <c r="U44"/>
  <c r="V44"/>
  <c r="X44"/>
  <c r="Y44"/>
  <c r="T45"/>
  <c r="U45"/>
  <c r="V45"/>
  <c r="X45"/>
  <c r="Y45"/>
  <c r="T48"/>
  <c r="U48"/>
  <c r="T51"/>
  <c r="U51"/>
  <c r="V51"/>
  <c r="X51"/>
  <c r="Y51"/>
  <c r="Z51"/>
  <c r="T57"/>
  <c r="U57"/>
  <c r="V57"/>
  <c r="X57"/>
  <c r="Y57"/>
  <c r="Z57"/>
  <c r="T65"/>
  <c r="U65"/>
  <c r="V65"/>
  <c r="X65"/>
  <c r="Y65"/>
  <c r="Z65"/>
  <c r="T71"/>
  <c r="U71"/>
  <c r="V71"/>
  <c r="X71"/>
  <c r="Y71"/>
  <c r="Z71"/>
  <c r="T75"/>
  <c r="U75"/>
  <c r="V75"/>
  <c r="X75"/>
  <c r="Y75"/>
  <c r="Z75"/>
  <c r="T80"/>
  <c r="U80"/>
  <c r="V80"/>
  <c r="X80"/>
  <c r="Y80"/>
  <c r="Z80"/>
  <c r="T87"/>
  <c r="U87"/>
  <c r="V87"/>
  <c r="X87"/>
  <c r="Y87"/>
  <c r="Z87"/>
  <c r="T92"/>
  <c r="U92"/>
  <c r="V92"/>
  <c r="X92"/>
  <c r="Y92"/>
  <c r="Z92"/>
  <c r="T98"/>
  <c r="U98"/>
  <c r="V98"/>
  <c r="X98"/>
  <c r="Y98"/>
  <c r="Z98"/>
  <c r="T103"/>
  <c r="U103"/>
  <c r="V103"/>
  <c r="X103"/>
  <c r="Y103"/>
  <c r="Z103"/>
  <c r="T108"/>
  <c r="U108"/>
  <c r="V108"/>
  <c r="X108"/>
  <c r="Y108"/>
  <c r="Z108"/>
  <c r="T114"/>
  <c r="U114"/>
  <c r="V114"/>
  <c r="X114"/>
  <c r="Y114"/>
  <c r="Z114"/>
  <c r="B119"/>
  <c r="W119"/>
  <c r="Z116"/>
  <c r="Y116"/>
  <c r="T49"/>
  <c r="U49"/>
  <c r="V49"/>
  <c r="X49"/>
  <c r="Y49"/>
  <c r="T50"/>
  <c r="U50"/>
  <c r="V50"/>
  <c r="X50"/>
  <c r="Y50"/>
  <c r="T53"/>
  <c r="U53"/>
  <c r="V53"/>
  <c r="X53"/>
  <c r="Y53"/>
  <c r="Z53"/>
  <c r="T54"/>
  <c r="U54"/>
  <c r="V54"/>
  <c r="X54"/>
  <c r="Y54"/>
  <c r="T55"/>
  <c r="U55"/>
  <c r="V55"/>
  <c r="X55"/>
  <c r="Y55"/>
  <c r="T56"/>
  <c r="U56"/>
  <c r="V56"/>
  <c r="X56"/>
  <c r="Y56"/>
  <c r="T59"/>
  <c r="U59"/>
  <c r="V59"/>
  <c r="X59"/>
  <c r="Y59"/>
  <c r="Z59"/>
  <c r="T60"/>
  <c r="U60"/>
  <c r="V60"/>
  <c r="X60"/>
  <c r="Y60"/>
  <c r="T61"/>
  <c r="U61"/>
  <c r="V61"/>
  <c r="X61"/>
  <c r="Y61"/>
  <c r="T62"/>
  <c r="U62"/>
  <c r="V62"/>
  <c r="X62"/>
  <c r="Y62"/>
  <c r="T64"/>
  <c r="U64"/>
  <c r="V64"/>
  <c r="X64"/>
  <c r="Y64"/>
  <c r="T67"/>
  <c r="U67"/>
  <c r="V67"/>
  <c r="X67"/>
  <c r="Y67"/>
  <c r="Z67"/>
  <c r="T68"/>
  <c r="U68"/>
  <c r="V68"/>
  <c r="X68"/>
  <c r="Y68"/>
  <c r="T69"/>
  <c r="U69"/>
  <c r="V69"/>
  <c r="X69"/>
  <c r="Y69"/>
  <c r="T70"/>
  <c r="U70"/>
  <c r="V70"/>
  <c r="X70"/>
  <c r="Y70"/>
  <c r="T73"/>
  <c r="U73"/>
  <c r="V73"/>
  <c r="X73"/>
  <c r="Y73"/>
  <c r="Z73"/>
  <c r="T74"/>
  <c r="U74"/>
  <c r="V74"/>
  <c r="X74"/>
  <c r="Y74"/>
  <c r="T77"/>
  <c r="U77"/>
  <c r="V77"/>
  <c r="X77"/>
  <c r="Y77"/>
  <c r="Z77"/>
  <c r="T78"/>
  <c r="U78"/>
  <c r="V78"/>
  <c r="X78"/>
  <c r="Y78"/>
  <c r="T79"/>
  <c r="U79"/>
  <c r="V79"/>
  <c r="X79"/>
  <c r="Y79"/>
  <c r="T82"/>
  <c r="U82"/>
  <c r="V82"/>
  <c r="X82"/>
  <c r="Y82"/>
  <c r="Z82"/>
  <c r="T83"/>
  <c r="U83"/>
  <c r="V83"/>
  <c r="X83"/>
  <c r="Y83"/>
  <c r="T84"/>
  <c r="U84"/>
  <c r="V84"/>
  <c r="X84"/>
  <c r="Y84"/>
  <c r="T85"/>
  <c r="U85"/>
  <c r="V85"/>
  <c r="X85"/>
  <c r="Y85"/>
  <c r="T86"/>
  <c r="U86"/>
  <c r="V86"/>
  <c r="X86"/>
  <c r="Y86"/>
  <c r="T89"/>
  <c r="U89"/>
  <c r="V89"/>
  <c r="X89"/>
  <c r="Y89"/>
  <c r="Z89"/>
  <c r="T90"/>
  <c r="U90"/>
  <c r="V90"/>
  <c r="X90"/>
  <c r="Y90"/>
  <c r="T91"/>
  <c r="U91"/>
  <c r="V91"/>
  <c r="X91"/>
  <c r="Y91"/>
  <c r="T94"/>
  <c r="U94"/>
  <c r="V94"/>
  <c r="X94"/>
  <c r="Y94"/>
  <c r="Z94"/>
  <c r="T95"/>
  <c r="U95"/>
  <c r="V95"/>
  <c r="X95"/>
  <c r="Y95"/>
  <c r="T96"/>
  <c r="U96"/>
  <c r="V96"/>
  <c r="X96"/>
  <c r="Y96"/>
  <c r="T97"/>
  <c r="U97"/>
  <c r="V97"/>
  <c r="X97"/>
  <c r="Y97"/>
  <c r="T100"/>
  <c r="U100"/>
  <c r="V100"/>
  <c r="X100"/>
  <c r="Y100"/>
  <c r="Z100"/>
  <c r="T101"/>
  <c r="U101"/>
  <c r="V101"/>
  <c r="X101"/>
  <c r="Y101"/>
  <c r="T102"/>
  <c r="U102"/>
  <c r="V102"/>
  <c r="X102"/>
  <c r="Y102"/>
  <c r="T105"/>
  <c r="U105"/>
  <c r="V105"/>
  <c r="X105"/>
  <c r="Y105"/>
  <c r="Z105"/>
  <c r="T106"/>
  <c r="U106"/>
  <c r="V106"/>
  <c r="X106"/>
  <c r="Y106"/>
  <c r="T107"/>
  <c r="U107"/>
  <c r="V107"/>
  <c r="X107"/>
  <c r="Y107"/>
  <c r="T110"/>
  <c r="U110"/>
  <c r="V110"/>
  <c r="X110"/>
  <c r="Y110"/>
  <c r="Z110"/>
  <c r="T111"/>
  <c r="U111"/>
  <c r="V111"/>
  <c r="X111"/>
  <c r="Y111"/>
  <c r="T112"/>
  <c r="U112"/>
  <c r="V112"/>
  <c r="X112"/>
  <c r="Y112"/>
  <c r="T113"/>
  <c r="U113"/>
  <c r="V113"/>
  <c r="X113"/>
  <c r="Y113"/>
  <c r="T116"/>
  <c r="U116"/>
  <c r="V116"/>
  <c r="X116"/>
  <c r="T119"/>
  <c r="U119"/>
  <c r="V119"/>
  <c r="X119"/>
  <c r="Y119"/>
  <c r="Z119"/>
  <c r="T124"/>
  <c r="U124"/>
  <c r="V124"/>
  <c r="X124"/>
  <c r="Y124"/>
  <c r="Z124"/>
  <c r="T129"/>
  <c r="U129"/>
  <c r="V129"/>
  <c r="X129"/>
  <c r="Y129"/>
  <c r="Z129"/>
  <c r="T134"/>
  <c r="U134"/>
  <c r="V134"/>
  <c r="X134"/>
  <c r="Y134"/>
  <c r="Z134"/>
  <c r="T140"/>
  <c r="U140"/>
  <c r="V140"/>
  <c r="X140"/>
  <c r="Y140"/>
  <c r="Z140"/>
  <c r="B152"/>
  <c r="K152"/>
  <c r="C152"/>
  <c r="T152"/>
  <c r="D152"/>
  <c r="U152"/>
  <c r="E152"/>
  <c r="V152"/>
  <c r="G152"/>
  <c r="X152"/>
  <c r="H152"/>
  <c r="Y152"/>
  <c r="F152"/>
  <c r="I152"/>
  <c r="Z152"/>
  <c r="L152"/>
  <c r="M152"/>
  <c r="N152"/>
  <c r="P152"/>
  <c r="Q152"/>
  <c r="O152"/>
  <c r="R152"/>
  <c r="T117"/>
  <c r="U117"/>
  <c r="V117"/>
  <c r="X117"/>
  <c r="Y117"/>
  <c r="T118"/>
  <c r="U118"/>
  <c r="V118"/>
  <c r="X118"/>
  <c r="Y118"/>
  <c r="T121"/>
  <c r="U121"/>
  <c r="V121"/>
  <c r="X121"/>
  <c r="Y121"/>
  <c r="Z121"/>
  <c r="T122"/>
  <c r="U122"/>
  <c r="V122"/>
  <c r="X122"/>
  <c r="Y122"/>
  <c r="T123"/>
  <c r="U123"/>
  <c r="V123"/>
  <c r="X123"/>
  <c r="Y123"/>
  <c r="T126"/>
  <c r="U126"/>
  <c r="V126"/>
  <c r="X126"/>
  <c r="Y126"/>
  <c r="Z126"/>
  <c r="T127"/>
  <c r="U127"/>
  <c r="V127"/>
  <c r="X127"/>
  <c r="Y127"/>
  <c r="T128"/>
  <c r="U128"/>
  <c r="V128"/>
  <c r="X128"/>
  <c r="Y128"/>
  <c r="T131"/>
  <c r="U131"/>
  <c r="V131"/>
  <c r="X131"/>
  <c r="Y131"/>
  <c r="Z131"/>
  <c r="T132"/>
  <c r="U132"/>
  <c r="V132"/>
  <c r="X132"/>
  <c r="Y132"/>
  <c r="T133"/>
  <c r="U133"/>
  <c r="V133"/>
  <c r="X133"/>
  <c r="Y133"/>
  <c r="T136"/>
  <c r="U136"/>
  <c r="V136"/>
  <c r="X136"/>
  <c r="Y136"/>
  <c r="Z136"/>
  <c r="T137"/>
  <c r="U137"/>
  <c r="V137"/>
  <c r="X137"/>
  <c r="Y137"/>
  <c r="T138"/>
  <c r="U138"/>
  <c r="V138"/>
  <c r="X138"/>
  <c r="Y138"/>
  <c r="T139"/>
  <c r="U139"/>
  <c r="V139"/>
  <c r="X139"/>
  <c r="Y139"/>
  <c r="T142"/>
  <c r="U142"/>
  <c r="V142"/>
  <c r="X142"/>
  <c r="Y142"/>
  <c r="Z142"/>
  <c r="T143"/>
  <c r="U143"/>
  <c r="V143"/>
  <c r="X143"/>
  <c r="Y143"/>
  <c r="T144"/>
  <c r="U144"/>
  <c r="V144"/>
  <c r="X144"/>
  <c r="Y144"/>
  <c r="T145"/>
  <c r="U145"/>
  <c r="V145"/>
  <c r="X145"/>
  <c r="Y145"/>
  <c r="T146"/>
  <c r="U146"/>
  <c r="V146"/>
  <c r="X146"/>
  <c r="Y146"/>
  <c r="T147"/>
  <c r="U147"/>
  <c r="V147"/>
  <c r="X147"/>
  <c r="Y147"/>
  <c r="T148"/>
  <c r="U148"/>
  <c r="V148"/>
  <c r="X148"/>
  <c r="Y148"/>
  <c r="T149"/>
  <c r="U149"/>
  <c r="V149"/>
  <c r="X149"/>
  <c r="Y149"/>
  <c r="T150"/>
  <c r="U150"/>
  <c r="V150"/>
  <c r="X150"/>
  <c r="Y150"/>
  <c r="Z150"/>
  <c r="W152"/>
  <c r="X152" i="20"/>
  <c r="X152" i="21"/>
  <c r="F179" i="18"/>
  <c r="F166"/>
  <c r="F154"/>
  <c r="F143"/>
  <c r="F139"/>
  <c r="F132"/>
  <c r="F121"/>
  <c r="F109"/>
  <c r="F99"/>
  <c r="F88"/>
  <c r="F78"/>
  <c r="F68"/>
  <c r="F58"/>
  <c r="F39"/>
  <c r="F49"/>
  <c r="F29"/>
  <c r="F20"/>
  <c r="F16"/>
  <c r="F12"/>
  <c r="F3"/>
  <c r="F189"/>
  <c r="C189"/>
  <c r="D187"/>
  <c r="D188"/>
  <c r="D186"/>
  <c r="D185"/>
  <c r="D184"/>
  <c r="D183"/>
  <c r="D182"/>
  <c r="D181"/>
  <c r="D180"/>
  <c r="F175"/>
  <c r="C175"/>
  <c r="D173"/>
  <c r="D174"/>
  <c r="D172"/>
  <c r="D171"/>
  <c r="D170"/>
  <c r="D169"/>
  <c r="D168"/>
  <c r="D167"/>
  <c r="F162"/>
  <c r="C162"/>
  <c r="D161"/>
  <c r="D160"/>
  <c r="D159"/>
  <c r="D158"/>
  <c r="D157"/>
  <c r="D156"/>
  <c r="D155"/>
  <c r="F150"/>
  <c r="C150"/>
  <c r="D149"/>
  <c r="D148"/>
  <c r="D147"/>
  <c r="D146"/>
  <c r="D145"/>
  <c r="D144"/>
  <c r="C139"/>
  <c r="D138"/>
  <c r="D137"/>
  <c r="D136"/>
  <c r="D135"/>
  <c r="D134"/>
  <c r="D133"/>
  <c r="F128"/>
  <c r="C128"/>
  <c r="D127"/>
  <c r="D126"/>
  <c r="D125"/>
  <c r="D124"/>
  <c r="D123"/>
  <c r="D122"/>
  <c r="F117"/>
  <c r="C117"/>
  <c r="D115"/>
  <c r="D116"/>
  <c r="D114"/>
  <c r="D113"/>
  <c r="D112"/>
  <c r="D111"/>
  <c r="D110"/>
  <c r="F105"/>
  <c r="C105"/>
  <c r="D104"/>
  <c r="D103"/>
  <c r="D102"/>
  <c r="D101"/>
  <c r="D100"/>
  <c r="F95"/>
  <c r="C95"/>
  <c r="D93"/>
  <c r="D94"/>
  <c r="D92"/>
  <c r="D91"/>
  <c r="D90"/>
  <c r="D89"/>
  <c r="F84"/>
  <c r="C84"/>
  <c r="D83"/>
  <c r="D82"/>
  <c r="D81"/>
  <c r="D80"/>
  <c r="D79"/>
  <c r="F74"/>
  <c r="C74"/>
  <c r="D73"/>
  <c r="D72"/>
  <c r="D71"/>
  <c r="D70"/>
  <c r="D69"/>
  <c r="F64"/>
  <c r="C64"/>
  <c r="D63"/>
  <c r="D62"/>
  <c r="D61"/>
  <c r="D60"/>
  <c r="D59"/>
  <c r="F54"/>
  <c r="C54"/>
  <c r="D53"/>
  <c r="D52"/>
  <c r="D51"/>
  <c r="D50"/>
  <c r="F45"/>
  <c r="C45"/>
  <c r="D44"/>
  <c r="D43"/>
  <c r="D42"/>
  <c r="D41"/>
  <c r="D40"/>
  <c r="F35"/>
  <c r="C35"/>
  <c r="D34"/>
  <c r="D33"/>
  <c r="D32"/>
  <c r="D31"/>
  <c r="D30"/>
  <c r="F25"/>
  <c r="C25"/>
  <c r="D24"/>
  <c r="D23"/>
  <c r="D22"/>
  <c r="D21"/>
  <c r="C16"/>
  <c r="D15"/>
  <c r="D14"/>
  <c r="D13"/>
  <c r="F8"/>
  <c r="C8"/>
  <c r="D7"/>
  <c r="D6"/>
  <c r="D5"/>
  <c r="D4"/>
  <c r="F185" i="17"/>
  <c r="F173"/>
  <c r="F161"/>
  <c r="F149"/>
  <c r="F137"/>
  <c r="F126"/>
  <c r="F115"/>
  <c r="F105"/>
  <c r="F111"/>
  <c r="F95"/>
  <c r="F85"/>
  <c r="F74"/>
  <c r="F64"/>
  <c r="F54"/>
  <c r="F43"/>
  <c r="F32"/>
  <c r="F22"/>
  <c r="F12"/>
  <c r="F3"/>
  <c r="F194"/>
  <c r="C194"/>
  <c r="D191"/>
  <c r="D193"/>
  <c r="D192"/>
  <c r="D189"/>
  <c r="D188"/>
  <c r="D187"/>
  <c r="D186"/>
  <c r="F181"/>
  <c r="C181"/>
  <c r="D177"/>
  <c r="D180"/>
  <c r="D176"/>
  <c r="D175"/>
  <c r="D174"/>
  <c r="F169"/>
  <c r="C169"/>
  <c r="D166"/>
  <c r="D168"/>
  <c r="D165"/>
  <c r="D164"/>
  <c r="D163"/>
  <c r="D162"/>
  <c r="F157"/>
  <c r="C157"/>
  <c r="D155"/>
  <c r="D156"/>
  <c r="D154"/>
  <c r="D153"/>
  <c r="D152"/>
  <c r="D151"/>
  <c r="D150"/>
  <c r="F145"/>
  <c r="C145"/>
  <c r="D144"/>
  <c r="D143"/>
  <c r="D142"/>
  <c r="D141"/>
  <c r="D140"/>
  <c r="D139"/>
  <c r="D138"/>
  <c r="F133"/>
  <c r="C133"/>
  <c r="D132"/>
  <c r="D131"/>
  <c r="D130"/>
  <c r="D129"/>
  <c r="D128"/>
  <c r="D127"/>
  <c r="F122"/>
  <c r="C122"/>
  <c r="D121"/>
  <c r="D120"/>
  <c r="D119"/>
  <c r="D118"/>
  <c r="D117"/>
  <c r="D116"/>
  <c r="C111"/>
  <c r="D110"/>
  <c r="D109"/>
  <c r="D108"/>
  <c r="D107"/>
  <c r="D106"/>
  <c r="F101"/>
  <c r="C101"/>
  <c r="D100"/>
  <c r="D99"/>
  <c r="D98"/>
  <c r="D97"/>
  <c r="D96"/>
  <c r="F91"/>
  <c r="C91"/>
  <c r="D90"/>
  <c r="D89"/>
  <c r="D88"/>
  <c r="D87"/>
  <c r="D86"/>
  <c r="F81"/>
  <c r="C81"/>
  <c r="D79"/>
  <c r="D80"/>
  <c r="D78"/>
  <c r="D77"/>
  <c r="D76"/>
  <c r="D75"/>
  <c r="F70"/>
  <c r="C70"/>
  <c r="D69"/>
  <c r="D68"/>
  <c r="D67"/>
  <c r="D66"/>
  <c r="D65"/>
  <c r="F60"/>
  <c r="C60"/>
  <c r="D59"/>
  <c r="D58"/>
  <c r="D57"/>
  <c r="D56"/>
  <c r="D55"/>
  <c r="F50"/>
  <c r="C50"/>
  <c r="D49"/>
  <c r="D48"/>
  <c r="D47"/>
  <c r="D46"/>
  <c r="D45"/>
  <c r="D44"/>
  <c r="F39"/>
  <c r="C39"/>
  <c r="D38"/>
  <c r="D37"/>
  <c r="D36"/>
  <c r="D35"/>
  <c r="D34"/>
  <c r="D33"/>
  <c r="F28"/>
  <c r="C28"/>
  <c r="D27"/>
  <c r="D26"/>
  <c r="D25"/>
  <c r="D24"/>
  <c r="D23"/>
  <c r="F18"/>
  <c r="C18"/>
  <c r="D17"/>
  <c r="D16"/>
  <c r="D15"/>
  <c r="D14"/>
  <c r="D13"/>
  <c r="F8"/>
  <c r="C8"/>
  <c r="D7"/>
  <c r="D6"/>
  <c r="D5"/>
  <c r="D4"/>
  <c r="O224" i="16"/>
  <c r="O220"/>
  <c r="O221"/>
  <c r="O223"/>
  <c r="K201"/>
  <c r="K205"/>
  <c r="K202"/>
  <c r="K204"/>
  <c r="M191"/>
  <c r="M189"/>
  <c r="M186"/>
  <c r="S170"/>
  <c r="S168"/>
  <c r="S167"/>
  <c r="S166"/>
  <c r="R149"/>
  <c r="R148"/>
  <c r="R146"/>
  <c r="R145"/>
  <c r="AB95"/>
  <c r="AB99"/>
  <c r="AB98"/>
  <c r="AB97"/>
  <c r="AB96"/>
  <c r="P125"/>
  <c r="P126"/>
  <c r="P129"/>
  <c r="P127"/>
  <c r="P128"/>
  <c r="P81"/>
  <c r="P80"/>
  <c r="P79"/>
  <c r="S64"/>
  <c r="T64"/>
  <c r="S62"/>
  <c r="S61"/>
  <c r="S60"/>
  <c r="S59"/>
  <c r="R45"/>
  <c r="R44"/>
  <c r="R43"/>
  <c r="R42"/>
  <c r="R41"/>
  <c r="R40"/>
  <c r="Q27"/>
  <c r="Q25"/>
  <c r="Q24"/>
  <c r="Q23"/>
  <c r="Q22"/>
  <c r="O10"/>
  <c r="O8"/>
  <c r="O7"/>
  <c r="O6"/>
  <c r="O5"/>
  <c r="B234"/>
  <c r="O218"/>
  <c r="K199"/>
  <c r="M184"/>
  <c r="S163"/>
  <c r="R143"/>
  <c r="P123"/>
  <c r="AB93"/>
  <c r="P76"/>
  <c r="S57"/>
  <c r="R38"/>
  <c r="Q20"/>
  <c r="O3"/>
  <c r="P224"/>
  <c r="P222"/>
  <c r="P221"/>
  <c r="P220"/>
  <c r="L205"/>
  <c r="L204"/>
  <c r="L203"/>
  <c r="L202"/>
  <c r="L201"/>
  <c r="N191"/>
  <c r="N190"/>
  <c r="N189"/>
  <c r="N188"/>
  <c r="N187"/>
  <c r="N186"/>
  <c r="T170"/>
  <c r="T169"/>
  <c r="T168"/>
  <c r="T167"/>
  <c r="T166"/>
  <c r="T165"/>
  <c r="S149"/>
  <c r="S148"/>
  <c r="S147"/>
  <c r="S146"/>
  <c r="S145"/>
  <c r="Q129"/>
  <c r="Q128"/>
  <c r="Q127"/>
  <c r="Q126"/>
  <c r="Q125"/>
  <c r="AC99"/>
  <c r="AC98"/>
  <c r="AC97"/>
  <c r="AC96"/>
  <c r="AC95"/>
  <c r="T63"/>
  <c r="T62"/>
  <c r="T61"/>
  <c r="T60"/>
  <c r="T59"/>
  <c r="Q82"/>
  <c r="Q80"/>
  <c r="S45"/>
  <c r="S44"/>
  <c r="S43"/>
  <c r="S41"/>
  <c r="S40"/>
  <c r="R27"/>
  <c r="R26"/>
  <c r="R25"/>
  <c r="R24"/>
  <c r="R23"/>
  <c r="R22"/>
  <c r="P10"/>
  <c r="P9"/>
  <c r="P8"/>
  <c r="P7"/>
  <c r="P6"/>
  <c r="P5"/>
  <c r="G370" i="14"/>
  <c r="D370"/>
  <c r="C370"/>
  <c r="T354"/>
  <c r="T353"/>
  <c r="T351"/>
  <c r="T350"/>
  <c r="O331"/>
  <c r="O329"/>
  <c r="O328"/>
  <c r="O327"/>
  <c r="O307"/>
  <c r="O310"/>
  <c r="O312"/>
  <c r="P290"/>
  <c r="P285"/>
  <c r="P286"/>
  <c r="P287"/>
  <c r="P288"/>
  <c r="D190" i="17"/>
  <c r="D179"/>
  <c r="D167"/>
  <c r="D178"/>
  <c r="H234" i="16"/>
  <c r="H235"/>
  <c r="C234"/>
  <c r="C235"/>
  <c r="D234"/>
  <c r="D235"/>
  <c r="F234"/>
  <c r="F235"/>
  <c r="E234"/>
  <c r="E235"/>
  <c r="G234"/>
  <c r="G235"/>
  <c r="S42"/>
  <c r="Q78"/>
  <c r="Q79"/>
  <c r="Q81"/>
  <c r="Q83"/>
  <c r="P223"/>
  <c r="O305" i="14"/>
  <c r="O324"/>
  <c r="T347"/>
  <c r="P283"/>
  <c r="Q266"/>
  <c r="Q262"/>
  <c r="Q263"/>
  <c r="Q265"/>
  <c r="Q260"/>
  <c r="R217"/>
  <c r="R218"/>
  <c r="R221"/>
  <c r="R220"/>
  <c r="Q194"/>
  <c r="Q195"/>
  <c r="Q196"/>
  <c r="Q197"/>
  <c r="Q199"/>
  <c r="Q192"/>
  <c r="O177"/>
  <c r="O178"/>
  <c r="O179"/>
  <c r="O181"/>
  <c r="O174"/>
  <c r="N158"/>
  <c r="N159"/>
  <c r="N162"/>
  <c r="N155"/>
  <c r="S135"/>
  <c r="S136"/>
  <c r="S137"/>
  <c r="S138"/>
  <c r="S140"/>
  <c r="S133"/>
  <c r="P114"/>
  <c r="P115"/>
  <c r="P117"/>
  <c r="P119"/>
  <c r="P112"/>
  <c r="M96"/>
  <c r="M97"/>
  <c r="M99"/>
  <c r="M101"/>
  <c r="M94"/>
  <c r="N78"/>
  <c r="N79"/>
  <c r="N80"/>
  <c r="N81"/>
  <c r="N83"/>
  <c r="N76"/>
  <c r="M62"/>
  <c r="M59"/>
  <c r="M64"/>
  <c r="M57"/>
  <c r="K42"/>
  <c r="K43"/>
  <c r="K44"/>
  <c r="K45"/>
  <c r="K47"/>
  <c r="K40"/>
  <c r="N23"/>
  <c r="N24"/>
  <c r="N26"/>
  <c r="N28"/>
  <c r="N21"/>
  <c r="O10"/>
  <c r="O5"/>
  <c r="O6"/>
  <c r="O7"/>
  <c r="O8"/>
  <c r="O3"/>
  <c r="F190" i="15"/>
  <c r="D192"/>
  <c r="F180"/>
  <c r="F186"/>
  <c r="C186"/>
  <c r="D182"/>
  <c r="F170"/>
  <c r="F176"/>
  <c r="C176"/>
  <c r="D172"/>
  <c r="F159"/>
  <c r="F166"/>
  <c r="C166"/>
  <c r="D161"/>
  <c r="F147"/>
  <c r="F155"/>
  <c r="C155"/>
  <c r="D149"/>
  <c r="F135"/>
  <c r="F143"/>
  <c r="C143"/>
  <c r="D141"/>
  <c r="F124"/>
  <c r="F131"/>
  <c r="C131"/>
  <c r="D126"/>
  <c r="F112"/>
  <c r="F120"/>
  <c r="C120"/>
  <c r="D114"/>
  <c r="F101"/>
  <c r="F108"/>
  <c r="C108"/>
  <c r="D103"/>
  <c r="F90"/>
  <c r="F97"/>
  <c r="C97"/>
  <c r="D92"/>
  <c r="F80"/>
  <c r="F86"/>
  <c r="C86"/>
  <c r="D82"/>
  <c r="F68"/>
  <c r="F76"/>
  <c r="C76"/>
  <c r="D70"/>
  <c r="F57"/>
  <c r="F64"/>
  <c r="C64"/>
  <c r="D59"/>
  <c r="F46"/>
  <c r="F53"/>
  <c r="C53"/>
  <c r="F35"/>
  <c r="F42"/>
  <c r="C42"/>
  <c r="D37"/>
  <c r="F24"/>
  <c r="F31"/>
  <c r="C31"/>
  <c r="D26"/>
  <c r="F13"/>
  <c r="F20"/>
  <c r="F9"/>
  <c r="C20"/>
  <c r="D15"/>
  <c r="F3"/>
  <c r="C9"/>
  <c r="D5"/>
  <c r="AB149" i="12"/>
  <c r="AB148"/>
  <c r="AB147"/>
  <c r="AB146"/>
  <c r="AB145"/>
  <c r="AB144"/>
  <c r="AB143"/>
  <c r="AB142"/>
  <c r="AB141"/>
  <c r="AB138"/>
  <c r="AB136"/>
  <c r="AB135"/>
  <c r="AB134"/>
  <c r="AB131"/>
  <c r="AB130"/>
  <c r="AB129"/>
  <c r="AB126"/>
  <c r="AB125"/>
  <c r="AB124"/>
  <c r="AB121"/>
  <c r="AB120"/>
  <c r="AB119"/>
  <c r="AB116"/>
  <c r="AB115"/>
  <c r="AB114"/>
  <c r="AB111"/>
  <c r="AB110"/>
  <c r="AB109"/>
  <c r="AB108"/>
  <c r="AB105"/>
  <c r="AB104"/>
  <c r="AB103"/>
  <c r="AB100"/>
  <c r="AB99"/>
  <c r="AB98"/>
  <c r="AB95"/>
  <c r="AB94"/>
  <c r="AB93"/>
  <c r="AB92"/>
  <c r="AB89"/>
  <c r="AB88"/>
  <c r="AB87"/>
  <c r="AB84"/>
  <c r="AB83"/>
  <c r="AB82"/>
  <c r="AB81"/>
  <c r="AB78"/>
  <c r="AB77"/>
  <c r="AB76"/>
  <c r="AB75"/>
  <c r="AB72"/>
  <c r="AB71"/>
  <c r="AB70"/>
  <c r="AB67"/>
  <c r="AB66"/>
  <c r="AB65"/>
  <c r="AB64"/>
  <c r="AB61"/>
  <c r="AB60"/>
  <c r="AB59"/>
  <c r="AB58"/>
  <c r="AB57"/>
  <c r="AB54"/>
  <c r="AB53"/>
  <c r="AB52"/>
  <c r="AB51"/>
  <c r="AB48"/>
  <c r="AB47"/>
  <c r="AB46"/>
  <c r="AB43"/>
  <c r="AB42"/>
  <c r="AB41"/>
  <c r="AB38"/>
  <c r="AB37"/>
  <c r="AB36"/>
  <c r="AB35"/>
  <c r="AB34"/>
  <c r="AB31"/>
  <c r="AB30"/>
  <c r="AB29"/>
  <c r="AB26"/>
  <c r="AB25"/>
  <c r="AB24"/>
  <c r="AB21"/>
  <c r="AB20"/>
  <c r="AB19"/>
  <c r="AB18"/>
  <c r="AB15"/>
  <c r="AB14"/>
  <c r="AB13"/>
  <c r="AB10"/>
  <c r="AB9"/>
  <c r="AB8"/>
  <c r="AB5"/>
  <c r="AB4"/>
  <c r="AB3"/>
  <c r="AB2"/>
  <c r="S150"/>
  <c r="S139"/>
  <c r="S132"/>
  <c r="S127"/>
  <c r="S122"/>
  <c r="S117"/>
  <c r="S112"/>
  <c r="S106"/>
  <c r="S101"/>
  <c r="S96"/>
  <c r="S90"/>
  <c r="S85"/>
  <c r="S79"/>
  <c r="S73"/>
  <c r="S68"/>
  <c r="S62"/>
  <c r="S55"/>
  <c r="S49"/>
  <c r="S44"/>
  <c r="S39"/>
  <c r="S32"/>
  <c r="S27"/>
  <c r="S22"/>
  <c r="S16"/>
  <c r="S11"/>
  <c r="S6"/>
  <c r="I150"/>
  <c r="I139"/>
  <c r="I132"/>
  <c r="I127"/>
  <c r="I122"/>
  <c r="I117"/>
  <c r="I112"/>
  <c r="I106"/>
  <c r="I101"/>
  <c r="I96"/>
  <c r="I90"/>
  <c r="I85"/>
  <c r="I79"/>
  <c r="I73"/>
  <c r="I68"/>
  <c r="I62"/>
  <c r="I55"/>
  <c r="I49"/>
  <c r="I44"/>
  <c r="I39"/>
  <c r="I32"/>
  <c r="I27"/>
  <c r="I22"/>
  <c r="I16"/>
  <c r="I11"/>
  <c r="I6"/>
  <c r="D191" i="15"/>
  <c r="D196"/>
  <c r="D195"/>
  <c r="D194"/>
  <c r="D193"/>
  <c r="D181"/>
  <c r="D185"/>
  <c r="D184"/>
  <c r="D183"/>
  <c r="D171"/>
  <c r="D175"/>
  <c r="D174"/>
  <c r="D173"/>
  <c r="D160"/>
  <c r="D165"/>
  <c r="D164"/>
  <c r="D163"/>
  <c r="D162"/>
  <c r="D148"/>
  <c r="D154"/>
  <c r="D153"/>
  <c r="D152"/>
  <c r="D151"/>
  <c r="D150"/>
  <c r="D136"/>
  <c r="D142"/>
  <c r="D140"/>
  <c r="D139"/>
  <c r="D138"/>
  <c r="D137"/>
  <c r="D125"/>
  <c r="D130"/>
  <c r="D129"/>
  <c r="D128"/>
  <c r="D127"/>
  <c r="D118"/>
  <c r="D113"/>
  <c r="D119"/>
  <c r="D117"/>
  <c r="D116"/>
  <c r="D115"/>
  <c r="D81"/>
  <c r="D85"/>
  <c r="D84"/>
  <c r="D83"/>
  <c r="D91"/>
  <c r="D96"/>
  <c r="D95"/>
  <c r="D94"/>
  <c r="D93"/>
  <c r="D102"/>
  <c r="D107"/>
  <c r="D106"/>
  <c r="D105"/>
  <c r="D104"/>
  <c r="D69"/>
  <c r="D75"/>
  <c r="D74"/>
  <c r="D73"/>
  <c r="D72"/>
  <c r="D71"/>
  <c r="D58"/>
  <c r="D63"/>
  <c r="D62"/>
  <c r="D61"/>
  <c r="D60"/>
  <c r="D47"/>
  <c r="D52"/>
  <c r="D51"/>
  <c r="D50"/>
  <c r="D49"/>
  <c r="D48"/>
  <c r="D14"/>
  <c r="D19"/>
  <c r="D18"/>
  <c r="D17"/>
  <c r="D16"/>
  <c r="D25"/>
  <c r="D30"/>
  <c r="D29"/>
  <c r="D28"/>
  <c r="D27"/>
  <c r="D36"/>
  <c r="D41"/>
  <c r="D40"/>
  <c r="D39"/>
  <c r="D38"/>
  <c r="D4"/>
  <c r="D8"/>
  <c r="D7"/>
  <c r="D6"/>
  <c r="I152" i="12"/>
  <c r="S152"/>
  <c r="B370" i="14"/>
  <c r="U354"/>
  <c r="U353"/>
  <c r="U352"/>
  <c r="U351"/>
  <c r="U350"/>
  <c r="U349"/>
  <c r="P331"/>
  <c r="P330"/>
  <c r="P329"/>
  <c r="P328"/>
  <c r="P327"/>
  <c r="P326"/>
  <c r="P312"/>
  <c r="P311"/>
  <c r="P310"/>
  <c r="P309"/>
  <c r="P308"/>
  <c r="P307"/>
  <c r="Q290"/>
  <c r="Q289"/>
  <c r="Q288"/>
  <c r="Q287"/>
  <c r="Q286"/>
  <c r="Q285"/>
  <c r="R266"/>
  <c r="R265"/>
  <c r="R264"/>
  <c r="R263"/>
  <c r="R262"/>
  <c r="W241"/>
  <c r="X241"/>
  <c r="X240"/>
  <c r="X239"/>
  <c r="W238"/>
  <c r="X238"/>
  <c r="W237"/>
  <c r="X237"/>
  <c r="X236"/>
  <c r="W234"/>
  <c r="S221"/>
  <c r="S220"/>
  <c r="S219"/>
  <c r="S218"/>
  <c r="S217"/>
  <c r="S216"/>
  <c r="R214"/>
  <c r="R199"/>
  <c r="R198"/>
  <c r="R197"/>
  <c r="R196"/>
  <c r="R195"/>
  <c r="R194"/>
  <c r="P181"/>
  <c r="P180"/>
  <c r="P179"/>
  <c r="P178"/>
  <c r="P177"/>
  <c r="P176"/>
  <c r="O162"/>
  <c r="O161"/>
  <c r="O160"/>
  <c r="O159"/>
  <c r="O158"/>
  <c r="O157"/>
  <c r="T140"/>
  <c r="T139"/>
  <c r="T138"/>
  <c r="T137"/>
  <c r="T136"/>
  <c r="T135"/>
  <c r="Q118"/>
  <c r="Q116"/>
  <c r="N101"/>
  <c r="N100"/>
  <c r="N99"/>
  <c r="N97"/>
  <c r="N96"/>
  <c r="O83"/>
  <c r="O82"/>
  <c r="O81"/>
  <c r="O80"/>
  <c r="O79"/>
  <c r="O78"/>
  <c r="N64"/>
  <c r="G371"/>
  <c r="N62"/>
  <c r="N61"/>
  <c r="N60"/>
  <c r="N59"/>
  <c r="L47"/>
  <c r="L46"/>
  <c r="L45"/>
  <c r="L44"/>
  <c r="L43"/>
  <c r="L42"/>
  <c r="O28"/>
  <c r="O27"/>
  <c r="O26"/>
  <c r="O25"/>
  <c r="O24"/>
  <c r="O23"/>
  <c r="P10"/>
  <c r="P9"/>
  <c r="P8"/>
  <c r="P7"/>
  <c r="P6"/>
  <c r="P5"/>
  <c r="H330" i="13"/>
  <c r="G330"/>
  <c r="K315"/>
  <c r="K316"/>
  <c r="K319"/>
  <c r="K312"/>
  <c r="Q294"/>
  <c r="Q295"/>
  <c r="Q296"/>
  <c r="Q298"/>
  <c r="Q297"/>
  <c r="Q291"/>
  <c r="M280"/>
  <c r="M275"/>
  <c r="M278"/>
  <c r="M273"/>
  <c r="Q260"/>
  <c r="Q257"/>
  <c r="Q255"/>
  <c r="Q258"/>
  <c r="Q253"/>
  <c r="S237"/>
  <c r="S236"/>
  <c r="S234"/>
  <c r="S233"/>
  <c r="S230"/>
  <c r="P220"/>
  <c r="P217"/>
  <c r="P216"/>
  <c r="P213"/>
  <c r="T197"/>
  <c r="T193"/>
  <c r="T194"/>
  <c r="T196"/>
  <c r="T190"/>
  <c r="N177"/>
  <c r="N178"/>
  <c r="N179"/>
  <c r="N181"/>
  <c r="N174"/>
  <c r="P159"/>
  <c r="P160"/>
  <c r="P161"/>
  <c r="P163"/>
  <c r="P156"/>
  <c r="N146"/>
  <c r="N143"/>
  <c r="N142"/>
  <c r="N139"/>
  <c r="P128"/>
  <c r="P123"/>
  <c r="P124"/>
  <c r="P125"/>
  <c r="P126"/>
  <c r="P121"/>
  <c r="N108"/>
  <c r="N103"/>
  <c r="N104"/>
  <c r="N106"/>
  <c r="N101"/>
  <c r="J88"/>
  <c r="J91"/>
  <c r="J90"/>
  <c r="J86"/>
  <c r="Q70"/>
  <c r="Q71"/>
  <c r="Q72"/>
  <c r="Q73"/>
  <c r="Q75"/>
  <c r="Q68"/>
  <c r="N51"/>
  <c r="N53"/>
  <c r="N56"/>
  <c r="N58"/>
  <c r="N57"/>
  <c r="M37"/>
  <c r="M38"/>
  <c r="M39"/>
  <c r="M40"/>
  <c r="M21"/>
  <c r="M22"/>
  <c r="M23"/>
  <c r="M24"/>
  <c r="M26"/>
  <c r="N25"/>
  <c r="M35"/>
  <c r="M19"/>
  <c r="H370" i="14"/>
  <c r="H371"/>
  <c r="D371"/>
  <c r="C371"/>
  <c r="F370"/>
  <c r="F371"/>
  <c r="E370"/>
  <c r="E371"/>
  <c r="N63"/>
  <c r="N98"/>
  <c r="Q114"/>
  <c r="Q115"/>
  <c r="Q117"/>
  <c r="Q119"/>
  <c r="M5" i="13"/>
  <c r="M6"/>
  <c r="M7"/>
  <c r="M8"/>
  <c r="M3"/>
  <c r="L319"/>
  <c r="L318"/>
  <c r="L317"/>
  <c r="L316"/>
  <c r="L315"/>
  <c r="L314"/>
  <c r="R298"/>
  <c r="R297"/>
  <c r="R296"/>
  <c r="R295"/>
  <c r="R294"/>
  <c r="R293"/>
  <c r="N280"/>
  <c r="N279"/>
  <c r="N278"/>
  <c r="N277"/>
  <c r="N276"/>
  <c r="N275"/>
  <c r="R260"/>
  <c r="R259"/>
  <c r="R258"/>
  <c r="R257"/>
  <c r="R256"/>
  <c r="R255"/>
  <c r="T237"/>
  <c r="T236"/>
  <c r="T235"/>
  <c r="T234"/>
  <c r="T233"/>
  <c r="T232"/>
  <c r="Q220"/>
  <c r="Q219"/>
  <c r="Q218"/>
  <c r="Q217"/>
  <c r="Q216"/>
  <c r="Q215"/>
  <c r="U197"/>
  <c r="U195"/>
  <c r="U194"/>
  <c r="U193"/>
  <c r="U192"/>
  <c r="O181"/>
  <c r="O180"/>
  <c r="O179"/>
  <c r="O178"/>
  <c r="O177"/>
  <c r="O176"/>
  <c r="Q163"/>
  <c r="Q162"/>
  <c r="Q161"/>
  <c r="Q160"/>
  <c r="Q159"/>
  <c r="Q158"/>
  <c r="O146"/>
  <c r="O145"/>
  <c r="O144"/>
  <c r="O143"/>
  <c r="O142"/>
  <c r="O141"/>
  <c r="Q128"/>
  <c r="Q127"/>
  <c r="Q126"/>
  <c r="Q125"/>
  <c r="Q124"/>
  <c r="Q123"/>
  <c r="O107"/>
  <c r="O105"/>
  <c r="K93"/>
  <c r="K92"/>
  <c r="K91"/>
  <c r="K90"/>
  <c r="K89"/>
  <c r="K88"/>
  <c r="R75"/>
  <c r="R74"/>
  <c r="R73"/>
  <c r="R71"/>
  <c r="R70"/>
  <c r="O58"/>
  <c r="O57"/>
  <c r="O56"/>
  <c r="O55"/>
  <c r="O54"/>
  <c r="O53"/>
  <c r="N42"/>
  <c r="N41"/>
  <c r="N40"/>
  <c r="N39"/>
  <c r="N38"/>
  <c r="N37"/>
  <c r="N26"/>
  <c r="N24"/>
  <c r="N23"/>
  <c r="N22"/>
  <c r="N21"/>
  <c r="N10"/>
  <c r="N9"/>
  <c r="N8"/>
  <c r="N7"/>
  <c r="N6"/>
  <c r="N5"/>
  <c r="H331" i="2"/>
  <c r="G331"/>
  <c r="F331"/>
  <c r="E331"/>
  <c r="D331"/>
  <c r="C331"/>
  <c r="B331"/>
  <c r="K280"/>
  <c r="K275"/>
  <c r="K278"/>
  <c r="K273"/>
  <c r="L280"/>
  <c r="L279"/>
  <c r="L278"/>
  <c r="L277"/>
  <c r="L276"/>
  <c r="L275"/>
  <c r="O257"/>
  <c r="O259"/>
  <c r="O260"/>
  <c r="O262"/>
  <c r="P262"/>
  <c r="P261"/>
  <c r="P260"/>
  <c r="P259"/>
  <c r="P258"/>
  <c r="P257"/>
  <c r="O298"/>
  <c r="O296"/>
  <c r="O295"/>
  <c r="O294"/>
  <c r="O291"/>
  <c r="O313"/>
  <c r="P298"/>
  <c r="P297"/>
  <c r="P296"/>
  <c r="P295"/>
  <c r="P294"/>
  <c r="P293"/>
  <c r="O320"/>
  <c r="O317"/>
  <c r="O316"/>
  <c r="O321"/>
  <c r="P320"/>
  <c r="P319"/>
  <c r="P318"/>
  <c r="P317"/>
  <c r="P316"/>
  <c r="P315"/>
  <c r="R150" i="12"/>
  <c r="T150"/>
  <c r="Q150"/>
  <c r="P150"/>
  <c r="O150"/>
  <c r="N150"/>
  <c r="M150"/>
  <c r="H150"/>
  <c r="J150"/>
  <c r="G150"/>
  <c r="F150"/>
  <c r="E150"/>
  <c r="D150"/>
  <c r="C150"/>
  <c r="AB150"/>
  <c r="L149"/>
  <c r="B149"/>
  <c r="AA149"/>
  <c r="L148"/>
  <c r="B148"/>
  <c r="AA148"/>
  <c r="L147"/>
  <c r="B147"/>
  <c r="AA147"/>
  <c r="L146"/>
  <c r="B146"/>
  <c r="AA146"/>
  <c r="L145"/>
  <c r="B145"/>
  <c r="AA145"/>
  <c r="L144"/>
  <c r="B144"/>
  <c r="AA144"/>
  <c r="L143"/>
  <c r="B143"/>
  <c r="AA143"/>
  <c r="L142"/>
  <c r="B142"/>
  <c r="AA142"/>
  <c r="L141"/>
  <c r="L150"/>
  <c r="B141"/>
  <c r="B150"/>
  <c r="R139"/>
  <c r="T139"/>
  <c r="Q139"/>
  <c r="P139"/>
  <c r="O139"/>
  <c r="N139"/>
  <c r="M139"/>
  <c r="H139"/>
  <c r="J139"/>
  <c r="G139"/>
  <c r="F139"/>
  <c r="E139"/>
  <c r="D139"/>
  <c r="C139"/>
  <c r="AB139"/>
  <c r="L138"/>
  <c r="B138"/>
  <c r="AA138"/>
  <c r="L136"/>
  <c r="B136"/>
  <c r="AA136"/>
  <c r="L135"/>
  <c r="B135"/>
  <c r="AA135"/>
  <c r="L134"/>
  <c r="L139"/>
  <c r="B134"/>
  <c r="B139"/>
  <c r="R132"/>
  <c r="T132"/>
  <c r="Q132"/>
  <c r="P132"/>
  <c r="O132"/>
  <c r="N132"/>
  <c r="M132"/>
  <c r="H132"/>
  <c r="J132"/>
  <c r="G132"/>
  <c r="F132"/>
  <c r="E132"/>
  <c r="D132"/>
  <c r="C132"/>
  <c r="AB132"/>
  <c r="L131"/>
  <c r="B131"/>
  <c r="AA131"/>
  <c r="L130"/>
  <c r="B130"/>
  <c r="AA130"/>
  <c r="L129"/>
  <c r="L132"/>
  <c r="B129"/>
  <c r="B132"/>
  <c r="R127"/>
  <c r="T127"/>
  <c r="Q127"/>
  <c r="P127"/>
  <c r="O127"/>
  <c r="N127"/>
  <c r="M127"/>
  <c r="H127"/>
  <c r="J127"/>
  <c r="G127"/>
  <c r="F127"/>
  <c r="E127"/>
  <c r="D127"/>
  <c r="C127"/>
  <c r="AB127"/>
  <c r="L126"/>
  <c r="B126"/>
  <c r="AA126"/>
  <c r="L125"/>
  <c r="B125"/>
  <c r="AA125"/>
  <c r="L124"/>
  <c r="L127"/>
  <c r="B124"/>
  <c r="B127"/>
  <c r="R122"/>
  <c r="T122"/>
  <c r="Q122"/>
  <c r="P122"/>
  <c r="O122"/>
  <c r="N122"/>
  <c r="M122"/>
  <c r="H122"/>
  <c r="J122"/>
  <c r="G122"/>
  <c r="F122"/>
  <c r="E122"/>
  <c r="D122"/>
  <c r="C122"/>
  <c r="AB122"/>
  <c r="L121"/>
  <c r="B121"/>
  <c r="AA121"/>
  <c r="L120"/>
  <c r="B120"/>
  <c r="AA120"/>
  <c r="L119"/>
  <c r="L122"/>
  <c r="B119"/>
  <c r="B122"/>
  <c r="R117"/>
  <c r="T117"/>
  <c r="Q117"/>
  <c r="P117"/>
  <c r="O117"/>
  <c r="N117"/>
  <c r="M117"/>
  <c r="H117"/>
  <c r="J117"/>
  <c r="G117"/>
  <c r="F117"/>
  <c r="E117"/>
  <c r="D117"/>
  <c r="C117"/>
  <c r="AB117"/>
  <c r="L116"/>
  <c r="B116"/>
  <c r="AA116"/>
  <c r="L115"/>
  <c r="B115"/>
  <c r="AA115"/>
  <c r="L114"/>
  <c r="L117"/>
  <c r="B114"/>
  <c r="B117"/>
  <c r="R112"/>
  <c r="T112"/>
  <c r="Q112"/>
  <c r="P112"/>
  <c r="O112"/>
  <c r="N112"/>
  <c r="M112"/>
  <c r="H112"/>
  <c r="J112"/>
  <c r="G112"/>
  <c r="F112"/>
  <c r="E112"/>
  <c r="D112"/>
  <c r="C112"/>
  <c r="AB112"/>
  <c r="L111"/>
  <c r="B111"/>
  <c r="AA111"/>
  <c r="L110"/>
  <c r="B110"/>
  <c r="AA110"/>
  <c r="L109"/>
  <c r="B109"/>
  <c r="AA109"/>
  <c r="L108"/>
  <c r="L112"/>
  <c r="B108"/>
  <c r="B112"/>
  <c r="R106"/>
  <c r="T106"/>
  <c r="Q106"/>
  <c r="P106"/>
  <c r="O106"/>
  <c r="N106"/>
  <c r="M106"/>
  <c r="H106"/>
  <c r="J106"/>
  <c r="G106"/>
  <c r="F106"/>
  <c r="E106"/>
  <c r="D106"/>
  <c r="C106"/>
  <c r="AB106"/>
  <c r="L105"/>
  <c r="B105"/>
  <c r="AA105"/>
  <c r="L104"/>
  <c r="B104"/>
  <c r="AA104"/>
  <c r="L103"/>
  <c r="L106"/>
  <c r="B103"/>
  <c r="B106"/>
  <c r="R101"/>
  <c r="T101"/>
  <c r="Q101"/>
  <c r="P101"/>
  <c r="O101"/>
  <c r="N101"/>
  <c r="M101"/>
  <c r="H101"/>
  <c r="J101"/>
  <c r="G101"/>
  <c r="F101"/>
  <c r="E101"/>
  <c r="D101"/>
  <c r="C101"/>
  <c r="AB101"/>
  <c r="L100"/>
  <c r="B100"/>
  <c r="AA100"/>
  <c r="L99"/>
  <c r="B99"/>
  <c r="AA99"/>
  <c r="L98"/>
  <c r="L101"/>
  <c r="B98"/>
  <c r="B101"/>
  <c r="R96"/>
  <c r="T96"/>
  <c r="Q96"/>
  <c r="P96"/>
  <c r="O96"/>
  <c r="N96"/>
  <c r="M96"/>
  <c r="H96"/>
  <c r="J96"/>
  <c r="G96"/>
  <c r="F96"/>
  <c r="E96"/>
  <c r="D96"/>
  <c r="C96"/>
  <c r="AB96"/>
  <c r="L95"/>
  <c r="B95"/>
  <c r="AA95"/>
  <c r="L94"/>
  <c r="B94"/>
  <c r="AA94"/>
  <c r="L93"/>
  <c r="B93"/>
  <c r="AA93"/>
  <c r="L92"/>
  <c r="L96"/>
  <c r="B92"/>
  <c r="B96"/>
  <c r="R90"/>
  <c r="T90"/>
  <c r="Q90"/>
  <c r="P90"/>
  <c r="O90"/>
  <c r="N90"/>
  <c r="M90"/>
  <c r="H90"/>
  <c r="J90"/>
  <c r="G90"/>
  <c r="F90"/>
  <c r="E90"/>
  <c r="D90"/>
  <c r="C90"/>
  <c r="AB90"/>
  <c r="L89"/>
  <c r="B89"/>
  <c r="AA89"/>
  <c r="L88"/>
  <c r="B88"/>
  <c r="AA88"/>
  <c r="L87"/>
  <c r="L90"/>
  <c r="B87"/>
  <c r="B90"/>
  <c r="R85"/>
  <c r="T85"/>
  <c r="Q85"/>
  <c r="P85"/>
  <c r="O85"/>
  <c r="N85"/>
  <c r="M85"/>
  <c r="H85"/>
  <c r="J85"/>
  <c r="G85"/>
  <c r="F85"/>
  <c r="E85"/>
  <c r="D85"/>
  <c r="C85"/>
  <c r="AB85"/>
  <c r="L84"/>
  <c r="B84"/>
  <c r="AA84"/>
  <c r="L83"/>
  <c r="B83"/>
  <c r="AA83"/>
  <c r="L82"/>
  <c r="B82"/>
  <c r="AA82"/>
  <c r="L81"/>
  <c r="L85"/>
  <c r="B81"/>
  <c r="B85"/>
  <c r="R79"/>
  <c r="T79"/>
  <c r="Q79"/>
  <c r="P79"/>
  <c r="O79"/>
  <c r="N79"/>
  <c r="M79"/>
  <c r="H79"/>
  <c r="J79"/>
  <c r="G79"/>
  <c r="F79"/>
  <c r="E79"/>
  <c r="D79"/>
  <c r="C79"/>
  <c r="AB79"/>
  <c r="L78"/>
  <c r="B78"/>
  <c r="AA78"/>
  <c r="L77"/>
  <c r="B77"/>
  <c r="AA77"/>
  <c r="L76"/>
  <c r="B76"/>
  <c r="AA76"/>
  <c r="L75"/>
  <c r="L79"/>
  <c r="B75"/>
  <c r="B79"/>
  <c r="R73"/>
  <c r="T73"/>
  <c r="Q73"/>
  <c r="P73"/>
  <c r="O73"/>
  <c r="N73"/>
  <c r="M73"/>
  <c r="H73"/>
  <c r="J73"/>
  <c r="G73"/>
  <c r="F73"/>
  <c r="E73"/>
  <c r="D73"/>
  <c r="C73"/>
  <c r="AB73"/>
  <c r="L72"/>
  <c r="B72"/>
  <c r="AA72"/>
  <c r="L71"/>
  <c r="B71"/>
  <c r="AA71"/>
  <c r="L70"/>
  <c r="L73"/>
  <c r="B70"/>
  <c r="B73"/>
  <c r="R68"/>
  <c r="T68"/>
  <c r="Q68"/>
  <c r="P68"/>
  <c r="O68"/>
  <c r="N68"/>
  <c r="M68"/>
  <c r="H68"/>
  <c r="J68"/>
  <c r="G68"/>
  <c r="F68"/>
  <c r="E68"/>
  <c r="D68"/>
  <c r="C68"/>
  <c r="AB68"/>
  <c r="L67"/>
  <c r="B67"/>
  <c r="AA67"/>
  <c r="L66"/>
  <c r="B66"/>
  <c r="AA66"/>
  <c r="L65"/>
  <c r="B65"/>
  <c r="AA65"/>
  <c r="L64"/>
  <c r="L68"/>
  <c r="B64"/>
  <c r="B68"/>
  <c r="R62"/>
  <c r="T62"/>
  <c r="Q62"/>
  <c r="P62"/>
  <c r="O62"/>
  <c r="N62"/>
  <c r="M62"/>
  <c r="H62"/>
  <c r="J62"/>
  <c r="G62"/>
  <c r="F62"/>
  <c r="E62"/>
  <c r="D62"/>
  <c r="C62"/>
  <c r="AB62"/>
  <c r="L61"/>
  <c r="B61"/>
  <c r="AA61"/>
  <c r="L60"/>
  <c r="B60"/>
  <c r="AA60"/>
  <c r="L59"/>
  <c r="B59"/>
  <c r="AA59"/>
  <c r="L58"/>
  <c r="B58"/>
  <c r="AA58"/>
  <c r="L57"/>
  <c r="L62"/>
  <c r="B57"/>
  <c r="B62"/>
  <c r="R55"/>
  <c r="T55"/>
  <c r="Q55"/>
  <c r="P55"/>
  <c r="O55"/>
  <c r="N55"/>
  <c r="M55"/>
  <c r="H55"/>
  <c r="J55"/>
  <c r="G55"/>
  <c r="F55"/>
  <c r="E55"/>
  <c r="D55"/>
  <c r="C55"/>
  <c r="AB55"/>
  <c r="L54"/>
  <c r="B54"/>
  <c r="AA54"/>
  <c r="L53"/>
  <c r="B53"/>
  <c r="AA53"/>
  <c r="L52"/>
  <c r="B52"/>
  <c r="AA52"/>
  <c r="L51"/>
  <c r="L55"/>
  <c r="B51"/>
  <c r="B55"/>
  <c r="R49"/>
  <c r="T49"/>
  <c r="Q49"/>
  <c r="P49"/>
  <c r="O49"/>
  <c r="N49"/>
  <c r="M49"/>
  <c r="H49"/>
  <c r="J49"/>
  <c r="G49"/>
  <c r="F49"/>
  <c r="E49"/>
  <c r="D49"/>
  <c r="C49"/>
  <c r="AB49"/>
  <c r="L48"/>
  <c r="B48"/>
  <c r="AA48"/>
  <c r="L47"/>
  <c r="B47"/>
  <c r="AA47"/>
  <c r="L46"/>
  <c r="L49"/>
  <c r="B46"/>
  <c r="B49"/>
  <c r="R44"/>
  <c r="T44"/>
  <c r="Q44"/>
  <c r="P44"/>
  <c r="O44"/>
  <c r="N44"/>
  <c r="M44"/>
  <c r="H44"/>
  <c r="J44"/>
  <c r="G44"/>
  <c r="F44"/>
  <c r="E44"/>
  <c r="D44"/>
  <c r="C44"/>
  <c r="AB44"/>
  <c r="L43"/>
  <c r="B43"/>
  <c r="AA43"/>
  <c r="L42"/>
  <c r="B42"/>
  <c r="AA42"/>
  <c r="L44"/>
  <c r="B41"/>
  <c r="B44"/>
  <c r="R39"/>
  <c r="T39"/>
  <c r="Q39"/>
  <c r="P39"/>
  <c r="O39"/>
  <c r="N39"/>
  <c r="M39"/>
  <c r="H39"/>
  <c r="J39"/>
  <c r="G39"/>
  <c r="F39"/>
  <c r="E39"/>
  <c r="D39"/>
  <c r="C39"/>
  <c r="AB39"/>
  <c r="L38"/>
  <c r="B38"/>
  <c r="AA38"/>
  <c r="L37"/>
  <c r="B37"/>
  <c r="AA37"/>
  <c r="L36"/>
  <c r="B36"/>
  <c r="AA36"/>
  <c r="L35"/>
  <c r="B35"/>
  <c r="AA35"/>
  <c r="L34"/>
  <c r="L39"/>
  <c r="B34"/>
  <c r="B39"/>
  <c r="R32"/>
  <c r="T32"/>
  <c r="Q32"/>
  <c r="P32"/>
  <c r="O32"/>
  <c r="N32"/>
  <c r="M32"/>
  <c r="H32"/>
  <c r="J32"/>
  <c r="G32"/>
  <c r="F32"/>
  <c r="E32"/>
  <c r="D32"/>
  <c r="C32"/>
  <c r="AB32"/>
  <c r="L31"/>
  <c r="B31"/>
  <c r="AA31"/>
  <c r="L30"/>
  <c r="B30"/>
  <c r="AA30"/>
  <c r="L29"/>
  <c r="L32"/>
  <c r="B29"/>
  <c r="B32"/>
  <c r="R27"/>
  <c r="T27"/>
  <c r="Q27"/>
  <c r="P27"/>
  <c r="O27"/>
  <c r="N27"/>
  <c r="M27"/>
  <c r="H27"/>
  <c r="J27"/>
  <c r="G27"/>
  <c r="F27"/>
  <c r="E27"/>
  <c r="D27"/>
  <c r="C27"/>
  <c r="AB27"/>
  <c r="L26"/>
  <c r="B26"/>
  <c r="AA26"/>
  <c r="L25"/>
  <c r="B25"/>
  <c r="AA25"/>
  <c r="L24"/>
  <c r="L27"/>
  <c r="B24"/>
  <c r="B27"/>
  <c r="R22"/>
  <c r="T22"/>
  <c r="Q22"/>
  <c r="P22"/>
  <c r="O22"/>
  <c r="N22"/>
  <c r="M22"/>
  <c r="H22"/>
  <c r="J22"/>
  <c r="G22"/>
  <c r="F22"/>
  <c r="E22"/>
  <c r="D22"/>
  <c r="C22"/>
  <c r="AB22"/>
  <c r="L21"/>
  <c r="B21"/>
  <c r="AA21"/>
  <c r="L20"/>
  <c r="B20"/>
  <c r="AA20"/>
  <c r="L19"/>
  <c r="B19"/>
  <c r="AA19"/>
  <c r="L18"/>
  <c r="L22"/>
  <c r="B18"/>
  <c r="B22"/>
  <c r="R16"/>
  <c r="T16"/>
  <c r="Q16"/>
  <c r="P16"/>
  <c r="O16"/>
  <c r="N16"/>
  <c r="M16"/>
  <c r="H16"/>
  <c r="J16"/>
  <c r="G16"/>
  <c r="F16"/>
  <c r="E16"/>
  <c r="D16"/>
  <c r="C16"/>
  <c r="AB16"/>
  <c r="L15"/>
  <c r="B15"/>
  <c r="AA15"/>
  <c r="L14"/>
  <c r="B14"/>
  <c r="AA14"/>
  <c r="L13"/>
  <c r="L16"/>
  <c r="B13"/>
  <c r="B16"/>
  <c r="R11"/>
  <c r="T11"/>
  <c r="Q11"/>
  <c r="P11"/>
  <c r="O11"/>
  <c r="N11"/>
  <c r="M11"/>
  <c r="H11"/>
  <c r="J11"/>
  <c r="G11"/>
  <c r="F11"/>
  <c r="E11"/>
  <c r="D11"/>
  <c r="C11"/>
  <c r="AB11"/>
  <c r="L10"/>
  <c r="B10"/>
  <c r="AA10"/>
  <c r="L9"/>
  <c r="B9"/>
  <c r="AA9"/>
  <c r="L8"/>
  <c r="L11"/>
  <c r="B8"/>
  <c r="B11"/>
  <c r="R6"/>
  <c r="T6"/>
  <c r="Q6"/>
  <c r="P6"/>
  <c r="O6"/>
  <c r="N6"/>
  <c r="M6"/>
  <c r="H6"/>
  <c r="J6"/>
  <c r="G6"/>
  <c r="F6"/>
  <c r="E6"/>
  <c r="D6"/>
  <c r="C6"/>
  <c r="AB6"/>
  <c r="L5"/>
  <c r="B5"/>
  <c r="AA5"/>
  <c r="L4"/>
  <c r="B4"/>
  <c r="AA4"/>
  <c r="L3"/>
  <c r="B3"/>
  <c r="AA3"/>
  <c r="L2"/>
  <c r="L6"/>
  <c r="B2"/>
  <c r="B6"/>
  <c r="Q150" i="11"/>
  <c r="R150"/>
  <c r="P150"/>
  <c r="O150"/>
  <c r="N150"/>
  <c r="M150"/>
  <c r="L150"/>
  <c r="H150"/>
  <c r="I150"/>
  <c r="G150"/>
  <c r="F150"/>
  <c r="E150"/>
  <c r="D150"/>
  <c r="C150"/>
  <c r="K149"/>
  <c r="B149"/>
  <c r="Y149"/>
  <c r="K148"/>
  <c r="B148"/>
  <c r="Y148"/>
  <c r="K147"/>
  <c r="B147"/>
  <c r="Y147"/>
  <c r="K146"/>
  <c r="B146"/>
  <c r="Y146"/>
  <c r="K145"/>
  <c r="B145"/>
  <c r="Y145"/>
  <c r="K144"/>
  <c r="B144"/>
  <c r="Y144"/>
  <c r="K143"/>
  <c r="B143"/>
  <c r="Y143"/>
  <c r="K142"/>
  <c r="B142"/>
  <c r="Y142"/>
  <c r="K141"/>
  <c r="K150"/>
  <c r="B141"/>
  <c r="B150"/>
  <c r="Q139"/>
  <c r="R139"/>
  <c r="P139"/>
  <c r="O139"/>
  <c r="N139"/>
  <c r="M139"/>
  <c r="L139"/>
  <c r="H139"/>
  <c r="I139"/>
  <c r="G139"/>
  <c r="F139"/>
  <c r="E139"/>
  <c r="D139"/>
  <c r="C139"/>
  <c r="K138"/>
  <c r="B138"/>
  <c r="Y138"/>
  <c r="K136"/>
  <c r="B136"/>
  <c r="Y136"/>
  <c r="K135"/>
  <c r="B135"/>
  <c r="Y135"/>
  <c r="K134"/>
  <c r="K139"/>
  <c r="B134"/>
  <c r="B139"/>
  <c r="Q132"/>
  <c r="R132"/>
  <c r="P132"/>
  <c r="O132"/>
  <c r="N132"/>
  <c r="M132"/>
  <c r="L132"/>
  <c r="H132"/>
  <c r="I132"/>
  <c r="G132"/>
  <c r="F132"/>
  <c r="E132"/>
  <c r="D132"/>
  <c r="C132"/>
  <c r="K131"/>
  <c r="B131"/>
  <c r="Y131"/>
  <c r="K130"/>
  <c r="B130"/>
  <c r="Y130"/>
  <c r="K129"/>
  <c r="K132"/>
  <c r="B129"/>
  <c r="B132"/>
  <c r="Q127"/>
  <c r="R127"/>
  <c r="P127"/>
  <c r="O127"/>
  <c r="N127"/>
  <c r="M127"/>
  <c r="L127"/>
  <c r="H127"/>
  <c r="I127"/>
  <c r="G127"/>
  <c r="F127"/>
  <c r="E127"/>
  <c r="D127"/>
  <c r="C127"/>
  <c r="K126"/>
  <c r="B126"/>
  <c r="Y126"/>
  <c r="K125"/>
  <c r="B125"/>
  <c r="Y125"/>
  <c r="K124"/>
  <c r="K127"/>
  <c r="B124"/>
  <c r="B127"/>
  <c r="Q122"/>
  <c r="R122"/>
  <c r="P122"/>
  <c r="O122"/>
  <c r="N122"/>
  <c r="M122"/>
  <c r="L122"/>
  <c r="H122"/>
  <c r="I122"/>
  <c r="G122"/>
  <c r="F122"/>
  <c r="E122"/>
  <c r="D122"/>
  <c r="C122"/>
  <c r="K121"/>
  <c r="B121"/>
  <c r="Y121"/>
  <c r="K120"/>
  <c r="B120"/>
  <c r="Y120"/>
  <c r="K119"/>
  <c r="K122"/>
  <c r="B119"/>
  <c r="B122"/>
  <c r="Q117"/>
  <c r="R117"/>
  <c r="P117"/>
  <c r="O117"/>
  <c r="N117"/>
  <c r="M117"/>
  <c r="L117"/>
  <c r="H117"/>
  <c r="I117"/>
  <c r="G117"/>
  <c r="F117"/>
  <c r="E117"/>
  <c r="D117"/>
  <c r="C117"/>
  <c r="K116"/>
  <c r="B116"/>
  <c r="Y116"/>
  <c r="K115"/>
  <c r="B115"/>
  <c r="Y115"/>
  <c r="K114"/>
  <c r="K117"/>
  <c r="B114"/>
  <c r="B117"/>
  <c r="Q112"/>
  <c r="R112"/>
  <c r="P112"/>
  <c r="O112"/>
  <c r="N112"/>
  <c r="M112"/>
  <c r="L112"/>
  <c r="H112"/>
  <c r="I112"/>
  <c r="G112"/>
  <c r="F112"/>
  <c r="E112"/>
  <c r="D112"/>
  <c r="C112"/>
  <c r="K111"/>
  <c r="B111"/>
  <c r="Y111"/>
  <c r="K110"/>
  <c r="B110"/>
  <c r="Y110"/>
  <c r="K109"/>
  <c r="B109"/>
  <c r="Y109"/>
  <c r="K108"/>
  <c r="K112"/>
  <c r="B108"/>
  <c r="B112"/>
  <c r="Q106"/>
  <c r="R106"/>
  <c r="P106"/>
  <c r="O106"/>
  <c r="N106"/>
  <c r="M106"/>
  <c r="L106"/>
  <c r="H106"/>
  <c r="I106"/>
  <c r="G106"/>
  <c r="F106"/>
  <c r="E106"/>
  <c r="D106"/>
  <c r="C106"/>
  <c r="K105"/>
  <c r="B105"/>
  <c r="Y105"/>
  <c r="K104"/>
  <c r="B104"/>
  <c r="Y104"/>
  <c r="K103"/>
  <c r="K106"/>
  <c r="B103"/>
  <c r="B106"/>
  <c r="Q101"/>
  <c r="R101"/>
  <c r="P101"/>
  <c r="O101"/>
  <c r="N101"/>
  <c r="M101"/>
  <c r="L101"/>
  <c r="H101"/>
  <c r="I101"/>
  <c r="G101"/>
  <c r="F101"/>
  <c r="E101"/>
  <c r="D101"/>
  <c r="C101"/>
  <c r="K100"/>
  <c r="B100"/>
  <c r="Y100"/>
  <c r="K99"/>
  <c r="B99"/>
  <c r="Y99"/>
  <c r="K98"/>
  <c r="K101"/>
  <c r="B98"/>
  <c r="B101"/>
  <c r="Q96"/>
  <c r="R96"/>
  <c r="P96"/>
  <c r="O96"/>
  <c r="N96"/>
  <c r="M96"/>
  <c r="L96"/>
  <c r="H96"/>
  <c r="I96"/>
  <c r="G96"/>
  <c r="F96"/>
  <c r="E96"/>
  <c r="D96"/>
  <c r="C96"/>
  <c r="K95"/>
  <c r="B95"/>
  <c r="Y95"/>
  <c r="K94"/>
  <c r="B94"/>
  <c r="Y94"/>
  <c r="K93"/>
  <c r="B93"/>
  <c r="Y93"/>
  <c r="K92"/>
  <c r="K96"/>
  <c r="B92"/>
  <c r="B96"/>
  <c r="Q90"/>
  <c r="R90"/>
  <c r="P90"/>
  <c r="O90"/>
  <c r="N90"/>
  <c r="M90"/>
  <c r="L90"/>
  <c r="H90"/>
  <c r="I90"/>
  <c r="G90"/>
  <c r="F90"/>
  <c r="E90"/>
  <c r="D90"/>
  <c r="C90"/>
  <c r="K89"/>
  <c r="B89"/>
  <c r="Y89"/>
  <c r="K88"/>
  <c r="B88"/>
  <c r="Y88"/>
  <c r="K87"/>
  <c r="K90"/>
  <c r="B87"/>
  <c r="B90"/>
  <c r="Q85"/>
  <c r="R85"/>
  <c r="P85"/>
  <c r="O85"/>
  <c r="N85"/>
  <c r="M85"/>
  <c r="L85"/>
  <c r="H85"/>
  <c r="I85"/>
  <c r="G85"/>
  <c r="F85"/>
  <c r="E85"/>
  <c r="D85"/>
  <c r="C85"/>
  <c r="K84"/>
  <c r="B84"/>
  <c r="Y84"/>
  <c r="K83"/>
  <c r="B83"/>
  <c r="Y83"/>
  <c r="K82"/>
  <c r="B82"/>
  <c r="Y82"/>
  <c r="K81"/>
  <c r="K85"/>
  <c r="B81"/>
  <c r="B85"/>
  <c r="Q79"/>
  <c r="R79"/>
  <c r="P79"/>
  <c r="O79"/>
  <c r="N79"/>
  <c r="M79"/>
  <c r="L79"/>
  <c r="H79"/>
  <c r="I79"/>
  <c r="G79"/>
  <c r="F79"/>
  <c r="E79"/>
  <c r="D79"/>
  <c r="C79"/>
  <c r="K78"/>
  <c r="B78"/>
  <c r="Y78"/>
  <c r="K77"/>
  <c r="B77"/>
  <c r="Y77"/>
  <c r="K76"/>
  <c r="B76"/>
  <c r="Y76"/>
  <c r="K75"/>
  <c r="K79"/>
  <c r="B75"/>
  <c r="B79"/>
  <c r="Q73"/>
  <c r="R73"/>
  <c r="P73"/>
  <c r="O73"/>
  <c r="N73"/>
  <c r="M73"/>
  <c r="L73"/>
  <c r="H73"/>
  <c r="I73"/>
  <c r="G73"/>
  <c r="F73"/>
  <c r="E73"/>
  <c r="D73"/>
  <c r="C73"/>
  <c r="K72"/>
  <c r="B72"/>
  <c r="Y72"/>
  <c r="K71"/>
  <c r="B71"/>
  <c r="Y71"/>
  <c r="K70"/>
  <c r="K73"/>
  <c r="B70"/>
  <c r="B73"/>
  <c r="Q68"/>
  <c r="R68"/>
  <c r="P68"/>
  <c r="O68"/>
  <c r="N68"/>
  <c r="M68"/>
  <c r="L68"/>
  <c r="H68"/>
  <c r="I68"/>
  <c r="G68"/>
  <c r="F68"/>
  <c r="E68"/>
  <c r="D68"/>
  <c r="C68"/>
  <c r="K67"/>
  <c r="B67"/>
  <c r="Y67"/>
  <c r="K66"/>
  <c r="B66"/>
  <c r="Y66"/>
  <c r="K65"/>
  <c r="B65"/>
  <c r="Y65"/>
  <c r="K64"/>
  <c r="K68"/>
  <c r="B64"/>
  <c r="B68"/>
  <c r="Q62"/>
  <c r="R62"/>
  <c r="P62"/>
  <c r="O62"/>
  <c r="N62"/>
  <c r="M62"/>
  <c r="L62"/>
  <c r="H62"/>
  <c r="I62"/>
  <c r="G62"/>
  <c r="F62"/>
  <c r="E62"/>
  <c r="D62"/>
  <c r="C62"/>
  <c r="K61"/>
  <c r="B61"/>
  <c r="Y61"/>
  <c r="K60"/>
  <c r="B60"/>
  <c r="Y60"/>
  <c r="K59"/>
  <c r="B59"/>
  <c r="Y59"/>
  <c r="K58"/>
  <c r="B58"/>
  <c r="Y58"/>
  <c r="K57"/>
  <c r="K62"/>
  <c r="B57"/>
  <c r="B62"/>
  <c r="Q55"/>
  <c r="R55"/>
  <c r="P55"/>
  <c r="O55"/>
  <c r="N55"/>
  <c r="M55"/>
  <c r="L55"/>
  <c r="H55"/>
  <c r="I55"/>
  <c r="G55"/>
  <c r="F55"/>
  <c r="E55"/>
  <c r="D55"/>
  <c r="C55"/>
  <c r="K54"/>
  <c r="B54"/>
  <c r="Y54"/>
  <c r="K53"/>
  <c r="B53"/>
  <c r="Y53"/>
  <c r="K52"/>
  <c r="B52"/>
  <c r="Y52"/>
  <c r="K51"/>
  <c r="K55"/>
  <c r="B51"/>
  <c r="B55"/>
  <c r="Q49"/>
  <c r="R49"/>
  <c r="P49"/>
  <c r="O49"/>
  <c r="N49"/>
  <c r="M49"/>
  <c r="L49"/>
  <c r="H49"/>
  <c r="I49"/>
  <c r="G49"/>
  <c r="F49"/>
  <c r="E49"/>
  <c r="D49"/>
  <c r="C49"/>
  <c r="K48"/>
  <c r="B48"/>
  <c r="Y48"/>
  <c r="K47"/>
  <c r="B47"/>
  <c r="Y47"/>
  <c r="K46"/>
  <c r="K49"/>
  <c r="B46"/>
  <c r="B49"/>
  <c r="Q44"/>
  <c r="R44"/>
  <c r="P44"/>
  <c r="O44"/>
  <c r="N44"/>
  <c r="M44"/>
  <c r="L44"/>
  <c r="H44"/>
  <c r="I44"/>
  <c r="G44"/>
  <c r="F44"/>
  <c r="E44"/>
  <c r="D44"/>
  <c r="C44"/>
  <c r="K43"/>
  <c r="B43"/>
  <c r="Y43"/>
  <c r="K42"/>
  <c r="B42"/>
  <c r="Y42"/>
  <c r="K41"/>
  <c r="K44"/>
  <c r="B41"/>
  <c r="B44"/>
  <c r="Q39"/>
  <c r="R39"/>
  <c r="P39"/>
  <c r="O39"/>
  <c r="N39"/>
  <c r="M39"/>
  <c r="L39"/>
  <c r="H39"/>
  <c r="I39"/>
  <c r="G39"/>
  <c r="F39"/>
  <c r="E39"/>
  <c r="D39"/>
  <c r="C39"/>
  <c r="K38"/>
  <c r="B38"/>
  <c r="Y38"/>
  <c r="K37"/>
  <c r="B37"/>
  <c r="Y37"/>
  <c r="K36"/>
  <c r="B36"/>
  <c r="Y36"/>
  <c r="K35"/>
  <c r="B35"/>
  <c r="Y35"/>
  <c r="K34"/>
  <c r="K39"/>
  <c r="B34"/>
  <c r="B39"/>
  <c r="Q32"/>
  <c r="R32"/>
  <c r="P32"/>
  <c r="O32"/>
  <c r="N32"/>
  <c r="M32"/>
  <c r="L32"/>
  <c r="H32"/>
  <c r="I32"/>
  <c r="G32"/>
  <c r="F32"/>
  <c r="E32"/>
  <c r="D32"/>
  <c r="C32"/>
  <c r="K31"/>
  <c r="B31"/>
  <c r="Y31"/>
  <c r="K30"/>
  <c r="B30"/>
  <c r="Y30"/>
  <c r="K29"/>
  <c r="K32"/>
  <c r="B29"/>
  <c r="B32"/>
  <c r="Q27"/>
  <c r="R27"/>
  <c r="P27"/>
  <c r="O27"/>
  <c r="N27"/>
  <c r="M27"/>
  <c r="L27"/>
  <c r="H27"/>
  <c r="I27"/>
  <c r="G27"/>
  <c r="F27"/>
  <c r="E27"/>
  <c r="D27"/>
  <c r="C27"/>
  <c r="K26"/>
  <c r="B26"/>
  <c r="Y26"/>
  <c r="K25"/>
  <c r="B25"/>
  <c r="Y25"/>
  <c r="K24"/>
  <c r="K27"/>
  <c r="B24"/>
  <c r="B27"/>
  <c r="Q22"/>
  <c r="R22"/>
  <c r="P22"/>
  <c r="O22"/>
  <c r="N22"/>
  <c r="M22"/>
  <c r="L22"/>
  <c r="H22"/>
  <c r="I22"/>
  <c r="G22"/>
  <c r="F22"/>
  <c r="E22"/>
  <c r="D22"/>
  <c r="C22"/>
  <c r="K21"/>
  <c r="B21"/>
  <c r="Y21"/>
  <c r="K20"/>
  <c r="B20"/>
  <c r="Y20"/>
  <c r="K19"/>
  <c r="B19"/>
  <c r="Y19"/>
  <c r="K18"/>
  <c r="K22"/>
  <c r="B18"/>
  <c r="B22"/>
  <c r="Q16"/>
  <c r="R16"/>
  <c r="P16"/>
  <c r="O16"/>
  <c r="N16"/>
  <c r="M16"/>
  <c r="L16"/>
  <c r="H16"/>
  <c r="I16"/>
  <c r="G16"/>
  <c r="F16"/>
  <c r="E16"/>
  <c r="D16"/>
  <c r="C16"/>
  <c r="K15"/>
  <c r="B15"/>
  <c r="Y15"/>
  <c r="K14"/>
  <c r="B14"/>
  <c r="Y14"/>
  <c r="K13"/>
  <c r="K16"/>
  <c r="B13"/>
  <c r="B16"/>
  <c r="Q11"/>
  <c r="R11"/>
  <c r="P11"/>
  <c r="O11"/>
  <c r="N11"/>
  <c r="M11"/>
  <c r="L11"/>
  <c r="H11"/>
  <c r="I11"/>
  <c r="G11"/>
  <c r="F11"/>
  <c r="E11"/>
  <c r="D11"/>
  <c r="C11"/>
  <c r="K10"/>
  <c r="B10"/>
  <c r="Y10"/>
  <c r="K9"/>
  <c r="B9"/>
  <c r="Y9"/>
  <c r="K8"/>
  <c r="K11"/>
  <c r="B8"/>
  <c r="B11"/>
  <c r="Q6"/>
  <c r="R6"/>
  <c r="P6"/>
  <c r="O6"/>
  <c r="N6"/>
  <c r="M6"/>
  <c r="L6"/>
  <c r="H6"/>
  <c r="I6"/>
  <c r="G6"/>
  <c r="F6"/>
  <c r="E6"/>
  <c r="D6"/>
  <c r="C6"/>
  <c r="K5"/>
  <c r="B5"/>
  <c r="Y5"/>
  <c r="K4"/>
  <c r="B4"/>
  <c r="Y4"/>
  <c r="K3"/>
  <c r="B3"/>
  <c r="Y3"/>
  <c r="K2"/>
  <c r="K6"/>
  <c r="B2"/>
  <c r="B6"/>
  <c r="P153" i="10"/>
  <c r="O153"/>
  <c r="N153"/>
  <c r="M153"/>
  <c r="L153"/>
  <c r="K153"/>
  <c r="H153"/>
  <c r="G153"/>
  <c r="F153"/>
  <c r="E153"/>
  <c r="D153"/>
  <c r="C153"/>
  <c r="J152"/>
  <c r="B152"/>
  <c r="J151"/>
  <c r="B151"/>
  <c r="J150"/>
  <c r="B150"/>
  <c r="J149"/>
  <c r="B149"/>
  <c r="J148"/>
  <c r="B148"/>
  <c r="J147"/>
  <c r="B147"/>
  <c r="J146"/>
  <c r="B146"/>
  <c r="J145"/>
  <c r="B145"/>
  <c r="J144"/>
  <c r="J153"/>
  <c r="B144"/>
  <c r="B153"/>
  <c r="P142"/>
  <c r="O142"/>
  <c r="N142"/>
  <c r="M142"/>
  <c r="L142"/>
  <c r="K142"/>
  <c r="H142"/>
  <c r="G142"/>
  <c r="F142"/>
  <c r="E142"/>
  <c r="D142"/>
  <c r="C142"/>
  <c r="J141"/>
  <c r="B141"/>
  <c r="J140"/>
  <c r="B140"/>
  <c r="J139"/>
  <c r="B139"/>
  <c r="J138"/>
  <c r="J142"/>
  <c r="B138"/>
  <c r="B142"/>
  <c r="P136"/>
  <c r="O136"/>
  <c r="N136"/>
  <c r="M136"/>
  <c r="L136"/>
  <c r="K136"/>
  <c r="H136"/>
  <c r="G136"/>
  <c r="F136"/>
  <c r="E136"/>
  <c r="D136"/>
  <c r="C136"/>
  <c r="J135"/>
  <c r="B135"/>
  <c r="J134"/>
  <c r="B134"/>
  <c r="J133"/>
  <c r="J136"/>
  <c r="B133"/>
  <c r="B136"/>
  <c r="P131"/>
  <c r="O131"/>
  <c r="N131"/>
  <c r="M131"/>
  <c r="L131"/>
  <c r="K131"/>
  <c r="H131"/>
  <c r="G131"/>
  <c r="F131"/>
  <c r="E131"/>
  <c r="D131"/>
  <c r="C131"/>
  <c r="J130"/>
  <c r="B130"/>
  <c r="J129"/>
  <c r="B129"/>
  <c r="J128"/>
  <c r="J131"/>
  <c r="B128"/>
  <c r="B131"/>
  <c r="P126"/>
  <c r="O126"/>
  <c r="N126"/>
  <c r="M126"/>
  <c r="L126"/>
  <c r="K126"/>
  <c r="H126"/>
  <c r="G126"/>
  <c r="F126"/>
  <c r="E126"/>
  <c r="D126"/>
  <c r="C126"/>
  <c r="J125"/>
  <c r="B125"/>
  <c r="J124"/>
  <c r="B124"/>
  <c r="J123"/>
  <c r="J126"/>
  <c r="B123"/>
  <c r="B126"/>
  <c r="P121"/>
  <c r="O121"/>
  <c r="N121"/>
  <c r="M121"/>
  <c r="L121"/>
  <c r="K121"/>
  <c r="H121"/>
  <c r="G121"/>
  <c r="F121"/>
  <c r="E121"/>
  <c r="D121"/>
  <c r="C121"/>
  <c r="J120"/>
  <c r="B120"/>
  <c r="J119"/>
  <c r="B119"/>
  <c r="J118"/>
  <c r="J121"/>
  <c r="B118"/>
  <c r="B121"/>
  <c r="P116"/>
  <c r="O116"/>
  <c r="N116"/>
  <c r="M116"/>
  <c r="L116"/>
  <c r="K116"/>
  <c r="H116"/>
  <c r="G116"/>
  <c r="F116"/>
  <c r="E116"/>
  <c r="D116"/>
  <c r="C116"/>
  <c r="J115"/>
  <c r="B115"/>
  <c r="J114"/>
  <c r="B114"/>
  <c r="J113"/>
  <c r="B113"/>
  <c r="J112"/>
  <c r="J116"/>
  <c r="B112"/>
  <c r="B116"/>
  <c r="P110"/>
  <c r="O110"/>
  <c r="N110"/>
  <c r="M110"/>
  <c r="L110"/>
  <c r="K110"/>
  <c r="H110"/>
  <c r="G110"/>
  <c r="F110"/>
  <c r="E110"/>
  <c r="D110"/>
  <c r="C110"/>
  <c r="J109"/>
  <c r="B109"/>
  <c r="J108"/>
  <c r="B108"/>
  <c r="J107"/>
  <c r="J110"/>
  <c r="B107"/>
  <c r="B110"/>
  <c r="P105"/>
  <c r="O105"/>
  <c r="N105"/>
  <c r="M105"/>
  <c r="L105"/>
  <c r="K105"/>
  <c r="H105"/>
  <c r="G105"/>
  <c r="F105"/>
  <c r="E105"/>
  <c r="D105"/>
  <c r="C105"/>
  <c r="J104"/>
  <c r="B104"/>
  <c r="J103"/>
  <c r="B103"/>
  <c r="J102"/>
  <c r="B102"/>
  <c r="J101"/>
  <c r="J105"/>
  <c r="B101"/>
  <c r="B105"/>
  <c r="P99"/>
  <c r="O99"/>
  <c r="N99"/>
  <c r="M99"/>
  <c r="L99"/>
  <c r="K99"/>
  <c r="H99"/>
  <c r="G99"/>
  <c r="F99"/>
  <c r="E99"/>
  <c r="D99"/>
  <c r="C99"/>
  <c r="J98"/>
  <c r="B98"/>
  <c r="J97"/>
  <c r="B97"/>
  <c r="J96"/>
  <c r="B96"/>
  <c r="J95"/>
  <c r="J99"/>
  <c r="B95"/>
  <c r="B99"/>
  <c r="P93"/>
  <c r="O93"/>
  <c r="N93"/>
  <c r="M93"/>
  <c r="L93"/>
  <c r="K93"/>
  <c r="H93"/>
  <c r="G93"/>
  <c r="F93"/>
  <c r="E93"/>
  <c r="D93"/>
  <c r="C93"/>
  <c r="J92"/>
  <c r="B92"/>
  <c r="J91"/>
  <c r="B91"/>
  <c r="J90"/>
  <c r="B90"/>
  <c r="J89"/>
  <c r="J93"/>
  <c r="B89"/>
  <c r="B93"/>
  <c r="P87"/>
  <c r="O87"/>
  <c r="N87"/>
  <c r="M87"/>
  <c r="L87"/>
  <c r="K87"/>
  <c r="H87"/>
  <c r="G87"/>
  <c r="F87"/>
  <c r="E87"/>
  <c r="D87"/>
  <c r="C87"/>
  <c r="J86"/>
  <c r="B86"/>
  <c r="J85"/>
  <c r="B85"/>
  <c r="J84"/>
  <c r="B84"/>
  <c r="J83"/>
  <c r="B83"/>
  <c r="J82"/>
  <c r="J87"/>
  <c r="B82"/>
  <c r="B87"/>
  <c r="P80"/>
  <c r="O80"/>
  <c r="N80"/>
  <c r="M80"/>
  <c r="L80"/>
  <c r="K80"/>
  <c r="H80"/>
  <c r="G80"/>
  <c r="F80"/>
  <c r="E80"/>
  <c r="D80"/>
  <c r="C80"/>
  <c r="J79"/>
  <c r="B79"/>
  <c r="J78"/>
  <c r="B78"/>
  <c r="J77"/>
  <c r="B77"/>
  <c r="J76"/>
  <c r="J80"/>
  <c r="B76"/>
  <c r="B80"/>
  <c r="P74"/>
  <c r="O74"/>
  <c r="N74"/>
  <c r="M74"/>
  <c r="L74"/>
  <c r="K74"/>
  <c r="H74"/>
  <c r="G74"/>
  <c r="F74"/>
  <c r="E74"/>
  <c r="D74"/>
  <c r="C74"/>
  <c r="J73"/>
  <c r="B73"/>
  <c r="J72"/>
  <c r="B72"/>
  <c r="J71"/>
  <c r="J74"/>
  <c r="B71"/>
  <c r="B74"/>
  <c r="P69"/>
  <c r="O69"/>
  <c r="N69"/>
  <c r="M69"/>
  <c r="L69"/>
  <c r="K69"/>
  <c r="H69"/>
  <c r="G69"/>
  <c r="F69"/>
  <c r="E69"/>
  <c r="D69"/>
  <c r="C69"/>
  <c r="J68"/>
  <c r="B68"/>
  <c r="J67"/>
  <c r="B67"/>
  <c r="J66"/>
  <c r="B66"/>
  <c r="J65"/>
  <c r="J69"/>
  <c r="B65"/>
  <c r="B69"/>
  <c r="P63"/>
  <c r="O63"/>
  <c r="N63"/>
  <c r="M63"/>
  <c r="L63"/>
  <c r="K63"/>
  <c r="H63"/>
  <c r="G63"/>
  <c r="F63"/>
  <c r="E63"/>
  <c r="D63"/>
  <c r="C63"/>
  <c r="J62"/>
  <c r="B62"/>
  <c r="J61"/>
  <c r="B61"/>
  <c r="J60"/>
  <c r="B60"/>
  <c r="J59"/>
  <c r="B59"/>
  <c r="J58"/>
  <c r="J63"/>
  <c r="B58"/>
  <c r="B63"/>
  <c r="P56"/>
  <c r="O56"/>
  <c r="N56"/>
  <c r="M56"/>
  <c r="L56"/>
  <c r="K56"/>
  <c r="H56"/>
  <c r="G56"/>
  <c r="F56"/>
  <c r="E56"/>
  <c r="D56"/>
  <c r="C56"/>
  <c r="J55"/>
  <c r="B55"/>
  <c r="J54"/>
  <c r="B54"/>
  <c r="J53"/>
  <c r="B53"/>
  <c r="J52"/>
  <c r="J56"/>
  <c r="B52"/>
  <c r="B56"/>
  <c r="P50"/>
  <c r="O50"/>
  <c r="N50"/>
  <c r="M50"/>
  <c r="L50"/>
  <c r="K50"/>
  <c r="H50"/>
  <c r="G50"/>
  <c r="F50"/>
  <c r="E50"/>
  <c r="D50"/>
  <c r="C50"/>
  <c r="J49"/>
  <c r="B49"/>
  <c r="J48"/>
  <c r="B48"/>
  <c r="J47"/>
  <c r="B47"/>
  <c r="J46"/>
  <c r="J50"/>
  <c r="B46"/>
  <c r="B50"/>
  <c r="P44"/>
  <c r="O44"/>
  <c r="N44"/>
  <c r="M44"/>
  <c r="L44"/>
  <c r="K44"/>
  <c r="H44"/>
  <c r="G44"/>
  <c r="F44"/>
  <c r="E44"/>
  <c r="D44"/>
  <c r="C44"/>
  <c r="J43"/>
  <c r="B43"/>
  <c r="J42"/>
  <c r="B42"/>
  <c r="J41"/>
  <c r="J44"/>
  <c r="B41"/>
  <c r="B44"/>
  <c r="P39"/>
  <c r="O39"/>
  <c r="N39"/>
  <c r="M39"/>
  <c r="L39"/>
  <c r="K39"/>
  <c r="H39"/>
  <c r="G39"/>
  <c r="F39"/>
  <c r="E39"/>
  <c r="D39"/>
  <c r="C39"/>
  <c r="J38"/>
  <c r="B38"/>
  <c r="J37"/>
  <c r="B37"/>
  <c r="J36"/>
  <c r="B36"/>
  <c r="J35"/>
  <c r="B35"/>
  <c r="J34"/>
  <c r="J39"/>
  <c r="B34"/>
  <c r="B39"/>
  <c r="P32"/>
  <c r="O32"/>
  <c r="N32"/>
  <c r="M32"/>
  <c r="L32"/>
  <c r="K32"/>
  <c r="H32"/>
  <c r="G32"/>
  <c r="F32"/>
  <c r="E32"/>
  <c r="D32"/>
  <c r="C32"/>
  <c r="J31"/>
  <c r="B31"/>
  <c r="J30"/>
  <c r="B30"/>
  <c r="J29"/>
  <c r="J32"/>
  <c r="B29"/>
  <c r="B32"/>
  <c r="P27"/>
  <c r="O27"/>
  <c r="N27"/>
  <c r="M27"/>
  <c r="L27"/>
  <c r="K27"/>
  <c r="H27"/>
  <c r="G27"/>
  <c r="F27"/>
  <c r="E27"/>
  <c r="D27"/>
  <c r="C27"/>
  <c r="J26"/>
  <c r="B26"/>
  <c r="J25"/>
  <c r="B25"/>
  <c r="J24"/>
  <c r="J27"/>
  <c r="B24"/>
  <c r="B27"/>
  <c r="P22"/>
  <c r="O22"/>
  <c r="N22"/>
  <c r="M22"/>
  <c r="L22"/>
  <c r="K22"/>
  <c r="H22"/>
  <c r="G22"/>
  <c r="F22"/>
  <c r="E22"/>
  <c r="D22"/>
  <c r="C22"/>
  <c r="J21"/>
  <c r="B21"/>
  <c r="J20"/>
  <c r="B20"/>
  <c r="J19"/>
  <c r="B19"/>
  <c r="J18"/>
  <c r="J22"/>
  <c r="B18"/>
  <c r="B22"/>
  <c r="P16"/>
  <c r="O16"/>
  <c r="N16"/>
  <c r="M16"/>
  <c r="L16"/>
  <c r="K16"/>
  <c r="H16"/>
  <c r="G16"/>
  <c r="F16"/>
  <c r="E16"/>
  <c r="D16"/>
  <c r="C16"/>
  <c r="J15"/>
  <c r="B15"/>
  <c r="J14"/>
  <c r="B14"/>
  <c r="J13"/>
  <c r="J16"/>
  <c r="B13"/>
  <c r="B16"/>
  <c r="P11"/>
  <c r="O11"/>
  <c r="N11"/>
  <c r="M11"/>
  <c r="L11"/>
  <c r="K11"/>
  <c r="H11"/>
  <c r="G11"/>
  <c r="F11"/>
  <c r="E11"/>
  <c r="D11"/>
  <c r="C11"/>
  <c r="J10"/>
  <c r="B10"/>
  <c r="J9"/>
  <c r="B9"/>
  <c r="J8"/>
  <c r="J11"/>
  <c r="B8"/>
  <c r="B11"/>
  <c r="P6"/>
  <c r="O6"/>
  <c r="N6"/>
  <c r="M6"/>
  <c r="L6"/>
  <c r="K6"/>
  <c r="H6"/>
  <c r="G6"/>
  <c r="F6"/>
  <c r="E6"/>
  <c r="D6"/>
  <c r="C6"/>
  <c r="J5"/>
  <c r="B5"/>
  <c r="J4"/>
  <c r="B4"/>
  <c r="J3"/>
  <c r="B3"/>
  <c r="J2"/>
  <c r="J6"/>
  <c r="B2"/>
  <c r="B6"/>
  <c r="P153" i="9"/>
  <c r="O153"/>
  <c r="N153"/>
  <c r="M153"/>
  <c r="L153"/>
  <c r="K153"/>
  <c r="H153"/>
  <c r="G153"/>
  <c r="F153"/>
  <c r="E153"/>
  <c r="D153"/>
  <c r="C153"/>
  <c r="J152"/>
  <c r="B152"/>
  <c r="J151"/>
  <c r="B151"/>
  <c r="J150"/>
  <c r="B150"/>
  <c r="J149"/>
  <c r="B149"/>
  <c r="J148"/>
  <c r="B148"/>
  <c r="J147"/>
  <c r="B147"/>
  <c r="J146"/>
  <c r="B146"/>
  <c r="J145"/>
  <c r="B145"/>
  <c r="J144"/>
  <c r="J153"/>
  <c r="B144"/>
  <c r="B153"/>
  <c r="P142"/>
  <c r="O142"/>
  <c r="N142"/>
  <c r="M142"/>
  <c r="L142"/>
  <c r="K142"/>
  <c r="H142"/>
  <c r="G142"/>
  <c r="F142"/>
  <c r="E142"/>
  <c r="D142"/>
  <c r="C142"/>
  <c r="J141"/>
  <c r="B141"/>
  <c r="J140"/>
  <c r="B140"/>
  <c r="J139"/>
  <c r="B139"/>
  <c r="J138"/>
  <c r="J142"/>
  <c r="B138"/>
  <c r="B142"/>
  <c r="P136"/>
  <c r="O136"/>
  <c r="N136"/>
  <c r="M136"/>
  <c r="L136"/>
  <c r="K136"/>
  <c r="H136"/>
  <c r="G136"/>
  <c r="F136"/>
  <c r="E136"/>
  <c r="D136"/>
  <c r="C136"/>
  <c r="J135"/>
  <c r="B135"/>
  <c r="J134"/>
  <c r="B134"/>
  <c r="J133"/>
  <c r="J136"/>
  <c r="B133"/>
  <c r="B136"/>
  <c r="P131"/>
  <c r="O131"/>
  <c r="N131"/>
  <c r="M131"/>
  <c r="L131"/>
  <c r="K131"/>
  <c r="H131"/>
  <c r="G131"/>
  <c r="F131"/>
  <c r="E131"/>
  <c r="D131"/>
  <c r="C131"/>
  <c r="J130"/>
  <c r="B130"/>
  <c r="J129"/>
  <c r="B129"/>
  <c r="J128"/>
  <c r="J131"/>
  <c r="B128"/>
  <c r="B131"/>
  <c r="P126"/>
  <c r="O126"/>
  <c r="N126"/>
  <c r="M126"/>
  <c r="L126"/>
  <c r="K126"/>
  <c r="H126"/>
  <c r="G126"/>
  <c r="F126"/>
  <c r="E126"/>
  <c r="D126"/>
  <c r="C126"/>
  <c r="J125"/>
  <c r="B125"/>
  <c r="J124"/>
  <c r="B124"/>
  <c r="J123"/>
  <c r="J126"/>
  <c r="B123"/>
  <c r="B126"/>
  <c r="P121"/>
  <c r="O121"/>
  <c r="N121"/>
  <c r="M121"/>
  <c r="L121"/>
  <c r="K121"/>
  <c r="H121"/>
  <c r="G121"/>
  <c r="F121"/>
  <c r="E121"/>
  <c r="D121"/>
  <c r="C121"/>
  <c r="J120"/>
  <c r="B120"/>
  <c r="J119"/>
  <c r="B119"/>
  <c r="J118"/>
  <c r="J121"/>
  <c r="B118"/>
  <c r="B121"/>
  <c r="P116"/>
  <c r="O116"/>
  <c r="N116"/>
  <c r="M116"/>
  <c r="L116"/>
  <c r="K116"/>
  <c r="H116"/>
  <c r="G116"/>
  <c r="F116"/>
  <c r="E116"/>
  <c r="D116"/>
  <c r="C116"/>
  <c r="J115"/>
  <c r="B115"/>
  <c r="J114"/>
  <c r="B114"/>
  <c r="J113"/>
  <c r="B113"/>
  <c r="J112"/>
  <c r="J116"/>
  <c r="B112"/>
  <c r="B116"/>
  <c r="P110"/>
  <c r="O110"/>
  <c r="N110"/>
  <c r="M110"/>
  <c r="L110"/>
  <c r="K110"/>
  <c r="H110"/>
  <c r="G110"/>
  <c r="F110"/>
  <c r="E110"/>
  <c r="D110"/>
  <c r="C110"/>
  <c r="J109"/>
  <c r="B109"/>
  <c r="J108"/>
  <c r="B108"/>
  <c r="J107"/>
  <c r="J110"/>
  <c r="B107"/>
  <c r="B110"/>
  <c r="P105"/>
  <c r="O105"/>
  <c r="N105"/>
  <c r="M105"/>
  <c r="L105"/>
  <c r="K105"/>
  <c r="H105"/>
  <c r="G105"/>
  <c r="F105"/>
  <c r="E105"/>
  <c r="D105"/>
  <c r="C105"/>
  <c r="J104"/>
  <c r="B104"/>
  <c r="J103"/>
  <c r="B103"/>
  <c r="J102"/>
  <c r="B102"/>
  <c r="J101"/>
  <c r="J105"/>
  <c r="B101"/>
  <c r="B105"/>
  <c r="P99"/>
  <c r="O99"/>
  <c r="N99"/>
  <c r="M99"/>
  <c r="L99"/>
  <c r="K99"/>
  <c r="H99"/>
  <c r="G99"/>
  <c r="F99"/>
  <c r="E99"/>
  <c r="D99"/>
  <c r="C99"/>
  <c r="J98"/>
  <c r="B98"/>
  <c r="J97"/>
  <c r="B97"/>
  <c r="J96"/>
  <c r="B96"/>
  <c r="J95"/>
  <c r="J99"/>
  <c r="B95"/>
  <c r="B99"/>
  <c r="P93"/>
  <c r="O93"/>
  <c r="N93"/>
  <c r="M93"/>
  <c r="L93"/>
  <c r="K93"/>
  <c r="H93"/>
  <c r="G93"/>
  <c r="F93"/>
  <c r="E93"/>
  <c r="D93"/>
  <c r="C93"/>
  <c r="J92"/>
  <c r="B92"/>
  <c r="J91"/>
  <c r="B91"/>
  <c r="J90"/>
  <c r="B90"/>
  <c r="J89"/>
  <c r="J93"/>
  <c r="B89"/>
  <c r="B93"/>
  <c r="P87"/>
  <c r="O87"/>
  <c r="N87"/>
  <c r="M87"/>
  <c r="L87"/>
  <c r="K87"/>
  <c r="H87"/>
  <c r="G87"/>
  <c r="F87"/>
  <c r="E87"/>
  <c r="D87"/>
  <c r="C87"/>
  <c r="J86"/>
  <c r="B86"/>
  <c r="J85"/>
  <c r="B85"/>
  <c r="J84"/>
  <c r="B84"/>
  <c r="J83"/>
  <c r="B83"/>
  <c r="J82"/>
  <c r="J87"/>
  <c r="B82"/>
  <c r="B87"/>
  <c r="P80"/>
  <c r="O80"/>
  <c r="N80"/>
  <c r="M80"/>
  <c r="L80"/>
  <c r="K80"/>
  <c r="H80"/>
  <c r="G80"/>
  <c r="F80"/>
  <c r="E80"/>
  <c r="D80"/>
  <c r="C80"/>
  <c r="J79"/>
  <c r="B79"/>
  <c r="J78"/>
  <c r="B78"/>
  <c r="J77"/>
  <c r="B77"/>
  <c r="J76"/>
  <c r="J80"/>
  <c r="B76"/>
  <c r="B80"/>
  <c r="P74"/>
  <c r="O74"/>
  <c r="N74"/>
  <c r="M74"/>
  <c r="L74"/>
  <c r="K74"/>
  <c r="H74"/>
  <c r="G74"/>
  <c r="F74"/>
  <c r="E74"/>
  <c r="D74"/>
  <c r="C74"/>
  <c r="J73"/>
  <c r="B73"/>
  <c r="J72"/>
  <c r="B72"/>
  <c r="J71"/>
  <c r="J74"/>
  <c r="B71"/>
  <c r="B74"/>
  <c r="P69"/>
  <c r="O69"/>
  <c r="N69"/>
  <c r="M69"/>
  <c r="L69"/>
  <c r="K69"/>
  <c r="H69"/>
  <c r="G69"/>
  <c r="F69"/>
  <c r="E69"/>
  <c r="D69"/>
  <c r="C69"/>
  <c r="J68"/>
  <c r="B68"/>
  <c r="J67"/>
  <c r="B67"/>
  <c r="J66"/>
  <c r="B66"/>
  <c r="J65"/>
  <c r="J69"/>
  <c r="B65"/>
  <c r="B69"/>
  <c r="P63"/>
  <c r="O63"/>
  <c r="N63"/>
  <c r="M63"/>
  <c r="L63"/>
  <c r="K63"/>
  <c r="H63"/>
  <c r="G63"/>
  <c r="F63"/>
  <c r="E63"/>
  <c r="D63"/>
  <c r="C63"/>
  <c r="J62"/>
  <c r="B62"/>
  <c r="J61"/>
  <c r="B61"/>
  <c r="J60"/>
  <c r="B60"/>
  <c r="J59"/>
  <c r="B59"/>
  <c r="J58"/>
  <c r="J63"/>
  <c r="B58"/>
  <c r="B63"/>
  <c r="P56"/>
  <c r="O56"/>
  <c r="N56"/>
  <c r="M56"/>
  <c r="L56"/>
  <c r="K56"/>
  <c r="H56"/>
  <c r="G56"/>
  <c r="F56"/>
  <c r="E56"/>
  <c r="D56"/>
  <c r="C56"/>
  <c r="J55"/>
  <c r="B55"/>
  <c r="J54"/>
  <c r="B54"/>
  <c r="J53"/>
  <c r="B53"/>
  <c r="J52"/>
  <c r="J56"/>
  <c r="B52"/>
  <c r="B56"/>
  <c r="P50"/>
  <c r="O50"/>
  <c r="N50"/>
  <c r="M50"/>
  <c r="L50"/>
  <c r="K50"/>
  <c r="H50"/>
  <c r="G50"/>
  <c r="F50"/>
  <c r="E50"/>
  <c r="D50"/>
  <c r="C50"/>
  <c r="J49"/>
  <c r="B49"/>
  <c r="J48"/>
  <c r="B48"/>
  <c r="J47"/>
  <c r="B47"/>
  <c r="J46"/>
  <c r="J50"/>
  <c r="B46"/>
  <c r="B50"/>
  <c r="P44"/>
  <c r="O44"/>
  <c r="N44"/>
  <c r="M44"/>
  <c r="L44"/>
  <c r="K44"/>
  <c r="H44"/>
  <c r="G44"/>
  <c r="F44"/>
  <c r="E44"/>
  <c r="D44"/>
  <c r="C44"/>
  <c r="J43"/>
  <c r="B43"/>
  <c r="J42"/>
  <c r="B42"/>
  <c r="J41"/>
  <c r="J44"/>
  <c r="B41"/>
  <c r="B44"/>
  <c r="P39"/>
  <c r="O39"/>
  <c r="N39"/>
  <c r="M39"/>
  <c r="L39"/>
  <c r="K39"/>
  <c r="H39"/>
  <c r="G39"/>
  <c r="F39"/>
  <c r="E39"/>
  <c r="D39"/>
  <c r="C39"/>
  <c r="J38"/>
  <c r="B38"/>
  <c r="J37"/>
  <c r="B37"/>
  <c r="J36"/>
  <c r="B36"/>
  <c r="J35"/>
  <c r="B35"/>
  <c r="J34"/>
  <c r="J39"/>
  <c r="B34"/>
  <c r="B39"/>
  <c r="P32"/>
  <c r="O32"/>
  <c r="N32"/>
  <c r="M32"/>
  <c r="L32"/>
  <c r="K32"/>
  <c r="H32"/>
  <c r="G32"/>
  <c r="F32"/>
  <c r="E32"/>
  <c r="D32"/>
  <c r="C32"/>
  <c r="J31"/>
  <c r="B31"/>
  <c r="J30"/>
  <c r="B30"/>
  <c r="J29"/>
  <c r="J32"/>
  <c r="B29"/>
  <c r="B32"/>
  <c r="P27"/>
  <c r="O27"/>
  <c r="N27"/>
  <c r="M27"/>
  <c r="L27"/>
  <c r="K27"/>
  <c r="H27"/>
  <c r="G27"/>
  <c r="F27"/>
  <c r="E27"/>
  <c r="D27"/>
  <c r="C27"/>
  <c r="J26"/>
  <c r="B26"/>
  <c r="J25"/>
  <c r="B25"/>
  <c r="J24"/>
  <c r="J27"/>
  <c r="B24"/>
  <c r="B27"/>
  <c r="P22"/>
  <c r="O22"/>
  <c r="N22"/>
  <c r="M22"/>
  <c r="L22"/>
  <c r="K22"/>
  <c r="H22"/>
  <c r="G22"/>
  <c r="F22"/>
  <c r="E22"/>
  <c r="D22"/>
  <c r="C22"/>
  <c r="J21"/>
  <c r="B21"/>
  <c r="J20"/>
  <c r="B20"/>
  <c r="J19"/>
  <c r="B19"/>
  <c r="J18"/>
  <c r="J22"/>
  <c r="B18"/>
  <c r="B22"/>
  <c r="P16"/>
  <c r="O16"/>
  <c r="N16"/>
  <c r="M16"/>
  <c r="L16"/>
  <c r="K16"/>
  <c r="H16"/>
  <c r="G16"/>
  <c r="F16"/>
  <c r="E16"/>
  <c r="D16"/>
  <c r="C16"/>
  <c r="J15"/>
  <c r="B15"/>
  <c r="J14"/>
  <c r="B14"/>
  <c r="J13"/>
  <c r="J16"/>
  <c r="B13"/>
  <c r="B16"/>
  <c r="P11"/>
  <c r="O11"/>
  <c r="N11"/>
  <c r="M11"/>
  <c r="L11"/>
  <c r="K11"/>
  <c r="H11"/>
  <c r="G11"/>
  <c r="F11"/>
  <c r="E11"/>
  <c r="D11"/>
  <c r="C11"/>
  <c r="J10"/>
  <c r="B10"/>
  <c r="J9"/>
  <c r="B9"/>
  <c r="J8"/>
  <c r="J11"/>
  <c r="B8"/>
  <c r="B11"/>
  <c r="P6"/>
  <c r="O6"/>
  <c r="N6"/>
  <c r="M6"/>
  <c r="L6"/>
  <c r="K6"/>
  <c r="H6"/>
  <c r="G6"/>
  <c r="F6"/>
  <c r="E6"/>
  <c r="D6"/>
  <c r="C6"/>
  <c r="J5"/>
  <c r="B5"/>
  <c r="J4"/>
  <c r="B4"/>
  <c r="J3"/>
  <c r="B3"/>
  <c r="J2"/>
  <c r="J6"/>
  <c r="B2"/>
  <c r="B6"/>
  <c r="P153" i="4"/>
  <c r="O153"/>
  <c r="N153"/>
  <c r="M153"/>
  <c r="L153"/>
  <c r="K153"/>
  <c r="H153"/>
  <c r="G153"/>
  <c r="F153"/>
  <c r="E153"/>
  <c r="D153"/>
  <c r="C153"/>
  <c r="J152"/>
  <c r="B152"/>
  <c r="J151"/>
  <c r="B151"/>
  <c r="J150"/>
  <c r="B150"/>
  <c r="J149"/>
  <c r="B149"/>
  <c r="J148"/>
  <c r="B148"/>
  <c r="J147"/>
  <c r="B147"/>
  <c r="J146"/>
  <c r="B146"/>
  <c r="J145"/>
  <c r="B145"/>
  <c r="J144"/>
  <c r="J153"/>
  <c r="B144"/>
  <c r="B153"/>
  <c r="P142"/>
  <c r="O142"/>
  <c r="N142"/>
  <c r="M142"/>
  <c r="L142"/>
  <c r="K142"/>
  <c r="H142"/>
  <c r="G142"/>
  <c r="F142"/>
  <c r="E142"/>
  <c r="D142"/>
  <c r="C142"/>
  <c r="J141"/>
  <c r="B141"/>
  <c r="J140"/>
  <c r="B140"/>
  <c r="J139"/>
  <c r="B139"/>
  <c r="J138"/>
  <c r="J142"/>
  <c r="B138"/>
  <c r="B142"/>
  <c r="P136"/>
  <c r="O136"/>
  <c r="N136"/>
  <c r="M136"/>
  <c r="L136"/>
  <c r="K136"/>
  <c r="H136"/>
  <c r="G136"/>
  <c r="F136"/>
  <c r="E136"/>
  <c r="D136"/>
  <c r="C136"/>
  <c r="J135"/>
  <c r="B135"/>
  <c r="J134"/>
  <c r="B134"/>
  <c r="J133"/>
  <c r="J136"/>
  <c r="B133"/>
  <c r="B136"/>
  <c r="P131"/>
  <c r="O131"/>
  <c r="N131"/>
  <c r="M131"/>
  <c r="L131"/>
  <c r="K131"/>
  <c r="H131"/>
  <c r="G131"/>
  <c r="F131"/>
  <c r="E131"/>
  <c r="D131"/>
  <c r="C131"/>
  <c r="J130"/>
  <c r="B130"/>
  <c r="J129"/>
  <c r="B129"/>
  <c r="J128"/>
  <c r="J131"/>
  <c r="B128"/>
  <c r="B131"/>
  <c r="P126"/>
  <c r="O126"/>
  <c r="N126"/>
  <c r="M126"/>
  <c r="L126"/>
  <c r="K126"/>
  <c r="H126"/>
  <c r="G126"/>
  <c r="F126"/>
  <c r="E126"/>
  <c r="D126"/>
  <c r="C126"/>
  <c r="J125"/>
  <c r="B125"/>
  <c r="J124"/>
  <c r="B124"/>
  <c r="J123"/>
  <c r="J126"/>
  <c r="B123"/>
  <c r="B126"/>
  <c r="P121"/>
  <c r="O121"/>
  <c r="N121"/>
  <c r="M121"/>
  <c r="L121"/>
  <c r="K121"/>
  <c r="H121"/>
  <c r="G121"/>
  <c r="F121"/>
  <c r="E121"/>
  <c r="D121"/>
  <c r="C121"/>
  <c r="J120"/>
  <c r="B120"/>
  <c r="J119"/>
  <c r="B119"/>
  <c r="J118"/>
  <c r="J121"/>
  <c r="B118"/>
  <c r="B121"/>
  <c r="P116"/>
  <c r="O116"/>
  <c r="N116"/>
  <c r="M116"/>
  <c r="L116"/>
  <c r="K116"/>
  <c r="H116"/>
  <c r="G116"/>
  <c r="F116"/>
  <c r="E116"/>
  <c r="D116"/>
  <c r="C116"/>
  <c r="J115"/>
  <c r="B115"/>
  <c r="J114"/>
  <c r="B114"/>
  <c r="J113"/>
  <c r="B113"/>
  <c r="J112"/>
  <c r="J116"/>
  <c r="B112"/>
  <c r="B116"/>
  <c r="P110"/>
  <c r="O110"/>
  <c r="N110"/>
  <c r="M110"/>
  <c r="L110"/>
  <c r="K110"/>
  <c r="H110"/>
  <c r="G110"/>
  <c r="F110"/>
  <c r="E110"/>
  <c r="D110"/>
  <c r="C110"/>
  <c r="J109"/>
  <c r="B109"/>
  <c r="J108"/>
  <c r="B108"/>
  <c r="J107"/>
  <c r="J110"/>
  <c r="B107"/>
  <c r="B110"/>
  <c r="P105"/>
  <c r="O105"/>
  <c r="N105"/>
  <c r="M105"/>
  <c r="L105"/>
  <c r="K105"/>
  <c r="H105"/>
  <c r="G105"/>
  <c r="F105"/>
  <c r="E105"/>
  <c r="D105"/>
  <c r="C105"/>
  <c r="J104"/>
  <c r="B104"/>
  <c r="J103"/>
  <c r="B103"/>
  <c r="J102"/>
  <c r="B102"/>
  <c r="J101"/>
  <c r="J105"/>
  <c r="B101"/>
  <c r="B105"/>
  <c r="P99"/>
  <c r="O99"/>
  <c r="N99"/>
  <c r="M99"/>
  <c r="L99"/>
  <c r="K99"/>
  <c r="H99"/>
  <c r="G99"/>
  <c r="F99"/>
  <c r="E99"/>
  <c r="D99"/>
  <c r="C99"/>
  <c r="J98"/>
  <c r="B98"/>
  <c r="J97"/>
  <c r="B97"/>
  <c r="J96"/>
  <c r="B96"/>
  <c r="J95"/>
  <c r="J99"/>
  <c r="B95"/>
  <c r="B99"/>
  <c r="P93"/>
  <c r="O93"/>
  <c r="N93"/>
  <c r="M93"/>
  <c r="L93"/>
  <c r="K93"/>
  <c r="H93"/>
  <c r="G93"/>
  <c r="F93"/>
  <c r="E93"/>
  <c r="D93"/>
  <c r="C93"/>
  <c r="J92"/>
  <c r="B92"/>
  <c r="J91"/>
  <c r="B91"/>
  <c r="J90"/>
  <c r="B90"/>
  <c r="J89"/>
  <c r="J93"/>
  <c r="B89"/>
  <c r="B93"/>
  <c r="P87"/>
  <c r="O87"/>
  <c r="N87"/>
  <c r="M87"/>
  <c r="L87"/>
  <c r="K87"/>
  <c r="H87"/>
  <c r="G87"/>
  <c r="F87"/>
  <c r="E87"/>
  <c r="D87"/>
  <c r="C87"/>
  <c r="J86"/>
  <c r="B86"/>
  <c r="J85"/>
  <c r="B85"/>
  <c r="J84"/>
  <c r="B84"/>
  <c r="J83"/>
  <c r="B83"/>
  <c r="J82"/>
  <c r="J87"/>
  <c r="B82"/>
  <c r="B87"/>
  <c r="P80"/>
  <c r="O80"/>
  <c r="N80"/>
  <c r="M80"/>
  <c r="L80"/>
  <c r="K80"/>
  <c r="H80"/>
  <c r="G80"/>
  <c r="F80"/>
  <c r="E80"/>
  <c r="D80"/>
  <c r="C80"/>
  <c r="J79"/>
  <c r="B79"/>
  <c r="J78"/>
  <c r="B78"/>
  <c r="J77"/>
  <c r="B77"/>
  <c r="J76"/>
  <c r="J80"/>
  <c r="B76"/>
  <c r="B80"/>
  <c r="P74"/>
  <c r="O74"/>
  <c r="N74"/>
  <c r="M74"/>
  <c r="L74"/>
  <c r="K74"/>
  <c r="H74"/>
  <c r="G74"/>
  <c r="F74"/>
  <c r="E74"/>
  <c r="D74"/>
  <c r="C74"/>
  <c r="J73"/>
  <c r="B73"/>
  <c r="J72"/>
  <c r="B72"/>
  <c r="J71"/>
  <c r="J74"/>
  <c r="B71"/>
  <c r="B74"/>
  <c r="P69"/>
  <c r="O69"/>
  <c r="N69"/>
  <c r="M69"/>
  <c r="L69"/>
  <c r="K69"/>
  <c r="H69"/>
  <c r="G69"/>
  <c r="F69"/>
  <c r="E69"/>
  <c r="D69"/>
  <c r="C69"/>
  <c r="J68"/>
  <c r="B68"/>
  <c r="J67"/>
  <c r="B67"/>
  <c r="J66"/>
  <c r="B66"/>
  <c r="J65"/>
  <c r="J69"/>
  <c r="B65"/>
  <c r="B69"/>
  <c r="P63"/>
  <c r="O63"/>
  <c r="N63"/>
  <c r="M63"/>
  <c r="L63"/>
  <c r="K63"/>
  <c r="H63"/>
  <c r="G63"/>
  <c r="F63"/>
  <c r="E63"/>
  <c r="D63"/>
  <c r="C63"/>
  <c r="J62"/>
  <c r="B62"/>
  <c r="J61"/>
  <c r="B61"/>
  <c r="J60"/>
  <c r="B60"/>
  <c r="J59"/>
  <c r="B59"/>
  <c r="J58"/>
  <c r="J63"/>
  <c r="B58"/>
  <c r="B63"/>
  <c r="P56"/>
  <c r="O56"/>
  <c r="N56"/>
  <c r="M56"/>
  <c r="L56"/>
  <c r="K56"/>
  <c r="H56"/>
  <c r="G56"/>
  <c r="F56"/>
  <c r="E56"/>
  <c r="D56"/>
  <c r="C56"/>
  <c r="J55"/>
  <c r="B55"/>
  <c r="J54"/>
  <c r="B54"/>
  <c r="J53"/>
  <c r="B53"/>
  <c r="J52"/>
  <c r="J56"/>
  <c r="B52"/>
  <c r="B56"/>
  <c r="P50"/>
  <c r="O50"/>
  <c r="N50"/>
  <c r="M50"/>
  <c r="L50"/>
  <c r="K50"/>
  <c r="H50"/>
  <c r="G50"/>
  <c r="F50"/>
  <c r="E50"/>
  <c r="D50"/>
  <c r="C50"/>
  <c r="J49"/>
  <c r="B49"/>
  <c r="J48"/>
  <c r="B48"/>
  <c r="J47"/>
  <c r="B47"/>
  <c r="J46"/>
  <c r="J50"/>
  <c r="B46"/>
  <c r="B50"/>
  <c r="P44"/>
  <c r="O44"/>
  <c r="N44"/>
  <c r="M44"/>
  <c r="L44"/>
  <c r="K44"/>
  <c r="H44"/>
  <c r="G44"/>
  <c r="F44"/>
  <c r="E44"/>
  <c r="D44"/>
  <c r="C44"/>
  <c r="J43"/>
  <c r="B43"/>
  <c r="J42"/>
  <c r="B42"/>
  <c r="J41"/>
  <c r="J44"/>
  <c r="B41"/>
  <c r="B44"/>
  <c r="P39"/>
  <c r="O39"/>
  <c r="N39"/>
  <c r="M39"/>
  <c r="L39"/>
  <c r="K39"/>
  <c r="H39"/>
  <c r="G39"/>
  <c r="F39"/>
  <c r="E39"/>
  <c r="D39"/>
  <c r="C39"/>
  <c r="J38"/>
  <c r="B38"/>
  <c r="J37"/>
  <c r="B37"/>
  <c r="J36"/>
  <c r="B36"/>
  <c r="J35"/>
  <c r="B35"/>
  <c r="J34"/>
  <c r="J39"/>
  <c r="B34"/>
  <c r="B39"/>
  <c r="P32"/>
  <c r="O32"/>
  <c r="N32"/>
  <c r="M32"/>
  <c r="L32"/>
  <c r="K32"/>
  <c r="H32"/>
  <c r="G32"/>
  <c r="F32"/>
  <c r="E32"/>
  <c r="D32"/>
  <c r="C32"/>
  <c r="J31"/>
  <c r="B31"/>
  <c r="J30"/>
  <c r="B30"/>
  <c r="J29"/>
  <c r="J32"/>
  <c r="B29"/>
  <c r="B32"/>
  <c r="P27"/>
  <c r="O27"/>
  <c r="N27"/>
  <c r="M27"/>
  <c r="L27"/>
  <c r="K27"/>
  <c r="H27"/>
  <c r="G27"/>
  <c r="F27"/>
  <c r="E27"/>
  <c r="D27"/>
  <c r="C27"/>
  <c r="J26"/>
  <c r="B26"/>
  <c r="J25"/>
  <c r="B25"/>
  <c r="J24"/>
  <c r="J27"/>
  <c r="B24"/>
  <c r="B27"/>
  <c r="P22"/>
  <c r="O22"/>
  <c r="N22"/>
  <c r="M22"/>
  <c r="L22"/>
  <c r="K22"/>
  <c r="H22"/>
  <c r="G22"/>
  <c r="F22"/>
  <c r="E22"/>
  <c r="D22"/>
  <c r="C22"/>
  <c r="J21"/>
  <c r="B21"/>
  <c r="J20"/>
  <c r="B20"/>
  <c r="J19"/>
  <c r="B19"/>
  <c r="J18"/>
  <c r="J22"/>
  <c r="B18"/>
  <c r="B22"/>
  <c r="P16"/>
  <c r="O16"/>
  <c r="N16"/>
  <c r="M16"/>
  <c r="L16"/>
  <c r="K16"/>
  <c r="H16"/>
  <c r="G16"/>
  <c r="F16"/>
  <c r="E16"/>
  <c r="D16"/>
  <c r="C16"/>
  <c r="J15"/>
  <c r="B15"/>
  <c r="J14"/>
  <c r="B14"/>
  <c r="J13"/>
  <c r="J16"/>
  <c r="B13"/>
  <c r="B16"/>
  <c r="P11"/>
  <c r="O11"/>
  <c r="N11"/>
  <c r="M11"/>
  <c r="L11"/>
  <c r="K11"/>
  <c r="H11"/>
  <c r="G11"/>
  <c r="F11"/>
  <c r="E11"/>
  <c r="D11"/>
  <c r="C11"/>
  <c r="J10"/>
  <c r="B10"/>
  <c r="J9"/>
  <c r="B9"/>
  <c r="J8"/>
  <c r="J11"/>
  <c r="B8"/>
  <c r="B11"/>
  <c r="P6"/>
  <c r="O6"/>
  <c r="N6"/>
  <c r="M6"/>
  <c r="L6"/>
  <c r="K6"/>
  <c r="H6"/>
  <c r="G6"/>
  <c r="F6"/>
  <c r="E6"/>
  <c r="D6"/>
  <c r="C6"/>
  <c r="J5"/>
  <c r="B5"/>
  <c r="J4"/>
  <c r="B4"/>
  <c r="J3"/>
  <c r="B3"/>
  <c r="J2"/>
  <c r="J6"/>
  <c r="B2"/>
  <c r="B6"/>
  <c r="C6" i="3"/>
  <c r="D6"/>
  <c r="F6"/>
  <c r="E6"/>
  <c r="G6"/>
  <c r="I6"/>
  <c r="H6"/>
  <c r="L6"/>
  <c r="M6"/>
  <c r="O6"/>
  <c r="N6"/>
  <c r="P6"/>
  <c r="R6"/>
  <c r="Q6"/>
  <c r="C11"/>
  <c r="D11"/>
  <c r="F11"/>
  <c r="E11"/>
  <c r="G11"/>
  <c r="I11"/>
  <c r="H11"/>
  <c r="L11"/>
  <c r="M11"/>
  <c r="O11"/>
  <c r="N11"/>
  <c r="P11"/>
  <c r="R11"/>
  <c r="Q11"/>
  <c r="C16"/>
  <c r="D16"/>
  <c r="F16"/>
  <c r="E16"/>
  <c r="G16"/>
  <c r="I16"/>
  <c r="H16"/>
  <c r="L16"/>
  <c r="M16"/>
  <c r="O16"/>
  <c r="N16"/>
  <c r="P16"/>
  <c r="R16"/>
  <c r="Q16"/>
  <c r="C22"/>
  <c r="D22"/>
  <c r="F22"/>
  <c r="E22"/>
  <c r="G22"/>
  <c r="I22"/>
  <c r="H22"/>
  <c r="L22"/>
  <c r="M22"/>
  <c r="O22"/>
  <c r="N22"/>
  <c r="P22"/>
  <c r="R22"/>
  <c r="Q22"/>
  <c r="C27"/>
  <c r="D27"/>
  <c r="F27"/>
  <c r="E27"/>
  <c r="G27"/>
  <c r="I27"/>
  <c r="H27"/>
  <c r="L27"/>
  <c r="M27"/>
  <c r="O27"/>
  <c r="N27"/>
  <c r="P27"/>
  <c r="R27"/>
  <c r="Q27"/>
  <c r="C32"/>
  <c r="D32"/>
  <c r="F32"/>
  <c r="E32"/>
  <c r="G32"/>
  <c r="I32"/>
  <c r="H32"/>
  <c r="L32"/>
  <c r="M32"/>
  <c r="O32"/>
  <c r="N32"/>
  <c r="P32"/>
  <c r="R32"/>
  <c r="Q32"/>
  <c r="C39"/>
  <c r="D39"/>
  <c r="F39"/>
  <c r="E39"/>
  <c r="G39"/>
  <c r="I39"/>
  <c r="H39"/>
  <c r="L39"/>
  <c r="M39"/>
  <c r="O39"/>
  <c r="N39"/>
  <c r="P39"/>
  <c r="R39"/>
  <c r="Q39"/>
  <c r="C44"/>
  <c r="D44"/>
  <c r="F44"/>
  <c r="E44"/>
  <c r="G44"/>
  <c r="I44"/>
  <c r="H44"/>
  <c r="L44"/>
  <c r="M44"/>
  <c r="O44"/>
  <c r="N44"/>
  <c r="P44"/>
  <c r="R44"/>
  <c r="Q44"/>
  <c r="C50"/>
  <c r="D50"/>
  <c r="F50"/>
  <c r="E50"/>
  <c r="G50"/>
  <c r="I50"/>
  <c r="H50"/>
  <c r="L50"/>
  <c r="M50"/>
  <c r="O50"/>
  <c r="N50"/>
  <c r="P50"/>
  <c r="R50"/>
  <c r="Q50"/>
  <c r="C56"/>
  <c r="D56"/>
  <c r="F56"/>
  <c r="E56"/>
  <c r="G56"/>
  <c r="I56"/>
  <c r="H56"/>
  <c r="L56"/>
  <c r="M56"/>
  <c r="O56"/>
  <c r="N56"/>
  <c r="P56"/>
  <c r="R56"/>
  <c r="Q56"/>
  <c r="C63"/>
  <c r="D63"/>
  <c r="F63"/>
  <c r="E63"/>
  <c r="G63"/>
  <c r="I63"/>
  <c r="H63"/>
  <c r="L63"/>
  <c r="M63"/>
  <c r="O63"/>
  <c r="N63"/>
  <c r="P63"/>
  <c r="R63"/>
  <c r="Q63"/>
  <c r="C69"/>
  <c r="D69"/>
  <c r="F69"/>
  <c r="E69"/>
  <c r="G69"/>
  <c r="I69"/>
  <c r="H69"/>
  <c r="L69"/>
  <c r="M69"/>
  <c r="O69"/>
  <c r="N69"/>
  <c r="P69"/>
  <c r="R69"/>
  <c r="Q69"/>
  <c r="C74"/>
  <c r="D74"/>
  <c r="F74"/>
  <c r="E74"/>
  <c r="G74"/>
  <c r="I74"/>
  <c r="H74"/>
  <c r="L74"/>
  <c r="M74"/>
  <c r="O74"/>
  <c r="N74"/>
  <c r="P74"/>
  <c r="R74"/>
  <c r="Q74"/>
  <c r="C80"/>
  <c r="D80"/>
  <c r="F80"/>
  <c r="E80"/>
  <c r="G80"/>
  <c r="I80"/>
  <c r="H80"/>
  <c r="L80"/>
  <c r="M80"/>
  <c r="O80"/>
  <c r="N80"/>
  <c r="P80"/>
  <c r="R80"/>
  <c r="Q80"/>
  <c r="C87"/>
  <c r="D87"/>
  <c r="F87"/>
  <c r="E87"/>
  <c r="G87"/>
  <c r="I87"/>
  <c r="H87"/>
  <c r="L87"/>
  <c r="M87"/>
  <c r="O87"/>
  <c r="N87"/>
  <c r="P87"/>
  <c r="R87"/>
  <c r="Q87"/>
  <c r="C93"/>
  <c r="D93"/>
  <c r="F93"/>
  <c r="E93"/>
  <c r="G93"/>
  <c r="I93"/>
  <c r="H93"/>
  <c r="L93"/>
  <c r="M93"/>
  <c r="O93"/>
  <c r="N93"/>
  <c r="P93"/>
  <c r="R93"/>
  <c r="Q93"/>
  <c r="C99"/>
  <c r="D99"/>
  <c r="F99"/>
  <c r="E99"/>
  <c r="G99"/>
  <c r="I99"/>
  <c r="H99"/>
  <c r="L99"/>
  <c r="M99"/>
  <c r="O99"/>
  <c r="N99"/>
  <c r="P99"/>
  <c r="R99"/>
  <c r="Q99"/>
  <c r="C105"/>
  <c r="D105"/>
  <c r="F105"/>
  <c r="E105"/>
  <c r="G105"/>
  <c r="I105"/>
  <c r="H105"/>
  <c r="L105"/>
  <c r="M105"/>
  <c r="O105"/>
  <c r="N105"/>
  <c r="P105"/>
  <c r="R105"/>
  <c r="Q105"/>
  <c r="C110"/>
  <c r="D110"/>
  <c r="F110"/>
  <c r="E110"/>
  <c r="G110"/>
  <c r="I110"/>
  <c r="H110"/>
  <c r="L110"/>
  <c r="M110"/>
  <c r="O110"/>
  <c r="N110"/>
  <c r="P110"/>
  <c r="R110"/>
  <c r="Q110"/>
  <c r="C116"/>
  <c r="D116"/>
  <c r="F116"/>
  <c r="E116"/>
  <c r="G116"/>
  <c r="I116"/>
  <c r="H116"/>
  <c r="L116"/>
  <c r="M116"/>
  <c r="O116"/>
  <c r="N116"/>
  <c r="P116"/>
  <c r="R116"/>
  <c r="Q116"/>
  <c r="C121"/>
  <c r="D121"/>
  <c r="F121"/>
  <c r="E121"/>
  <c r="G121"/>
  <c r="I121"/>
  <c r="H121"/>
  <c r="L121"/>
  <c r="M121"/>
  <c r="O121"/>
  <c r="N121"/>
  <c r="P121"/>
  <c r="R121"/>
  <c r="Q121"/>
  <c r="C126"/>
  <c r="D126"/>
  <c r="F126"/>
  <c r="E126"/>
  <c r="G126"/>
  <c r="I126"/>
  <c r="H126"/>
  <c r="L126"/>
  <c r="M126"/>
  <c r="O126"/>
  <c r="N126"/>
  <c r="P126"/>
  <c r="R126"/>
  <c r="Q126"/>
  <c r="C131"/>
  <c r="D131"/>
  <c r="F131"/>
  <c r="E131"/>
  <c r="G131"/>
  <c r="I131"/>
  <c r="H131"/>
  <c r="L131"/>
  <c r="M131"/>
  <c r="O131"/>
  <c r="N131"/>
  <c r="P131"/>
  <c r="R131"/>
  <c r="Q131"/>
  <c r="C153"/>
  <c r="D153"/>
  <c r="F153"/>
  <c r="E153"/>
  <c r="G153"/>
  <c r="I153"/>
  <c r="H153"/>
  <c r="L153"/>
  <c r="M153"/>
  <c r="O153"/>
  <c r="N153"/>
  <c r="P153"/>
  <c r="R153"/>
  <c r="Q153"/>
  <c r="C142"/>
  <c r="D142"/>
  <c r="F142"/>
  <c r="E142"/>
  <c r="G142"/>
  <c r="I142"/>
  <c r="H142"/>
  <c r="L142"/>
  <c r="M142"/>
  <c r="O142"/>
  <c r="N142"/>
  <c r="P142"/>
  <c r="R142"/>
  <c r="Q142"/>
  <c r="C136"/>
  <c r="D136"/>
  <c r="F136"/>
  <c r="E136"/>
  <c r="G136"/>
  <c r="I136"/>
  <c r="H136"/>
  <c r="L136"/>
  <c r="M136"/>
  <c r="O136"/>
  <c r="N136"/>
  <c r="P136"/>
  <c r="R136"/>
  <c r="Q136"/>
  <c r="K152"/>
  <c r="B152"/>
  <c r="U152"/>
  <c r="K151"/>
  <c r="B151"/>
  <c r="T151"/>
  <c r="K150"/>
  <c r="B150"/>
  <c r="U150"/>
  <c r="K149"/>
  <c r="B149"/>
  <c r="T149"/>
  <c r="K148"/>
  <c r="B148"/>
  <c r="U148"/>
  <c r="K147"/>
  <c r="B147"/>
  <c r="T147"/>
  <c r="K146"/>
  <c r="B146"/>
  <c r="V146"/>
  <c r="K145"/>
  <c r="B145"/>
  <c r="U145"/>
  <c r="K144"/>
  <c r="B144"/>
  <c r="B153"/>
  <c r="K141"/>
  <c r="B141"/>
  <c r="T141"/>
  <c r="K140"/>
  <c r="B140"/>
  <c r="U140"/>
  <c r="K139"/>
  <c r="B139"/>
  <c r="T139"/>
  <c r="K138"/>
  <c r="B138"/>
  <c r="K135"/>
  <c r="B135"/>
  <c r="U135"/>
  <c r="K134"/>
  <c r="B134"/>
  <c r="T134"/>
  <c r="K133"/>
  <c r="B133"/>
  <c r="B136"/>
  <c r="K130"/>
  <c r="B130"/>
  <c r="U130"/>
  <c r="K129"/>
  <c r="B129"/>
  <c r="T129"/>
  <c r="K128"/>
  <c r="B128"/>
  <c r="B131"/>
  <c r="K125"/>
  <c r="B125"/>
  <c r="U125"/>
  <c r="K124"/>
  <c r="B124"/>
  <c r="T124"/>
  <c r="K123"/>
  <c r="B123"/>
  <c r="K120"/>
  <c r="B120"/>
  <c r="U120"/>
  <c r="K119"/>
  <c r="B119"/>
  <c r="T119"/>
  <c r="K118"/>
  <c r="B118"/>
  <c r="B121"/>
  <c r="K115"/>
  <c r="B115"/>
  <c r="U115"/>
  <c r="K114"/>
  <c r="B114"/>
  <c r="T114"/>
  <c r="K113"/>
  <c r="B113"/>
  <c r="U113"/>
  <c r="K112"/>
  <c r="B112"/>
  <c r="B116"/>
  <c r="K109"/>
  <c r="B109"/>
  <c r="T109"/>
  <c r="K108"/>
  <c r="B108"/>
  <c r="U108"/>
  <c r="K107"/>
  <c r="B107"/>
  <c r="B110"/>
  <c r="K104"/>
  <c r="B104"/>
  <c r="T104"/>
  <c r="K103"/>
  <c r="B103"/>
  <c r="U103"/>
  <c r="K102"/>
  <c r="B102"/>
  <c r="T102"/>
  <c r="K101"/>
  <c r="B101"/>
  <c r="B105"/>
  <c r="K98"/>
  <c r="B98"/>
  <c r="U98"/>
  <c r="K97"/>
  <c r="B97"/>
  <c r="T97"/>
  <c r="K96"/>
  <c r="B96"/>
  <c r="U96"/>
  <c r="K95"/>
  <c r="B95"/>
  <c r="K92"/>
  <c r="B92"/>
  <c r="K91"/>
  <c r="B91"/>
  <c r="K90"/>
  <c r="B90"/>
  <c r="K89"/>
  <c r="K93"/>
  <c r="B89"/>
  <c r="K86"/>
  <c r="B86"/>
  <c r="K85"/>
  <c r="B85"/>
  <c r="K84"/>
  <c r="B84"/>
  <c r="K83"/>
  <c r="B83"/>
  <c r="K82"/>
  <c r="K87"/>
  <c r="B82"/>
  <c r="K79"/>
  <c r="B79"/>
  <c r="K78"/>
  <c r="B78"/>
  <c r="K77"/>
  <c r="B77"/>
  <c r="K76"/>
  <c r="K80"/>
  <c r="B76"/>
  <c r="K73"/>
  <c r="B73"/>
  <c r="K72"/>
  <c r="B72"/>
  <c r="K71"/>
  <c r="K74"/>
  <c r="B71"/>
  <c r="B74"/>
  <c r="K68"/>
  <c r="B68"/>
  <c r="K67"/>
  <c r="B67"/>
  <c r="K66"/>
  <c r="B66"/>
  <c r="K65"/>
  <c r="K69"/>
  <c r="B65"/>
  <c r="K62"/>
  <c r="B62"/>
  <c r="K61"/>
  <c r="B61"/>
  <c r="K60"/>
  <c r="B60"/>
  <c r="K59"/>
  <c r="B59"/>
  <c r="K58"/>
  <c r="K63"/>
  <c r="B58"/>
  <c r="K55"/>
  <c r="B55"/>
  <c r="K54"/>
  <c r="B54"/>
  <c r="K53"/>
  <c r="B53"/>
  <c r="K52"/>
  <c r="K56"/>
  <c r="B52"/>
  <c r="K49"/>
  <c r="B49"/>
  <c r="K48"/>
  <c r="B48"/>
  <c r="K47"/>
  <c r="B47"/>
  <c r="K46"/>
  <c r="K50"/>
  <c r="B46"/>
  <c r="K43"/>
  <c r="B43"/>
  <c r="K42"/>
  <c r="K41"/>
  <c r="K38"/>
  <c r="K37"/>
  <c r="K36"/>
  <c r="K35"/>
  <c r="K34"/>
  <c r="K31"/>
  <c r="K30"/>
  <c r="K29"/>
  <c r="K26"/>
  <c r="K25"/>
  <c r="K24"/>
  <c r="K21"/>
  <c r="K20"/>
  <c r="K19"/>
  <c r="K18"/>
  <c r="K15"/>
  <c r="K14"/>
  <c r="K13"/>
  <c r="K10"/>
  <c r="K9"/>
  <c r="K8"/>
  <c r="K5"/>
  <c r="K4"/>
  <c r="K3"/>
  <c r="K2"/>
  <c r="B3"/>
  <c r="T3"/>
  <c r="B4"/>
  <c r="B5"/>
  <c r="B8"/>
  <c r="B9"/>
  <c r="B10"/>
  <c r="B13"/>
  <c r="B14"/>
  <c r="B15"/>
  <c r="B18"/>
  <c r="B19"/>
  <c r="B20"/>
  <c r="B21"/>
  <c r="B24"/>
  <c r="B25"/>
  <c r="B26"/>
  <c r="B29"/>
  <c r="B30"/>
  <c r="B31"/>
  <c r="B34"/>
  <c r="B35"/>
  <c r="B36"/>
  <c r="B37"/>
  <c r="B38"/>
  <c r="B41"/>
  <c r="B42"/>
  <c r="B2"/>
  <c r="Z2"/>
  <c r="O239" i="2"/>
  <c r="O238"/>
  <c r="O243"/>
  <c r="P242"/>
  <c r="P241"/>
  <c r="P240"/>
  <c r="P239"/>
  <c r="P238"/>
  <c r="P237"/>
  <c r="R223"/>
  <c r="R220"/>
  <c r="R219"/>
  <c r="R224"/>
  <c r="S223"/>
  <c r="S222"/>
  <c r="S221"/>
  <c r="S220"/>
  <c r="S219"/>
  <c r="S218"/>
  <c r="R202"/>
  <c r="R205"/>
  <c r="R204"/>
  <c r="R206"/>
  <c r="R201"/>
  <c r="S205"/>
  <c r="S204"/>
  <c r="S203"/>
  <c r="S202"/>
  <c r="S201"/>
  <c r="S200"/>
  <c r="O188"/>
  <c r="O184"/>
  <c r="O186"/>
  <c r="O189"/>
  <c r="O185"/>
  <c r="P188"/>
  <c r="P187"/>
  <c r="P186"/>
  <c r="P185"/>
  <c r="P184"/>
  <c r="P183"/>
  <c r="M166"/>
  <c r="M167"/>
  <c r="M168"/>
  <c r="M170"/>
  <c r="M171"/>
  <c r="N170"/>
  <c r="N169"/>
  <c r="N168"/>
  <c r="N167"/>
  <c r="N166"/>
  <c r="N165"/>
  <c r="N153"/>
  <c r="N152"/>
  <c r="N149"/>
  <c r="N148"/>
  <c r="N145"/>
  <c r="O152"/>
  <c r="O151"/>
  <c r="O150"/>
  <c r="O149"/>
  <c r="O148"/>
  <c r="O147"/>
  <c r="Q132"/>
  <c r="Q130"/>
  <c r="Q129"/>
  <c r="Q128"/>
  <c r="Q127"/>
  <c r="Q133"/>
  <c r="Q125"/>
  <c r="R132"/>
  <c r="R131"/>
  <c r="R130"/>
  <c r="R129"/>
  <c r="R128"/>
  <c r="R127"/>
  <c r="P113"/>
  <c r="L91"/>
  <c r="L96"/>
  <c r="L94"/>
  <c r="L89"/>
  <c r="L97"/>
  <c r="N77"/>
  <c r="N72"/>
  <c r="N73"/>
  <c r="N74"/>
  <c r="N75"/>
  <c r="N78"/>
  <c r="N70"/>
  <c r="O60"/>
  <c r="O52"/>
  <c r="O59"/>
  <c r="O54"/>
  <c r="O57"/>
  <c r="P105"/>
  <c r="L43"/>
  <c r="L41"/>
  <c r="L40"/>
  <c r="L38"/>
  <c r="L24"/>
  <c r="L26"/>
  <c r="L25"/>
  <c r="L22"/>
  <c r="M10"/>
  <c r="M8"/>
  <c r="M5"/>
  <c r="M6"/>
  <c r="M7"/>
  <c r="L44"/>
  <c r="L36"/>
  <c r="L20"/>
  <c r="M11"/>
  <c r="M3"/>
  <c r="N5"/>
  <c r="N6"/>
  <c r="N7"/>
  <c r="N8"/>
  <c r="N9"/>
  <c r="N10"/>
  <c r="L27"/>
  <c r="M22"/>
  <c r="M23"/>
  <c r="M24"/>
  <c r="M25"/>
  <c r="M26"/>
  <c r="M38"/>
  <c r="M39"/>
  <c r="M40"/>
  <c r="M41"/>
  <c r="M42"/>
  <c r="M43"/>
  <c r="P54"/>
  <c r="P55"/>
  <c r="P56"/>
  <c r="P57"/>
  <c r="P58"/>
  <c r="P59"/>
  <c r="O72"/>
  <c r="O73"/>
  <c r="O74"/>
  <c r="O75"/>
  <c r="O76"/>
  <c r="O77"/>
  <c r="M91"/>
  <c r="M92"/>
  <c r="M93"/>
  <c r="M94"/>
  <c r="M95"/>
  <c r="M96"/>
  <c r="Q107"/>
  <c r="Q108"/>
  <c r="Q109"/>
  <c r="Q110"/>
  <c r="Q111"/>
  <c r="Q112"/>
  <c r="C332"/>
  <c r="D332"/>
  <c r="E332"/>
  <c r="F332"/>
  <c r="G332"/>
  <c r="H332"/>
  <c r="T42" i="3"/>
  <c r="W42"/>
  <c r="X42"/>
  <c r="Z42"/>
  <c r="U42"/>
  <c r="V42"/>
  <c r="Y42"/>
  <c r="U38"/>
  <c r="V38"/>
  <c r="Y38"/>
  <c r="T38"/>
  <c r="W38"/>
  <c r="X38"/>
  <c r="Z38"/>
  <c r="U36"/>
  <c r="V36"/>
  <c r="Y36"/>
  <c r="T36"/>
  <c r="W36"/>
  <c r="X36"/>
  <c r="Z36"/>
  <c r="U34"/>
  <c r="V34"/>
  <c r="Y34"/>
  <c r="T34"/>
  <c r="W34"/>
  <c r="X34"/>
  <c r="Z34"/>
  <c r="T30"/>
  <c r="W30"/>
  <c r="X30"/>
  <c r="Z30"/>
  <c r="U30"/>
  <c r="V30"/>
  <c r="Y30"/>
  <c r="U26"/>
  <c r="V26"/>
  <c r="Y26"/>
  <c r="T26"/>
  <c r="W26"/>
  <c r="X26"/>
  <c r="Z26"/>
  <c r="U24"/>
  <c r="V24"/>
  <c r="Y24"/>
  <c r="T24"/>
  <c r="W24"/>
  <c r="X24"/>
  <c r="Z24"/>
  <c r="T20"/>
  <c r="W20"/>
  <c r="X20"/>
  <c r="Z20"/>
  <c r="U20"/>
  <c r="V20"/>
  <c r="Y20"/>
  <c r="T18"/>
  <c r="W18"/>
  <c r="X18"/>
  <c r="Z18"/>
  <c r="U18"/>
  <c r="V18"/>
  <c r="Y18"/>
  <c r="U14"/>
  <c r="V14"/>
  <c r="Y14"/>
  <c r="T14"/>
  <c r="W14"/>
  <c r="X14"/>
  <c r="Z14"/>
  <c r="T10"/>
  <c r="W10"/>
  <c r="X10"/>
  <c r="Z10"/>
  <c r="U10"/>
  <c r="V10"/>
  <c r="Y10"/>
  <c r="T8"/>
  <c r="W8"/>
  <c r="X8"/>
  <c r="Z8"/>
  <c r="U8"/>
  <c r="V8"/>
  <c r="Y8"/>
  <c r="T4"/>
  <c r="W4"/>
  <c r="X4"/>
  <c r="Z4"/>
  <c r="U4"/>
  <c r="V4"/>
  <c r="Y4"/>
  <c r="K11"/>
  <c r="K22"/>
  <c r="K27"/>
  <c r="K39"/>
  <c r="Z152"/>
  <c r="X152"/>
  <c r="W152"/>
  <c r="T152"/>
  <c r="Y151"/>
  <c r="V151"/>
  <c r="U151"/>
  <c r="Z150"/>
  <c r="X150"/>
  <c r="W150"/>
  <c r="T150"/>
  <c r="V149"/>
  <c r="Z148"/>
  <c r="X148"/>
  <c r="W148"/>
  <c r="T148"/>
  <c r="Y147"/>
  <c r="V147"/>
  <c r="U147"/>
  <c r="Z146"/>
  <c r="X146"/>
  <c r="U146"/>
  <c r="Z145"/>
  <c r="X145"/>
  <c r="W145"/>
  <c r="T145"/>
  <c r="Y144"/>
  <c r="V144"/>
  <c r="U144"/>
  <c r="V141"/>
  <c r="Z140"/>
  <c r="X140"/>
  <c r="W140"/>
  <c r="T140"/>
  <c r="Y139"/>
  <c r="V139"/>
  <c r="U139"/>
  <c r="Z138"/>
  <c r="X138"/>
  <c r="W138"/>
  <c r="T138"/>
  <c r="Z135"/>
  <c r="X135"/>
  <c r="W135"/>
  <c r="T135"/>
  <c r="Y134"/>
  <c r="V134"/>
  <c r="U134"/>
  <c r="Z133"/>
  <c r="X133"/>
  <c r="W133"/>
  <c r="T133"/>
  <c r="Z130"/>
  <c r="X130"/>
  <c r="W130"/>
  <c r="T130"/>
  <c r="Y129"/>
  <c r="V129"/>
  <c r="U129"/>
  <c r="Z128"/>
  <c r="W128"/>
  <c r="Z125"/>
  <c r="X125"/>
  <c r="W125"/>
  <c r="T125"/>
  <c r="Y124"/>
  <c r="U124"/>
  <c r="Z123"/>
  <c r="X123"/>
  <c r="W123"/>
  <c r="T123"/>
  <c r="Z120"/>
  <c r="X120"/>
  <c r="W120"/>
  <c r="T120"/>
  <c r="Y119"/>
  <c r="V119"/>
  <c r="U119"/>
  <c r="Z118"/>
  <c r="X118"/>
  <c r="W118"/>
  <c r="T118"/>
  <c r="X115"/>
  <c r="T115"/>
  <c r="Y114"/>
  <c r="V114"/>
  <c r="U114"/>
  <c r="Z113"/>
  <c r="X113"/>
  <c r="W113"/>
  <c r="T113"/>
  <c r="Y112"/>
  <c r="V112"/>
  <c r="U112"/>
  <c r="Y109"/>
  <c r="V109"/>
  <c r="U109"/>
  <c r="Z108"/>
  <c r="X108"/>
  <c r="W108"/>
  <c r="T108"/>
  <c r="Y107"/>
  <c r="V107"/>
  <c r="U107"/>
  <c r="Y104"/>
  <c r="V104"/>
  <c r="U104"/>
  <c r="Z103"/>
  <c r="X103"/>
  <c r="W103"/>
  <c r="T103"/>
  <c r="Y102"/>
  <c r="V102"/>
  <c r="U102"/>
  <c r="Z101"/>
  <c r="X101"/>
  <c r="W101"/>
  <c r="T101"/>
  <c r="Z98"/>
  <c r="X98"/>
  <c r="W98"/>
  <c r="T98"/>
  <c r="Y97"/>
  <c r="V97"/>
  <c r="U97"/>
  <c r="Z96"/>
  <c r="X96"/>
  <c r="W96"/>
  <c r="T96"/>
  <c r="Y95"/>
  <c r="V95"/>
  <c r="U95"/>
  <c r="U41"/>
  <c r="V41"/>
  <c r="Y41"/>
  <c r="T41"/>
  <c r="W41"/>
  <c r="X41"/>
  <c r="Z41"/>
  <c r="T37"/>
  <c r="W37"/>
  <c r="X37"/>
  <c r="Z37"/>
  <c r="U37"/>
  <c r="V37"/>
  <c r="Y37"/>
  <c r="T35"/>
  <c r="W35"/>
  <c r="X35"/>
  <c r="Z35"/>
  <c r="U35"/>
  <c r="V35"/>
  <c r="Y35"/>
  <c r="U31"/>
  <c r="V31"/>
  <c r="Y31"/>
  <c r="T31"/>
  <c r="W31"/>
  <c r="X31"/>
  <c r="Z31"/>
  <c r="U29"/>
  <c r="V29"/>
  <c r="Y29"/>
  <c r="T29"/>
  <c r="W29"/>
  <c r="X29"/>
  <c r="Z29"/>
  <c r="T25"/>
  <c r="W25"/>
  <c r="X25"/>
  <c r="Z25"/>
  <c r="U25"/>
  <c r="V25"/>
  <c r="Y25"/>
  <c r="U21"/>
  <c r="V21"/>
  <c r="Y21"/>
  <c r="T21"/>
  <c r="W21"/>
  <c r="X21"/>
  <c r="Z21"/>
  <c r="U19"/>
  <c r="V19"/>
  <c r="Y19"/>
  <c r="T19"/>
  <c r="W19"/>
  <c r="X19"/>
  <c r="Z19"/>
  <c r="T15"/>
  <c r="W15"/>
  <c r="X15"/>
  <c r="Z15"/>
  <c r="U15"/>
  <c r="V15"/>
  <c r="Y15"/>
  <c r="T13"/>
  <c r="W13"/>
  <c r="X13"/>
  <c r="Z13"/>
  <c r="U13"/>
  <c r="V13"/>
  <c r="Y13"/>
  <c r="U9"/>
  <c r="V9"/>
  <c r="Y9"/>
  <c r="T9"/>
  <c r="W9"/>
  <c r="X9"/>
  <c r="Z9"/>
  <c r="U5"/>
  <c r="V5"/>
  <c r="Y5"/>
  <c r="T5"/>
  <c r="W5"/>
  <c r="X5"/>
  <c r="Z5"/>
  <c r="U43"/>
  <c r="V43"/>
  <c r="Y43"/>
  <c r="T43"/>
  <c r="W43"/>
  <c r="X43"/>
  <c r="Z43"/>
  <c r="B50"/>
  <c r="X50"/>
  <c r="U46"/>
  <c r="V46"/>
  <c r="Y46"/>
  <c r="T46"/>
  <c r="W46"/>
  <c r="X46"/>
  <c r="Z46"/>
  <c r="T47"/>
  <c r="W47"/>
  <c r="X47"/>
  <c r="Z47"/>
  <c r="U47"/>
  <c r="V47"/>
  <c r="Y47"/>
  <c r="U48"/>
  <c r="V48"/>
  <c r="Y48"/>
  <c r="T48"/>
  <c r="W48"/>
  <c r="X48"/>
  <c r="Z48"/>
  <c r="T49"/>
  <c r="W49"/>
  <c r="X49"/>
  <c r="Z49"/>
  <c r="U49"/>
  <c r="V49"/>
  <c r="Y49"/>
  <c r="B56"/>
  <c r="X56"/>
  <c r="T52"/>
  <c r="W52"/>
  <c r="X52"/>
  <c r="Z52"/>
  <c r="U52"/>
  <c r="V52"/>
  <c r="Y52"/>
  <c r="U53"/>
  <c r="V53"/>
  <c r="Y53"/>
  <c r="T53"/>
  <c r="W53"/>
  <c r="X53"/>
  <c r="Z53"/>
  <c r="T54"/>
  <c r="W54"/>
  <c r="X54"/>
  <c r="Z54"/>
  <c r="U54"/>
  <c r="V54"/>
  <c r="Y54"/>
  <c r="U55"/>
  <c r="V55"/>
  <c r="Y55"/>
  <c r="T55"/>
  <c r="W55"/>
  <c r="X55"/>
  <c r="Z55"/>
  <c r="B63"/>
  <c r="X63"/>
  <c r="U58"/>
  <c r="V58"/>
  <c r="Y58"/>
  <c r="T58"/>
  <c r="W58"/>
  <c r="X58"/>
  <c r="Z58"/>
  <c r="T59"/>
  <c r="W59"/>
  <c r="X59"/>
  <c r="Z59"/>
  <c r="U59"/>
  <c r="V59"/>
  <c r="Y59"/>
  <c r="U60"/>
  <c r="V60"/>
  <c r="Y60"/>
  <c r="T60"/>
  <c r="W60"/>
  <c r="X60"/>
  <c r="Z60"/>
  <c r="T61"/>
  <c r="W61"/>
  <c r="X61"/>
  <c r="Z61"/>
  <c r="U61"/>
  <c r="V61"/>
  <c r="Y61"/>
  <c r="U62"/>
  <c r="V62"/>
  <c r="Y62"/>
  <c r="T62"/>
  <c r="W62"/>
  <c r="X62"/>
  <c r="Z62"/>
  <c r="B69"/>
  <c r="X69"/>
  <c r="U65"/>
  <c r="V65"/>
  <c r="Y65"/>
  <c r="T65"/>
  <c r="W65"/>
  <c r="X65"/>
  <c r="Z65"/>
  <c r="T66"/>
  <c r="W66"/>
  <c r="X66"/>
  <c r="Z66"/>
  <c r="U66"/>
  <c r="V66"/>
  <c r="Y66"/>
  <c r="U67"/>
  <c r="V67"/>
  <c r="Y67"/>
  <c r="T67"/>
  <c r="W67"/>
  <c r="X67"/>
  <c r="Z67"/>
  <c r="T68"/>
  <c r="W68"/>
  <c r="X68"/>
  <c r="Z68"/>
  <c r="U68"/>
  <c r="V68"/>
  <c r="Y68"/>
  <c r="T71"/>
  <c r="W71"/>
  <c r="X71"/>
  <c r="Z71"/>
  <c r="U71"/>
  <c r="V71"/>
  <c r="Y71"/>
  <c r="U72"/>
  <c r="V72"/>
  <c r="Y72"/>
  <c r="T72"/>
  <c r="W72"/>
  <c r="X72"/>
  <c r="Z72"/>
  <c r="T73"/>
  <c r="X73"/>
  <c r="U73"/>
  <c r="Y73"/>
  <c r="B80"/>
  <c r="X80"/>
  <c r="T76"/>
  <c r="W76"/>
  <c r="X76"/>
  <c r="Z76"/>
  <c r="U76"/>
  <c r="V76"/>
  <c r="Y76"/>
  <c r="U77"/>
  <c r="V77"/>
  <c r="Y77"/>
  <c r="T77"/>
  <c r="W77"/>
  <c r="X77"/>
  <c r="Z77"/>
  <c r="T78"/>
  <c r="W78"/>
  <c r="X78"/>
  <c r="Z78"/>
  <c r="U78"/>
  <c r="V78"/>
  <c r="Y78"/>
  <c r="U79"/>
  <c r="V79"/>
  <c r="Y79"/>
  <c r="T79"/>
  <c r="W79"/>
  <c r="X79"/>
  <c r="Z79"/>
  <c r="B87"/>
  <c r="X87"/>
  <c r="U82"/>
  <c r="V82"/>
  <c r="Y82"/>
  <c r="T82"/>
  <c r="W82"/>
  <c r="X82"/>
  <c r="Z82"/>
  <c r="T83"/>
  <c r="W83"/>
  <c r="X83"/>
  <c r="Z83"/>
  <c r="U83"/>
  <c r="V83"/>
  <c r="Y83"/>
  <c r="U84"/>
  <c r="V84"/>
  <c r="Y84"/>
  <c r="T84"/>
  <c r="W84"/>
  <c r="X84"/>
  <c r="Z84"/>
  <c r="T85"/>
  <c r="W85"/>
  <c r="X85"/>
  <c r="Z85"/>
  <c r="U85"/>
  <c r="V85"/>
  <c r="Y85"/>
  <c r="U86"/>
  <c r="V86"/>
  <c r="Y86"/>
  <c r="T86"/>
  <c r="W86"/>
  <c r="X86"/>
  <c r="Z86"/>
  <c r="B93"/>
  <c r="X93"/>
  <c r="U89"/>
  <c r="V89"/>
  <c r="Y89"/>
  <c r="T89"/>
  <c r="W89"/>
  <c r="X89"/>
  <c r="Z89"/>
  <c r="T90"/>
  <c r="W90"/>
  <c r="X90"/>
  <c r="Z90"/>
  <c r="U90"/>
  <c r="V90"/>
  <c r="Y90"/>
  <c r="U91"/>
  <c r="V91"/>
  <c r="Y91"/>
  <c r="T91"/>
  <c r="W91"/>
  <c r="X91"/>
  <c r="Z91"/>
  <c r="T92"/>
  <c r="W92"/>
  <c r="X92"/>
  <c r="Z92"/>
  <c r="U92"/>
  <c r="V92"/>
  <c r="Y92"/>
  <c r="Z87"/>
  <c r="U87"/>
  <c r="V80"/>
  <c r="Z69"/>
  <c r="V69"/>
  <c r="U69"/>
  <c r="Z63"/>
  <c r="V63"/>
  <c r="U63"/>
  <c r="Z56"/>
  <c r="V56"/>
  <c r="U56"/>
  <c r="Z50"/>
  <c r="V50"/>
  <c r="U50"/>
  <c r="Y152"/>
  <c r="V152"/>
  <c r="Z151"/>
  <c r="X151"/>
  <c r="W151"/>
  <c r="Y150"/>
  <c r="V150"/>
  <c r="Z149"/>
  <c r="W149"/>
  <c r="Y148"/>
  <c r="V148"/>
  <c r="Z147"/>
  <c r="X147"/>
  <c r="W147"/>
  <c r="Y146"/>
  <c r="W146"/>
  <c r="T146"/>
  <c r="Y145"/>
  <c r="V145"/>
  <c r="Z144"/>
  <c r="X144"/>
  <c r="W144"/>
  <c r="T144"/>
  <c r="X141"/>
  <c r="Y140"/>
  <c r="V140"/>
  <c r="Z139"/>
  <c r="X139"/>
  <c r="W139"/>
  <c r="Y138"/>
  <c r="V138"/>
  <c r="U138"/>
  <c r="Y135"/>
  <c r="V135"/>
  <c r="Z134"/>
  <c r="X134"/>
  <c r="W134"/>
  <c r="Y133"/>
  <c r="V133"/>
  <c r="U133"/>
  <c r="Y130"/>
  <c r="V130"/>
  <c r="Z129"/>
  <c r="X129"/>
  <c r="W129"/>
  <c r="Y128"/>
  <c r="U128"/>
  <c r="Y125"/>
  <c r="V125"/>
  <c r="Z124"/>
  <c r="W124"/>
  <c r="Y123"/>
  <c r="V123"/>
  <c r="U123"/>
  <c r="Y120"/>
  <c r="V120"/>
  <c r="Z119"/>
  <c r="X119"/>
  <c r="W119"/>
  <c r="Y118"/>
  <c r="V118"/>
  <c r="U118"/>
  <c r="V115"/>
  <c r="Z114"/>
  <c r="X114"/>
  <c r="W114"/>
  <c r="Y113"/>
  <c r="V113"/>
  <c r="Z112"/>
  <c r="X112"/>
  <c r="W112"/>
  <c r="T112"/>
  <c r="Z109"/>
  <c r="X109"/>
  <c r="W109"/>
  <c r="Y108"/>
  <c r="V108"/>
  <c r="Z107"/>
  <c r="X107"/>
  <c r="W107"/>
  <c r="T107"/>
  <c r="Z104"/>
  <c r="X104"/>
  <c r="W104"/>
  <c r="Y103"/>
  <c r="V103"/>
  <c r="Z102"/>
  <c r="X102"/>
  <c r="W102"/>
  <c r="Y101"/>
  <c r="V101"/>
  <c r="U101"/>
  <c r="Y98"/>
  <c r="V98"/>
  <c r="Z97"/>
  <c r="X97"/>
  <c r="W97"/>
  <c r="Y96"/>
  <c r="V96"/>
  <c r="Z95"/>
  <c r="X95"/>
  <c r="W95"/>
  <c r="T95"/>
  <c r="Y3"/>
  <c r="V3"/>
  <c r="U3"/>
  <c r="Z3"/>
  <c r="X3"/>
  <c r="W3"/>
  <c r="T2"/>
  <c r="W2"/>
  <c r="X2"/>
  <c r="Y2"/>
  <c r="U2"/>
  <c r="V2"/>
  <c r="B39"/>
  <c r="X39"/>
  <c r="B27"/>
  <c r="X27"/>
  <c r="B22"/>
  <c r="X22"/>
  <c r="B11"/>
  <c r="X11"/>
  <c r="R155"/>
  <c r="N155"/>
  <c r="M155"/>
  <c r="H155"/>
  <c r="G155"/>
  <c r="B44"/>
  <c r="X44"/>
  <c r="B32"/>
  <c r="X32"/>
  <c r="B16"/>
  <c r="X16"/>
  <c r="K16"/>
  <c r="K32"/>
  <c r="K44"/>
  <c r="Q155"/>
  <c r="P155"/>
  <c r="O155"/>
  <c r="I155"/>
  <c r="E155"/>
  <c r="D155"/>
  <c r="B6"/>
  <c r="K6"/>
  <c r="U11"/>
  <c r="Z11"/>
  <c r="V16"/>
  <c r="U22"/>
  <c r="Z22"/>
  <c r="V27"/>
  <c r="U32"/>
  <c r="Z32"/>
  <c r="V39"/>
  <c r="U44"/>
  <c r="Z44"/>
  <c r="W11"/>
  <c r="Y11"/>
  <c r="W16"/>
  <c r="Y16"/>
  <c r="W22"/>
  <c r="Y22"/>
  <c r="W27"/>
  <c r="Y27"/>
  <c r="W32"/>
  <c r="Y32"/>
  <c r="W39"/>
  <c r="Y39"/>
  <c r="W44"/>
  <c r="Y44"/>
  <c r="W50"/>
  <c r="Y50"/>
  <c r="W56"/>
  <c r="Y56"/>
  <c r="W63"/>
  <c r="Y63"/>
  <c r="W69"/>
  <c r="Y69"/>
  <c r="Y80"/>
  <c r="Y87"/>
  <c r="U93"/>
  <c r="Z93"/>
  <c r="W93"/>
  <c r="Y93"/>
  <c r="V11"/>
  <c r="U16"/>
  <c r="Z16"/>
  <c r="V22"/>
  <c r="U27"/>
  <c r="Z27"/>
  <c r="V32"/>
  <c r="U39"/>
  <c r="Z39"/>
  <c r="V44"/>
  <c r="T11"/>
  <c r="T16"/>
  <c r="T22"/>
  <c r="T27"/>
  <c r="T32"/>
  <c r="T39"/>
  <c r="T44"/>
  <c r="T50"/>
  <c r="T56"/>
  <c r="T63"/>
  <c r="T69"/>
  <c r="T80"/>
  <c r="V93"/>
  <c r="T93"/>
  <c r="U6"/>
  <c r="V6"/>
  <c r="Y6"/>
  <c r="W6"/>
  <c r="X6"/>
  <c r="Z6"/>
  <c r="T6"/>
  <c r="V6" i="12"/>
  <c r="W6"/>
  <c r="X6"/>
  <c r="Y6"/>
  <c r="Z6"/>
  <c r="AC6"/>
  <c r="AA6"/>
  <c r="V11"/>
  <c r="W11"/>
  <c r="X11"/>
  <c r="Y11"/>
  <c r="Z11"/>
  <c r="AC11"/>
  <c r="AA11"/>
  <c r="V16"/>
  <c r="W16"/>
  <c r="X16"/>
  <c r="Y16"/>
  <c r="Z16"/>
  <c r="AC16"/>
  <c r="AA16"/>
  <c r="V22"/>
  <c r="W22"/>
  <c r="X22"/>
  <c r="Y22"/>
  <c r="Z22"/>
  <c r="AC22"/>
  <c r="AA22"/>
  <c r="V27"/>
  <c r="W27"/>
  <c r="X27"/>
  <c r="Y27"/>
  <c r="Z27"/>
  <c r="AC27"/>
  <c r="AA27"/>
  <c r="V32"/>
  <c r="W32"/>
  <c r="X32"/>
  <c r="Y32"/>
  <c r="Z32"/>
  <c r="AC32"/>
  <c r="AA32"/>
  <c r="V39"/>
  <c r="W39"/>
  <c r="X39"/>
  <c r="Y39"/>
  <c r="Z39"/>
  <c r="AC39"/>
  <c r="AA39"/>
  <c r="V2"/>
  <c r="W2"/>
  <c r="X2"/>
  <c r="Y2"/>
  <c r="Z2"/>
  <c r="AC2"/>
  <c r="AA2"/>
  <c r="V3"/>
  <c r="W3"/>
  <c r="X3"/>
  <c r="Y3"/>
  <c r="Z3"/>
  <c r="AC3"/>
  <c r="V4"/>
  <c r="W4"/>
  <c r="X4"/>
  <c r="Y4"/>
  <c r="Z4"/>
  <c r="AC4"/>
  <c r="V5"/>
  <c r="W5"/>
  <c r="X5"/>
  <c r="Y5"/>
  <c r="Z5"/>
  <c r="AC5"/>
  <c r="V8"/>
  <c r="W8"/>
  <c r="X8"/>
  <c r="Y8"/>
  <c r="Z8"/>
  <c r="AC8"/>
  <c r="AA8"/>
  <c r="V9"/>
  <c r="W9"/>
  <c r="X9"/>
  <c r="Y9"/>
  <c r="Z9"/>
  <c r="AC9"/>
  <c r="V10"/>
  <c r="W10"/>
  <c r="X10"/>
  <c r="Y10"/>
  <c r="Z10"/>
  <c r="AC10"/>
  <c r="V13"/>
  <c r="W13"/>
  <c r="X13"/>
  <c r="Y13"/>
  <c r="Z13"/>
  <c r="AC13"/>
  <c r="AA13"/>
  <c r="V14"/>
  <c r="W14"/>
  <c r="X14"/>
  <c r="Y14"/>
  <c r="Z14"/>
  <c r="AC14"/>
  <c r="V15"/>
  <c r="W15"/>
  <c r="X15"/>
  <c r="Y15"/>
  <c r="Z15"/>
  <c r="AC15"/>
  <c r="V18"/>
  <c r="W18"/>
  <c r="X18"/>
  <c r="Y18"/>
  <c r="Z18"/>
  <c r="AC18"/>
  <c r="AA18"/>
  <c r="V19"/>
  <c r="W19"/>
  <c r="X19"/>
  <c r="Y19"/>
  <c r="Z19"/>
  <c r="AC19"/>
  <c r="V20"/>
  <c r="W20"/>
  <c r="X20"/>
  <c r="Y20"/>
  <c r="Z20"/>
  <c r="AC20"/>
  <c r="V21"/>
  <c r="W21"/>
  <c r="X21"/>
  <c r="Y21"/>
  <c r="Z21"/>
  <c r="AC21"/>
  <c r="V24"/>
  <c r="W24"/>
  <c r="X24"/>
  <c r="Y24"/>
  <c r="Z24"/>
  <c r="AC24"/>
  <c r="AA24"/>
  <c r="V25"/>
  <c r="W25"/>
  <c r="X25"/>
  <c r="Y25"/>
  <c r="Z25"/>
  <c r="AC25"/>
  <c r="V26"/>
  <c r="W26"/>
  <c r="X26"/>
  <c r="Y26"/>
  <c r="Z26"/>
  <c r="AC26"/>
  <c r="V29"/>
  <c r="W29"/>
  <c r="X29"/>
  <c r="Y29"/>
  <c r="Z29"/>
  <c r="AC29"/>
  <c r="AA29"/>
  <c r="V30"/>
  <c r="W30"/>
  <c r="X30"/>
  <c r="Y30"/>
  <c r="Z30"/>
  <c r="AC30"/>
  <c r="V31"/>
  <c r="W31"/>
  <c r="X31"/>
  <c r="Y31"/>
  <c r="Z31"/>
  <c r="AC31"/>
  <c r="V34"/>
  <c r="W34"/>
  <c r="X34"/>
  <c r="Y34"/>
  <c r="Z34"/>
  <c r="AC34"/>
  <c r="AA34"/>
  <c r="V35"/>
  <c r="W35"/>
  <c r="X35"/>
  <c r="Y35"/>
  <c r="Z35"/>
  <c r="AC35"/>
  <c r="V36"/>
  <c r="W36"/>
  <c r="X36"/>
  <c r="Y36"/>
  <c r="Z36"/>
  <c r="AC36"/>
  <c r="V37"/>
  <c r="W37"/>
  <c r="X37"/>
  <c r="Y37"/>
  <c r="Z37"/>
  <c r="AC37"/>
  <c r="V38"/>
  <c r="W38"/>
  <c r="X38"/>
  <c r="Y38"/>
  <c r="Z38"/>
  <c r="AC38"/>
  <c r="V41"/>
  <c r="W41"/>
  <c r="X41"/>
  <c r="Y41"/>
  <c r="Z41"/>
  <c r="AC41"/>
  <c r="AA41"/>
  <c r="V42"/>
  <c r="W42"/>
  <c r="X42"/>
  <c r="Y42"/>
  <c r="Z42"/>
  <c r="AC42"/>
  <c r="V44"/>
  <c r="W44"/>
  <c r="X44"/>
  <c r="Y44"/>
  <c r="Z44"/>
  <c r="AC44"/>
  <c r="AA44"/>
  <c r="V49"/>
  <c r="W49"/>
  <c r="X49"/>
  <c r="Y49"/>
  <c r="Z49"/>
  <c r="AC49"/>
  <c r="AA49"/>
  <c r="V55"/>
  <c r="W55"/>
  <c r="X55"/>
  <c r="Y55"/>
  <c r="Z55"/>
  <c r="AC55"/>
  <c r="AA55"/>
  <c r="V62"/>
  <c r="W62"/>
  <c r="X62"/>
  <c r="Y62"/>
  <c r="Z62"/>
  <c r="AC62"/>
  <c r="AA62"/>
  <c r="V68"/>
  <c r="W68"/>
  <c r="X68"/>
  <c r="Y68"/>
  <c r="Z68"/>
  <c r="AC68"/>
  <c r="AA68"/>
  <c r="V73"/>
  <c r="W73"/>
  <c r="X73"/>
  <c r="Y73"/>
  <c r="Z73"/>
  <c r="AC73"/>
  <c r="AA73"/>
  <c r="V79"/>
  <c r="W79"/>
  <c r="X79"/>
  <c r="Y79"/>
  <c r="Z79"/>
  <c r="AC79"/>
  <c r="AA79"/>
  <c r="V85"/>
  <c r="W85"/>
  <c r="X85"/>
  <c r="Y85"/>
  <c r="Z85"/>
  <c r="AC85"/>
  <c r="AA85"/>
  <c r="V90"/>
  <c r="W90"/>
  <c r="X90"/>
  <c r="Y90"/>
  <c r="Z90"/>
  <c r="AC90"/>
  <c r="AA90"/>
  <c r="V96"/>
  <c r="W96"/>
  <c r="X96"/>
  <c r="Y96"/>
  <c r="Z96"/>
  <c r="AC96"/>
  <c r="AA96"/>
  <c r="V101"/>
  <c r="W101"/>
  <c r="X101"/>
  <c r="Y101"/>
  <c r="Z101"/>
  <c r="AC101"/>
  <c r="AA101"/>
  <c r="V106"/>
  <c r="W106"/>
  <c r="X106"/>
  <c r="Y106"/>
  <c r="Z106"/>
  <c r="AC106"/>
  <c r="AA106"/>
  <c r="V112"/>
  <c r="W112"/>
  <c r="X112"/>
  <c r="V43"/>
  <c r="W43"/>
  <c r="X43"/>
  <c r="Y43"/>
  <c r="Z43"/>
  <c r="AC43"/>
  <c r="V46"/>
  <c r="W46"/>
  <c r="X46"/>
  <c r="Y46"/>
  <c r="Z46"/>
  <c r="AC46"/>
  <c r="AA46"/>
  <c r="V47"/>
  <c r="W47"/>
  <c r="X47"/>
  <c r="Y47"/>
  <c r="Z47"/>
  <c r="AC47"/>
  <c r="V48"/>
  <c r="W48"/>
  <c r="X48"/>
  <c r="Y48"/>
  <c r="Z48"/>
  <c r="AC48"/>
  <c r="V51"/>
  <c r="W51"/>
  <c r="X51"/>
  <c r="Y51"/>
  <c r="Z51"/>
  <c r="AC51"/>
  <c r="AA51"/>
  <c r="V52"/>
  <c r="W52"/>
  <c r="X52"/>
  <c r="Y52"/>
  <c r="Z52"/>
  <c r="AC52"/>
  <c r="V53"/>
  <c r="W53"/>
  <c r="X53"/>
  <c r="Y53"/>
  <c r="Z53"/>
  <c r="AC53"/>
  <c r="V54"/>
  <c r="W54"/>
  <c r="X54"/>
  <c r="Y54"/>
  <c r="Z54"/>
  <c r="AC54"/>
  <c r="V57"/>
  <c r="W57"/>
  <c r="X57"/>
  <c r="Y57"/>
  <c r="Z57"/>
  <c r="AC57"/>
  <c r="AA57"/>
  <c r="V58"/>
  <c r="W58"/>
  <c r="X58"/>
  <c r="Y58"/>
  <c r="Z58"/>
  <c r="AC58"/>
  <c r="V59"/>
  <c r="W59"/>
  <c r="X59"/>
  <c r="Y59"/>
  <c r="Z59"/>
  <c r="AC59"/>
  <c r="V60"/>
  <c r="W60"/>
  <c r="X60"/>
  <c r="Y60"/>
  <c r="Z60"/>
  <c r="AC60"/>
  <c r="V61"/>
  <c r="W61"/>
  <c r="X61"/>
  <c r="Y61"/>
  <c r="Z61"/>
  <c r="AC61"/>
  <c r="V64"/>
  <c r="W64"/>
  <c r="X64"/>
  <c r="Y64"/>
  <c r="Z64"/>
  <c r="AC64"/>
  <c r="AA64"/>
  <c r="V65"/>
  <c r="W65"/>
  <c r="X65"/>
  <c r="Y65"/>
  <c r="Z65"/>
  <c r="AC65"/>
  <c r="V66"/>
  <c r="W66"/>
  <c r="X66"/>
  <c r="Y66"/>
  <c r="Z66"/>
  <c r="AC66"/>
  <c r="V67"/>
  <c r="W67"/>
  <c r="X67"/>
  <c r="Y67"/>
  <c r="Z67"/>
  <c r="AC67"/>
  <c r="V70"/>
  <c r="W70"/>
  <c r="X70"/>
  <c r="Y70"/>
  <c r="Z70"/>
  <c r="AC70"/>
  <c r="AA70"/>
  <c r="V71"/>
  <c r="W71"/>
  <c r="X71"/>
  <c r="Y71"/>
  <c r="Z71"/>
  <c r="AC71"/>
  <c r="V72"/>
  <c r="W72"/>
  <c r="X72"/>
  <c r="Y72"/>
  <c r="Z72"/>
  <c r="AC72"/>
  <c r="V75"/>
  <c r="W75"/>
  <c r="X75"/>
  <c r="Y75"/>
  <c r="Z75"/>
  <c r="AC75"/>
  <c r="AA75"/>
  <c r="V76"/>
  <c r="W76"/>
  <c r="X76"/>
  <c r="Y76"/>
  <c r="Z76"/>
  <c r="AC76"/>
  <c r="V77"/>
  <c r="W77"/>
  <c r="X77"/>
  <c r="Y77"/>
  <c r="Z77"/>
  <c r="AC77"/>
  <c r="V78"/>
  <c r="W78"/>
  <c r="X78"/>
  <c r="Y78"/>
  <c r="Z78"/>
  <c r="AC78"/>
  <c r="V81"/>
  <c r="W81"/>
  <c r="X81"/>
  <c r="Y81"/>
  <c r="Z81"/>
  <c r="AC81"/>
  <c r="AA81"/>
  <c r="V82"/>
  <c r="W82"/>
  <c r="X82"/>
  <c r="Y82"/>
  <c r="Z82"/>
  <c r="AC82"/>
  <c r="V83"/>
  <c r="W83"/>
  <c r="X83"/>
  <c r="Y83"/>
  <c r="Z83"/>
  <c r="AC83"/>
  <c r="V84"/>
  <c r="W84"/>
  <c r="X84"/>
  <c r="Y84"/>
  <c r="Z84"/>
  <c r="AC84"/>
  <c r="V87"/>
  <c r="W87"/>
  <c r="X87"/>
  <c r="Y87"/>
  <c r="Z87"/>
  <c r="AC87"/>
  <c r="AA87"/>
  <c r="V88"/>
  <c r="W88"/>
  <c r="X88"/>
  <c r="Y88"/>
  <c r="Z88"/>
  <c r="AC88"/>
  <c r="V89"/>
  <c r="W89"/>
  <c r="X89"/>
  <c r="Y89"/>
  <c r="Z89"/>
  <c r="AC89"/>
  <c r="V92"/>
  <c r="W92"/>
  <c r="X92"/>
  <c r="Y92"/>
  <c r="Z92"/>
  <c r="AC92"/>
  <c r="AA92"/>
  <c r="V93"/>
  <c r="W93"/>
  <c r="X93"/>
  <c r="Y93"/>
  <c r="Z93"/>
  <c r="AC93"/>
  <c r="V94"/>
  <c r="W94"/>
  <c r="X94"/>
  <c r="Y94"/>
  <c r="Z94"/>
  <c r="AC94"/>
  <c r="V95"/>
  <c r="W95"/>
  <c r="X95"/>
  <c r="Y95"/>
  <c r="Z95"/>
  <c r="AC95"/>
  <c r="V98"/>
  <c r="W98"/>
  <c r="X98"/>
  <c r="Y98"/>
  <c r="Z98"/>
  <c r="AC98"/>
  <c r="AA98"/>
  <c r="V99"/>
  <c r="W99"/>
  <c r="X99"/>
  <c r="Y99"/>
  <c r="Z99"/>
  <c r="AC99"/>
  <c r="V100"/>
  <c r="W100"/>
  <c r="X100"/>
  <c r="Y100"/>
  <c r="Z100"/>
  <c r="AC100"/>
  <c r="V103"/>
  <c r="W103"/>
  <c r="X103"/>
  <c r="Y103"/>
  <c r="Z103"/>
  <c r="AC103"/>
  <c r="AA103"/>
  <c r="V104"/>
  <c r="W104"/>
  <c r="X104"/>
  <c r="Y104"/>
  <c r="Z104"/>
  <c r="AC104"/>
  <c r="V105"/>
  <c r="W105"/>
  <c r="X105"/>
  <c r="Y105"/>
  <c r="Z105"/>
  <c r="AC105"/>
  <c r="V108"/>
  <c r="W108"/>
  <c r="X108"/>
  <c r="Y108"/>
  <c r="Z108"/>
  <c r="AC108"/>
  <c r="AA108"/>
  <c r="V109"/>
  <c r="W109"/>
  <c r="X109"/>
  <c r="Y109"/>
  <c r="Z109"/>
  <c r="AC109"/>
  <c r="V110"/>
  <c r="W110"/>
  <c r="X110"/>
  <c r="Y110"/>
  <c r="Z110"/>
  <c r="AC110"/>
  <c r="V111"/>
  <c r="W111"/>
  <c r="X111"/>
  <c r="Y111"/>
  <c r="Z111"/>
  <c r="AC111"/>
  <c r="Y112"/>
  <c r="Z112"/>
  <c r="AC112"/>
  <c r="AA112"/>
  <c r="V117"/>
  <c r="W117"/>
  <c r="X117"/>
  <c r="Y117"/>
  <c r="Z117"/>
  <c r="AC117"/>
  <c r="AA117"/>
  <c r="V122"/>
  <c r="W122"/>
  <c r="X122"/>
  <c r="Y122"/>
  <c r="Z122"/>
  <c r="AC122"/>
  <c r="AA122"/>
  <c r="V127"/>
  <c r="W127"/>
  <c r="X127"/>
  <c r="Y127"/>
  <c r="Z127"/>
  <c r="AC127"/>
  <c r="AA127"/>
  <c r="V132"/>
  <c r="W132"/>
  <c r="X132"/>
  <c r="Y132"/>
  <c r="Z132"/>
  <c r="AC132"/>
  <c r="AA132"/>
  <c r="V139"/>
  <c r="W139"/>
  <c r="X139"/>
  <c r="Y139"/>
  <c r="Z139"/>
  <c r="AC139"/>
  <c r="AA139"/>
  <c r="B152"/>
  <c r="L152"/>
  <c r="C152"/>
  <c r="AB152"/>
  <c r="V152"/>
  <c r="D152"/>
  <c r="W152"/>
  <c r="E152"/>
  <c r="X152"/>
  <c r="F152"/>
  <c r="Y152"/>
  <c r="G152"/>
  <c r="Z152"/>
  <c r="J152"/>
  <c r="AC152"/>
  <c r="H152"/>
  <c r="AA152"/>
  <c r="M152"/>
  <c r="N152"/>
  <c r="O152"/>
  <c r="P152"/>
  <c r="Q152"/>
  <c r="T152"/>
  <c r="R152"/>
  <c r="V114"/>
  <c r="W114"/>
  <c r="X114"/>
  <c r="Y114"/>
  <c r="Z114"/>
  <c r="AC114"/>
  <c r="AA114"/>
  <c r="V115"/>
  <c r="W115"/>
  <c r="X115"/>
  <c r="Y115"/>
  <c r="Z115"/>
  <c r="AC115"/>
  <c r="V116"/>
  <c r="W116"/>
  <c r="X116"/>
  <c r="Y116"/>
  <c r="Z116"/>
  <c r="AC116"/>
  <c r="V119"/>
  <c r="W119"/>
  <c r="X119"/>
  <c r="Y119"/>
  <c r="Z119"/>
  <c r="AC119"/>
  <c r="AA119"/>
  <c r="V120"/>
  <c r="W120"/>
  <c r="X120"/>
  <c r="Y120"/>
  <c r="Z120"/>
  <c r="AC120"/>
  <c r="V121"/>
  <c r="W121"/>
  <c r="X121"/>
  <c r="Y121"/>
  <c r="Z121"/>
  <c r="AC121"/>
  <c r="V124"/>
  <c r="W124"/>
  <c r="X124"/>
  <c r="Y124"/>
  <c r="Z124"/>
  <c r="AC124"/>
  <c r="AA124"/>
  <c r="V125"/>
  <c r="W125"/>
  <c r="X125"/>
  <c r="Y125"/>
  <c r="Z125"/>
  <c r="AC125"/>
  <c r="V126"/>
  <c r="W126"/>
  <c r="X126"/>
  <c r="Y126"/>
  <c r="Z126"/>
  <c r="AC126"/>
  <c r="V129"/>
  <c r="W129"/>
  <c r="X129"/>
  <c r="Y129"/>
  <c r="Z129"/>
  <c r="AC129"/>
  <c r="AA129"/>
  <c r="V130"/>
  <c r="W130"/>
  <c r="X130"/>
  <c r="Y130"/>
  <c r="Z130"/>
  <c r="AC130"/>
  <c r="V131"/>
  <c r="W131"/>
  <c r="X131"/>
  <c r="Y131"/>
  <c r="Z131"/>
  <c r="AC131"/>
  <c r="V134"/>
  <c r="W134"/>
  <c r="X134"/>
  <c r="Y134"/>
  <c r="Z134"/>
  <c r="AC134"/>
  <c r="AA134"/>
  <c r="V135"/>
  <c r="W135"/>
  <c r="X135"/>
  <c r="Y135"/>
  <c r="Z135"/>
  <c r="AC135"/>
  <c r="V136"/>
  <c r="W136"/>
  <c r="X136"/>
  <c r="Y136"/>
  <c r="Z136"/>
  <c r="AC136"/>
  <c r="V138"/>
  <c r="W138"/>
  <c r="X138"/>
  <c r="Y138"/>
  <c r="Z138"/>
  <c r="AC138"/>
  <c r="V141"/>
  <c r="W141"/>
  <c r="X141"/>
  <c r="Y141"/>
  <c r="Z141"/>
  <c r="AC141"/>
  <c r="AA141"/>
  <c r="V142"/>
  <c r="W142"/>
  <c r="X142"/>
  <c r="Y142"/>
  <c r="Z142"/>
  <c r="AC142"/>
  <c r="V143"/>
  <c r="W143"/>
  <c r="X143"/>
  <c r="Y143"/>
  <c r="Z143"/>
  <c r="AC143"/>
  <c r="V144"/>
  <c r="W144"/>
  <c r="X144"/>
  <c r="Y144"/>
  <c r="Z144"/>
  <c r="AC144"/>
  <c r="V145"/>
  <c r="W145"/>
  <c r="X145"/>
  <c r="Y145"/>
  <c r="Z145"/>
  <c r="AC145"/>
  <c r="V146"/>
  <c r="W146"/>
  <c r="X146"/>
  <c r="Y146"/>
  <c r="Z146"/>
  <c r="AC146"/>
  <c r="V147"/>
  <c r="W147"/>
  <c r="X147"/>
  <c r="Y147"/>
  <c r="Z147"/>
  <c r="AC147"/>
  <c r="V148"/>
  <c r="W148"/>
  <c r="X148"/>
  <c r="Y148"/>
  <c r="Z148"/>
  <c r="AC148"/>
  <c r="V149"/>
  <c r="W149"/>
  <c r="X149"/>
  <c r="Y149"/>
  <c r="Z149"/>
  <c r="AC149"/>
  <c r="V150"/>
  <c r="W150"/>
  <c r="X150"/>
  <c r="Y150"/>
  <c r="Z150"/>
  <c r="AC150"/>
  <c r="AA150"/>
  <c r="T6" i="11"/>
  <c r="U6"/>
  <c r="V6"/>
  <c r="W6"/>
  <c r="X6"/>
  <c r="Z6"/>
  <c r="Y6"/>
  <c r="T11"/>
  <c r="U11"/>
  <c r="V11"/>
  <c r="W11"/>
  <c r="X11"/>
  <c r="Z11"/>
  <c r="Y11"/>
  <c r="T16"/>
  <c r="U16"/>
  <c r="V16"/>
  <c r="W16"/>
  <c r="X16"/>
  <c r="Z16"/>
  <c r="Y16"/>
  <c r="T22"/>
  <c r="U22"/>
  <c r="V22"/>
  <c r="W22"/>
  <c r="X22"/>
  <c r="Z22"/>
  <c r="Y22"/>
  <c r="T27"/>
  <c r="U27"/>
  <c r="V27"/>
  <c r="W27"/>
  <c r="X27"/>
  <c r="Z27"/>
  <c r="Y27"/>
  <c r="T32"/>
  <c r="U32"/>
  <c r="V32"/>
  <c r="W32"/>
  <c r="X32"/>
  <c r="Z32"/>
  <c r="Y32"/>
  <c r="T39"/>
  <c r="U39"/>
  <c r="V39"/>
  <c r="W39"/>
  <c r="X39"/>
  <c r="Z39"/>
  <c r="Y39"/>
  <c r="T2"/>
  <c r="U2"/>
  <c r="V2"/>
  <c r="W2"/>
  <c r="X2"/>
  <c r="Z2"/>
  <c r="Y2"/>
  <c r="T3"/>
  <c r="U3"/>
  <c r="V3"/>
  <c r="W3"/>
  <c r="X3"/>
  <c r="Z3"/>
  <c r="T4"/>
  <c r="U4"/>
  <c r="V4"/>
  <c r="W4"/>
  <c r="X4"/>
  <c r="Z4"/>
  <c r="T5"/>
  <c r="U5"/>
  <c r="V5"/>
  <c r="W5"/>
  <c r="X5"/>
  <c r="Z5"/>
  <c r="T8"/>
  <c r="U8"/>
  <c r="V8"/>
  <c r="W8"/>
  <c r="X8"/>
  <c r="Z8"/>
  <c r="Y8"/>
  <c r="T9"/>
  <c r="U9"/>
  <c r="V9"/>
  <c r="W9"/>
  <c r="X9"/>
  <c r="Z9"/>
  <c r="T10"/>
  <c r="U10"/>
  <c r="V10"/>
  <c r="W10"/>
  <c r="X10"/>
  <c r="Z10"/>
  <c r="T13"/>
  <c r="U13"/>
  <c r="V13"/>
  <c r="W13"/>
  <c r="X13"/>
  <c r="Z13"/>
  <c r="Y13"/>
  <c r="T14"/>
  <c r="U14"/>
  <c r="V14"/>
  <c r="W14"/>
  <c r="X14"/>
  <c r="Z14"/>
  <c r="T15"/>
  <c r="U15"/>
  <c r="V15"/>
  <c r="W15"/>
  <c r="X15"/>
  <c r="Z15"/>
  <c r="T18"/>
  <c r="U18"/>
  <c r="V18"/>
  <c r="W18"/>
  <c r="X18"/>
  <c r="Z18"/>
  <c r="Y18"/>
  <c r="T19"/>
  <c r="U19"/>
  <c r="V19"/>
  <c r="W19"/>
  <c r="X19"/>
  <c r="Z19"/>
  <c r="T20"/>
  <c r="U20"/>
  <c r="V20"/>
  <c r="W20"/>
  <c r="X20"/>
  <c r="Z20"/>
  <c r="T21"/>
  <c r="U21"/>
  <c r="V21"/>
  <c r="W21"/>
  <c r="X21"/>
  <c r="Z21"/>
  <c r="T24"/>
  <c r="U24"/>
  <c r="V24"/>
  <c r="W24"/>
  <c r="X24"/>
  <c r="Z24"/>
  <c r="Y24"/>
  <c r="T25"/>
  <c r="U25"/>
  <c r="V25"/>
  <c r="W25"/>
  <c r="X25"/>
  <c r="Z25"/>
  <c r="T26"/>
  <c r="U26"/>
  <c r="V26"/>
  <c r="W26"/>
  <c r="X26"/>
  <c r="Z26"/>
  <c r="T29"/>
  <c r="U29"/>
  <c r="V29"/>
  <c r="W29"/>
  <c r="X29"/>
  <c r="Z29"/>
  <c r="Y29"/>
  <c r="T30"/>
  <c r="U30"/>
  <c r="V30"/>
  <c r="W30"/>
  <c r="X30"/>
  <c r="Z30"/>
  <c r="T31"/>
  <c r="U31"/>
  <c r="V31"/>
  <c r="W31"/>
  <c r="X31"/>
  <c r="Z31"/>
  <c r="T34"/>
  <c r="U34"/>
  <c r="V34"/>
  <c r="W34"/>
  <c r="X34"/>
  <c r="Z34"/>
  <c r="Y34"/>
  <c r="T35"/>
  <c r="U35"/>
  <c r="V35"/>
  <c r="W35"/>
  <c r="X35"/>
  <c r="Z35"/>
  <c r="T36"/>
  <c r="U36"/>
  <c r="V36"/>
  <c r="W36"/>
  <c r="X36"/>
  <c r="Z36"/>
  <c r="T37"/>
  <c r="U37"/>
  <c r="V37"/>
  <c r="W37"/>
  <c r="X37"/>
  <c r="Z37"/>
  <c r="T38"/>
  <c r="U38"/>
  <c r="V38"/>
  <c r="W38"/>
  <c r="X38"/>
  <c r="Z38"/>
  <c r="T41"/>
  <c r="U41"/>
  <c r="V41"/>
  <c r="W41"/>
  <c r="X41"/>
  <c r="Z41"/>
  <c r="Y41"/>
  <c r="T42"/>
  <c r="U42"/>
  <c r="V42"/>
  <c r="W42"/>
  <c r="X42"/>
  <c r="Z42"/>
  <c r="T44"/>
  <c r="U44"/>
  <c r="V44"/>
  <c r="W44"/>
  <c r="X44"/>
  <c r="Z44"/>
  <c r="Y44"/>
  <c r="T49"/>
  <c r="U49"/>
  <c r="V49"/>
  <c r="W49"/>
  <c r="X49"/>
  <c r="Z49"/>
  <c r="Y49"/>
  <c r="T55"/>
  <c r="U55"/>
  <c r="V55"/>
  <c r="W55"/>
  <c r="X55"/>
  <c r="Z55"/>
  <c r="Y55"/>
  <c r="T62"/>
  <c r="U62"/>
  <c r="V62"/>
  <c r="W62"/>
  <c r="X62"/>
  <c r="Z62"/>
  <c r="Y62"/>
  <c r="T68"/>
  <c r="U68"/>
  <c r="V68"/>
  <c r="W68"/>
  <c r="X68"/>
  <c r="Z68"/>
  <c r="Y68"/>
  <c r="T73"/>
  <c r="U73"/>
  <c r="V73"/>
  <c r="W73"/>
  <c r="X73"/>
  <c r="Z73"/>
  <c r="Y73"/>
  <c r="T79"/>
  <c r="U79"/>
  <c r="V79"/>
  <c r="W79"/>
  <c r="X79"/>
  <c r="Z79"/>
  <c r="Y79"/>
  <c r="T85"/>
  <c r="U85"/>
  <c r="V85"/>
  <c r="W85"/>
  <c r="X85"/>
  <c r="Z85"/>
  <c r="Y85"/>
  <c r="T90"/>
  <c r="U90"/>
  <c r="V90"/>
  <c r="W90"/>
  <c r="X90"/>
  <c r="Z90"/>
  <c r="Y90"/>
  <c r="T96"/>
  <c r="U96"/>
  <c r="V96"/>
  <c r="W96"/>
  <c r="X96"/>
  <c r="Z96"/>
  <c r="Y96"/>
  <c r="T101"/>
  <c r="U101"/>
  <c r="V101"/>
  <c r="W101"/>
  <c r="X101"/>
  <c r="Z101"/>
  <c r="Y101"/>
  <c r="T106"/>
  <c r="U106"/>
  <c r="V106"/>
  <c r="W106"/>
  <c r="X106"/>
  <c r="Z106"/>
  <c r="Y106"/>
  <c r="T112"/>
  <c r="U112"/>
  <c r="V112"/>
  <c r="T43"/>
  <c r="U43"/>
  <c r="V43"/>
  <c r="W43"/>
  <c r="X43"/>
  <c r="Z43"/>
  <c r="T46"/>
  <c r="U46"/>
  <c r="V46"/>
  <c r="W46"/>
  <c r="X46"/>
  <c r="Z46"/>
  <c r="Y46"/>
  <c r="T47"/>
  <c r="U47"/>
  <c r="V47"/>
  <c r="W47"/>
  <c r="X47"/>
  <c r="Z47"/>
  <c r="T48"/>
  <c r="U48"/>
  <c r="V48"/>
  <c r="W48"/>
  <c r="X48"/>
  <c r="Z48"/>
  <c r="T51"/>
  <c r="U51"/>
  <c r="V51"/>
  <c r="W51"/>
  <c r="X51"/>
  <c r="Z51"/>
  <c r="Y51"/>
  <c r="T52"/>
  <c r="U52"/>
  <c r="V52"/>
  <c r="W52"/>
  <c r="X52"/>
  <c r="Z52"/>
  <c r="T53"/>
  <c r="U53"/>
  <c r="V53"/>
  <c r="W53"/>
  <c r="X53"/>
  <c r="Z53"/>
  <c r="T54"/>
  <c r="U54"/>
  <c r="V54"/>
  <c r="W54"/>
  <c r="X54"/>
  <c r="Z54"/>
  <c r="T57"/>
  <c r="U57"/>
  <c r="V57"/>
  <c r="W57"/>
  <c r="X57"/>
  <c r="Z57"/>
  <c r="Y57"/>
  <c r="T58"/>
  <c r="U58"/>
  <c r="V58"/>
  <c r="W58"/>
  <c r="X58"/>
  <c r="Z58"/>
  <c r="T59"/>
  <c r="U59"/>
  <c r="V59"/>
  <c r="W59"/>
  <c r="X59"/>
  <c r="Z59"/>
  <c r="T60"/>
  <c r="U60"/>
  <c r="V60"/>
  <c r="W60"/>
  <c r="X60"/>
  <c r="Z60"/>
  <c r="T61"/>
  <c r="U61"/>
  <c r="V61"/>
  <c r="W61"/>
  <c r="X61"/>
  <c r="Z61"/>
  <c r="T64"/>
  <c r="U64"/>
  <c r="V64"/>
  <c r="W64"/>
  <c r="X64"/>
  <c r="Z64"/>
  <c r="Y64"/>
  <c r="T65"/>
  <c r="U65"/>
  <c r="V65"/>
  <c r="W65"/>
  <c r="X65"/>
  <c r="Z65"/>
  <c r="T66"/>
  <c r="U66"/>
  <c r="V66"/>
  <c r="W66"/>
  <c r="X66"/>
  <c r="Z66"/>
  <c r="T67"/>
  <c r="U67"/>
  <c r="V67"/>
  <c r="W67"/>
  <c r="X67"/>
  <c r="Z67"/>
  <c r="T70"/>
  <c r="U70"/>
  <c r="V70"/>
  <c r="W70"/>
  <c r="X70"/>
  <c r="Z70"/>
  <c r="Y70"/>
  <c r="T71"/>
  <c r="U71"/>
  <c r="V71"/>
  <c r="W71"/>
  <c r="X71"/>
  <c r="Z71"/>
  <c r="T72"/>
  <c r="U72"/>
  <c r="V72"/>
  <c r="W72"/>
  <c r="X72"/>
  <c r="Z72"/>
  <c r="T75"/>
  <c r="U75"/>
  <c r="V75"/>
  <c r="W75"/>
  <c r="X75"/>
  <c r="Z75"/>
  <c r="Y75"/>
  <c r="T76"/>
  <c r="U76"/>
  <c r="V76"/>
  <c r="W76"/>
  <c r="X76"/>
  <c r="Z76"/>
  <c r="T77"/>
  <c r="U77"/>
  <c r="V77"/>
  <c r="W77"/>
  <c r="X77"/>
  <c r="Z77"/>
  <c r="T78"/>
  <c r="U78"/>
  <c r="V78"/>
  <c r="W78"/>
  <c r="X78"/>
  <c r="Z78"/>
  <c r="T81"/>
  <c r="U81"/>
  <c r="V81"/>
  <c r="W81"/>
  <c r="X81"/>
  <c r="Z81"/>
  <c r="Y81"/>
  <c r="T82"/>
  <c r="U82"/>
  <c r="V82"/>
  <c r="W82"/>
  <c r="X82"/>
  <c r="Z82"/>
  <c r="T83"/>
  <c r="U83"/>
  <c r="V83"/>
  <c r="W83"/>
  <c r="X83"/>
  <c r="Z83"/>
  <c r="T84"/>
  <c r="U84"/>
  <c r="V84"/>
  <c r="W84"/>
  <c r="X84"/>
  <c r="Z84"/>
  <c r="T87"/>
  <c r="U87"/>
  <c r="V87"/>
  <c r="W87"/>
  <c r="X87"/>
  <c r="Z87"/>
  <c r="Y87"/>
  <c r="T88"/>
  <c r="U88"/>
  <c r="V88"/>
  <c r="W88"/>
  <c r="X88"/>
  <c r="Z88"/>
  <c r="T89"/>
  <c r="U89"/>
  <c r="V89"/>
  <c r="W89"/>
  <c r="X89"/>
  <c r="Z89"/>
  <c r="T92"/>
  <c r="U92"/>
  <c r="V92"/>
  <c r="W92"/>
  <c r="X92"/>
  <c r="Z92"/>
  <c r="Y92"/>
  <c r="T93"/>
  <c r="U93"/>
  <c r="V93"/>
  <c r="W93"/>
  <c r="X93"/>
  <c r="Z93"/>
  <c r="T94"/>
  <c r="U94"/>
  <c r="V94"/>
  <c r="W94"/>
  <c r="X94"/>
  <c r="Z94"/>
  <c r="T95"/>
  <c r="U95"/>
  <c r="V95"/>
  <c r="W95"/>
  <c r="X95"/>
  <c r="Z95"/>
  <c r="T98"/>
  <c r="U98"/>
  <c r="V98"/>
  <c r="W98"/>
  <c r="X98"/>
  <c r="Z98"/>
  <c r="Y98"/>
  <c r="T99"/>
  <c r="U99"/>
  <c r="V99"/>
  <c r="W99"/>
  <c r="X99"/>
  <c r="Z99"/>
  <c r="T100"/>
  <c r="U100"/>
  <c r="V100"/>
  <c r="W100"/>
  <c r="X100"/>
  <c r="Z100"/>
  <c r="T103"/>
  <c r="U103"/>
  <c r="V103"/>
  <c r="W103"/>
  <c r="X103"/>
  <c r="Z103"/>
  <c r="Y103"/>
  <c r="T104"/>
  <c r="U104"/>
  <c r="V104"/>
  <c r="W104"/>
  <c r="X104"/>
  <c r="Z104"/>
  <c r="T105"/>
  <c r="U105"/>
  <c r="V105"/>
  <c r="W105"/>
  <c r="X105"/>
  <c r="Z105"/>
  <c r="T108"/>
  <c r="U108"/>
  <c r="V108"/>
  <c r="W108"/>
  <c r="X108"/>
  <c r="Z108"/>
  <c r="Y108"/>
  <c r="T109"/>
  <c r="U109"/>
  <c r="V109"/>
  <c r="W109"/>
  <c r="X109"/>
  <c r="Z109"/>
  <c r="T110"/>
  <c r="U110"/>
  <c r="V110"/>
  <c r="W110"/>
  <c r="X110"/>
  <c r="Z110"/>
  <c r="T111"/>
  <c r="U111"/>
  <c r="V111"/>
  <c r="W111"/>
  <c r="X111"/>
  <c r="Z111"/>
  <c r="W112"/>
  <c r="X112"/>
  <c r="Z112"/>
  <c r="Y112"/>
  <c r="T117"/>
  <c r="U117"/>
  <c r="V117"/>
  <c r="W117"/>
  <c r="X117"/>
  <c r="Z117"/>
  <c r="Y117"/>
  <c r="T122"/>
  <c r="U122"/>
  <c r="V122"/>
  <c r="W122"/>
  <c r="X122"/>
  <c r="Z122"/>
  <c r="Y122"/>
  <c r="T127"/>
  <c r="U127"/>
  <c r="V127"/>
  <c r="W127"/>
  <c r="X127"/>
  <c r="Z127"/>
  <c r="Y127"/>
  <c r="T132"/>
  <c r="U132"/>
  <c r="V132"/>
  <c r="W132"/>
  <c r="X132"/>
  <c r="Z132"/>
  <c r="Y132"/>
  <c r="T139"/>
  <c r="U139"/>
  <c r="V139"/>
  <c r="W139"/>
  <c r="X139"/>
  <c r="Z139"/>
  <c r="Y139"/>
  <c r="B152"/>
  <c r="K152"/>
  <c r="C152"/>
  <c r="T152"/>
  <c r="D152"/>
  <c r="U152"/>
  <c r="E152"/>
  <c r="V152"/>
  <c r="F152"/>
  <c r="W152"/>
  <c r="G152"/>
  <c r="X152"/>
  <c r="I152"/>
  <c r="Z152"/>
  <c r="H152"/>
  <c r="Y152"/>
  <c r="L152"/>
  <c r="M152"/>
  <c r="N152"/>
  <c r="O152"/>
  <c r="P152"/>
  <c r="R152"/>
  <c r="Q152"/>
  <c r="T114"/>
  <c r="U114"/>
  <c r="V114"/>
  <c r="W114"/>
  <c r="X114"/>
  <c r="Z114"/>
  <c r="Y114"/>
  <c r="T115"/>
  <c r="U115"/>
  <c r="V115"/>
  <c r="W115"/>
  <c r="X115"/>
  <c r="Z115"/>
  <c r="T116"/>
  <c r="U116"/>
  <c r="V116"/>
  <c r="W116"/>
  <c r="X116"/>
  <c r="Z116"/>
  <c r="T119"/>
  <c r="U119"/>
  <c r="V119"/>
  <c r="W119"/>
  <c r="X119"/>
  <c r="Z119"/>
  <c r="Y119"/>
  <c r="T120"/>
  <c r="U120"/>
  <c r="V120"/>
  <c r="W120"/>
  <c r="X120"/>
  <c r="Z120"/>
  <c r="T121"/>
  <c r="U121"/>
  <c r="V121"/>
  <c r="W121"/>
  <c r="X121"/>
  <c r="Z121"/>
  <c r="T124"/>
  <c r="U124"/>
  <c r="V124"/>
  <c r="W124"/>
  <c r="X124"/>
  <c r="Z124"/>
  <c r="Y124"/>
  <c r="T125"/>
  <c r="U125"/>
  <c r="V125"/>
  <c r="W125"/>
  <c r="X125"/>
  <c r="Z125"/>
  <c r="T126"/>
  <c r="U126"/>
  <c r="V126"/>
  <c r="W126"/>
  <c r="X126"/>
  <c r="Z126"/>
  <c r="T129"/>
  <c r="U129"/>
  <c r="V129"/>
  <c r="W129"/>
  <c r="X129"/>
  <c r="Z129"/>
  <c r="Y129"/>
  <c r="T130"/>
  <c r="U130"/>
  <c r="V130"/>
  <c r="W130"/>
  <c r="X130"/>
  <c r="Z130"/>
  <c r="T131"/>
  <c r="U131"/>
  <c r="V131"/>
  <c r="W131"/>
  <c r="X131"/>
  <c r="Z131"/>
  <c r="T134"/>
  <c r="U134"/>
  <c r="V134"/>
  <c r="W134"/>
  <c r="X134"/>
  <c r="Z134"/>
  <c r="Y134"/>
  <c r="T135"/>
  <c r="U135"/>
  <c r="V135"/>
  <c r="W135"/>
  <c r="X135"/>
  <c r="Z135"/>
  <c r="T136"/>
  <c r="U136"/>
  <c r="V136"/>
  <c r="W136"/>
  <c r="X136"/>
  <c r="Z136"/>
  <c r="T138"/>
  <c r="U138"/>
  <c r="V138"/>
  <c r="W138"/>
  <c r="X138"/>
  <c r="Z138"/>
  <c r="T141"/>
  <c r="U141"/>
  <c r="V141"/>
  <c r="W141"/>
  <c r="X141"/>
  <c r="Z141"/>
  <c r="Y141"/>
  <c r="T142"/>
  <c r="U142"/>
  <c r="V142"/>
  <c r="W142"/>
  <c r="X142"/>
  <c r="Z142"/>
  <c r="T143"/>
  <c r="U143"/>
  <c r="V143"/>
  <c r="W143"/>
  <c r="X143"/>
  <c r="Z143"/>
  <c r="T144"/>
  <c r="U144"/>
  <c r="V144"/>
  <c r="W144"/>
  <c r="X144"/>
  <c r="Z144"/>
  <c r="T145"/>
  <c r="U145"/>
  <c r="V145"/>
  <c r="W145"/>
  <c r="X145"/>
  <c r="Z145"/>
  <c r="T146"/>
  <c r="U146"/>
  <c r="V146"/>
  <c r="W146"/>
  <c r="X146"/>
  <c r="Z146"/>
  <c r="T147"/>
  <c r="U147"/>
  <c r="V147"/>
  <c r="W147"/>
  <c r="X147"/>
  <c r="Z147"/>
  <c r="T148"/>
  <c r="U148"/>
  <c r="V148"/>
  <c r="W148"/>
  <c r="X148"/>
  <c r="Z148"/>
  <c r="T149"/>
  <c r="U149"/>
  <c r="V149"/>
  <c r="W149"/>
  <c r="X149"/>
  <c r="Z149"/>
  <c r="T150"/>
  <c r="U150"/>
  <c r="V150"/>
  <c r="W150"/>
  <c r="X150"/>
  <c r="Z150"/>
  <c r="Y150"/>
  <c r="R6" i="10"/>
  <c r="S6"/>
  <c r="T6"/>
  <c r="U6"/>
  <c r="V6"/>
  <c r="W6"/>
  <c r="R11"/>
  <c r="S11"/>
  <c r="T11"/>
  <c r="U11"/>
  <c r="V11"/>
  <c r="W11"/>
  <c r="R16"/>
  <c r="S16"/>
  <c r="T16"/>
  <c r="U16"/>
  <c r="V16"/>
  <c r="W16"/>
  <c r="R22"/>
  <c r="S22"/>
  <c r="T22"/>
  <c r="U22"/>
  <c r="V22"/>
  <c r="W22"/>
  <c r="R27"/>
  <c r="S27"/>
  <c r="T27"/>
  <c r="U27"/>
  <c r="V27"/>
  <c r="W27"/>
  <c r="R32"/>
  <c r="S32"/>
  <c r="T32"/>
  <c r="U32"/>
  <c r="V32"/>
  <c r="W32"/>
  <c r="R39"/>
  <c r="S39"/>
  <c r="T39"/>
  <c r="U39"/>
  <c r="V39"/>
  <c r="W39"/>
  <c r="R2"/>
  <c r="S2"/>
  <c r="T2"/>
  <c r="U2"/>
  <c r="V2"/>
  <c r="W2"/>
  <c r="R3"/>
  <c r="S3"/>
  <c r="T3"/>
  <c r="U3"/>
  <c r="V3"/>
  <c r="W3"/>
  <c r="R4"/>
  <c r="S4"/>
  <c r="T4"/>
  <c r="U4"/>
  <c r="V4"/>
  <c r="W4"/>
  <c r="R5"/>
  <c r="S5"/>
  <c r="T5"/>
  <c r="U5"/>
  <c r="V5"/>
  <c r="W5"/>
  <c r="R8"/>
  <c r="S8"/>
  <c r="T8"/>
  <c r="U8"/>
  <c r="V8"/>
  <c r="W8"/>
  <c r="R9"/>
  <c r="S9"/>
  <c r="T9"/>
  <c r="U9"/>
  <c r="V9"/>
  <c r="W9"/>
  <c r="R10"/>
  <c r="S10"/>
  <c r="T10"/>
  <c r="U10"/>
  <c r="V10"/>
  <c r="W10"/>
  <c r="R13"/>
  <c r="S13"/>
  <c r="T13"/>
  <c r="U13"/>
  <c r="V13"/>
  <c r="W13"/>
  <c r="R14"/>
  <c r="S14"/>
  <c r="T14"/>
  <c r="U14"/>
  <c r="V14"/>
  <c r="W14"/>
  <c r="R15"/>
  <c r="S15"/>
  <c r="T15"/>
  <c r="U15"/>
  <c r="V15"/>
  <c r="W15"/>
  <c r="R18"/>
  <c r="S18"/>
  <c r="T18"/>
  <c r="U18"/>
  <c r="V18"/>
  <c r="W18"/>
  <c r="R19"/>
  <c r="S19"/>
  <c r="T19"/>
  <c r="U19"/>
  <c r="V19"/>
  <c r="W19"/>
  <c r="R20"/>
  <c r="S20"/>
  <c r="T20"/>
  <c r="U20"/>
  <c r="V20"/>
  <c r="W20"/>
  <c r="R21"/>
  <c r="S21"/>
  <c r="T21"/>
  <c r="U21"/>
  <c r="V21"/>
  <c r="W21"/>
  <c r="R24"/>
  <c r="S24"/>
  <c r="T24"/>
  <c r="U24"/>
  <c r="V24"/>
  <c r="W24"/>
  <c r="R25"/>
  <c r="S25"/>
  <c r="T25"/>
  <c r="U25"/>
  <c r="V25"/>
  <c r="W25"/>
  <c r="R26"/>
  <c r="S26"/>
  <c r="T26"/>
  <c r="U26"/>
  <c r="V26"/>
  <c r="W26"/>
  <c r="R29"/>
  <c r="S29"/>
  <c r="T29"/>
  <c r="U29"/>
  <c r="V29"/>
  <c r="W29"/>
  <c r="R30"/>
  <c r="S30"/>
  <c r="T30"/>
  <c r="U30"/>
  <c r="V30"/>
  <c r="W30"/>
  <c r="R31"/>
  <c r="S31"/>
  <c r="T31"/>
  <c r="U31"/>
  <c r="V31"/>
  <c r="W31"/>
  <c r="R34"/>
  <c r="S34"/>
  <c r="T34"/>
  <c r="U34"/>
  <c r="V34"/>
  <c r="W34"/>
  <c r="R35"/>
  <c r="S35"/>
  <c r="T35"/>
  <c r="U35"/>
  <c r="V35"/>
  <c r="W35"/>
  <c r="R36"/>
  <c r="S36"/>
  <c r="T36"/>
  <c r="U36"/>
  <c r="V36"/>
  <c r="W36"/>
  <c r="R37"/>
  <c r="S37"/>
  <c r="T37"/>
  <c r="U37"/>
  <c r="V37"/>
  <c r="W37"/>
  <c r="R38"/>
  <c r="S38"/>
  <c r="T38"/>
  <c r="U38"/>
  <c r="V38"/>
  <c r="W38"/>
  <c r="R41"/>
  <c r="S41"/>
  <c r="T41"/>
  <c r="U41"/>
  <c r="V41"/>
  <c r="W41"/>
  <c r="R42"/>
  <c r="S42"/>
  <c r="T42"/>
  <c r="U42"/>
  <c r="V42"/>
  <c r="W42"/>
  <c r="R44"/>
  <c r="S44"/>
  <c r="T44"/>
  <c r="U44"/>
  <c r="V44"/>
  <c r="W44"/>
  <c r="R50"/>
  <c r="S50"/>
  <c r="T50"/>
  <c r="U50"/>
  <c r="V50"/>
  <c r="W50"/>
  <c r="R56"/>
  <c r="S56"/>
  <c r="T56"/>
  <c r="U56"/>
  <c r="V56"/>
  <c r="W56"/>
  <c r="R63"/>
  <c r="S63"/>
  <c r="T63"/>
  <c r="U63"/>
  <c r="V63"/>
  <c r="W63"/>
  <c r="R69"/>
  <c r="S69"/>
  <c r="T69"/>
  <c r="U69"/>
  <c r="V69"/>
  <c r="W69"/>
  <c r="R74"/>
  <c r="S74"/>
  <c r="T74"/>
  <c r="U74"/>
  <c r="V74"/>
  <c r="W74"/>
  <c r="R80"/>
  <c r="S80"/>
  <c r="T80"/>
  <c r="U80"/>
  <c r="V80"/>
  <c r="W80"/>
  <c r="R87"/>
  <c r="S87"/>
  <c r="T87"/>
  <c r="U87"/>
  <c r="V87"/>
  <c r="W87"/>
  <c r="R93"/>
  <c r="S93"/>
  <c r="T93"/>
  <c r="U93"/>
  <c r="V93"/>
  <c r="W93"/>
  <c r="R99"/>
  <c r="S99"/>
  <c r="T99"/>
  <c r="U99"/>
  <c r="V99"/>
  <c r="W99"/>
  <c r="R105"/>
  <c r="S105"/>
  <c r="T105"/>
  <c r="U105"/>
  <c r="V105"/>
  <c r="W105"/>
  <c r="R110"/>
  <c r="S110"/>
  <c r="T110"/>
  <c r="U110"/>
  <c r="V110"/>
  <c r="W110"/>
  <c r="R116"/>
  <c r="S116"/>
  <c r="T116"/>
  <c r="R43"/>
  <c r="S43"/>
  <c r="T43"/>
  <c r="U43"/>
  <c r="V43"/>
  <c r="W43"/>
  <c r="R46"/>
  <c r="S46"/>
  <c r="T46"/>
  <c r="U46"/>
  <c r="V46"/>
  <c r="W46"/>
  <c r="R47"/>
  <c r="S47"/>
  <c r="T47"/>
  <c r="U47"/>
  <c r="V47"/>
  <c r="W47"/>
  <c r="R48"/>
  <c r="S48"/>
  <c r="T48"/>
  <c r="U48"/>
  <c r="V48"/>
  <c r="W48"/>
  <c r="R49"/>
  <c r="S49"/>
  <c r="T49"/>
  <c r="U49"/>
  <c r="V49"/>
  <c r="W49"/>
  <c r="R52"/>
  <c r="S52"/>
  <c r="T52"/>
  <c r="U52"/>
  <c r="V52"/>
  <c r="W52"/>
  <c r="R53"/>
  <c r="S53"/>
  <c r="T53"/>
  <c r="U53"/>
  <c r="V53"/>
  <c r="W53"/>
  <c r="R54"/>
  <c r="S54"/>
  <c r="T54"/>
  <c r="U54"/>
  <c r="V54"/>
  <c r="W54"/>
  <c r="R55"/>
  <c r="S55"/>
  <c r="T55"/>
  <c r="U55"/>
  <c r="V55"/>
  <c r="W55"/>
  <c r="R58"/>
  <c r="S58"/>
  <c r="T58"/>
  <c r="U58"/>
  <c r="V58"/>
  <c r="W58"/>
  <c r="R59"/>
  <c r="S59"/>
  <c r="T59"/>
  <c r="U59"/>
  <c r="V59"/>
  <c r="W59"/>
  <c r="R60"/>
  <c r="S60"/>
  <c r="T60"/>
  <c r="U60"/>
  <c r="V60"/>
  <c r="W60"/>
  <c r="R61"/>
  <c r="S61"/>
  <c r="T61"/>
  <c r="U61"/>
  <c r="V61"/>
  <c r="W61"/>
  <c r="R62"/>
  <c r="S62"/>
  <c r="T62"/>
  <c r="U62"/>
  <c r="V62"/>
  <c r="W62"/>
  <c r="R65"/>
  <c r="S65"/>
  <c r="T65"/>
  <c r="U65"/>
  <c r="V65"/>
  <c r="W65"/>
  <c r="R66"/>
  <c r="S66"/>
  <c r="T66"/>
  <c r="U66"/>
  <c r="V66"/>
  <c r="W66"/>
  <c r="R67"/>
  <c r="S67"/>
  <c r="T67"/>
  <c r="U67"/>
  <c r="V67"/>
  <c r="W67"/>
  <c r="R68"/>
  <c r="S68"/>
  <c r="T68"/>
  <c r="U68"/>
  <c r="V68"/>
  <c r="W68"/>
  <c r="R71"/>
  <c r="S71"/>
  <c r="T71"/>
  <c r="U71"/>
  <c r="V71"/>
  <c r="W71"/>
  <c r="R72"/>
  <c r="S72"/>
  <c r="T72"/>
  <c r="U72"/>
  <c r="V72"/>
  <c r="W72"/>
  <c r="R73"/>
  <c r="S73"/>
  <c r="T73"/>
  <c r="U73"/>
  <c r="V73"/>
  <c r="W73"/>
  <c r="R76"/>
  <c r="S76"/>
  <c r="T76"/>
  <c r="U76"/>
  <c r="V76"/>
  <c r="W76"/>
  <c r="R77"/>
  <c r="S77"/>
  <c r="T77"/>
  <c r="U77"/>
  <c r="V77"/>
  <c r="W77"/>
  <c r="R78"/>
  <c r="S78"/>
  <c r="T78"/>
  <c r="U78"/>
  <c r="V78"/>
  <c r="W78"/>
  <c r="R79"/>
  <c r="S79"/>
  <c r="T79"/>
  <c r="U79"/>
  <c r="V79"/>
  <c r="W79"/>
  <c r="R82"/>
  <c r="S82"/>
  <c r="T82"/>
  <c r="U82"/>
  <c r="V82"/>
  <c r="W82"/>
  <c r="R83"/>
  <c r="S83"/>
  <c r="T83"/>
  <c r="U83"/>
  <c r="V83"/>
  <c r="W83"/>
  <c r="R84"/>
  <c r="S84"/>
  <c r="T84"/>
  <c r="U84"/>
  <c r="V84"/>
  <c r="W84"/>
  <c r="R85"/>
  <c r="S85"/>
  <c r="T85"/>
  <c r="U85"/>
  <c r="V85"/>
  <c r="W85"/>
  <c r="R86"/>
  <c r="S86"/>
  <c r="T86"/>
  <c r="U86"/>
  <c r="V86"/>
  <c r="W86"/>
  <c r="R89"/>
  <c r="S89"/>
  <c r="T89"/>
  <c r="U89"/>
  <c r="V89"/>
  <c r="W89"/>
  <c r="R90"/>
  <c r="S90"/>
  <c r="T90"/>
  <c r="U90"/>
  <c r="V90"/>
  <c r="W90"/>
  <c r="R91"/>
  <c r="S91"/>
  <c r="T91"/>
  <c r="U91"/>
  <c r="V91"/>
  <c r="W91"/>
  <c r="R92"/>
  <c r="S92"/>
  <c r="T92"/>
  <c r="U92"/>
  <c r="V92"/>
  <c r="W92"/>
  <c r="R95"/>
  <c r="S95"/>
  <c r="T95"/>
  <c r="U95"/>
  <c r="V95"/>
  <c r="W95"/>
  <c r="R96"/>
  <c r="S96"/>
  <c r="T96"/>
  <c r="U96"/>
  <c r="V96"/>
  <c r="W96"/>
  <c r="R97"/>
  <c r="S97"/>
  <c r="T97"/>
  <c r="U97"/>
  <c r="V97"/>
  <c r="W97"/>
  <c r="R98"/>
  <c r="S98"/>
  <c r="T98"/>
  <c r="U98"/>
  <c r="V98"/>
  <c r="W98"/>
  <c r="R101"/>
  <c r="S101"/>
  <c r="T101"/>
  <c r="U101"/>
  <c r="V101"/>
  <c r="W101"/>
  <c r="R102"/>
  <c r="S102"/>
  <c r="T102"/>
  <c r="U102"/>
  <c r="V102"/>
  <c r="W102"/>
  <c r="R103"/>
  <c r="S103"/>
  <c r="T103"/>
  <c r="U103"/>
  <c r="V103"/>
  <c r="W103"/>
  <c r="R104"/>
  <c r="S104"/>
  <c r="T104"/>
  <c r="U104"/>
  <c r="V104"/>
  <c r="W104"/>
  <c r="R107"/>
  <c r="S107"/>
  <c r="T107"/>
  <c r="U107"/>
  <c r="V107"/>
  <c r="W107"/>
  <c r="R108"/>
  <c r="S108"/>
  <c r="T108"/>
  <c r="U108"/>
  <c r="V108"/>
  <c r="W108"/>
  <c r="R109"/>
  <c r="S109"/>
  <c r="T109"/>
  <c r="U109"/>
  <c r="V109"/>
  <c r="W109"/>
  <c r="R112"/>
  <c r="S112"/>
  <c r="T112"/>
  <c r="U112"/>
  <c r="V112"/>
  <c r="W112"/>
  <c r="R113"/>
  <c r="S113"/>
  <c r="T113"/>
  <c r="U113"/>
  <c r="V113"/>
  <c r="W113"/>
  <c r="R114"/>
  <c r="S114"/>
  <c r="T114"/>
  <c r="U114"/>
  <c r="V114"/>
  <c r="W114"/>
  <c r="R115"/>
  <c r="S115"/>
  <c r="T115"/>
  <c r="U115"/>
  <c r="V115"/>
  <c r="W115"/>
  <c r="U116"/>
  <c r="V116"/>
  <c r="W116"/>
  <c r="R121"/>
  <c r="S121"/>
  <c r="T121"/>
  <c r="U121"/>
  <c r="V121"/>
  <c r="W121"/>
  <c r="R126"/>
  <c r="S126"/>
  <c r="T126"/>
  <c r="U126"/>
  <c r="V126"/>
  <c r="W126"/>
  <c r="R131"/>
  <c r="S131"/>
  <c r="T131"/>
  <c r="U131"/>
  <c r="V131"/>
  <c r="W131"/>
  <c r="R136"/>
  <c r="S136"/>
  <c r="T136"/>
  <c r="U136"/>
  <c r="V136"/>
  <c r="W136"/>
  <c r="R142"/>
  <c r="S142"/>
  <c r="T142"/>
  <c r="U142"/>
  <c r="V142"/>
  <c r="W142"/>
  <c r="B155"/>
  <c r="J155"/>
  <c r="C155"/>
  <c r="R155"/>
  <c r="D155"/>
  <c r="S155"/>
  <c r="E155"/>
  <c r="T155"/>
  <c r="F155"/>
  <c r="U155"/>
  <c r="G155"/>
  <c r="V155"/>
  <c r="H155"/>
  <c r="W155"/>
  <c r="K155"/>
  <c r="L155"/>
  <c r="M155"/>
  <c r="N155"/>
  <c r="O155"/>
  <c r="P155"/>
  <c r="R118"/>
  <c r="S118"/>
  <c r="T118"/>
  <c r="U118"/>
  <c r="V118"/>
  <c r="W118"/>
  <c r="R119"/>
  <c r="S119"/>
  <c r="T119"/>
  <c r="U119"/>
  <c r="V119"/>
  <c r="W119"/>
  <c r="R120"/>
  <c r="S120"/>
  <c r="T120"/>
  <c r="U120"/>
  <c r="V120"/>
  <c r="W120"/>
  <c r="R123"/>
  <c r="S123"/>
  <c r="T123"/>
  <c r="U123"/>
  <c r="V123"/>
  <c r="W123"/>
  <c r="R124"/>
  <c r="S124"/>
  <c r="T124"/>
  <c r="U124"/>
  <c r="V124"/>
  <c r="W124"/>
  <c r="R125"/>
  <c r="S125"/>
  <c r="T125"/>
  <c r="U125"/>
  <c r="V125"/>
  <c r="W125"/>
  <c r="R128"/>
  <c r="S128"/>
  <c r="T128"/>
  <c r="U128"/>
  <c r="V128"/>
  <c r="W128"/>
  <c r="R129"/>
  <c r="S129"/>
  <c r="T129"/>
  <c r="U129"/>
  <c r="V129"/>
  <c r="W129"/>
  <c r="R130"/>
  <c r="S130"/>
  <c r="T130"/>
  <c r="U130"/>
  <c r="V130"/>
  <c r="W130"/>
  <c r="R133"/>
  <c r="S133"/>
  <c r="T133"/>
  <c r="U133"/>
  <c r="V133"/>
  <c r="W133"/>
  <c r="R134"/>
  <c r="S134"/>
  <c r="T134"/>
  <c r="U134"/>
  <c r="V134"/>
  <c r="W134"/>
  <c r="R135"/>
  <c r="S135"/>
  <c r="T135"/>
  <c r="U135"/>
  <c r="V135"/>
  <c r="W135"/>
  <c r="R138"/>
  <c r="S138"/>
  <c r="T138"/>
  <c r="U138"/>
  <c r="V138"/>
  <c r="W138"/>
  <c r="R139"/>
  <c r="S139"/>
  <c r="T139"/>
  <c r="U139"/>
  <c r="V139"/>
  <c r="W139"/>
  <c r="R140"/>
  <c r="S140"/>
  <c r="T140"/>
  <c r="U140"/>
  <c r="V140"/>
  <c r="W140"/>
  <c r="R141"/>
  <c r="S141"/>
  <c r="T141"/>
  <c r="U141"/>
  <c r="V141"/>
  <c r="W141"/>
  <c r="R144"/>
  <c r="S144"/>
  <c r="T144"/>
  <c r="U144"/>
  <c r="V144"/>
  <c r="W144"/>
  <c r="R145"/>
  <c r="S145"/>
  <c r="T145"/>
  <c r="U145"/>
  <c r="V145"/>
  <c r="W145"/>
  <c r="R146"/>
  <c r="S146"/>
  <c r="T146"/>
  <c r="U146"/>
  <c r="V146"/>
  <c r="W146"/>
  <c r="R147"/>
  <c r="S147"/>
  <c r="T147"/>
  <c r="U147"/>
  <c r="V147"/>
  <c r="W147"/>
  <c r="R148"/>
  <c r="S148"/>
  <c r="T148"/>
  <c r="U148"/>
  <c r="V148"/>
  <c r="W148"/>
  <c r="R149"/>
  <c r="S149"/>
  <c r="T149"/>
  <c r="U149"/>
  <c r="V149"/>
  <c r="W149"/>
  <c r="R150"/>
  <c r="S150"/>
  <c r="T150"/>
  <c r="U150"/>
  <c r="V150"/>
  <c r="W150"/>
  <c r="R151"/>
  <c r="S151"/>
  <c r="T151"/>
  <c r="U151"/>
  <c r="V151"/>
  <c r="W151"/>
  <c r="R152"/>
  <c r="S152"/>
  <c r="T152"/>
  <c r="U152"/>
  <c r="V152"/>
  <c r="W152"/>
  <c r="R153"/>
  <c r="S153"/>
  <c r="T153"/>
  <c r="U153"/>
  <c r="V153"/>
  <c r="W153"/>
  <c r="R6" i="9"/>
  <c r="S6"/>
  <c r="T6"/>
  <c r="U6"/>
  <c r="V6"/>
  <c r="W6"/>
  <c r="R11"/>
  <c r="S11"/>
  <c r="T11"/>
  <c r="U11"/>
  <c r="V11"/>
  <c r="W11"/>
  <c r="R16"/>
  <c r="S16"/>
  <c r="T16"/>
  <c r="U16"/>
  <c r="V16"/>
  <c r="W16"/>
  <c r="R22"/>
  <c r="S22"/>
  <c r="T22"/>
  <c r="U22"/>
  <c r="V22"/>
  <c r="W22"/>
  <c r="R27"/>
  <c r="S27"/>
  <c r="T27"/>
  <c r="U27"/>
  <c r="V27"/>
  <c r="W27"/>
  <c r="R32"/>
  <c r="S32"/>
  <c r="T32"/>
  <c r="U32"/>
  <c r="V32"/>
  <c r="W32"/>
  <c r="R39"/>
  <c r="S39"/>
  <c r="T39"/>
  <c r="U39"/>
  <c r="V39"/>
  <c r="W39"/>
  <c r="R2"/>
  <c r="S2"/>
  <c r="T2"/>
  <c r="U2"/>
  <c r="V2"/>
  <c r="W2"/>
  <c r="R3"/>
  <c r="S3"/>
  <c r="T3"/>
  <c r="U3"/>
  <c r="V3"/>
  <c r="W3"/>
  <c r="R4"/>
  <c r="S4"/>
  <c r="T4"/>
  <c r="U4"/>
  <c r="V4"/>
  <c r="W4"/>
  <c r="R5"/>
  <c r="S5"/>
  <c r="T5"/>
  <c r="U5"/>
  <c r="V5"/>
  <c r="W5"/>
  <c r="R8"/>
  <c r="S8"/>
  <c r="T8"/>
  <c r="U8"/>
  <c r="V8"/>
  <c r="W8"/>
  <c r="R9"/>
  <c r="S9"/>
  <c r="T9"/>
  <c r="U9"/>
  <c r="V9"/>
  <c r="W9"/>
  <c r="R10"/>
  <c r="S10"/>
  <c r="T10"/>
  <c r="U10"/>
  <c r="V10"/>
  <c r="W10"/>
  <c r="R13"/>
  <c r="S13"/>
  <c r="T13"/>
  <c r="U13"/>
  <c r="V13"/>
  <c r="W13"/>
  <c r="R14"/>
  <c r="S14"/>
  <c r="T14"/>
  <c r="U14"/>
  <c r="V14"/>
  <c r="W14"/>
  <c r="R15"/>
  <c r="S15"/>
  <c r="T15"/>
  <c r="U15"/>
  <c r="V15"/>
  <c r="W15"/>
  <c r="R18"/>
  <c r="S18"/>
  <c r="T18"/>
  <c r="U18"/>
  <c r="V18"/>
  <c r="W18"/>
  <c r="R19"/>
  <c r="S19"/>
  <c r="T19"/>
  <c r="U19"/>
  <c r="V19"/>
  <c r="W19"/>
  <c r="R20"/>
  <c r="S20"/>
  <c r="T20"/>
  <c r="U20"/>
  <c r="V20"/>
  <c r="W20"/>
  <c r="R21"/>
  <c r="S21"/>
  <c r="T21"/>
  <c r="U21"/>
  <c r="V21"/>
  <c r="W21"/>
  <c r="R24"/>
  <c r="S24"/>
  <c r="T24"/>
  <c r="U24"/>
  <c r="V24"/>
  <c r="W24"/>
  <c r="R25"/>
  <c r="S25"/>
  <c r="T25"/>
  <c r="U25"/>
  <c r="V25"/>
  <c r="W25"/>
  <c r="R26"/>
  <c r="S26"/>
  <c r="T26"/>
  <c r="U26"/>
  <c r="V26"/>
  <c r="W26"/>
  <c r="R29"/>
  <c r="S29"/>
  <c r="T29"/>
  <c r="U29"/>
  <c r="V29"/>
  <c r="W29"/>
  <c r="R30"/>
  <c r="S30"/>
  <c r="T30"/>
  <c r="U30"/>
  <c r="V30"/>
  <c r="W30"/>
  <c r="R31"/>
  <c r="S31"/>
  <c r="T31"/>
  <c r="U31"/>
  <c r="V31"/>
  <c r="W31"/>
  <c r="R34"/>
  <c r="S34"/>
  <c r="T34"/>
  <c r="U34"/>
  <c r="V34"/>
  <c r="W34"/>
  <c r="R35"/>
  <c r="S35"/>
  <c r="T35"/>
  <c r="U35"/>
  <c r="V35"/>
  <c r="W35"/>
  <c r="R36"/>
  <c r="S36"/>
  <c r="T36"/>
  <c r="U36"/>
  <c r="V36"/>
  <c r="W36"/>
  <c r="R37"/>
  <c r="S37"/>
  <c r="T37"/>
  <c r="U37"/>
  <c r="V37"/>
  <c r="W37"/>
  <c r="R38"/>
  <c r="S38"/>
  <c r="T38"/>
  <c r="U38"/>
  <c r="V38"/>
  <c r="W38"/>
  <c r="R41"/>
  <c r="S41"/>
  <c r="T41"/>
  <c r="U41"/>
  <c r="V41"/>
  <c r="W41"/>
  <c r="R42"/>
  <c r="S42"/>
  <c r="T42"/>
  <c r="U42"/>
  <c r="V42"/>
  <c r="W42"/>
  <c r="R44"/>
  <c r="S44"/>
  <c r="T44"/>
  <c r="U44"/>
  <c r="V44"/>
  <c r="W44"/>
  <c r="R50"/>
  <c r="S50"/>
  <c r="T50"/>
  <c r="U50"/>
  <c r="V50"/>
  <c r="W50"/>
  <c r="R56"/>
  <c r="S56"/>
  <c r="T56"/>
  <c r="U56"/>
  <c r="V56"/>
  <c r="W56"/>
  <c r="R63"/>
  <c r="S63"/>
  <c r="T63"/>
  <c r="U63"/>
  <c r="V63"/>
  <c r="W63"/>
  <c r="R69"/>
  <c r="S69"/>
  <c r="T69"/>
  <c r="U69"/>
  <c r="V69"/>
  <c r="W69"/>
  <c r="R74"/>
  <c r="S74"/>
  <c r="T74"/>
  <c r="U74"/>
  <c r="V74"/>
  <c r="W74"/>
  <c r="R80"/>
  <c r="S80"/>
  <c r="T80"/>
  <c r="U80"/>
  <c r="V80"/>
  <c r="W80"/>
  <c r="R87"/>
  <c r="S87"/>
  <c r="T87"/>
  <c r="U87"/>
  <c r="V87"/>
  <c r="W87"/>
  <c r="R93"/>
  <c r="S93"/>
  <c r="T93"/>
  <c r="U93"/>
  <c r="V93"/>
  <c r="W93"/>
  <c r="R99"/>
  <c r="S99"/>
  <c r="T99"/>
  <c r="U99"/>
  <c r="V99"/>
  <c r="W99"/>
  <c r="R105"/>
  <c r="S105"/>
  <c r="T105"/>
  <c r="U105"/>
  <c r="V105"/>
  <c r="W105"/>
  <c r="R110"/>
  <c r="S110"/>
  <c r="T110"/>
  <c r="U110"/>
  <c r="V110"/>
  <c r="W110"/>
  <c r="R116"/>
  <c r="S116"/>
  <c r="T116"/>
  <c r="R43"/>
  <c r="S43"/>
  <c r="T43"/>
  <c r="U43"/>
  <c r="V43"/>
  <c r="W43"/>
  <c r="R46"/>
  <c r="S46"/>
  <c r="T46"/>
  <c r="U46"/>
  <c r="V46"/>
  <c r="W46"/>
  <c r="R47"/>
  <c r="S47"/>
  <c r="T47"/>
  <c r="U47"/>
  <c r="V47"/>
  <c r="W47"/>
  <c r="R48"/>
  <c r="S48"/>
  <c r="T48"/>
  <c r="U48"/>
  <c r="V48"/>
  <c r="W48"/>
  <c r="R49"/>
  <c r="S49"/>
  <c r="T49"/>
  <c r="U49"/>
  <c r="V49"/>
  <c r="W49"/>
  <c r="R52"/>
  <c r="S52"/>
  <c r="T52"/>
  <c r="U52"/>
  <c r="V52"/>
  <c r="W52"/>
  <c r="R53"/>
  <c r="S53"/>
  <c r="T53"/>
  <c r="U53"/>
  <c r="V53"/>
  <c r="W53"/>
  <c r="R54"/>
  <c r="S54"/>
  <c r="T54"/>
  <c r="U54"/>
  <c r="V54"/>
  <c r="W54"/>
  <c r="R55"/>
  <c r="S55"/>
  <c r="T55"/>
  <c r="U55"/>
  <c r="V55"/>
  <c r="W55"/>
  <c r="R58"/>
  <c r="S58"/>
  <c r="T58"/>
  <c r="U58"/>
  <c r="V58"/>
  <c r="W58"/>
  <c r="R59"/>
  <c r="S59"/>
  <c r="T59"/>
  <c r="U59"/>
  <c r="V59"/>
  <c r="W59"/>
  <c r="R60"/>
  <c r="S60"/>
  <c r="T60"/>
  <c r="U60"/>
  <c r="V60"/>
  <c r="W60"/>
  <c r="R61"/>
  <c r="S61"/>
  <c r="T61"/>
  <c r="U61"/>
  <c r="V61"/>
  <c r="W61"/>
  <c r="R62"/>
  <c r="S62"/>
  <c r="T62"/>
  <c r="U62"/>
  <c r="V62"/>
  <c r="W62"/>
  <c r="R65"/>
  <c r="S65"/>
  <c r="T65"/>
  <c r="U65"/>
  <c r="V65"/>
  <c r="W65"/>
  <c r="R66"/>
  <c r="S66"/>
  <c r="T66"/>
  <c r="U66"/>
  <c r="V66"/>
  <c r="W66"/>
  <c r="R67"/>
  <c r="S67"/>
  <c r="T67"/>
  <c r="U67"/>
  <c r="V67"/>
  <c r="W67"/>
  <c r="R68"/>
  <c r="S68"/>
  <c r="T68"/>
  <c r="U68"/>
  <c r="V68"/>
  <c r="W68"/>
  <c r="R71"/>
  <c r="S71"/>
  <c r="T71"/>
  <c r="U71"/>
  <c r="V71"/>
  <c r="W71"/>
  <c r="R72"/>
  <c r="S72"/>
  <c r="T72"/>
  <c r="U72"/>
  <c r="V72"/>
  <c r="W72"/>
  <c r="R73"/>
  <c r="S73"/>
  <c r="T73"/>
  <c r="U73"/>
  <c r="V73"/>
  <c r="W73"/>
  <c r="R76"/>
  <c r="S76"/>
  <c r="T76"/>
  <c r="U76"/>
  <c r="V76"/>
  <c r="W76"/>
  <c r="R77"/>
  <c r="S77"/>
  <c r="T77"/>
  <c r="U77"/>
  <c r="V77"/>
  <c r="W77"/>
  <c r="R78"/>
  <c r="S78"/>
  <c r="T78"/>
  <c r="U78"/>
  <c r="V78"/>
  <c r="W78"/>
  <c r="R79"/>
  <c r="S79"/>
  <c r="T79"/>
  <c r="U79"/>
  <c r="V79"/>
  <c r="W79"/>
  <c r="R82"/>
  <c r="S82"/>
  <c r="T82"/>
  <c r="U82"/>
  <c r="V82"/>
  <c r="W82"/>
  <c r="R83"/>
  <c r="S83"/>
  <c r="T83"/>
  <c r="U83"/>
  <c r="V83"/>
  <c r="W83"/>
  <c r="R84"/>
  <c r="S84"/>
  <c r="T84"/>
  <c r="U84"/>
  <c r="V84"/>
  <c r="W84"/>
  <c r="R85"/>
  <c r="S85"/>
  <c r="T85"/>
  <c r="U85"/>
  <c r="V85"/>
  <c r="W85"/>
  <c r="R86"/>
  <c r="S86"/>
  <c r="T86"/>
  <c r="U86"/>
  <c r="V86"/>
  <c r="W86"/>
  <c r="R89"/>
  <c r="S89"/>
  <c r="T89"/>
  <c r="U89"/>
  <c r="V89"/>
  <c r="W89"/>
  <c r="R90"/>
  <c r="S90"/>
  <c r="T90"/>
  <c r="U90"/>
  <c r="V90"/>
  <c r="W90"/>
  <c r="R91"/>
  <c r="S91"/>
  <c r="T91"/>
  <c r="U91"/>
  <c r="V91"/>
  <c r="W91"/>
  <c r="R92"/>
  <c r="S92"/>
  <c r="T92"/>
  <c r="U92"/>
  <c r="V92"/>
  <c r="W92"/>
  <c r="R95"/>
  <c r="S95"/>
  <c r="T95"/>
  <c r="U95"/>
  <c r="V95"/>
  <c r="W95"/>
  <c r="R96"/>
  <c r="S96"/>
  <c r="T96"/>
  <c r="U96"/>
  <c r="V96"/>
  <c r="W96"/>
  <c r="R97"/>
  <c r="S97"/>
  <c r="T97"/>
  <c r="U97"/>
  <c r="V97"/>
  <c r="W97"/>
  <c r="R98"/>
  <c r="S98"/>
  <c r="T98"/>
  <c r="U98"/>
  <c r="V98"/>
  <c r="W98"/>
  <c r="R101"/>
  <c r="S101"/>
  <c r="T101"/>
  <c r="U101"/>
  <c r="V101"/>
  <c r="W101"/>
  <c r="R102"/>
  <c r="S102"/>
  <c r="T102"/>
  <c r="U102"/>
  <c r="V102"/>
  <c r="W102"/>
  <c r="R103"/>
  <c r="S103"/>
  <c r="T103"/>
  <c r="U103"/>
  <c r="V103"/>
  <c r="W103"/>
  <c r="R104"/>
  <c r="S104"/>
  <c r="T104"/>
  <c r="U104"/>
  <c r="V104"/>
  <c r="W104"/>
  <c r="R107"/>
  <c r="S107"/>
  <c r="T107"/>
  <c r="U107"/>
  <c r="V107"/>
  <c r="W107"/>
  <c r="R108"/>
  <c r="S108"/>
  <c r="T108"/>
  <c r="U108"/>
  <c r="V108"/>
  <c r="W108"/>
  <c r="R109"/>
  <c r="S109"/>
  <c r="T109"/>
  <c r="U109"/>
  <c r="V109"/>
  <c r="W109"/>
  <c r="R112"/>
  <c r="S112"/>
  <c r="T112"/>
  <c r="U112"/>
  <c r="V112"/>
  <c r="W112"/>
  <c r="R113"/>
  <c r="S113"/>
  <c r="T113"/>
  <c r="U113"/>
  <c r="V113"/>
  <c r="W113"/>
  <c r="R114"/>
  <c r="S114"/>
  <c r="T114"/>
  <c r="U114"/>
  <c r="V114"/>
  <c r="W114"/>
  <c r="R115"/>
  <c r="S115"/>
  <c r="T115"/>
  <c r="U115"/>
  <c r="V115"/>
  <c r="W115"/>
  <c r="U116"/>
  <c r="V116"/>
  <c r="W116"/>
  <c r="R121"/>
  <c r="S121"/>
  <c r="T121"/>
  <c r="U121"/>
  <c r="V121"/>
  <c r="W121"/>
  <c r="R126"/>
  <c r="S126"/>
  <c r="T126"/>
  <c r="U126"/>
  <c r="V126"/>
  <c r="W126"/>
  <c r="R131"/>
  <c r="S131"/>
  <c r="T131"/>
  <c r="U131"/>
  <c r="V131"/>
  <c r="W131"/>
  <c r="R136"/>
  <c r="S136"/>
  <c r="T136"/>
  <c r="U136"/>
  <c r="V136"/>
  <c r="W136"/>
  <c r="R142"/>
  <c r="S142"/>
  <c r="T142"/>
  <c r="U142"/>
  <c r="V142"/>
  <c r="W142"/>
  <c r="B155"/>
  <c r="J155"/>
  <c r="C155"/>
  <c r="R155"/>
  <c r="D155"/>
  <c r="S155"/>
  <c r="E155"/>
  <c r="T155"/>
  <c r="F155"/>
  <c r="U155"/>
  <c r="G155"/>
  <c r="V155"/>
  <c r="H155"/>
  <c r="W155"/>
  <c r="K155"/>
  <c r="L155"/>
  <c r="M155"/>
  <c r="N155"/>
  <c r="O155"/>
  <c r="P155"/>
  <c r="R118"/>
  <c r="S118"/>
  <c r="T118"/>
  <c r="U118"/>
  <c r="V118"/>
  <c r="W118"/>
  <c r="R119"/>
  <c r="S119"/>
  <c r="T119"/>
  <c r="U119"/>
  <c r="V119"/>
  <c r="W119"/>
  <c r="R120"/>
  <c r="S120"/>
  <c r="T120"/>
  <c r="U120"/>
  <c r="V120"/>
  <c r="W120"/>
  <c r="R123"/>
  <c r="S123"/>
  <c r="T123"/>
  <c r="U123"/>
  <c r="V123"/>
  <c r="W123"/>
  <c r="R124"/>
  <c r="S124"/>
  <c r="T124"/>
  <c r="U124"/>
  <c r="V124"/>
  <c r="W124"/>
  <c r="R125"/>
  <c r="S125"/>
  <c r="T125"/>
  <c r="U125"/>
  <c r="V125"/>
  <c r="W125"/>
  <c r="R128"/>
  <c r="S128"/>
  <c r="T128"/>
  <c r="U128"/>
  <c r="V128"/>
  <c r="W128"/>
  <c r="R129"/>
  <c r="S129"/>
  <c r="T129"/>
  <c r="U129"/>
  <c r="V129"/>
  <c r="W129"/>
  <c r="R130"/>
  <c r="S130"/>
  <c r="T130"/>
  <c r="U130"/>
  <c r="V130"/>
  <c r="W130"/>
  <c r="R133"/>
  <c r="S133"/>
  <c r="T133"/>
  <c r="U133"/>
  <c r="V133"/>
  <c r="W133"/>
  <c r="R134"/>
  <c r="S134"/>
  <c r="T134"/>
  <c r="U134"/>
  <c r="V134"/>
  <c r="W134"/>
  <c r="R135"/>
  <c r="S135"/>
  <c r="T135"/>
  <c r="U135"/>
  <c r="V135"/>
  <c r="W135"/>
  <c r="R138"/>
  <c r="S138"/>
  <c r="T138"/>
  <c r="U138"/>
  <c r="V138"/>
  <c r="W138"/>
  <c r="R139"/>
  <c r="S139"/>
  <c r="T139"/>
  <c r="U139"/>
  <c r="V139"/>
  <c r="W139"/>
  <c r="R140"/>
  <c r="S140"/>
  <c r="T140"/>
  <c r="U140"/>
  <c r="V140"/>
  <c r="W140"/>
  <c r="R141"/>
  <c r="S141"/>
  <c r="T141"/>
  <c r="U141"/>
  <c r="V141"/>
  <c r="W141"/>
  <c r="R144"/>
  <c r="S144"/>
  <c r="T144"/>
  <c r="U144"/>
  <c r="V144"/>
  <c r="W144"/>
  <c r="R145"/>
  <c r="S145"/>
  <c r="T145"/>
  <c r="U145"/>
  <c r="V145"/>
  <c r="W145"/>
  <c r="R146"/>
  <c r="S146"/>
  <c r="T146"/>
  <c r="U146"/>
  <c r="V146"/>
  <c r="W146"/>
  <c r="R147"/>
  <c r="S147"/>
  <c r="T147"/>
  <c r="U147"/>
  <c r="V147"/>
  <c r="W147"/>
  <c r="R148"/>
  <c r="S148"/>
  <c r="T148"/>
  <c r="U148"/>
  <c r="V148"/>
  <c r="W148"/>
  <c r="R149"/>
  <c r="S149"/>
  <c r="T149"/>
  <c r="U149"/>
  <c r="V149"/>
  <c r="W149"/>
  <c r="R150"/>
  <c r="S150"/>
  <c r="T150"/>
  <c r="U150"/>
  <c r="V150"/>
  <c r="W150"/>
  <c r="R151"/>
  <c r="S151"/>
  <c r="T151"/>
  <c r="U151"/>
  <c r="V151"/>
  <c r="W151"/>
  <c r="R152"/>
  <c r="S152"/>
  <c r="T152"/>
  <c r="U152"/>
  <c r="V152"/>
  <c r="W152"/>
  <c r="R153"/>
  <c r="S153"/>
  <c r="T153"/>
  <c r="U153"/>
  <c r="V153"/>
  <c r="W153"/>
  <c r="R6" i="4"/>
  <c r="S6"/>
  <c r="T6"/>
  <c r="U6"/>
  <c r="V6"/>
  <c r="W6"/>
  <c r="R11"/>
  <c r="S11"/>
  <c r="T11"/>
  <c r="U11"/>
  <c r="V11"/>
  <c r="W11"/>
  <c r="R16"/>
  <c r="S16"/>
  <c r="T16"/>
  <c r="U16"/>
  <c r="V16"/>
  <c r="W16"/>
  <c r="R22"/>
  <c r="S22"/>
  <c r="T22"/>
  <c r="U22"/>
  <c r="V22"/>
  <c r="W22"/>
  <c r="R27"/>
  <c r="S27"/>
  <c r="T27"/>
  <c r="U27"/>
  <c r="V27"/>
  <c r="W27"/>
  <c r="R32"/>
  <c r="S32"/>
  <c r="T32"/>
  <c r="U32"/>
  <c r="V32"/>
  <c r="W32"/>
  <c r="R39"/>
  <c r="S39"/>
  <c r="T39"/>
  <c r="U39"/>
  <c r="V39"/>
  <c r="W39"/>
  <c r="R2"/>
  <c r="S2"/>
  <c r="T2"/>
  <c r="U2"/>
  <c r="V2"/>
  <c r="W2"/>
  <c r="R3"/>
  <c r="S3"/>
  <c r="T3"/>
  <c r="U3"/>
  <c r="V3"/>
  <c r="W3"/>
  <c r="R4"/>
  <c r="S4"/>
  <c r="T4"/>
  <c r="U4"/>
  <c r="V4"/>
  <c r="W4"/>
  <c r="R5"/>
  <c r="S5"/>
  <c r="T5"/>
  <c r="U5"/>
  <c r="V5"/>
  <c r="W5"/>
  <c r="R8"/>
  <c r="S8"/>
  <c r="T8"/>
  <c r="U8"/>
  <c r="V8"/>
  <c r="W8"/>
  <c r="R9"/>
  <c r="S9"/>
  <c r="T9"/>
  <c r="U9"/>
  <c r="V9"/>
  <c r="W9"/>
  <c r="R10"/>
  <c r="S10"/>
  <c r="T10"/>
  <c r="U10"/>
  <c r="V10"/>
  <c r="W10"/>
  <c r="R13"/>
  <c r="S13"/>
  <c r="T13"/>
  <c r="U13"/>
  <c r="V13"/>
  <c r="W13"/>
  <c r="R14"/>
  <c r="S14"/>
  <c r="T14"/>
  <c r="U14"/>
  <c r="V14"/>
  <c r="W14"/>
  <c r="R15"/>
  <c r="S15"/>
  <c r="T15"/>
  <c r="U15"/>
  <c r="V15"/>
  <c r="W15"/>
  <c r="R18"/>
  <c r="S18"/>
  <c r="T18"/>
  <c r="U18"/>
  <c r="V18"/>
  <c r="W18"/>
  <c r="R19"/>
  <c r="S19"/>
  <c r="T19"/>
  <c r="U19"/>
  <c r="V19"/>
  <c r="W19"/>
  <c r="R20"/>
  <c r="S20"/>
  <c r="T20"/>
  <c r="U20"/>
  <c r="V20"/>
  <c r="W20"/>
  <c r="R21"/>
  <c r="S21"/>
  <c r="T21"/>
  <c r="U21"/>
  <c r="V21"/>
  <c r="W21"/>
  <c r="R24"/>
  <c r="S24"/>
  <c r="T24"/>
  <c r="U24"/>
  <c r="V24"/>
  <c r="W24"/>
  <c r="R25"/>
  <c r="S25"/>
  <c r="T25"/>
  <c r="U25"/>
  <c r="V25"/>
  <c r="W25"/>
  <c r="R26"/>
  <c r="S26"/>
  <c r="T26"/>
  <c r="U26"/>
  <c r="V26"/>
  <c r="W26"/>
  <c r="R29"/>
  <c r="S29"/>
  <c r="T29"/>
  <c r="U29"/>
  <c r="V29"/>
  <c r="W29"/>
  <c r="R30"/>
  <c r="S30"/>
  <c r="T30"/>
  <c r="U30"/>
  <c r="V30"/>
  <c r="W30"/>
  <c r="R31"/>
  <c r="S31"/>
  <c r="T31"/>
  <c r="U31"/>
  <c r="V31"/>
  <c r="W31"/>
  <c r="R34"/>
  <c r="S34"/>
  <c r="T34"/>
  <c r="U34"/>
  <c r="V34"/>
  <c r="W34"/>
  <c r="R35"/>
  <c r="S35"/>
  <c r="T35"/>
  <c r="U35"/>
  <c r="V35"/>
  <c r="W35"/>
  <c r="R36"/>
  <c r="S36"/>
  <c r="T36"/>
  <c r="U36"/>
  <c r="V36"/>
  <c r="W36"/>
  <c r="R37"/>
  <c r="S37"/>
  <c r="T37"/>
  <c r="U37"/>
  <c r="V37"/>
  <c r="W37"/>
  <c r="R38"/>
  <c r="S38"/>
  <c r="T38"/>
  <c r="U38"/>
  <c r="V38"/>
  <c r="W38"/>
  <c r="R41"/>
  <c r="S41"/>
  <c r="T41"/>
  <c r="U41"/>
  <c r="V41"/>
  <c r="W41"/>
  <c r="R42"/>
  <c r="S42"/>
  <c r="T42"/>
  <c r="U42"/>
  <c r="V42"/>
  <c r="W42"/>
  <c r="R44"/>
  <c r="S44"/>
  <c r="T44"/>
  <c r="U44"/>
  <c r="V44"/>
  <c r="W44"/>
  <c r="R50"/>
  <c r="S50"/>
  <c r="T50"/>
  <c r="U50"/>
  <c r="V50"/>
  <c r="W50"/>
  <c r="R56"/>
  <c r="S56"/>
  <c r="T56"/>
  <c r="U56"/>
  <c r="V56"/>
  <c r="W56"/>
  <c r="R63"/>
  <c r="S63"/>
  <c r="T63"/>
  <c r="U63"/>
  <c r="V63"/>
  <c r="W63"/>
  <c r="R69"/>
  <c r="S69"/>
  <c r="T69"/>
  <c r="U69"/>
  <c r="V69"/>
  <c r="W69"/>
  <c r="R74"/>
  <c r="S74"/>
  <c r="T74"/>
  <c r="U74"/>
  <c r="V74"/>
  <c r="W74"/>
  <c r="R80"/>
  <c r="S80"/>
  <c r="T80"/>
  <c r="U80"/>
  <c r="V80"/>
  <c r="W80"/>
  <c r="R87"/>
  <c r="S87"/>
  <c r="T87"/>
  <c r="U87"/>
  <c r="V87"/>
  <c r="W87"/>
  <c r="R93"/>
  <c r="S93"/>
  <c r="T93"/>
  <c r="U93"/>
  <c r="V93"/>
  <c r="W93"/>
  <c r="R99"/>
  <c r="S99"/>
  <c r="T99"/>
  <c r="U99"/>
  <c r="V99"/>
  <c r="W99"/>
  <c r="R105"/>
  <c r="S105"/>
  <c r="T105"/>
  <c r="U105"/>
  <c r="V105"/>
  <c r="W105"/>
  <c r="R110"/>
  <c r="S110"/>
  <c r="T110"/>
  <c r="U110"/>
  <c r="V110"/>
  <c r="W110"/>
  <c r="R116"/>
  <c r="S116"/>
  <c r="T116"/>
  <c r="R43"/>
  <c r="S43"/>
  <c r="T43"/>
  <c r="U43"/>
  <c r="V43"/>
  <c r="W43"/>
  <c r="R46"/>
  <c r="S46"/>
  <c r="T46"/>
  <c r="U46"/>
  <c r="V46"/>
  <c r="W46"/>
  <c r="R47"/>
  <c r="S47"/>
  <c r="T47"/>
  <c r="U47"/>
  <c r="V47"/>
  <c r="W47"/>
  <c r="R48"/>
  <c r="S48"/>
  <c r="T48"/>
  <c r="U48"/>
  <c r="V48"/>
  <c r="W48"/>
  <c r="R49"/>
  <c r="S49"/>
  <c r="T49"/>
  <c r="U49"/>
  <c r="V49"/>
  <c r="W49"/>
  <c r="R52"/>
  <c r="S52"/>
  <c r="T52"/>
  <c r="U52"/>
  <c r="V52"/>
  <c r="W52"/>
  <c r="R53"/>
  <c r="S53"/>
  <c r="T53"/>
  <c r="U53"/>
  <c r="V53"/>
  <c r="W53"/>
  <c r="R54"/>
  <c r="S54"/>
  <c r="T54"/>
  <c r="U54"/>
  <c r="V54"/>
  <c r="W54"/>
  <c r="R55"/>
  <c r="S55"/>
  <c r="T55"/>
  <c r="U55"/>
  <c r="V55"/>
  <c r="W55"/>
  <c r="R58"/>
  <c r="S58"/>
  <c r="T58"/>
  <c r="U58"/>
  <c r="V58"/>
  <c r="W58"/>
  <c r="R59"/>
  <c r="S59"/>
  <c r="T59"/>
  <c r="U59"/>
  <c r="V59"/>
  <c r="W59"/>
  <c r="R60"/>
  <c r="S60"/>
  <c r="T60"/>
  <c r="U60"/>
  <c r="V60"/>
  <c r="W60"/>
  <c r="R61"/>
  <c r="S61"/>
  <c r="T61"/>
  <c r="U61"/>
  <c r="V61"/>
  <c r="W61"/>
  <c r="R62"/>
  <c r="S62"/>
  <c r="T62"/>
  <c r="U62"/>
  <c r="V62"/>
  <c r="W62"/>
  <c r="R65"/>
  <c r="S65"/>
  <c r="T65"/>
  <c r="U65"/>
  <c r="V65"/>
  <c r="W65"/>
  <c r="R66"/>
  <c r="S66"/>
  <c r="T66"/>
  <c r="U66"/>
  <c r="V66"/>
  <c r="W66"/>
  <c r="R67"/>
  <c r="S67"/>
  <c r="T67"/>
  <c r="U67"/>
  <c r="V67"/>
  <c r="W67"/>
  <c r="R68"/>
  <c r="S68"/>
  <c r="T68"/>
  <c r="U68"/>
  <c r="V68"/>
  <c r="W68"/>
  <c r="R71"/>
  <c r="S71"/>
  <c r="T71"/>
  <c r="U71"/>
  <c r="V71"/>
  <c r="W71"/>
  <c r="R72"/>
  <c r="S72"/>
  <c r="T72"/>
  <c r="U72"/>
  <c r="V72"/>
  <c r="W72"/>
  <c r="R73"/>
  <c r="S73"/>
  <c r="T73"/>
  <c r="U73"/>
  <c r="V73"/>
  <c r="W73"/>
  <c r="R76"/>
  <c r="S76"/>
  <c r="T76"/>
  <c r="U76"/>
  <c r="V76"/>
  <c r="W76"/>
  <c r="R77"/>
  <c r="S77"/>
  <c r="T77"/>
  <c r="U77"/>
  <c r="V77"/>
  <c r="W77"/>
  <c r="R78"/>
  <c r="S78"/>
  <c r="T78"/>
  <c r="U78"/>
  <c r="V78"/>
  <c r="W78"/>
  <c r="R79"/>
  <c r="S79"/>
  <c r="T79"/>
  <c r="U79"/>
  <c r="V79"/>
  <c r="W79"/>
  <c r="R82"/>
  <c r="S82"/>
  <c r="T82"/>
  <c r="U82"/>
  <c r="V82"/>
  <c r="W82"/>
  <c r="R83"/>
  <c r="S83"/>
  <c r="T83"/>
  <c r="U83"/>
  <c r="V83"/>
  <c r="W83"/>
  <c r="R84"/>
  <c r="S84"/>
  <c r="T84"/>
  <c r="U84"/>
  <c r="V84"/>
  <c r="W84"/>
  <c r="R85"/>
  <c r="S85"/>
  <c r="T85"/>
  <c r="U85"/>
  <c r="V85"/>
  <c r="W85"/>
  <c r="R86"/>
  <c r="S86"/>
  <c r="T86"/>
  <c r="U86"/>
  <c r="V86"/>
  <c r="W86"/>
  <c r="R89"/>
  <c r="S89"/>
  <c r="T89"/>
  <c r="U89"/>
  <c r="V89"/>
  <c r="W89"/>
  <c r="R90"/>
  <c r="S90"/>
  <c r="T90"/>
  <c r="U90"/>
  <c r="V90"/>
  <c r="W90"/>
  <c r="R91"/>
  <c r="S91"/>
  <c r="T91"/>
  <c r="U91"/>
  <c r="V91"/>
  <c r="W91"/>
  <c r="R92"/>
  <c r="S92"/>
  <c r="T92"/>
  <c r="U92"/>
  <c r="V92"/>
  <c r="W92"/>
  <c r="R95"/>
  <c r="S95"/>
  <c r="T95"/>
  <c r="U95"/>
  <c r="V95"/>
  <c r="W95"/>
  <c r="R96"/>
  <c r="S96"/>
  <c r="T96"/>
  <c r="U96"/>
  <c r="V96"/>
  <c r="W96"/>
  <c r="R97"/>
  <c r="S97"/>
  <c r="T97"/>
  <c r="U97"/>
  <c r="V97"/>
  <c r="W97"/>
  <c r="R98"/>
  <c r="S98"/>
  <c r="T98"/>
  <c r="U98"/>
  <c r="V98"/>
  <c r="W98"/>
  <c r="R101"/>
  <c r="S101"/>
  <c r="T101"/>
  <c r="U101"/>
  <c r="V101"/>
  <c r="W101"/>
  <c r="R102"/>
  <c r="S102"/>
  <c r="T102"/>
  <c r="U102"/>
  <c r="V102"/>
  <c r="W102"/>
  <c r="R103"/>
  <c r="S103"/>
  <c r="T103"/>
  <c r="U103"/>
  <c r="V103"/>
  <c r="W103"/>
  <c r="R104"/>
  <c r="S104"/>
  <c r="T104"/>
  <c r="U104"/>
  <c r="V104"/>
  <c r="W104"/>
  <c r="R107"/>
  <c r="S107"/>
  <c r="T107"/>
  <c r="U107"/>
  <c r="V107"/>
  <c r="W107"/>
  <c r="R108"/>
  <c r="S108"/>
  <c r="T108"/>
  <c r="U108"/>
  <c r="V108"/>
  <c r="W108"/>
  <c r="R109"/>
  <c r="S109"/>
  <c r="T109"/>
  <c r="U109"/>
  <c r="V109"/>
  <c r="W109"/>
  <c r="R112"/>
  <c r="S112"/>
  <c r="T112"/>
  <c r="U112"/>
  <c r="V112"/>
  <c r="W112"/>
  <c r="R113"/>
  <c r="S113"/>
  <c r="T113"/>
  <c r="U113"/>
  <c r="V113"/>
  <c r="W113"/>
  <c r="R114"/>
  <c r="S114"/>
  <c r="T114"/>
  <c r="U114"/>
  <c r="V114"/>
  <c r="W114"/>
  <c r="R115"/>
  <c r="S115"/>
  <c r="T115"/>
  <c r="U115"/>
  <c r="V115"/>
  <c r="W115"/>
  <c r="U116"/>
  <c r="V116"/>
  <c r="W116"/>
  <c r="R121"/>
  <c r="S121"/>
  <c r="T121"/>
  <c r="U121"/>
  <c r="V121"/>
  <c r="W121"/>
  <c r="R126"/>
  <c r="S126"/>
  <c r="T126"/>
  <c r="U126"/>
  <c r="V126"/>
  <c r="W126"/>
  <c r="R131"/>
  <c r="S131"/>
  <c r="T131"/>
  <c r="U131"/>
  <c r="V131"/>
  <c r="W131"/>
  <c r="R136"/>
  <c r="S136"/>
  <c r="T136"/>
  <c r="U136"/>
  <c r="V136"/>
  <c r="W136"/>
  <c r="R142"/>
  <c r="S142"/>
  <c r="T142"/>
  <c r="U142"/>
  <c r="V142"/>
  <c r="W142"/>
  <c r="B155"/>
  <c r="J155"/>
  <c r="C155"/>
  <c r="R155"/>
  <c r="D155"/>
  <c r="S155"/>
  <c r="E155"/>
  <c r="T155"/>
  <c r="F155"/>
  <c r="U155"/>
  <c r="G155"/>
  <c r="V155"/>
  <c r="H155"/>
  <c r="W155"/>
  <c r="K155"/>
  <c r="L155"/>
  <c r="M155"/>
  <c r="N155"/>
  <c r="O155"/>
  <c r="P155"/>
  <c r="R118"/>
  <c r="S118"/>
  <c r="T118"/>
  <c r="U118"/>
  <c r="V118"/>
  <c r="W118"/>
  <c r="R119"/>
  <c r="S119"/>
  <c r="T119"/>
  <c r="U119"/>
  <c r="V119"/>
  <c r="W119"/>
  <c r="R120"/>
  <c r="S120"/>
  <c r="T120"/>
  <c r="U120"/>
  <c r="V120"/>
  <c r="W120"/>
  <c r="R123"/>
  <c r="S123"/>
  <c r="T123"/>
  <c r="U123"/>
  <c r="V123"/>
  <c r="W123"/>
  <c r="R124"/>
  <c r="S124"/>
  <c r="T124"/>
  <c r="U124"/>
  <c r="V124"/>
  <c r="W124"/>
  <c r="R125"/>
  <c r="S125"/>
  <c r="T125"/>
  <c r="U125"/>
  <c r="V125"/>
  <c r="W125"/>
  <c r="R128"/>
  <c r="S128"/>
  <c r="T128"/>
  <c r="U128"/>
  <c r="V128"/>
  <c r="W128"/>
  <c r="R129"/>
  <c r="S129"/>
  <c r="T129"/>
  <c r="U129"/>
  <c r="V129"/>
  <c r="W129"/>
  <c r="R130"/>
  <c r="S130"/>
  <c r="T130"/>
  <c r="U130"/>
  <c r="V130"/>
  <c r="W130"/>
  <c r="R133"/>
  <c r="S133"/>
  <c r="T133"/>
  <c r="U133"/>
  <c r="V133"/>
  <c r="W133"/>
  <c r="R134"/>
  <c r="S134"/>
  <c r="T134"/>
  <c r="U134"/>
  <c r="V134"/>
  <c r="W134"/>
  <c r="R135"/>
  <c r="S135"/>
  <c r="T135"/>
  <c r="U135"/>
  <c r="V135"/>
  <c r="W135"/>
  <c r="R138"/>
  <c r="S138"/>
  <c r="T138"/>
  <c r="U138"/>
  <c r="V138"/>
  <c r="W138"/>
  <c r="R139"/>
  <c r="S139"/>
  <c r="T139"/>
  <c r="U139"/>
  <c r="V139"/>
  <c r="W139"/>
  <c r="R140"/>
  <c r="S140"/>
  <c r="T140"/>
  <c r="U140"/>
  <c r="V140"/>
  <c r="W140"/>
  <c r="R141"/>
  <c r="S141"/>
  <c r="T141"/>
  <c r="U141"/>
  <c r="V141"/>
  <c r="W141"/>
  <c r="R144"/>
  <c r="S144"/>
  <c r="T144"/>
  <c r="U144"/>
  <c r="V144"/>
  <c r="W144"/>
  <c r="R145"/>
  <c r="S145"/>
  <c r="T145"/>
  <c r="U145"/>
  <c r="V145"/>
  <c r="W145"/>
  <c r="R146"/>
  <c r="S146"/>
  <c r="T146"/>
  <c r="U146"/>
  <c r="V146"/>
  <c r="W146"/>
  <c r="R147"/>
  <c r="S147"/>
  <c r="T147"/>
  <c r="U147"/>
  <c r="V147"/>
  <c r="W147"/>
  <c r="R148"/>
  <c r="S148"/>
  <c r="T148"/>
  <c r="U148"/>
  <c r="V148"/>
  <c r="W148"/>
  <c r="R149"/>
  <c r="S149"/>
  <c r="T149"/>
  <c r="U149"/>
  <c r="V149"/>
  <c r="W149"/>
  <c r="R150"/>
  <c r="S150"/>
  <c r="T150"/>
  <c r="U150"/>
  <c r="V150"/>
  <c r="W150"/>
  <c r="R151"/>
  <c r="S151"/>
  <c r="T151"/>
  <c r="U151"/>
  <c r="V151"/>
  <c r="W151"/>
  <c r="R152"/>
  <c r="S152"/>
  <c r="T152"/>
  <c r="U152"/>
  <c r="V152"/>
  <c r="W152"/>
  <c r="R153"/>
  <c r="S153"/>
  <c r="T153"/>
  <c r="U153"/>
  <c r="V153"/>
  <c r="W153"/>
  <c r="X149" i="3"/>
  <c r="U149"/>
  <c r="Y149"/>
  <c r="X153"/>
  <c r="T153"/>
  <c r="V153"/>
  <c r="Y153"/>
  <c r="W153"/>
  <c r="Z153"/>
  <c r="U153"/>
  <c r="K153"/>
  <c r="W141"/>
  <c r="Z141"/>
  <c r="U141"/>
  <c r="Y141"/>
  <c r="B142"/>
  <c r="Y142"/>
  <c r="W142"/>
  <c r="Z142"/>
  <c r="U142"/>
  <c r="X142"/>
  <c r="T142"/>
  <c r="V142"/>
  <c r="K142"/>
  <c r="Y136"/>
  <c r="W136"/>
  <c r="Z136"/>
  <c r="U136"/>
  <c r="X136"/>
  <c r="T136"/>
  <c r="V136"/>
  <c r="K136"/>
  <c r="X131"/>
  <c r="Z131"/>
  <c r="U131"/>
  <c r="Y131"/>
  <c r="W131"/>
  <c r="V131"/>
  <c r="T131"/>
  <c r="C155"/>
  <c r="V128"/>
  <c r="T128"/>
  <c r="X128"/>
  <c r="K131"/>
  <c r="X124"/>
  <c r="V124"/>
  <c r="B126"/>
  <c r="T126"/>
  <c r="K126"/>
  <c r="X126"/>
  <c r="F155"/>
  <c r="Y121"/>
  <c r="W121"/>
  <c r="V121"/>
  <c r="X121"/>
  <c r="T121"/>
  <c r="Z121"/>
  <c r="U121"/>
  <c r="K121"/>
  <c r="Y115"/>
  <c r="W115"/>
  <c r="Z115"/>
  <c r="X116"/>
  <c r="T116"/>
  <c r="V116"/>
  <c r="Y116"/>
  <c r="W116"/>
  <c r="Z116"/>
  <c r="U116"/>
  <c r="K116"/>
  <c r="X110"/>
  <c r="T110"/>
  <c r="Z110"/>
  <c r="U110"/>
  <c r="Y110"/>
  <c r="W110"/>
  <c r="V110"/>
  <c r="K110"/>
  <c r="Y105"/>
  <c r="W105"/>
  <c r="Z105"/>
  <c r="U105"/>
  <c r="X105"/>
  <c r="T105"/>
  <c r="V105"/>
  <c r="K105"/>
  <c r="B99"/>
  <c r="X99"/>
  <c r="K99"/>
  <c r="L155"/>
  <c r="T87"/>
  <c r="W87"/>
  <c r="V87"/>
  <c r="W80"/>
  <c r="U80"/>
  <c r="Z80"/>
  <c r="V73"/>
  <c r="Z73"/>
  <c r="W73"/>
  <c r="Z126"/>
  <c r="U126"/>
  <c r="Y126"/>
  <c r="W126"/>
  <c r="V126"/>
  <c r="V99"/>
  <c r="Y99"/>
  <c r="Z99"/>
  <c r="W99"/>
  <c r="U99"/>
  <c r="T99"/>
  <c r="K155"/>
  <c r="X74"/>
  <c r="T74"/>
  <c r="Y74"/>
  <c r="V74"/>
  <c r="W74"/>
  <c r="U74"/>
  <c r="Z74"/>
  <c r="B155"/>
  <c r="D330" i="13"/>
  <c r="C330"/>
  <c r="F330"/>
  <c r="E330"/>
  <c r="B330"/>
  <c r="G331"/>
  <c r="R72"/>
  <c r="O103"/>
  <c r="O104"/>
  <c r="O106"/>
  <c r="O108"/>
  <c r="U196"/>
  <c r="Y155" i="3"/>
  <c r="W155"/>
  <c r="X155"/>
  <c r="Z155"/>
  <c r="U155"/>
  <c r="T155"/>
  <c r="V155"/>
  <c r="H331" i="13"/>
  <c r="E331"/>
  <c r="F331"/>
  <c r="C331"/>
  <c r="D331"/>
</calcChain>
</file>

<file path=xl/sharedStrings.xml><?xml version="1.0" encoding="utf-8"?>
<sst xmlns="http://schemas.openxmlformats.org/spreadsheetml/2006/main" count="13053" uniqueCount="2560">
  <si>
    <t>South Belfast (22 October 1963): Total Electorate: 57,864 Total Poll:  Valid Poll: 27,972</t>
  </si>
  <si>
    <t>Mitchell disqualified on petition, Beattie declared elected, then disqualified on petition - new writ issued</t>
  </si>
  <si>
    <t>George Forrest</t>
  </si>
  <si>
    <t>Mid Ulster (8 May 1956): Electorate: 66,891 Total Poll:  Valid Poll: 59,150</t>
  </si>
  <si>
    <t>Mid Ulster (11 August 1955): Electorate: 66,847 Total Poll:  Valid Poll: 59,978</t>
  </si>
  <si>
    <t>Stanley McMaster</t>
  </si>
  <si>
    <t>James Gardiner</t>
  </si>
  <si>
    <t>East Belfast (19 March 1959): Total Electorate: 58,388 Total Poll:  Valid Poll: 33,788</t>
  </si>
  <si>
    <t>North Antrim (27 October 1952):</t>
  </si>
  <si>
    <t>Samuel Napier</t>
  </si>
  <si>
    <t>South Belfast (4 November 1952): Total Electorate: 66,196 Total Poll:  Valid Poll: 30,722</t>
  </si>
  <si>
    <t>North Down (15 April 1953):</t>
  </si>
  <si>
    <t>Patricia Ford</t>
  </si>
  <si>
    <t>Armagh (20 November 1954):</t>
  </si>
  <si>
    <t>Christopher Armstrong</t>
  </si>
  <si>
    <t>Thomas Teevan</t>
  </si>
  <si>
    <t>West Belfast (29 November 1950): Total Electorate: 78,459 Total Poll:  Valid Poll: 62,679</t>
  </si>
  <si>
    <t>Derry (19 May 1951):</t>
  </si>
  <si>
    <t>William Wellwood</t>
  </si>
  <si>
    <t>Charles Mullan</t>
  </si>
  <si>
    <t>Desmond Donnelly</t>
  </si>
  <si>
    <t>Down (6 June 1946): Electorate: 147,978 Total Poll:  Valid Poll: 98,565</t>
  </si>
  <si>
    <t>James Harden</t>
  </si>
  <si>
    <t>Armagh (5 March 1948): Electorate: 70,337 Total Poll:  Valid Poll: 61,158</t>
  </si>
  <si>
    <t>Ronald Deane</t>
  </si>
  <si>
    <t>1935 (14 November) - Fermanagh &amp; Tyrone (2 seats): Electorate: 118,322 Total Poll:  Valid Poll: 97,060</t>
  </si>
  <si>
    <t>Derry:</t>
  </si>
  <si>
    <t>Armagh: Electorate: 68,582 Total Poll:  Valid Poll: 50,286</t>
  </si>
  <si>
    <t>Patrick Cunningham*</t>
  </si>
  <si>
    <t>William J. Allen*</t>
  </si>
  <si>
    <t>David Reid</t>
  </si>
  <si>
    <t>Viscount Castlereagh</t>
  </si>
  <si>
    <t>Patrick O'Hagan</t>
  </si>
  <si>
    <t>Down (2 seats): Electorate: 134,467 Total Poll:  Valid Poll: 76,195</t>
  </si>
  <si>
    <t>Antrim (2 seats):</t>
  </si>
  <si>
    <t>Joseph McConnell</t>
  </si>
  <si>
    <t>Joseph McConnell*</t>
  </si>
  <si>
    <t>North Belfast:</t>
  </si>
  <si>
    <t>Thomas Somerset*</t>
  </si>
  <si>
    <t>Alexander Browne*</t>
  </si>
  <si>
    <t>Charles Leddy</t>
  </si>
  <si>
    <t>West Belfast: Total Electorate: 79,902 Total Poll:  Valid Poll: 54,373</t>
  </si>
  <si>
    <t>South Belfast:</t>
  </si>
  <si>
    <t>William Stewart*</t>
  </si>
  <si>
    <t>East Belfast:</t>
  </si>
  <si>
    <t>Herbert Dixon*</t>
  </si>
  <si>
    <t>Queen's University Belfast:</t>
  </si>
  <si>
    <t>Thomas Sinclair*</t>
  </si>
  <si>
    <t>East Belfast (8 February 1940):</t>
  </si>
  <si>
    <t>Down (10 May 1939):</t>
  </si>
  <si>
    <t>Henry Harland</t>
  </si>
  <si>
    <t>Queen's University Belfast (2 November 1940):</t>
  </si>
  <si>
    <t>Ind Rep</t>
  </si>
  <si>
    <t>William Wilton</t>
  </si>
  <si>
    <t>Hugh Corvin</t>
  </si>
  <si>
    <t>Belfast West (9 February 1943): Electorate: 78,763 Total Poll:  Valid Poll: 43,163</t>
  </si>
  <si>
    <t>John Campbell</t>
  </si>
  <si>
    <t>Robert Getgood</t>
  </si>
  <si>
    <t>Reginald Press</t>
  </si>
  <si>
    <t>Antrim (11 February 1943): Electorate: 135,795 Total Poll:  Valid Poll: 61,056</t>
  </si>
  <si>
    <t>Joseph Devlin</t>
  </si>
  <si>
    <t>Hugh Irwin</t>
  </si>
  <si>
    <t>Ynyr Burges</t>
  </si>
  <si>
    <t>1931 (27 October) - Fermanagh &amp; Tyrone (2 seats): Electorate: 116,965 Total Poll:  Valid Poll: 95,535</t>
  </si>
  <si>
    <t>Joseph Devlin*</t>
  </si>
  <si>
    <t>Down (2 seats):</t>
  </si>
  <si>
    <t>David Reid*</t>
  </si>
  <si>
    <t>Alexander Browne</t>
  </si>
  <si>
    <t>Thomas Campbell</t>
  </si>
  <si>
    <t>West Belfast: Total Electorate: 77,993 Total Poll:  Valid Poll: 53,119</t>
  </si>
  <si>
    <t>Fermanagh &amp; Tyrone (7 March 1931):</t>
  </si>
  <si>
    <t>1929 (30 May) - Fermanagh &amp; Tyrone (2 seats):</t>
  </si>
  <si>
    <t>Thomas Harbison</t>
  </si>
  <si>
    <t>William Todd</t>
  </si>
  <si>
    <t>Armagh: Electorate: 66,527 Total Poll:  Valid Poll: 40,018</t>
  </si>
  <si>
    <t>John Simms*</t>
  </si>
  <si>
    <t>Robert Pollock</t>
  </si>
  <si>
    <t>David Johnston</t>
  </si>
  <si>
    <t>Down (2 seats): Electorate: 127,346 Total Poll:  Valid Poll: 74,514</t>
  </si>
  <si>
    <t>George Henderson</t>
  </si>
  <si>
    <t>Robert Boyd</t>
  </si>
  <si>
    <t>Antrim (2 seats): Electorate: 123,474 Total Poll:  Valid Poll: 71,762</t>
  </si>
  <si>
    <t>Thomas Somerset</t>
  </si>
  <si>
    <t>Thomas Henderson</t>
  </si>
  <si>
    <t>David Wilson</t>
  </si>
  <si>
    <t>North Belfast: Total Electorate: 61,438 Total Poll:  Valid Poll: 44,780</t>
  </si>
  <si>
    <t>Frank MacDermott</t>
  </si>
  <si>
    <t>West Belfast: Total Electorate: 77,721 Total Poll:  Valid Poll: 57,451</t>
  </si>
  <si>
    <t>William Stewart</t>
  </si>
  <si>
    <t>Philip Woods</t>
  </si>
  <si>
    <t>South Belfast: Total Electorate: 59,025 Total Poll:  Valid Poll: 38,167</t>
  </si>
  <si>
    <t>Denis Ireland</t>
  </si>
  <si>
    <t>East Belfast: Total Electorate: 56,426 Total Poll:  Valid Poll: 37,085</t>
  </si>
  <si>
    <t>Joseph Stewart</t>
  </si>
  <si>
    <t>Dominic McCrossan</t>
  </si>
  <si>
    <t>Fermanagh &amp; Tyrone (27 June 1934): Total Electorate: 118,884 Total Poll:  Valid Poll: 46,879</t>
  </si>
  <si>
    <t>Charles Falls</t>
  </si>
  <si>
    <t>James Pringle</t>
  </si>
  <si>
    <t>Michael McCartan</t>
  </si>
  <si>
    <t>Thomas Corrigan</t>
  </si>
  <si>
    <t>1924 (29 October) - Fermanagh &amp; Tyrone (2 seats): Electorate: 97,044 Total Poll:  Valid Poll: 51,462</t>
  </si>
  <si>
    <t>Malcolm Macnaghten*</t>
  </si>
  <si>
    <t>Charles MacWhinney</t>
  </si>
  <si>
    <t>William Galt</t>
  </si>
  <si>
    <t>Derry: Electorate: 63,087 Total Poll:  Valid Poll: 37,261</t>
  </si>
  <si>
    <t>James McKee</t>
  </si>
  <si>
    <t>Armagh: Electorate: 54,376 Total Poll:  Valid Poll: 40,777</t>
  </si>
  <si>
    <t>Michael Murney</t>
  </si>
  <si>
    <t>Down (2 seats): Electorate: 96,285 Total Poll:  Valid Poll: 63,324</t>
  </si>
  <si>
    <t>Charles Craig*</t>
  </si>
  <si>
    <t>Patrick McCormick</t>
  </si>
  <si>
    <t>Antrim (2 seats): Electorate: 98,616 Total Poll:  Valid Poll: 62,073</t>
  </si>
  <si>
    <t>Thomas McConnell*</t>
  </si>
  <si>
    <t>North Belfast: Total Electorate: 46,902 Total Poll:  Valid Poll: 35,374</t>
  </si>
  <si>
    <t>Robert Lynn*</t>
  </si>
  <si>
    <t>Patrick Nash</t>
  </si>
  <si>
    <t>West Belfast: Total Electorate: 66,010 Total Poll:  Valid Poll: 52,245</t>
  </si>
  <si>
    <t>Thomas Moles*</t>
  </si>
  <si>
    <t>Derry (29 January 1929):</t>
  </si>
  <si>
    <t>Thomas Harbison*</t>
  </si>
  <si>
    <t>1923 (6 December) - Fermanagh &amp; Tyrone (2 seats): Electorate: 96,497 Total Poll:  Valid Poll: 81,543</t>
  </si>
  <si>
    <t>North Belfast: Total Electorate: 46,844 Total Poll:  Valid Poll: 31,942</t>
  </si>
  <si>
    <t>West Belfast: Total Electorate: 67,161 Total Poll:  Valid Poll: 47,200</t>
  </si>
  <si>
    <t>Thomas Sinclair</t>
  </si>
  <si>
    <t>1922 (15 November) - Fermanagh &amp; Tyrone (2 seats): Electorate: 97,904 Total Poll:  Valid Poll: 83,641</t>
  </si>
  <si>
    <t>Malcolm Macnaghten</t>
  </si>
  <si>
    <t>Edmund Macnaghten</t>
  </si>
  <si>
    <t>Derry: Electorate: 63,505 Total Poll:  Valid Poll: 40,604</t>
  </si>
  <si>
    <t>John Simms</t>
  </si>
  <si>
    <t>Charles Craig</t>
  </si>
  <si>
    <t>Thomas McConnell</t>
  </si>
  <si>
    <t>Robert Lynn</t>
  </si>
  <si>
    <t>Thomas Moles</t>
  </si>
  <si>
    <t>Herbert Dixon</t>
  </si>
  <si>
    <t>William Whitla</t>
  </si>
  <si>
    <t>Armagh Central:</t>
  </si>
  <si>
    <t>Joseph Magowan</t>
  </si>
  <si>
    <t>Armagh Mid: Total Electorate: 15,901 Total Poll:  Valid Poll: 12,804</t>
  </si>
  <si>
    <t>Adrian Kennedy</t>
  </si>
  <si>
    <t>Armagh North: Total Electorate: 20,652 Total Poll:  Valid Poll: 14,934</t>
  </si>
  <si>
    <t>Edward Richardson</t>
  </si>
  <si>
    <t>Patrick Byrne</t>
  </si>
  <si>
    <t>Armagh South: Electorate: 18,140 Total Poll:  Valid Poll: 12,568</t>
  </si>
  <si>
    <t>Brian Faulkner*</t>
  </si>
  <si>
    <t>Down East: Electorate: 18,230 Total Poll:  Valid Poll: 15,811</t>
  </si>
  <si>
    <t>Down Mid:</t>
  </si>
  <si>
    <t>John Kelly*</t>
  </si>
  <si>
    <t>Robert Babington</t>
  </si>
  <si>
    <t>Down North: Electorate: 18,408 Total Poll:  Valid Poll: 10,580</t>
  </si>
  <si>
    <t>Michael Keogh*</t>
  </si>
  <si>
    <t>Fergus Woods</t>
  </si>
  <si>
    <t>Down South: Electorate: 17,486 Total Poll:  Valid Poll: 9,440</t>
  </si>
  <si>
    <t>Alfred Buller</t>
  </si>
  <si>
    <t>Down West: Electorate: 16,548 Total Poll:  Valid Poll: 12,827</t>
  </si>
  <si>
    <t>John Dobson*</t>
  </si>
  <si>
    <t>Cecil Newell</t>
  </si>
  <si>
    <t>Mourne: Total Electorate: 16,272 Total Poll:  Valid Poll: 13,295</t>
  </si>
  <si>
    <t>James O'Reilly*</t>
  </si>
  <si>
    <t>Ards:</t>
  </si>
  <si>
    <t>William Long*</t>
  </si>
  <si>
    <t>Bangor: Electorate: 20,886 Total Poll:  Valid Poll: 12,904</t>
  </si>
  <si>
    <t>Iveagh: Total Electorate: 16,172 Total Poll:  Valid Poll: 11,234</t>
  </si>
  <si>
    <t>Samuel Magowan*</t>
  </si>
  <si>
    <t>Robert Porter</t>
  </si>
  <si>
    <t>Lagan Valley:</t>
  </si>
  <si>
    <t>Nat Minford*</t>
  </si>
  <si>
    <t>Antrim - Town:</t>
  </si>
  <si>
    <t>Robert Simpson*</t>
  </si>
  <si>
    <t>Robert Galbraith</t>
  </si>
  <si>
    <t>Antrim Mid: Electorate: 21,992 Total Poll:  Valid Poll: 12,373</t>
  </si>
  <si>
    <t>John Wylie</t>
  </si>
  <si>
    <t>Antrim North: Electorate: 19,611 Total Poll:  Valid Poll: 12,383</t>
  </si>
  <si>
    <t>Richard Ferguson</t>
  </si>
  <si>
    <t>Antrim South: Electorate: 24,693 Total Poll:  Valid Poll: 16,123</t>
  </si>
  <si>
    <t>Terence O'Neill*</t>
  </si>
  <si>
    <t>Michael Farrell</t>
  </si>
  <si>
    <t>Bannside: Electorate: 20,635 Total Poll:  Valid Poll: 16,386</t>
  </si>
  <si>
    <t>Carrick: Electorate: 22,905 Total Poll:  Valid Poll: 14,775</t>
  </si>
  <si>
    <t>Larne: Electorate: 20,728 Total Poll:  Valid Poll: 16,447</t>
  </si>
  <si>
    <t>Robin Bailie</t>
  </si>
  <si>
    <t>Newtownabbey: Electorate: 22,151 Total Poll:  Valid Poll: 13,262</t>
  </si>
  <si>
    <t>Thomas Sherry</t>
  </si>
  <si>
    <t>Thomas Magee</t>
  </si>
  <si>
    <t>Gerard O'Hare</t>
  </si>
  <si>
    <t>Larkfield: Electorate: 20,774 Total Poll:  Valid Poll: 14,192</t>
  </si>
  <si>
    <t>Belfast Ballynafeigh: Total Electorate: 14,572 Total Poll:  Valid Poll: 9,198</t>
  </si>
  <si>
    <t>Ivan Neill*</t>
  </si>
  <si>
    <t>Robert Caldwell</t>
  </si>
  <si>
    <t>Belfast Bloomfield: Total Electorate: 21,142 Total Poll:  Valid Poll: 14,848</t>
  </si>
  <si>
    <t>Belfast Central: Total Electorate: 6,384 Total Poll:  Valid Poll: 3,570</t>
  </si>
  <si>
    <t>Norman Thompson</t>
  </si>
  <si>
    <t>Michael McKeown</t>
  </si>
  <si>
    <t>Belfast Clifton: Total Electorate: 16,196 Total Poll:  Valid Poll: 12,041</t>
  </si>
  <si>
    <t>Edward Wiegleb</t>
  </si>
  <si>
    <t>Belfast Cromac: Electorate: 13,541 Total Poll:  Valid Poll: 8,206</t>
  </si>
  <si>
    <t>Walter Scott*</t>
  </si>
  <si>
    <t>John Brennan*</t>
  </si>
  <si>
    <t>John Kennedy*</t>
  </si>
  <si>
    <t>William Morgan*</t>
  </si>
  <si>
    <t>Harold Smith</t>
  </si>
  <si>
    <t>Belfast Dock: Electorate: 7,212 Total Poll:  Valid Poll: 5,210</t>
  </si>
  <si>
    <t>Norman Porter</t>
  </si>
  <si>
    <t>Belfast Duncairn: Electorate: 18,415 Total Poll:  Valid Poll: 11,756</t>
  </si>
  <si>
    <t>Belfast Falls: Electorate: 19,802 Total Poll:  Valid Poll: 11,824</t>
  </si>
  <si>
    <t>Joseph Cairns</t>
  </si>
  <si>
    <t>Belfast Oldpark: Electorate: 17,817 Total Poll:  Valid Poll: 12,003</t>
  </si>
  <si>
    <t>Norman Laird</t>
  </si>
  <si>
    <t>Cecil McKee</t>
  </si>
  <si>
    <t>John Murphy</t>
  </si>
  <si>
    <t>Belfast St. Anne's: Electorate: 19,041 Total Poll:  Valid Poll: 13,445</t>
  </si>
  <si>
    <t>Belfast Pottinger: Electorate: 8,328 Total Poll:  Valid Poll: 5,646</t>
  </si>
  <si>
    <t>Samuel Walsh</t>
  </si>
  <si>
    <t>Belfast Shankill: Electorate: 18,136 Total Poll:  Valid Poll: 12,926</t>
  </si>
  <si>
    <t>Ronald Bunting</t>
  </si>
  <si>
    <t>Belfast Victoria: Total Electorate: 19,504 Total Poll:  Valid Poll: 14,710</t>
  </si>
  <si>
    <t xml:space="preserve">Belfast Willowfield: Total Electorate: 12,427 Total Poll:  Valid Poll: </t>
  </si>
  <si>
    <t>Brian Boyd</t>
  </si>
  <si>
    <t xml:space="preserve">Belfast Windsor: </t>
  </si>
  <si>
    <t xml:space="preserve">Belfast Woodvale: Total Electorate: 19,984 Total Poll:  Valid Poll: </t>
  </si>
  <si>
    <t>Leslie Bell</t>
  </si>
  <si>
    <t>William Fitzsimmons*</t>
  </si>
  <si>
    <t>Harry Diamond*</t>
  </si>
  <si>
    <t>Frederick Simpson*</t>
  </si>
  <si>
    <t>Desmond Boal*</t>
  </si>
  <si>
    <t>Roy Bradford*</t>
  </si>
  <si>
    <t>William Hinds*</t>
  </si>
  <si>
    <t>Herbert Kirk*</t>
  </si>
  <si>
    <t>John McQuade*</t>
  </si>
  <si>
    <t>Omagh A</t>
  </si>
  <si>
    <t>Omagh B</t>
  </si>
  <si>
    <t>Omagh C</t>
  </si>
  <si>
    <t>Omagh D</t>
  </si>
  <si>
    <t>Strabane A</t>
  </si>
  <si>
    <t>Strabane B</t>
  </si>
  <si>
    <t>Strabane C</t>
  </si>
  <si>
    <t>Dungannon A</t>
  </si>
  <si>
    <t>Dungannon B</t>
  </si>
  <si>
    <t>Dungannon C</t>
  </si>
  <si>
    <t>Dungannon D</t>
  </si>
  <si>
    <t>Cookstown A</t>
  </si>
  <si>
    <t>Cookstown B</t>
  </si>
  <si>
    <t>Cookstown C</t>
  </si>
  <si>
    <t>Magherafelt A</t>
  </si>
  <si>
    <t>Magherafelt B</t>
  </si>
  <si>
    <t>Magherafelt C</t>
  </si>
  <si>
    <t>Derry A</t>
  </si>
  <si>
    <t>Derry B</t>
  </si>
  <si>
    <t>Derry C</t>
  </si>
  <si>
    <t>Derry D</t>
  </si>
  <si>
    <t>Derry E</t>
  </si>
  <si>
    <t>Limavady A</t>
  </si>
  <si>
    <t>Limavady B</t>
  </si>
  <si>
    <t>Limavady C</t>
  </si>
  <si>
    <t>Belfast A</t>
  </si>
  <si>
    <t>Belfast B</t>
  </si>
  <si>
    <t>Belfast C</t>
  </si>
  <si>
    <t>Belfast D</t>
  </si>
  <si>
    <t>Belfast E</t>
  </si>
  <si>
    <t>Belfast F</t>
  </si>
  <si>
    <t>Belfast G</t>
  </si>
  <si>
    <t>Belfast H</t>
  </si>
  <si>
    <t>Coleraine A</t>
  </si>
  <si>
    <t>Coleraine B</t>
  </si>
  <si>
    <t>Coleraine C</t>
  </si>
  <si>
    <t>Armagh A</t>
  </si>
  <si>
    <t>Armagh B</t>
  </si>
  <si>
    <t>Armagh C</t>
  </si>
  <si>
    <t>Armagh D</t>
  </si>
  <si>
    <t>Newry-Mourne A</t>
  </si>
  <si>
    <t>Newry-Mourne B</t>
  </si>
  <si>
    <t>Newry-Mourne C</t>
  </si>
  <si>
    <t>Newry-Mourne D</t>
  </si>
  <si>
    <t>Newry-Mourne E</t>
  </si>
  <si>
    <t>Newry-Mourne F</t>
  </si>
  <si>
    <t>Craigavon A</t>
  </si>
  <si>
    <t>Craigavon B</t>
  </si>
  <si>
    <t>Craigavon C</t>
  </si>
  <si>
    <t>Craigavon D</t>
  </si>
  <si>
    <t>Banbridge A</t>
  </si>
  <si>
    <t>Banbridge B</t>
  </si>
  <si>
    <t>Fermanagh &amp; South Tyrone (20 August 1981): Electorate: 72,834 Total Poll: 64,531 Valid Poll: 63,727</t>
  </si>
  <si>
    <t>Fermanagh &amp; South Tyrone (9 April 1981): Electorate: 72,283 Total Poll: 62,818 Valid Poll: 59,538</t>
  </si>
  <si>
    <t>Down A</t>
  </si>
  <si>
    <t>Down B</t>
  </si>
  <si>
    <t>Down C</t>
  </si>
  <si>
    <t>Lisburn A</t>
  </si>
  <si>
    <t>Lisburn B</t>
  </si>
  <si>
    <t>Lisburn C</t>
  </si>
  <si>
    <t>Lisburn D</t>
  </si>
  <si>
    <t>Lisburn E</t>
  </si>
  <si>
    <t>Moyle A</t>
  </si>
  <si>
    <t>Moyle B</t>
  </si>
  <si>
    <t>Moyle C</t>
  </si>
  <si>
    <t>Ballymoney A</t>
  </si>
  <si>
    <t>Ballymoney B</t>
  </si>
  <si>
    <t>Ballymoney C</t>
  </si>
  <si>
    <t>Larne A</t>
  </si>
  <si>
    <t>Larne B</t>
  </si>
  <si>
    <t>Larne C</t>
  </si>
  <si>
    <t>Carrick A</t>
  </si>
  <si>
    <t>Carrick B</t>
  </si>
  <si>
    <t>Carrick C</t>
  </si>
  <si>
    <t>Newtownabbey A</t>
  </si>
  <si>
    <t>Newtownabbey B</t>
  </si>
  <si>
    <t>Newtownabbey C</t>
  </si>
  <si>
    <t>Newtownabbey D</t>
  </si>
  <si>
    <t>Ballymena A</t>
  </si>
  <si>
    <t>Ballymena B</t>
  </si>
  <si>
    <t>Ballymena D</t>
  </si>
  <si>
    <t>Ballymena C</t>
  </si>
  <si>
    <t>Ards A</t>
  </si>
  <si>
    <t>Ards B</t>
  </si>
  <si>
    <t>Ards C</t>
  </si>
  <si>
    <t>North Down A</t>
  </si>
  <si>
    <t>North Down B</t>
  </si>
  <si>
    <t>North Down C</t>
  </si>
  <si>
    <t>North Down D</t>
  </si>
  <si>
    <t>Castlereagh A</t>
  </si>
  <si>
    <t>Castlereagh B</t>
  </si>
  <si>
    <t>Castlereagh C</t>
  </si>
  <si>
    <t>Antrim A</t>
  </si>
  <si>
    <t>Antrim B</t>
  </si>
  <si>
    <t>Antrim C</t>
  </si>
  <si>
    <t>South Belfast: Total Electorate: 52,050 Total Poll: 33,719 Valid Poll: 33,584</t>
  </si>
  <si>
    <t>John Montgomery</t>
  </si>
  <si>
    <t>Peter Hadden</t>
  </si>
  <si>
    <t>Teresa Mullen</t>
  </si>
  <si>
    <t>East Belfast: Total Electorate: 52,869 Total Poll: 35,908 Valid Poll: 35,791</t>
  </si>
  <si>
    <t>Ind U</t>
  </si>
  <si>
    <t>John Alderdice</t>
  </si>
  <si>
    <t>David Greene</t>
  </si>
  <si>
    <t>Guy Redden</t>
  </si>
  <si>
    <t>Prog Soc</t>
  </si>
  <si>
    <t>Harry West</t>
  </si>
  <si>
    <t>John McKay</t>
  </si>
  <si>
    <t>Thomas Daly</t>
  </si>
  <si>
    <t>Thomas Murray</t>
  </si>
  <si>
    <t>UPNI</t>
  </si>
  <si>
    <t>George Cathcart</t>
  </si>
  <si>
    <t>Eugene Lyttle</t>
  </si>
  <si>
    <t>William Barbour</t>
  </si>
  <si>
    <t>Mid-Ulster (6 seats) Electorate: 80,806 Total Poll: 58,549 Valid Poll: 56,469 Quota: 8,068</t>
  </si>
  <si>
    <t>Richard Reid</t>
  </si>
  <si>
    <t>Ivan Cooper</t>
  </si>
  <si>
    <t>Esmond Thompson</t>
  </si>
  <si>
    <t>Patrick Duffy</t>
  </si>
  <si>
    <t>Aidan Larkin</t>
  </si>
  <si>
    <t>Duncan Pollock</t>
  </si>
  <si>
    <t>Aidan Lagan</t>
  </si>
  <si>
    <t>Douglas Cooper</t>
  </si>
  <si>
    <t>Stephen McKenna</t>
  </si>
  <si>
    <t>Frank McElroy</t>
  </si>
  <si>
    <t>Ivan Barr</t>
  </si>
  <si>
    <t>Derry (7 seats) Electorate: 92,003 Total Poll: 64,186 Valid Poll: 62,402 Quota: 7,801</t>
  </si>
  <si>
    <t>Glenn Barr</t>
  </si>
  <si>
    <t>William McClure</t>
  </si>
  <si>
    <t>Shena Conn</t>
  </si>
  <si>
    <t>Liam Gallagher</t>
  </si>
  <si>
    <t>John Williamson</t>
  </si>
  <si>
    <t>Ivor Canavan</t>
  </si>
  <si>
    <t>Patrick Kealey</t>
  </si>
  <si>
    <t>Leslie Morrell</t>
  </si>
  <si>
    <t>Cahal Newcombe</t>
  </si>
  <si>
    <t>NILP</t>
  </si>
  <si>
    <t>Alan Carr</t>
  </si>
  <si>
    <t>Randall Crawford</t>
  </si>
  <si>
    <t>Michael Canavan</t>
  </si>
  <si>
    <t>Armagh (7 seats) Electorate: 90,640 Total Poll: 61,399 Valid Poll: 59,388 Quota: 7,424</t>
  </si>
  <si>
    <t>Michael Armstrong</t>
  </si>
  <si>
    <t>Thomas Carson</t>
  </si>
  <si>
    <t>Patrick O'Hanlon</t>
  </si>
  <si>
    <t>Malachy McGurran</t>
  </si>
  <si>
    <t>Herbert Whitten</t>
  </si>
  <si>
    <t>Patrick Houlahan</t>
  </si>
  <si>
    <t>John Maginnis</t>
  </si>
  <si>
    <t>Brian English</t>
  </si>
  <si>
    <t>Thomas Moore</t>
  </si>
  <si>
    <t>Eugene Connolly</t>
  </si>
  <si>
    <t>South Down (7 seats) Electorate: 89,912 Total Poll: 62,873 Valid Poll: 60,744 Quota: 7,594</t>
  </si>
  <si>
    <t>Patrick O'Donoghue</t>
  </si>
  <si>
    <t>Herbert Heslip</t>
  </si>
  <si>
    <t>Edward Brush</t>
  </si>
  <si>
    <t>David Herron</t>
  </si>
  <si>
    <t>Anthony Williamson</t>
  </si>
  <si>
    <t>Denys Rowan-Hamilton</t>
  </si>
  <si>
    <t>Brian Faulkner</t>
  </si>
  <si>
    <t>Cecil Harvey</t>
  </si>
  <si>
    <t>Gerard O'Hanlon</t>
  </si>
  <si>
    <t>Ronald Broadhurst</t>
  </si>
  <si>
    <t>South Antrim (8 seats) Electorate: 119,723 Total Poll: 70,129 Valid Poll: 68,806 Quota: 7,646</t>
  </si>
  <si>
    <t>Austin Ardill</t>
  </si>
  <si>
    <t>Samuel Semple</t>
  </si>
  <si>
    <t>Charles Kinahan</t>
  </si>
  <si>
    <t>Vincent McCloskey</t>
  </si>
  <si>
    <t>John Cousins</t>
  </si>
  <si>
    <t>Stewart Dunlop</t>
  </si>
  <si>
    <t>James McDonald</t>
  </si>
  <si>
    <t>CPI</t>
  </si>
  <si>
    <t>William Somerset</t>
  </si>
  <si>
    <t>Anne Dickson</t>
  </si>
  <si>
    <t>John Logan</t>
  </si>
  <si>
    <t>Peter McLachlan</t>
  </si>
  <si>
    <t>George Morrison</t>
  </si>
  <si>
    <t>North Antrim (7 seats) Electorate: 103,469 Total Poll: 63,084 Valid Poll: 62,218 Quota: 7,778</t>
  </si>
  <si>
    <t>Adam Erwin</t>
  </si>
  <si>
    <t>Kenneth McFaul</t>
  </si>
  <si>
    <t>John Turnly</t>
  </si>
  <si>
    <t>William Rainey</t>
  </si>
  <si>
    <t>Clifford Smyth</t>
  </si>
  <si>
    <t>Iris Agnew</t>
  </si>
  <si>
    <t>James McClements</t>
  </si>
  <si>
    <t>Hugh Wilson</t>
  </si>
  <si>
    <t>Samuel Murphy</t>
  </si>
  <si>
    <t>Maurice McHenry</t>
  </si>
  <si>
    <t>David Allen</t>
  </si>
  <si>
    <t>North Down (7 seats) Electorate: 93,884 Total Poll: 58,768 Valid Poll: 57,779 Quota: 7,223</t>
  </si>
  <si>
    <t>George Green</t>
  </si>
  <si>
    <t>Robert McConnell</t>
  </si>
  <si>
    <t>Neil Oliver</t>
  </si>
  <si>
    <t>Sean Hollywood</t>
  </si>
  <si>
    <t>Keith Jones</t>
  </si>
  <si>
    <t>William Brownlow</t>
  </si>
  <si>
    <t>Robert Campbell</t>
  </si>
  <si>
    <t>North Belfast (6 seats) Total Electorate: 70,673 Total Poll: 44,739 Valid Poll: 43,609 Quota: 6,230</t>
  </si>
  <si>
    <t>Ind Loy.</t>
  </si>
  <si>
    <t>William Annon</t>
  </si>
  <si>
    <t>Gerry Fitt</t>
  </si>
  <si>
    <t>John Ferguson</t>
  </si>
  <si>
    <t>Thomas Donnelly</t>
  </si>
  <si>
    <t>William Morgan</t>
  </si>
  <si>
    <t>Lloyd Hall-Thompson</t>
  </si>
  <si>
    <t>Noel Trimble</t>
  </si>
  <si>
    <t>John Stewart</t>
  </si>
  <si>
    <t>James Robinson</t>
  </si>
  <si>
    <t>West Belfast (6 seats) Total Electorate: 63,869 Total Poll: 37,514 Valid Poll: 35,720 Quota: 5,103</t>
  </si>
  <si>
    <t>Patrick Devlin</t>
  </si>
  <si>
    <t>John Laird</t>
  </si>
  <si>
    <t>Edith Goligher</t>
  </si>
  <si>
    <t>Bob Cooper</t>
  </si>
  <si>
    <t>James Sullivan</t>
  </si>
  <si>
    <t>Jean Coulter</t>
  </si>
  <si>
    <t>Desmond Gillespie</t>
  </si>
  <si>
    <t>Peter Kerins</t>
  </si>
  <si>
    <t>Thomas Conaty</t>
  </si>
  <si>
    <t>John Brady</t>
  </si>
  <si>
    <t>Bernard McDonagh</t>
  </si>
  <si>
    <t>John Morrisey</t>
  </si>
  <si>
    <t>Basil Glass</t>
  </si>
  <si>
    <t>Edward Burns</t>
  </si>
  <si>
    <t>Jeremy Burchill</t>
  </si>
  <si>
    <t>James Hendron</t>
  </si>
  <si>
    <t>Robert McNiece</t>
  </si>
  <si>
    <t>Reginald Magee</t>
  </si>
  <si>
    <t>Erskine Holmes</t>
  </si>
  <si>
    <t>John Houston</t>
  </si>
  <si>
    <t>Raymond Jordan</t>
  </si>
  <si>
    <t>South Belfast (6 seats) Total Electorate: 73,324 Total Poll: 48,601 Valid Poll: 47,812 Quota: 6,831</t>
  </si>
  <si>
    <t>East Belfast (6 seats) Total Electorate: 78,340 Total Poll: 51,133 Valid Poll: 50,160 Quota: 7,166</t>
  </si>
  <si>
    <t>Eileen Paisley</t>
  </si>
  <si>
    <t>Catherine Condy</t>
  </si>
  <si>
    <t>Roy Bradford</t>
  </si>
  <si>
    <t>Joshua Cardwell</t>
  </si>
  <si>
    <t>Walter McFarland</t>
  </si>
  <si>
    <t>Norman Agnew</t>
  </si>
  <si>
    <t>William Elliot</t>
  </si>
  <si>
    <t>Sandy Scott</t>
  </si>
  <si>
    <t>North Belfast (6 seats) Total Electorate: 75,768 Total Poll: 52,070 Valid Poll: 50,784 Quota: 7,255</t>
  </si>
  <si>
    <t>South Belfast (6 seats) Total Electorate: 75,990 Total Poll: 53,649 Valid Poll: 52,721 Quota: 7,532</t>
  </si>
  <si>
    <t>East Belfast (6 seats) Total Electorate: 80,421 Total Poll: 57,701 Valid Poll: 56,784 Quota: 8,113</t>
  </si>
  <si>
    <t>West Belfast (6 seats) Total Electorate: 70,791 Total Poll: 44,208 Valid Poll: 41,374 Quota: 5,911</t>
  </si>
  <si>
    <t>North Antrim (7 seats) Electorate: 99,635 Total Poll: 72,289 Valid Poll: 71,249 Quota: 8,907</t>
  </si>
  <si>
    <t>South Antrim (8 seats) Electorate: 114,240 Total Poll: 76,519 Valid Poll: 75,033 Quota: 8,338</t>
  </si>
  <si>
    <t>Armagh (7 seats) Electorate: 89,056 Total Poll: 63,355 Valid Poll: 61,400 Quota: 7,676</t>
  </si>
  <si>
    <t>North Down (7 seats) Electorate: 89,682 Total Poll: 62,210 Valid Poll: 61,455 Quota: 7,682</t>
  </si>
  <si>
    <t>South Down (7 seats) Electorate: 89,324 Total Poll: 65,397 Valid Poll: 64,038 Quota: 8,005</t>
  </si>
  <si>
    <t>Derry (7 seats) Electorate: 89,849 Total Poll: 68,161 Valid Poll: 66,463 Quota: 8,308</t>
  </si>
  <si>
    <t>Mid-Ulster (6 seats) Electorate: 79,331 Total Poll: 65,386 Valid Poll: 64,014 Quota: 9,145</t>
  </si>
  <si>
    <t>UUP (A)</t>
  </si>
  <si>
    <t>William Mitchell</t>
  </si>
  <si>
    <t>Patrick Reihill</t>
  </si>
  <si>
    <t>James McQuaid</t>
  </si>
  <si>
    <t>David McQuillan</t>
  </si>
  <si>
    <t>Jack Hassard</t>
  </si>
  <si>
    <t>David Brien</t>
  </si>
  <si>
    <t>Ind (P)</t>
  </si>
  <si>
    <t>Edward Sayers</t>
  </si>
  <si>
    <t>UUP (P)</t>
  </si>
  <si>
    <t>Thomas Pollock</t>
  </si>
  <si>
    <t>Verdun Wright</t>
  </si>
  <si>
    <t>Thomas Gormley</t>
  </si>
  <si>
    <t>Robert Glendenning</t>
  </si>
  <si>
    <t>George Logue</t>
  </si>
  <si>
    <t>Desmond Gourley</t>
  </si>
  <si>
    <t>Nat</t>
  </si>
  <si>
    <t>Patrick McGill</t>
  </si>
  <si>
    <t>Jackson Taggart</t>
  </si>
  <si>
    <t>VUP</t>
  </si>
  <si>
    <t>Thomas Hagan</t>
  </si>
  <si>
    <t>Brian Brown</t>
  </si>
  <si>
    <t>Edward McAteer</t>
  </si>
  <si>
    <t>Edward McIvor</t>
  </si>
  <si>
    <t>John Hamill</t>
  </si>
  <si>
    <t>Grace Delap Stevenson</t>
  </si>
  <si>
    <t>Frederick Crowe</t>
  </si>
  <si>
    <t>Thomas Newell</t>
  </si>
  <si>
    <t>James Stronge</t>
  </si>
  <si>
    <t>Thomas Willey</t>
  </si>
  <si>
    <t>Robert Murphy</t>
  </si>
  <si>
    <t>Alexander Greer</t>
  </si>
  <si>
    <t>Robert Mitchell</t>
  </si>
  <si>
    <t>Samuel McCammick</t>
  </si>
  <si>
    <t>Michael Connolly</t>
  </si>
  <si>
    <t>Howard McNally</t>
  </si>
  <si>
    <t>Patrick McShane</t>
  </si>
  <si>
    <t>James O'Reilly</t>
  </si>
  <si>
    <t>Noel Collins</t>
  </si>
  <si>
    <t>Edward O'Hagan</t>
  </si>
  <si>
    <t>Arthur Doran</t>
  </si>
  <si>
    <t>Michael O'Shea</t>
  </si>
  <si>
    <t>William Annett</t>
  </si>
  <si>
    <t>Nat Fr.</t>
  </si>
  <si>
    <t>Samuel Dowling</t>
  </si>
  <si>
    <t>Lib</t>
  </si>
  <si>
    <t>Barkley Farr</t>
  </si>
  <si>
    <t>Allen Annesley</t>
  </si>
  <si>
    <t>Nathaniel Minford</t>
  </si>
  <si>
    <t>Derrick Crothers</t>
  </si>
  <si>
    <t>Edward McCloskey</t>
  </si>
  <si>
    <t>William Gawn</t>
  </si>
  <si>
    <t>George Swann</t>
  </si>
  <si>
    <t>Deirdre Byrne</t>
  </si>
  <si>
    <t>John Blakely</t>
  </si>
  <si>
    <t>Alxander McGowan</t>
  </si>
  <si>
    <t>William King</t>
  </si>
  <si>
    <t>Robert Johnston</t>
  </si>
  <si>
    <t>William Snoddy</t>
  </si>
  <si>
    <t>Robert Bradford</t>
  </si>
  <si>
    <t>John Baxter</t>
  </si>
  <si>
    <t>James Craig</t>
  </si>
  <si>
    <t>John O'Hagan</t>
  </si>
  <si>
    <t>David McCarthy</t>
  </si>
  <si>
    <t>Trevor Strain</t>
  </si>
  <si>
    <t>Phelim O'Neill</t>
  </si>
  <si>
    <t>William Kelly</t>
  </si>
  <si>
    <t>Samuel Steele</t>
  </si>
  <si>
    <t>James Miller</t>
  </si>
  <si>
    <t>Thomas Seymour</t>
  </si>
  <si>
    <t>Patrick McHugh</t>
  </si>
  <si>
    <t>Robert Binnie</t>
  </si>
  <si>
    <t>John Brooke</t>
  </si>
  <si>
    <t>William Allen</t>
  </si>
  <si>
    <t>Kenneth Young</t>
  </si>
  <si>
    <t>Patrick McHenry</t>
  </si>
  <si>
    <t>Cecilia Linehan</t>
  </si>
  <si>
    <t>Andrew Donaldson</t>
  </si>
  <si>
    <t>John Marks</t>
  </si>
  <si>
    <t>Kathleen McClure</t>
  </si>
  <si>
    <t>Kenneth Leckey</t>
  </si>
  <si>
    <t>Hans Jess</t>
  </si>
  <si>
    <t>Robert Hall-Thompson</t>
  </si>
  <si>
    <t>John McQuade</t>
  </si>
  <si>
    <t>William Baillie</t>
  </si>
  <si>
    <t>Frederick Proctor</t>
  </si>
  <si>
    <t>Cecil Walker</t>
  </si>
  <si>
    <t>Billy Hull</t>
  </si>
  <si>
    <t>Frederick Simpson</t>
  </si>
  <si>
    <t>Wilson Gamble</t>
  </si>
  <si>
    <t>Francis Smith</t>
  </si>
  <si>
    <t>Loy.</t>
  </si>
  <si>
    <t>Thomas Lyttle</t>
  </si>
  <si>
    <t>William Spence</t>
  </si>
  <si>
    <t>Robert Cooper</t>
  </si>
  <si>
    <t>Raymond O'Hagan</t>
  </si>
  <si>
    <t>Desmond O'Donnell</t>
  </si>
  <si>
    <t>Rep Lab</t>
  </si>
  <si>
    <t>Patrick Kennedy</t>
  </si>
  <si>
    <t>John O'Hare</t>
  </si>
  <si>
    <t>Reginald Donnelly</t>
  </si>
  <si>
    <t>Maureen Smyth</t>
  </si>
  <si>
    <t>James Stewart</t>
  </si>
  <si>
    <t>Gerry Campbell</t>
  </si>
  <si>
    <t>Basil McIvor</t>
  </si>
  <si>
    <t>Herbert Kirk</t>
  </si>
  <si>
    <t>William McCollum</t>
  </si>
  <si>
    <t>Thomas Wright</t>
  </si>
  <si>
    <t>Sean Flynn</t>
  </si>
  <si>
    <t>Nelson Elder</t>
  </si>
  <si>
    <t>Robert Stewart</t>
  </si>
  <si>
    <t>Marvin Gowdy</t>
  </si>
  <si>
    <t>Grace Bannister</t>
  </si>
  <si>
    <t>Thomas Rea</t>
  </si>
  <si>
    <t>Stanley Morgan</t>
  </si>
  <si>
    <t>Jean Graham</t>
  </si>
  <si>
    <t>John Sommerville</t>
  </si>
  <si>
    <t>Sheenagh Murnaghan</t>
  </si>
  <si>
    <t>Thomas Herron</t>
  </si>
  <si>
    <t>Owen Adams</t>
  </si>
  <si>
    <t>Thomas Smyth</t>
  </si>
  <si>
    <t>Michael Brooks</t>
  </si>
  <si>
    <t>James Rodgers</t>
  </si>
  <si>
    <t>Walter Scott</t>
  </si>
  <si>
    <t>John McKeown</t>
  </si>
  <si>
    <t>Elsie Logan</t>
  </si>
  <si>
    <t>John Coulthard</t>
  </si>
  <si>
    <t>Samuel Smyth</t>
  </si>
  <si>
    <t>William Gunning</t>
  </si>
  <si>
    <t>Sarah Hughes</t>
  </si>
  <si>
    <t>North Down: Electorate: 65,044 Total Poll: 40,961 Valid Poll: 40,819</t>
  </si>
  <si>
    <t>Real U.</t>
  </si>
  <si>
    <t>Strangford: Electorate: 64,475 Total Poll: 37,338 Valid Poll: 37,137</t>
  </si>
  <si>
    <t>Imelda Hynds</t>
  </si>
  <si>
    <t>South Down: Electorate: 71,443 Total Poll: 56,870 Valid Poll: 56,534</t>
  </si>
  <si>
    <t>Enoch Powell*</t>
  </si>
  <si>
    <t>Geraldine Ritchie</t>
  </si>
  <si>
    <t>Siobhan Laird</t>
  </si>
  <si>
    <t>Des O'Hagan</t>
  </si>
  <si>
    <t>Lagan Valley: Electorate: 64,937 Total Poll: 41,833 Valid Poll: 41,588</t>
  </si>
  <si>
    <t>Upper Bann: Electorate: 64,596 Total Poll: 42,625 Valid Poll: 42,330</t>
  </si>
  <si>
    <t>Harold McCusker*</t>
  </si>
  <si>
    <t>Mary Cook</t>
  </si>
  <si>
    <t>Newry &amp; Armagh: Electorate: 66,151 Total Poll: 52,549 Valid Poll: 52,268</t>
  </si>
  <si>
    <t>Jim McAllister</t>
  </si>
  <si>
    <t>Gerry O'Hanlon</t>
  </si>
  <si>
    <t>Rosemary Flanagan</t>
  </si>
  <si>
    <t>Paul Corrigan</t>
  </si>
  <si>
    <t>Davy Kettyles</t>
  </si>
  <si>
    <t>Mid-Ulster: Electorate: 67,343 Total Poll: 52,470 Valid Poll: 52,076</t>
  </si>
  <si>
    <t>Sean Begley</t>
  </si>
  <si>
    <t>Patrick Bogan</t>
  </si>
  <si>
    <t>Paddy Joe McClean</t>
  </si>
  <si>
    <t>Foyle: Electorate: 70,583 Total Poll: 49,064 Valid Poll: 48,631</t>
  </si>
  <si>
    <t>Elizabeth Zammitt</t>
  </si>
  <si>
    <t>East Derry: Electorate: 71,097 Total Poll: 49,124 Valid Poll: 48,824</t>
  </si>
  <si>
    <t>John Davey</t>
  </si>
  <si>
    <t>North Antrim: Electorate: 65,774 Total Poll: 41,624 Valid Poll: 41,305</t>
  </si>
  <si>
    <t>Sean Regan</t>
  </si>
  <si>
    <t>East Antrim: Electorate: 60,600 Total Poll: 33,649 Valid Poll: 33,460</t>
  </si>
  <si>
    <t>South Antrim: Electorate: 61,706 Total Poll: 36,650 Valid Poll: 36,406</t>
  </si>
  <si>
    <t>North Belfast: Total Electorate: 59,159 Total Poll: 37,079 Valid Poll: 36,816</t>
  </si>
  <si>
    <t>Prot U.</t>
  </si>
  <si>
    <t>East Belfast: Total Electorate: 54,666 Total Poll: 33,134 Valid Poll: 32,909</t>
  </si>
  <si>
    <t>South Belfast: Total Electorate: 54,284 Total Poll: 32,880 Valid Poll: 32,706</t>
  </si>
  <si>
    <t>Sean McKnight</t>
  </si>
  <si>
    <t>West Belfast: Total Electorate: 59,400 Total Poll: 41,311 Valid Poll: 40,968</t>
  </si>
  <si>
    <t>Adrian Colton</t>
  </si>
  <si>
    <t>AIA</t>
  </si>
  <si>
    <t>Peter Barry</t>
  </si>
  <si>
    <t>Patrick McCusker</t>
  </si>
  <si>
    <t>Hugh McDowell</t>
  </si>
  <si>
    <t>Sean Magee</t>
  </si>
  <si>
    <t>Enoch Powell</t>
  </si>
  <si>
    <t>North Down: Electorate: 61,574 Total Poll: 40,899 Valid Poll: 40,782</t>
  </si>
  <si>
    <t>Cathal Ó Baoill</t>
  </si>
  <si>
    <t>Strangford: Electorate: 60,232 Total Poll: 39,244 Valid Poll: 39,116</t>
  </si>
  <si>
    <t>Ind Lab.</t>
  </si>
  <si>
    <t>James Curry</t>
  </si>
  <si>
    <t>Samuel Heath</t>
  </si>
  <si>
    <t>South Down: Electorate: 66,987 Total Poll: 51,652 Valid Poll: 51,329</t>
  </si>
  <si>
    <t>Patrick Fitzsimons</t>
  </si>
  <si>
    <t>Margaret Magee</t>
  </si>
  <si>
    <t>Lagan Valley: Electorate: 60,099 Total Poll: 40,752 Valid Poll: 40,574</t>
  </si>
  <si>
    <t>Richard McAuley</t>
  </si>
  <si>
    <t>Gerard Loughlin</t>
  </si>
  <si>
    <t>Upper Bann: Electorate: 60,795 Total Poll: 44,020 Valid Poll: 43,744</t>
  </si>
  <si>
    <t>Newry &amp; Armagh: Electorate: 62,387 Total Poll: 47,781 Valid Poll: 47,420</t>
  </si>
  <si>
    <t>Owen Carron*</t>
  </si>
  <si>
    <t>Mid-Ulster: Electorate: 63,899 Total Poll: 54,307 Valid Poll: 53,881</t>
  </si>
  <si>
    <t>Foyle: Electorate: 67,431 Total Poll: 52,562 Valid Poll: 52,291</t>
  </si>
  <si>
    <t>Gerard O'Grady</t>
  </si>
  <si>
    <t>East Derry: Electorate: 67,365 Total Poll: 51,699 Valid Poll: 51,366</t>
  </si>
  <si>
    <t>Martha McGrath</t>
  </si>
  <si>
    <t>North Antrim: Electorate: 63,254 Total Poll: 44,417 Valid Poll: 44,175</t>
  </si>
  <si>
    <t>Pearse McMahon</t>
  </si>
  <si>
    <t>East Antrim: Electorate: 58,780 Total Poll: 38,383 Valid Poll: 38,208</t>
  </si>
  <si>
    <t>William Cunning</t>
  </si>
  <si>
    <t>South Antrim: Electorate: 59,300 Total Poll: 39,007 Valid Poll: 38,829</t>
  </si>
  <si>
    <t>Sean Laverty</t>
  </si>
  <si>
    <t>North Belfast: Total Electorate: 61,128 Total Poll: 42,670 Valid Poll: 42,419</t>
  </si>
  <si>
    <t>Brian Feeney</t>
  </si>
  <si>
    <t>West Belfast: Total Electorate: 59,750 Total Poll: 44,733 Valid Poll: 44,366</t>
  </si>
  <si>
    <t>Gerry Fitt*</t>
  </si>
  <si>
    <t>Ind Soc</t>
  </si>
  <si>
    <t>George Haffey</t>
  </si>
  <si>
    <t>South Belfast: Total Electorate: 53,694 Total Poll: 37,492 Valid Poll: 37,358</t>
  </si>
  <si>
    <t>East Belfast: Total Electorate: 55,581 Total Poll: 39,047 Valid Poll: 38,911</t>
  </si>
  <si>
    <t>Pete Prenderville</t>
  </si>
  <si>
    <t>Denis Donaldson</t>
  </si>
  <si>
    <t>Herbert Boyd</t>
  </si>
  <si>
    <t>Muriel Tang</t>
  </si>
  <si>
    <t>North Belfast: Total Electorate: 65,099 Total Poll: 42,980 Valid Poll: 42,344</t>
  </si>
  <si>
    <t>Lab Int.</t>
  </si>
  <si>
    <t>South Belfast: Total Electorate: 68,946 Total Poll: 47,103 Valid Poll: 46,790</t>
  </si>
  <si>
    <t>Robert Bradford*</t>
  </si>
  <si>
    <t>Victor Brennan</t>
  </si>
  <si>
    <t>Jeffrey Dudgeon</t>
  </si>
  <si>
    <t>East Belfast: Total Electorate: 75,496 Total Poll: 51,232 Valid Poll: 50,989</t>
  </si>
  <si>
    <t>William Craig*</t>
  </si>
  <si>
    <t>Bill Chambers</t>
  </si>
  <si>
    <t>West Belfast: Total Electorate: 58,915 Total Poll: 35,570 Valid Poll: 33,287</t>
  </si>
  <si>
    <t>Derek Peters</t>
  </si>
  <si>
    <t>Brian Brennan</t>
  </si>
  <si>
    <t>North Antrim: Electorate: 102,224 Total Poll: 66,014 Valid Poll: 65,692</t>
  </si>
  <si>
    <t>Un Lab</t>
  </si>
  <si>
    <t>South Antrim: Electorate: 126,493 Total Poll: 74,403 Valid Poll: 73,638</t>
  </si>
  <si>
    <t>Robert Kidd</t>
  </si>
  <si>
    <t>Patrick Rowan</t>
  </si>
  <si>
    <t>Armagh: Electorate: 93,097 Total Poll: 66,070 Valid Poll: 65,231</t>
  </si>
  <si>
    <t>William Ramsey</t>
  </si>
  <si>
    <t>North Down: Electorate: 99,889 Total Poll: 62,346 Valid Poll: 62,081</t>
  </si>
  <si>
    <t>South Down: Electorate: 89,597 Total Poll: 65,051 Valid Poll: 64,476</t>
  </si>
  <si>
    <t>Ref.</t>
  </si>
  <si>
    <t>John Markey</t>
  </si>
  <si>
    <t>Peter Courtney</t>
  </si>
  <si>
    <t>Francis Rice</t>
  </si>
  <si>
    <t>Derry: Electorate: 94,800 Total Poll: 64,137 Valid Poll: 63,623</t>
  </si>
  <si>
    <t>Bill Webster</t>
  </si>
  <si>
    <t>Fergus McAteer</t>
  </si>
  <si>
    <t>Arthur Barr</t>
  </si>
  <si>
    <t>Mid-Ulster: Electorate: 81,499 Total Poll: 65,939 Valid Poll: 65,465</t>
  </si>
  <si>
    <t>John Dunlop*</t>
  </si>
  <si>
    <t>Patrick Fahy</t>
  </si>
  <si>
    <t>Frank Maguire*</t>
  </si>
  <si>
    <t>Peter Acheson</t>
  </si>
  <si>
    <t>North Belfast: Total Electorate: 71,774 Total Poll: 47,774 Valid Poll: 47,310</t>
  </si>
  <si>
    <t>John Carson*</t>
  </si>
  <si>
    <t>Un.</t>
  </si>
  <si>
    <t>South Belfast: Total Electorate: 75,147 Total Poll: 51,065 Valid Poll: 50,846</t>
  </si>
  <si>
    <t>Bernard Carragher</t>
  </si>
  <si>
    <t>Raymond McMaster</t>
  </si>
  <si>
    <t>East Belfast: Total Electorate: 79,629 Total Poll: 53,691 Valid Poll: 53,426</t>
  </si>
  <si>
    <t>West Belfast: Total Electorate: 66,278 Total Poll: 45,689 Valid Poll: 44,526</t>
  </si>
  <si>
    <t>Samuel Gibson</t>
  </si>
  <si>
    <t>Kitty O'Kane</t>
  </si>
  <si>
    <t>North Antrim: Electorate: 103,763 Total Poll: 59,843 Valid Poll: 59,491</t>
  </si>
  <si>
    <t>Mary McAllister</t>
  </si>
  <si>
    <t>South Antrim: Electorate: 117,832 Total Poll: 68,740 Valid Poll: 68,413</t>
  </si>
  <si>
    <t>Armagh: Electorate: 91,079 Total Poll: 63,295 Valid Poll: 62,511</t>
  </si>
  <si>
    <t>North Down: Electorate: 93,623 Total Poll: 57,326 Valid Poll: 57,006</t>
  </si>
  <si>
    <t>South Down: Electorate: 91,362 Total Poll: 66,826 Valid Poll: 66,140</t>
  </si>
  <si>
    <t>David Vipond</t>
  </si>
  <si>
    <t>Derry: Electorate: 93,207 Total Poll: 66,452 Valid Poll: 64,632</t>
  </si>
  <si>
    <t>Michael Montgomery</t>
  </si>
  <si>
    <t>Richard Forster</t>
  </si>
  <si>
    <t>Mid-Ulster: Electorate: 81,688 Total Poll: 65,553 Valid Poll: 64,528</t>
  </si>
  <si>
    <t>Frank Maguire</t>
  </si>
  <si>
    <t>Harry West*</t>
  </si>
  <si>
    <t>North Belfast: Total Electorate: 71,053 Total Poll: 49,718 Valid Poll: 49,206</t>
  </si>
  <si>
    <t>David Smyth</t>
  </si>
  <si>
    <t>South Belfast: Total Electorate: 74,542 Total Poll: 52,025 Valid Poll: 51,890</t>
  </si>
  <si>
    <t>Rafton Pounder*</t>
  </si>
  <si>
    <t>Stanley McMaster*</t>
  </si>
  <si>
    <t>East Belfast: Total Electorate: 78,818 Total Poll: 57,629 Valid Poll: 57,518</t>
  </si>
  <si>
    <t>West Belfast: Total Electorate: 65,656 Total Poll: 47,960 Valid Poll: 47,667</t>
  </si>
  <si>
    <t>Albert Price</t>
  </si>
  <si>
    <t>North Antrim: Electorate: 102,983 Total Poll: 65,302 Valid Poll: 64,989</t>
  </si>
  <si>
    <t>Thomas Utley</t>
  </si>
  <si>
    <t>South Antrim: Electorate: 116,710 Total Poll: 71,802 Valid Poll: 71,332</t>
  </si>
  <si>
    <t>Armagh: Electorate: 90,262 Total Poll: 62,115 Valid Poll: 61,760</t>
  </si>
  <si>
    <t>Hugh Lewis</t>
  </si>
  <si>
    <t>Unity</t>
  </si>
  <si>
    <t>North Down: Electorate: 92,800 Total Poll: 62,708 Valid Poll: 62,488</t>
  </si>
  <si>
    <t>Dermot Curran</t>
  </si>
  <si>
    <t>Lawrence Orr*</t>
  </si>
  <si>
    <t>Hugh Golding</t>
  </si>
  <si>
    <t>South Down: Electorate: 90,613 Total Poll: 60,357 Valid Poll: 59,620</t>
  </si>
  <si>
    <t>Derry: Electorate: 92,192 Total Poll: 63,830 Valid Poll: 62,781</t>
  </si>
  <si>
    <t>Mid-Ulster: Electorate: 80,982 Total Poll: 67,010 Valid Poll: 66,721</t>
  </si>
  <si>
    <t>Bernadette McAliskey*</t>
  </si>
  <si>
    <t>William Thornton</t>
  </si>
  <si>
    <t>Frank McManus*</t>
  </si>
  <si>
    <t>Hubert Browne</t>
  </si>
  <si>
    <t>Nat Dem.</t>
  </si>
  <si>
    <t>Henry Clark*</t>
  </si>
  <si>
    <t>Richard Moore</t>
  </si>
  <si>
    <t>North Antrim: Electorate: 79,962 Total Poll:  Valid Poll: 58,438</t>
  </si>
  <si>
    <t>Daniel McAllister</t>
  </si>
  <si>
    <t>Rodney Smith</t>
  </si>
  <si>
    <t>Thomas Caldwell</t>
  </si>
  <si>
    <t>South Antrim: Electorate: 143,544 Total Poll:  Valid Poll: 97,448</t>
  </si>
  <si>
    <t>John Maginnis*</t>
  </si>
  <si>
    <t>Armagh: Electorate: 87,072 Total Poll:  Valid Poll: 68,144</t>
  </si>
  <si>
    <t>East Belfast: Total Electorate: 59,610 Total Poll:  Valid Poll: 45,037</t>
  </si>
  <si>
    <t>John McKeague</t>
  </si>
  <si>
    <t>John Sharkey</t>
  </si>
  <si>
    <t>Stratton Mills*</t>
  </si>
  <si>
    <t>North Belfast: Total Electorate: 75,823 Total Poll:  Valid Poll: 59,176</t>
  </si>
  <si>
    <t>South Belfast: Total Electorate: 57,152 Total Poll:  Valid Poll: 39,090</t>
  </si>
  <si>
    <t>Brian McMaster</t>
  </si>
  <si>
    <t>West Belfast: Total Electorate: 68,777 Total Poll:  Valid Poll: 58,100</t>
  </si>
  <si>
    <t>Robert Nixon</t>
  </si>
  <si>
    <t>John McGladdery</t>
  </si>
  <si>
    <t>North Down: Electorate: 120,788 Total Poll:  Valid Poll: 80,730</t>
  </si>
  <si>
    <t>John Quinn</t>
  </si>
  <si>
    <t>South Down: Electorate: 86,963 Total Poll:  Valid Poll: 64,317</t>
  </si>
  <si>
    <t>Frank McManus</t>
  </si>
  <si>
    <t>James Hamilton*</t>
  </si>
  <si>
    <t>Robin Chichester-Clark*</t>
  </si>
  <si>
    <t>Derry: Electorate: 90,422 Total Poll:  Valid Poll: 73,712</t>
  </si>
  <si>
    <t>Bernadette Devlin*</t>
  </si>
  <si>
    <t>Michael Cunningham</t>
  </si>
  <si>
    <t>Mid-Ulster: Electorate: 77,542 Total Poll:  Valid Poll: 70,518</t>
  </si>
  <si>
    <t>Fermanagh A</t>
  </si>
  <si>
    <t>Fermanagh B</t>
  </si>
  <si>
    <t>Fermanagh C</t>
  </si>
  <si>
    <t>Fermanagh D</t>
  </si>
  <si>
    <t>Fermanagh E</t>
  </si>
  <si>
    <t>Sammy Douglas</t>
  </si>
  <si>
    <t>Paula Bradley</t>
  </si>
  <si>
    <t>Brian Kingston</t>
  </si>
  <si>
    <t>William Walker</t>
  </si>
  <si>
    <t>Gordon Dunne</t>
  </si>
  <si>
    <t>Sydney Anderson</t>
  </si>
  <si>
    <t>Brenda Hale</t>
  </si>
  <si>
    <t>Pam Lewis</t>
  </si>
  <si>
    <t>Paul Frew</t>
  </si>
  <si>
    <t>David McIlveen</t>
  </si>
  <si>
    <t>Evelyne Robinson</t>
  </si>
  <si>
    <t>Gordon Lyons</t>
  </si>
  <si>
    <t>Alastair Ross</t>
  </si>
  <si>
    <t>2007 (7 March) - Fermanagh &amp; South Tyrone: Electorate: 65,826 Total Poll: 46,845 Valid Poll: 46,442 Quota: 6,635</t>
  </si>
  <si>
    <t>2003 (26 November) - Fermanagh &amp; South Tyrone: Electorate: 64,336 Total Poll: 46,873 Valid Poll: 46,160 Quota: 6,595</t>
  </si>
  <si>
    <t>1998 (25 June) - Fermanagh &amp; South Tyrone: Electorate: 65,383 Total Poll: 51,923 Valid Poll: 51,043 Quota: 7,293</t>
  </si>
  <si>
    <t>1982 (20 October) - Fermanagh &amp; South Tyrone (5 seats) Electorate: 73,930 Total Poll: 61,351 Valid Poll: 59,180 Quota: 9,864</t>
  </si>
  <si>
    <t>1975 (1 May) - Fermanagh &amp; South Tyrone (5 seats) Electorate: 70,344 Total Poll: 55,176 Valid Poll: 53,054 Quota: 8,843</t>
  </si>
  <si>
    <t>1973 (28 June) - Fermanagh &amp; South Tyrone (5 seats) Electorate: 68,733 Total Poll: 58,148 Valid Poll: 56,926 Quota: 9,488</t>
  </si>
  <si>
    <t>2010 (6 May) - Fermanagh &amp; South Tyrone: Electorate: 67,908 Total Poll: 47,066 Valid Poll: 46,803</t>
  </si>
  <si>
    <t>2005 (5 May) - Fermanagh &amp; South Tyrone: Electorate: 66,415 Total Poll: 49,351 Valid Poll: 48,793</t>
  </si>
  <si>
    <t>2001 (7 June) - Fermanagh &amp; South Tyrone: Electorate: 66,640 Total Poll: 52,667 Valid Poll: 51,974</t>
  </si>
  <si>
    <t>1997 (1 May) - Fermanagh &amp; South Tyrone: Electorate: 64,740 Total Poll: 48,667 Valid Poll: 48,290</t>
  </si>
  <si>
    <t>1992 (9 April) - Fermanagh &amp; South Tyrone: Electorate: 70,253 Total Poll: 55,696 Valid Poll: 55,128</t>
  </si>
  <si>
    <t>1987 (11 June) - Fermanagh &amp; South Tyrone: Electorate: 69,131 Total Poll: 55,842 Valid Poll: 55,375</t>
  </si>
  <si>
    <t>1983 (9 June) - Fermanagh &amp; South Tyrone: Electorate: 67,880 Total Poll: 60,613 Valid Poll: 60,156</t>
  </si>
  <si>
    <t>1979 (3 May) - Fermanagh &amp; South Tyrone: Electorate: 71,541 Total Poll: 62,554 Valid Poll: 62,271</t>
  </si>
  <si>
    <t>1974 (10 October) - Fermanagh &amp; South Tyrone: Electorate: 71,373 Total Poll: 63,645 Valid Poll: 63,265</t>
  </si>
  <si>
    <t>1974 (28 February) - Fermanagh &amp; South Tyrone: Electorate: 70,615 Total Poll: 61,827 Valid Poll: 61,654</t>
  </si>
  <si>
    <t>1970 (18 June) - Fermanagh &amp; South Tyrone: Electorate: 69,763 Total Poll:  Valid Poll: 64,227</t>
  </si>
  <si>
    <t>James Donnelly</t>
  </si>
  <si>
    <t>Peter Brady</t>
  </si>
  <si>
    <t>Rep</t>
  </si>
  <si>
    <t>1966 (31 March) - Fermanagh &amp; South Tyrone: Electorate: 63,188 Total Poll:  Valid Poll: 54,367</t>
  </si>
  <si>
    <t>Thomas Mitchell</t>
  </si>
  <si>
    <t>George Forrest*</t>
  </si>
  <si>
    <t>Mid-Ulster: Electorate: 67,796 Total Poll:  Valid Poll: 56,896</t>
  </si>
  <si>
    <t>Patrick J. Gormley</t>
  </si>
  <si>
    <t>Neil Gillespie</t>
  </si>
  <si>
    <t>Derry: Electorate: 78,191 Total Poll:  Valid Poll: 59,756</t>
  </si>
  <si>
    <t>Charles McGleenan</t>
  </si>
  <si>
    <t>Armagh: Electorate: 76,111 Total Poll:  Valid Poll: 48,154</t>
  </si>
  <si>
    <t>George Mussen</t>
  </si>
  <si>
    <t>South Down: Electorate: 78,096 Total Poll:  Valid Poll: 51,379</t>
  </si>
  <si>
    <t>Samuel Cunningham*</t>
  </si>
  <si>
    <t>Sydney Stewart</t>
  </si>
  <si>
    <t>South Antrim: Electorate: 113,643 Total Poll:  Valid Poll: 63,512</t>
  </si>
  <si>
    <t>North Antrim: Electorate: 72,039 Total Poll:  Valid Poll: 40,868</t>
  </si>
  <si>
    <t>George Currie*</t>
  </si>
  <si>
    <t>Sheelagh Murnaghan</t>
  </si>
  <si>
    <t>North Down: Electorate: 100,755 Total Poll:  Valid Poll: 49,288</t>
  </si>
  <si>
    <t>David Overend</t>
  </si>
  <si>
    <t>North Belfast: Total Electorate: 71,434 Total Poll:  Valid Poll: 46,818</t>
  </si>
  <si>
    <t>West Belfast: Total Electorate: 67,575 Total Poll:  Valid Poll: 50,573</t>
  </si>
  <si>
    <t>South Belfast: Total Electorate: 56,381 Total Poll:  Valid Poll: 35,693</t>
  </si>
  <si>
    <t>Robert McBirney</t>
  </si>
  <si>
    <t>East Belfast: Total Electorate: 57,077 Total Poll:  Valid Poll: 38,933</t>
  </si>
  <si>
    <t>John Caughey</t>
  </si>
  <si>
    <t>North Antrim: Electorate: 70,779 Total Poll:  Valid Poll: 44,796</t>
  </si>
  <si>
    <t>James Hamilton</t>
  </si>
  <si>
    <t>Aloysius Molloy</t>
  </si>
  <si>
    <t>Giles Fitzherbert</t>
  </si>
  <si>
    <t>Baptist W. Gamble</t>
  </si>
  <si>
    <t>1964 (15 October) - Fermanagh &amp; South Tyrone: Electorate: 63,462 Total Poll:  Valid Poll: 54,493</t>
  </si>
  <si>
    <t>Patrick McGarvey</t>
  </si>
  <si>
    <t>Mid-Ulster: Electorate: 67,467 Total Poll:  Valid Poll: 57,578</t>
  </si>
  <si>
    <t>Hugh McAteer</t>
  </si>
  <si>
    <t>Derry: Electorate: 76,918 Total Poll:  Valid Poll: 58,823</t>
  </si>
  <si>
    <t>John Lynch</t>
  </si>
  <si>
    <t>Samuel Ewart</t>
  </si>
  <si>
    <t>Armagh: Electorate: 74,184 Total Poll:  Valid Poll: 54,178</t>
  </si>
  <si>
    <t>Samuel Thompson</t>
  </si>
  <si>
    <t>Hamilton Simmonds-Gooding</t>
  </si>
  <si>
    <t>Hamilton Simmons-Gooding</t>
  </si>
  <si>
    <t>South Down: Electorate: 77,391 Total Poll:  Valid Poll: 55,823</t>
  </si>
  <si>
    <t>Leo Wilson</t>
  </si>
  <si>
    <t>South Antrim: Electorate: 105,304 Total Poll:  Valid Poll: 67,686</t>
  </si>
  <si>
    <t>Edward Bell</t>
  </si>
  <si>
    <t>Albert McElroy</t>
  </si>
  <si>
    <t>Patrick McGrattan</t>
  </si>
  <si>
    <t>North Down: Electorate: 97,151 Total Poll:  Valid Poll: 61,314</t>
  </si>
  <si>
    <t>John McDowell</t>
  </si>
  <si>
    <t>Francis McGlade</t>
  </si>
  <si>
    <t>North Belfast: Total Electorate: 72,400 Total Poll:  Valid Poll: 50,283</t>
  </si>
  <si>
    <t>Harry Diamond</t>
  </si>
  <si>
    <t>William McMillen</t>
  </si>
  <si>
    <t>West Belfast: Total Electorate: 69,399 Total Poll:  Valid Poll: 51,842</t>
  </si>
  <si>
    <t>John Barkley</t>
  </si>
  <si>
    <t>Judith Rosenfield</t>
  </si>
  <si>
    <t>Robert McKnight</t>
  </si>
  <si>
    <t>South Belfast: Total Electorate: 57,558 Total Poll:  Valid Poll: 39,314</t>
  </si>
  <si>
    <t>Samuel Watt</t>
  </si>
  <si>
    <t>David McConnell</t>
  </si>
  <si>
    <t>East Belfast: Total Electorate: 58,196 Total Poll:  Valid Poll: 42,186</t>
  </si>
  <si>
    <t>Robert Grosvenor</t>
  </si>
  <si>
    <t>Robert Grosvenor*</t>
  </si>
  <si>
    <t>James Martin</t>
  </si>
  <si>
    <t>1959 (8 October) - Fermanagh &amp; South Tyrone: Electorate: 64,022 Total Poll:  Valid Poll: 39,428</t>
  </si>
  <si>
    <t>Mid-Ulster: Electorate: 66,607 Total Poll:  Valid Poll: 47,263</t>
  </si>
  <si>
    <t>Manus Canning</t>
  </si>
  <si>
    <t>Derry: Electorate: 73,241 Total Poll:  Valid Poll: 51,401</t>
  </si>
  <si>
    <t>Armagh: Electorate: 73,416 Total Poll:  Valid Poll: 47,148</t>
  </si>
  <si>
    <t>Kevin O'Rourke</t>
  </si>
  <si>
    <t>South Down: Electorate: 77,627 Total Poll:  Valid Poll: 43,803</t>
  </si>
  <si>
    <t>Michael Traynor</t>
  </si>
  <si>
    <t>South Antrim: Electorate: 93,655 Total Poll:  Valid Poll: 55,531</t>
  </si>
  <si>
    <t>Henry Clark</t>
  </si>
  <si>
    <t>John Dougan</t>
  </si>
  <si>
    <t>North Antrim: Electorate: 69,880 Total Poll:  Valid Poll: 45,087</t>
  </si>
  <si>
    <t>Joseph Campbell</t>
  </si>
  <si>
    <t>North Down: Electorate: 89,886 Total Poll:  Valid Poll: 52,812</t>
  </si>
  <si>
    <t>Stratton Mills</t>
  </si>
  <si>
    <t>North Belfast: Total Electorate: 74,494 Total Poll:  Valid Poll: 52,969</t>
  </si>
  <si>
    <t>Florence McLaughlin*</t>
  </si>
  <si>
    <t>John Brennan</t>
  </si>
  <si>
    <t>Thomas Heenan</t>
  </si>
  <si>
    <t>West Belfast: Total Electorate: 73,405 Total Poll:  Valid Poll: 53,376</t>
  </si>
  <si>
    <t>David Campbell*</t>
  </si>
  <si>
    <t>Norman Seawright</t>
  </si>
  <si>
    <t>Brendan O'Reilly</t>
  </si>
  <si>
    <t>South Belfast: Total Electorate: 59,864 Total Poll:  Valid Poll: 43,169</t>
  </si>
  <si>
    <t>James Gardner</t>
  </si>
  <si>
    <t>Bernard Boswell</t>
  </si>
  <si>
    <t>East Belfast: Total Electorate: 58,663 Total Poll:  Valid Poll: 44,126</t>
  </si>
  <si>
    <t>Philip Clarke</t>
  </si>
  <si>
    <t>1955 (26 May) - Fermanagh &amp; South Tyrone: Electorate: 65,770 Total Poll:  Valid Poll: 60,797</t>
  </si>
  <si>
    <t>Clarke disqualified on petition - Grosvenor declared elected</t>
  </si>
  <si>
    <t>Charles Beattie</t>
  </si>
  <si>
    <t>Mid-Ulster: Electorate: 66,847 Total Poll:  Valid Poll: 59,214</t>
  </si>
  <si>
    <t>Mitchell disqualified on petition - new writ issued</t>
  </si>
  <si>
    <t>Robin Chichester-Clark</t>
  </si>
  <si>
    <t>Derry: Electorate: 71,297 Total Poll:  Valid Poll: 55,313</t>
  </si>
  <si>
    <t>Christopher Armstrong*</t>
  </si>
  <si>
    <t>Tomas MacCurtain</t>
  </si>
  <si>
    <t>Armagh: Electorate: 72,492 Total Poll:  Valid Poll: 59,980</t>
  </si>
  <si>
    <t>South Down: Electorate: 77,832 Total Poll:  Valid Poll: 57,545</t>
  </si>
  <si>
    <t>Samuel Cunningham</t>
  </si>
  <si>
    <t>South Antrim: Electorate: 84,939 Total Poll:  Valid Poll: 55,502</t>
  </si>
  <si>
    <t>Phelim O'Neill*</t>
  </si>
  <si>
    <t>North Antrim: Electorate: 67,315 Total Poll:  Valid Poll: 48,572</t>
  </si>
  <si>
    <t>George Currie</t>
  </si>
  <si>
    <t>North Down: Electorate: 84,968 Total Poll:  Valid Poll: 51,952</t>
  </si>
  <si>
    <t>Hartford Hyde*</t>
  </si>
  <si>
    <t>North Belfast: Total Electorate: 76,990 Total Poll:  Valid Poll: 53,344</t>
  </si>
  <si>
    <t>Florence McLaughlin</t>
  </si>
  <si>
    <t>John Beattie*</t>
  </si>
  <si>
    <t>Eamonn Boyce</t>
  </si>
  <si>
    <t>West Belfast: Total Electorate: 78,559 Total Poll:  Valid Poll: 58,688</t>
  </si>
  <si>
    <t>Ir Lab</t>
  </si>
  <si>
    <t>Edward Brown</t>
  </si>
  <si>
    <t>Patrick Kearney</t>
  </si>
  <si>
    <t>South Belfast: Total Electorate: 64,844 Total Poll:  Valid Poll: 42,579</t>
  </si>
  <si>
    <t>Alan McKibbin*</t>
  </si>
  <si>
    <t>Thomas Boyd</t>
  </si>
  <si>
    <t>Liam Mulcahy</t>
  </si>
  <si>
    <t>East Belfast: Total Electorate: 61,258 Total Poll:  Valid Poll: 43,135</t>
  </si>
  <si>
    <t>Cahir Healy*</t>
  </si>
  <si>
    <t>Frederick Patterson</t>
  </si>
  <si>
    <t>1951 (25 October) - Fermanagh &amp; South Tyrone: Electorate: 67,219 Total Poll:  Valid Poll: 62,799</t>
  </si>
  <si>
    <t>Michael O'Neill</t>
  </si>
  <si>
    <t>John Shearer</t>
  </si>
  <si>
    <t>Mid-Ulster: Electorate: 68,412 Total Poll:  Valid Poll: 62,795</t>
  </si>
  <si>
    <t>Unopposed</t>
  </si>
  <si>
    <t xml:space="preserve">Derry: </t>
  </si>
  <si>
    <t>William Wellwood*</t>
  </si>
  <si>
    <t>Armagh:</t>
  </si>
  <si>
    <t>James Harden*</t>
  </si>
  <si>
    <t>Ind Nat</t>
  </si>
  <si>
    <t>South Down: Electorate: 79,001 Total Poll:  Valid Poll: 64,765</t>
  </si>
  <si>
    <t>Gerald Annesley</t>
  </si>
  <si>
    <t>South Antrim:</t>
  </si>
  <si>
    <t>North Antrim:</t>
  </si>
  <si>
    <t>Robert O'Neill*</t>
  </si>
  <si>
    <t>Douglas Savory*</t>
  </si>
  <si>
    <t>Walter Smiles*</t>
  </si>
  <si>
    <t>North Down: Electorate: 80,921 Total Poll:  Valid Poll: 53,199</t>
  </si>
  <si>
    <t>James Morrow</t>
  </si>
  <si>
    <t>North Belfast: Total Electorate: 76,243 Total Poll:  Valid Poll: 57,680</t>
  </si>
  <si>
    <t>Thomas Teevan*</t>
  </si>
  <si>
    <t>West Belfast: Total Electorate: 78,828 Total Poll:  Valid Poll: 66,323</t>
  </si>
  <si>
    <t>Hugh Gage*</t>
  </si>
  <si>
    <t>Robert McBrinn</t>
  </si>
  <si>
    <t>South Belfast: Total Electorate: 66,212 Total Poll:  Valid Poll: 48,861</t>
  </si>
  <si>
    <t>East Belfast: Total Electorate: 62,798 Total Poll:  Valid Poll: 46,791</t>
  </si>
  <si>
    <t>Cahir Healy</t>
  </si>
  <si>
    <t>Henry Richardson</t>
  </si>
  <si>
    <t>1950 (23 February) - Fermanagh &amp; South Tyrone: Electorate: 67,424 Total Poll:  Valid Poll: 62,065</t>
  </si>
  <si>
    <t>Anthony Mulvey*</t>
  </si>
  <si>
    <t>Mid-Ulster: Electorate: 68,535 Total Poll:  Valid Poll: 62,744</t>
  </si>
  <si>
    <t>Ronald Ross*</t>
  </si>
  <si>
    <t>Derry: Electorate: 72,515 Total Poll:  Valid Poll: 58,482</t>
  </si>
  <si>
    <t>Lawrence Orr</t>
  </si>
  <si>
    <t>John Macgougan</t>
  </si>
  <si>
    <t>South Down: Electorate: 79,125 Total Poll:  Valid Poll: 60,864</t>
  </si>
  <si>
    <t>Douglas Savory</t>
  </si>
  <si>
    <t>South Antrim: Electorate: 77,499 Total Poll:  Valid Poll: 49,091</t>
  </si>
  <si>
    <t>North Down: Electorate: 77,316 Total Poll:  Valid Poll: 52,646</t>
  </si>
  <si>
    <t>Hartford Hyde</t>
  </si>
  <si>
    <t>William Leeburn</t>
  </si>
  <si>
    <t>North Belfast: Total Electorate: 75,563 Total Poll:  Valid Poll: 56,558</t>
  </si>
  <si>
    <t>James MacManaway</t>
  </si>
  <si>
    <t>James Steele</t>
  </si>
  <si>
    <t>MacManaway disqualified - new writ issued</t>
  </si>
  <si>
    <t>West Belfast: Total Electorate: 78,896 Total Poll:  Valid Poll: 65,938</t>
  </si>
  <si>
    <t>James McKernan</t>
  </si>
  <si>
    <t>South Belfast: Total Electorate: 66,486 Total Poll:  Valid Poll: 46,048</t>
  </si>
  <si>
    <t>Alan McKibbin</t>
  </si>
  <si>
    <t>East Belfast: Total Electorate: 61,561 Total Poll:  Valid Poll: 47,182</t>
  </si>
  <si>
    <t>U (O'N)</t>
  </si>
  <si>
    <t>Bowes Egan</t>
  </si>
  <si>
    <t>Denis Archdale</t>
  </si>
  <si>
    <t>1969 (24 February) - Enniskillen: Electorate: 11,695 Total Poll:  Valid Poll: 10,093</t>
  </si>
  <si>
    <t>John Brooke*</t>
  </si>
  <si>
    <t>James Henderson</t>
  </si>
  <si>
    <t>Malachy Carey</t>
  </si>
  <si>
    <t>Lisnaskea: Electorate: 10,506 Total Poll:  Valid Poll: 9,222</t>
  </si>
  <si>
    <t>John Carron*</t>
  </si>
  <si>
    <t>Peter Cosgrove</t>
  </si>
  <si>
    <t>Fermanagh South: Electorate: 8,322 Total Poll:  Valid Poll: 6,208</t>
  </si>
  <si>
    <t>Austin Currie*</t>
  </si>
  <si>
    <t>Edmund Curran</t>
  </si>
  <si>
    <t>Tyrone East: Electorate: 17,358 Total Poll:  Valid Poll: 15,566</t>
  </si>
  <si>
    <t>Thomas Gormley*</t>
  </si>
  <si>
    <t>Patrick McDonald</t>
  </si>
  <si>
    <t>PPP</t>
  </si>
  <si>
    <t>Tyrone Mid: Electorate: 11,779 Total Poll:  Valid Poll: 8,141</t>
  </si>
  <si>
    <t>Nat Dem</t>
  </si>
  <si>
    <t>William Fyffe</t>
  </si>
  <si>
    <t>Daniel McLaughlin</t>
  </si>
  <si>
    <t>Tyrone North: Electorate: 18,024 Total Poll:  Valid Poll: 15,445</t>
  </si>
  <si>
    <t>Thomas Eakins</t>
  </si>
  <si>
    <t>Tyrone South: Electorate: 17,132 Total Poll:  Valid Poll: 14,216</t>
  </si>
  <si>
    <t>Tyrone West:</t>
  </si>
  <si>
    <t>Roderick O'Connor*</t>
  </si>
  <si>
    <t>Albert Anderson*</t>
  </si>
  <si>
    <t>Claude Wilton</t>
  </si>
  <si>
    <t>Peter Campbell</t>
  </si>
  <si>
    <t>Derry City: Total Electorate: 19,344 Total Poll:  Valid Poll: 16,431</t>
  </si>
  <si>
    <t>Edward McAteer*</t>
  </si>
  <si>
    <t>Eamonn McCann</t>
  </si>
  <si>
    <t>Derry - Foyle: Total Electorate: 19,875 Total Poll:  Valid Poll: 16,180</t>
  </si>
  <si>
    <t>Robert Shields</t>
  </si>
  <si>
    <t>Patrick Gormley*</t>
  </si>
  <si>
    <t>James O'Kane</t>
  </si>
  <si>
    <t>Joseph Burns*</t>
  </si>
  <si>
    <t>James Barr</t>
  </si>
  <si>
    <t>Derry North: Total Electorate: 24,457 Total Poll:  Valid Poll: 18,613</t>
  </si>
  <si>
    <t>James Chichester-Clark*</t>
  </si>
  <si>
    <t>Bernadette Devlin</t>
  </si>
  <si>
    <t>Derry Mid: Total Electorate: 16,411 Total Poll:  Valid Poll: 13,432</t>
  </si>
  <si>
    <t>Derry South: Total Electorate: 18,393 Total Poll:  Valid Poll: 15,007</t>
  </si>
  <si>
    <t>Strangford: Electorate: 62,896 Total Poll: 35,287 Valid Poll: 34,620</t>
  </si>
  <si>
    <t>South Down: Electorate: 70,108 Total Poll: 51,924 Valid Poll: 51,542</t>
  </si>
  <si>
    <t>Lagan Valley: Electorate: 63,369 Total Poll: 36,597 Valid Poll: 35,842</t>
  </si>
  <si>
    <t>Upper Bann: Electorate: 63,663 Total Poll: 36,877 Valid Poll: 36,289</t>
  </si>
  <si>
    <t>Newry &amp; Armagh: Electorate: 65,482 Total Poll: 50,382 Valid Poll: 49,929</t>
  </si>
  <si>
    <t>1986 By-Elections (23 January) - Fermanagh &amp; South Tyrone: Electorate: 69,919 Total Poll: 56,573 Valid Poll: 56,080</t>
  </si>
  <si>
    <t>Mid-Ulster: Electorate: 66,830 Total Poll: 51,865 Valid Poll: 51,405</t>
  </si>
  <si>
    <t>East Derry: Electorate: 70,375 Total Poll: 34,079 Valid Poll: 32,923</t>
  </si>
  <si>
    <t>North Antrim: Electorate: 65,334 Total Poll: 35,744 Valid Poll: 34,850</t>
  </si>
  <si>
    <t>East Antrim: Electorate: 60,851 Total Poll: 35,938 Valid Poll: 35,791</t>
  </si>
  <si>
    <t>South Antrim: Electorate: 61,296 Total Poll: 32,809 Valid Poll: 31,957</t>
  </si>
  <si>
    <t>North Belfast: Total Electorate: 59,820 Total Poll: 30,823 Valid Poll: 30,284</t>
  </si>
  <si>
    <t>South Belfast: Total Electorate: 53,971 Total Poll: 30,736 Valid Poll: 30,515</t>
  </si>
  <si>
    <t>East Belfast: Total Electorate: 55,319 Total Poll: 34,257 Valid Poll: 34,102</t>
  </si>
  <si>
    <t>North Down: Electorate: 64,278 Total Poll: 38,981 Valid Poll: 38,859</t>
  </si>
  <si>
    <t>By-Elections:</t>
  </si>
  <si>
    <t>Upper Bann (17 May 1990): Electorate: 66,377 Total Poll: 35,620 Valid Poll: 35,446</t>
  </si>
  <si>
    <t>Sheena Campbell</t>
  </si>
  <si>
    <t>Peter Doran</t>
  </si>
  <si>
    <t>SDP</t>
  </si>
  <si>
    <t>Alistair Dunn</t>
  </si>
  <si>
    <t>Hugh Ross</t>
  </si>
  <si>
    <t>North Down (15 June 1995): Electorate: 70,872 Total Poll: 27,464 Valid Poll: 27,388</t>
  </si>
  <si>
    <t>Phil Flanagan</t>
  </si>
  <si>
    <t>Allan Bresland*</t>
  </si>
  <si>
    <t>Ian McCrea*</t>
  </si>
  <si>
    <t>Gregoey Campbell*</t>
  </si>
  <si>
    <t>Adrian McQuillan*</t>
  </si>
  <si>
    <t>William Irwin*</t>
  </si>
  <si>
    <t>Jonathan Craig*</t>
  </si>
  <si>
    <t>Trevor Clarke*</t>
  </si>
  <si>
    <t>Simon Hamilton*</t>
  </si>
  <si>
    <t>Michelle McIlveen*</t>
  </si>
  <si>
    <t>Jonathan Bell*</t>
  </si>
  <si>
    <t>Jimmy Spratt*</t>
  </si>
  <si>
    <t>John MaCallister*</t>
  </si>
  <si>
    <t>Colin McCusker</t>
  </si>
  <si>
    <t>Jo-Anne Dobson</t>
  </si>
  <si>
    <t>Basil McCrea*</t>
  </si>
  <si>
    <t>Mark Hill</t>
  </si>
  <si>
    <t>Robin Swann</t>
  </si>
  <si>
    <t>Bill Kennedy</t>
  </si>
  <si>
    <t>Colin Breen</t>
  </si>
  <si>
    <t>Mark Finlay</t>
  </si>
  <si>
    <t>Michelle O'Neill*</t>
  </si>
  <si>
    <t>Martina Anderson*</t>
  </si>
  <si>
    <t>Cathal Boylan*</t>
  </si>
  <si>
    <t>Mickey Brady*</t>
  </si>
  <si>
    <t>Trevor Lunn*</t>
  </si>
  <si>
    <t>Daithi McKay*</t>
  </si>
  <si>
    <t>Declan O'Loan*</t>
  </si>
  <si>
    <t>Pól Callaghan*</t>
  </si>
  <si>
    <t>Mark H. Durkan</t>
  </si>
  <si>
    <t>Colum Eastwood</t>
  </si>
  <si>
    <t>Thomas O'Hanlon</t>
  </si>
  <si>
    <t>Conall McDevitt*</t>
  </si>
  <si>
    <t>Karen McKevitt</t>
  </si>
  <si>
    <t>Michaela Boyle</t>
  </si>
  <si>
    <t>Declan McAleer</t>
  </si>
  <si>
    <t>Dawn Purvis*</t>
  </si>
  <si>
    <t>Judith Cochrane</t>
  </si>
  <si>
    <t>Martin Gregg</t>
  </si>
  <si>
    <t>Magdalena Wolska</t>
  </si>
  <si>
    <t>Caral Ní Chuilin*</t>
  </si>
  <si>
    <t>Anna Lo*</t>
  </si>
  <si>
    <t>Clare Bailey</t>
  </si>
  <si>
    <t>Paul Maskey*</t>
  </si>
  <si>
    <t>Jennifer McCann*</t>
  </si>
  <si>
    <t>Pat Sheehan*</t>
  </si>
  <si>
    <t>Pat Lawlor</t>
  </si>
  <si>
    <t>Hannah Su</t>
  </si>
  <si>
    <t>Alex Elliot</t>
  </si>
  <si>
    <t>Michael McDonald</t>
  </si>
  <si>
    <t>David Murphy</t>
  </si>
  <si>
    <t>Robert Woods</t>
  </si>
  <si>
    <t>Eamon O'Neill</t>
  </si>
  <si>
    <t>Barbara Trotter</t>
  </si>
  <si>
    <t>Johnny McGibbon</t>
  </si>
  <si>
    <t>Conor Quinn</t>
  </si>
  <si>
    <t>Pat Catney</t>
  </si>
  <si>
    <t>Lyle Rea</t>
  </si>
  <si>
    <t>Audrey Patterson</t>
  </si>
  <si>
    <t>Geraldine Mulvenna</t>
  </si>
  <si>
    <t>Ruth Wilson</t>
  </si>
  <si>
    <t>Cecil Andrews</t>
  </si>
  <si>
    <t>Anne Wilson</t>
  </si>
  <si>
    <t>Stephen Farry*</t>
  </si>
  <si>
    <t>Fred McGlade</t>
  </si>
  <si>
    <t>Tommy Black</t>
  </si>
  <si>
    <t>Brian Ervine</t>
  </si>
  <si>
    <t>Philip Robinson</t>
  </si>
  <si>
    <t>Chris Lyttle*</t>
  </si>
  <si>
    <t>Paddy Meehan</t>
  </si>
  <si>
    <t>Colin Keenan</t>
  </si>
  <si>
    <t>Ian Milne</t>
  </si>
  <si>
    <t>Hugh McCloy</t>
  </si>
  <si>
    <t>Pat Cox</t>
  </si>
  <si>
    <t>Gary McCann</t>
  </si>
  <si>
    <t>Bernadette Archibald</t>
  </si>
  <si>
    <t>Cathal Ó hOisin</t>
  </si>
  <si>
    <t>Terry Doherty</t>
  </si>
  <si>
    <t>Paul Fleming</t>
  </si>
  <si>
    <t>Paul McFadden</t>
  </si>
  <si>
    <t>Barrie Halliday</t>
  </si>
  <si>
    <t>James Malone</t>
  </si>
  <si>
    <t>UKIP</t>
  </si>
  <si>
    <t>Mary-Kate Quinn</t>
  </si>
  <si>
    <t>Naomi Bailie</t>
  </si>
  <si>
    <t>J.J. Magee</t>
  </si>
  <si>
    <t>Daniel Donnelly</t>
  </si>
  <si>
    <t>BNP</t>
  </si>
  <si>
    <t>Steven Moore</t>
  </si>
  <si>
    <t>Stephen Parkes</t>
  </si>
  <si>
    <t>Ann Cooper</t>
  </si>
  <si>
    <t>Kevin McNally</t>
  </si>
  <si>
    <t>Stephen Stewart</t>
  </si>
  <si>
    <t>Conor Keenan</t>
  </si>
  <si>
    <t>Mickey Coogan</t>
  </si>
  <si>
    <t>Brian Faloon</t>
  </si>
  <si>
    <t>Procap.</t>
  </si>
  <si>
    <t>Nico Torregrosa</t>
  </si>
  <si>
    <t>Gerry Carroll</t>
  </si>
  <si>
    <t>Brian Pelan</t>
  </si>
  <si>
    <t>Newry &amp; Armagh: Electorate: 77,544 Total Poll: 47,562 Valid Poll: 46,514 Quota: 6,645</t>
  </si>
  <si>
    <t>Lagan Valley: Electorate: 67,532 Total Poll: 35,842 Valid Poll: 35,487 Quota: 5,070</t>
  </si>
  <si>
    <t>South Down: Electorate: 73,240 Total Poll: 42,551 Valid Poll: 41,726 Quota: 5,961</t>
  </si>
  <si>
    <t>North Antrim: Electorate: 74,760 Total Poll: 40,983 Valid Poll: 40,313 Quota: 5,760</t>
  </si>
  <si>
    <t>Elected</t>
  </si>
  <si>
    <t>2011 (5 May) - Fermanagh &amp; South Tyrone: Electorate: 70,985 Total Poll: 48,949 Valid Poll: 47,999 Quota: 6,858</t>
  </si>
  <si>
    <t>West Tyrone: Electorate: 62,970 Total Poll: 40,323 Valid Poll: 39,303 Quota: 5,615</t>
  </si>
  <si>
    <t>Mid-Ulster: Electorate: 66,602 Total Poll: 43,522 Valid Poll: 42,738 Quota: 6,106</t>
  </si>
  <si>
    <t>Foyle: Electorate: 68,663 Total Poll: 39,686 Valid Poll: 38,847 Quota: 5,550</t>
  </si>
  <si>
    <t>East Derry: Electorate: 65,226 Total Poll: 35,303 Valid Poll: 34,722 Quota: 4,961</t>
  </si>
  <si>
    <t>South Antrim: Electorate: 65,231 Total Poll: 32,652 Valid Poll: 32,164 Quota: 4,595</t>
  </si>
  <si>
    <t>South Belfast: Total Electorate: 62,484 Total Poll: 32,752 Valid Poll: 32,318 Quota: 4,617</t>
  </si>
  <si>
    <t>Strangford: Electorate: 62,178 Total Poll: 30,186 Valid Poll: 29,668 Quota: 4,239</t>
  </si>
  <si>
    <t>North Belfast: Total Electorate: 68,119 Total Poll: 34,280 Valid Poll: 33,470 Quota: 4,782</t>
  </si>
  <si>
    <t>Upper Bann: Electorate: 77,905 Total Poll: 43,113 Valid Poll: 42,362 Quota: 6,052</t>
  </si>
  <si>
    <t>North Down: Electorate: 62,170 Total Poll: 28,528 Valid Poll: 28,098 Quota: 4,015</t>
  </si>
  <si>
    <t>East Antrim: Electorate: 61,617 Total Poll: 29,430 Valid Poll: 29,023 Quota: 4,147</t>
  </si>
  <si>
    <t>West Belfast: Total Electorate: 61,520 Total Poll: 35,618 Valid Poll: 34,645 Quota: 4,950</t>
  </si>
  <si>
    <t>East Belfast: Total Electorate: 61,263 Total Poll: 32,828 Valid Poll: 32,347 Quota: 4,622</t>
  </si>
  <si>
    <t>Aaron McIntyre</t>
  </si>
  <si>
    <t>South Antrim (21 September 2000): Electorate: 71,047 Total Poll: 30,690 Valid Poll: 30,567</t>
  </si>
  <si>
    <t>West Belfast (9 June 2011): Electorate: 61,441 Total Poll: 23,057 Valid Poll: 22,951</t>
  </si>
  <si>
    <t>Patrick Cunningham</t>
  </si>
  <si>
    <t>Anthony Mulvey</t>
  </si>
  <si>
    <t>Thomas Lyons</t>
  </si>
  <si>
    <t>Noreen Cooper</t>
  </si>
  <si>
    <t>1945 (5 July) - Fermanagh &amp; Tyrone (2 seats): Electorate: 114,977 Total Poll:  Valid Poll: 101,585</t>
  </si>
  <si>
    <t>William J. Allen</t>
  </si>
  <si>
    <t>Ronald Ross</t>
  </si>
  <si>
    <t>Denis Cavanagh</t>
  </si>
  <si>
    <t>Mitchell Gordon</t>
  </si>
  <si>
    <t>Derry: Electorate: 89,979 Total Poll:  Valid Poll: 79,246</t>
  </si>
  <si>
    <t>James Little</t>
  </si>
  <si>
    <t>Walter Smiles</t>
  </si>
  <si>
    <t>John Blakiston-Houston</t>
  </si>
  <si>
    <t>Down (2 seats): Electorate: 145,524 Total Poll:  Valid Poll: 57,887</t>
  </si>
  <si>
    <t>Robert O'Neill</t>
  </si>
  <si>
    <t>Samuel Haughton</t>
  </si>
  <si>
    <t>Henry Holmes</t>
  </si>
  <si>
    <t>Antrim (2 seats): Electorate: 134,528 Total Poll:  Valid Poll: 66,447</t>
  </si>
  <si>
    <t>William Neill</t>
  </si>
  <si>
    <t>North Belfast: Total Electorate: 73,231 Total Poll:  Valid Poll: 46,606</t>
  </si>
  <si>
    <t>West Belfast: Total Electorate: 78,674 Total Poll:  Valid Poll: 57,516</t>
  </si>
  <si>
    <t>Hugh Gage</t>
  </si>
  <si>
    <t>CWLP</t>
  </si>
  <si>
    <t>Harry Midgley</t>
  </si>
  <si>
    <t>South Belfast: Total Electorate: 70,140 Total Poll:  Valid Poll: 46,544</t>
  </si>
  <si>
    <t>Thomas Cole</t>
  </si>
  <si>
    <t>East Belfast: Total Electorate: 60,175 Total Poll:  Valid Poll: 38,017</t>
  </si>
  <si>
    <t>Thomas Cusack</t>
  </si>
  <si>
    <t>Queen's University Belfast: Total Electorate: 5,134 Total Poll:  Valid Poll: 2,651</t>
  </si>
  <si>
    <t>Bobby Sands</t>
  </si>
  <si>
    <t>H-Block</t>
  </si>
  <si>
    <t>Martin Green</t>
  </si>
  <si>
    <t>ULDP</t>
  </si>
  <si>
    <t>ULP</t>
  </si>
  <si>
    <t>John McMichael</t>
  </si>
  <si>
    <t>Brian Caul</t>
  </si>
  <si>
    <t>Jagat Narain</t>
  </si>
  <si>
    <t>South Belfast (4 March 1982): Total Electorate: 66,219 Total Poll:  Valid Poll: 43,534</t>
  </si>
  <si>
    <t>Anna Forrest</t>
  </si>
  <si>
    <t>Mid Ulster (17 April 1968): Electorate: 68,973 Total Poll:  Valid Poll: 63,085</t>
  </si>
  <si>
    <t>Rafton Pounder</t>
  </si>
  <si>
    <t>Albert Hamilton</t>
  </si>
  <si>
    <t>Candidate</t>
  </si>
  <si>
    <t>Party</t>
  </si>
  <si>
    <t>Count 1</t>
  </si>
  <si>
    <t>SF</t>
  </si>
  <si>
    <t>Votes</t>
  </si>
  <si>
    <t>Share</t>
  </si>
  <si>
    <t>Seats</t>
  </si>
  <si>
    <t>5th</t>
  </si>
  <si>
    <t>3rd</t>
  </si>
  <si>
    <t>6th</t>
  </si>
  <si>
    <t>Oth</t>
  </si>
  <si>
    <t>Total</t>
  </si>
  <si>
    <t>Tom Elliot</t>
  </si>
  <si>
    <t>UUP</t>
  </si>
  <si>
    <t>DUP</t>
  </si>
  <si>
    <t>Thomas O'Reilly</t>
  </si>
  <si>
    <t>Arlene Foster</t>
  </si>
  <si>
    <t>SDLP</t>
  </si>
  <si>
    <t>Gerry McHugh</t>
  </si>
  <si>
    <t>Bert Johnson</t>
  </si>
  <si>
    <t>Frank Britton</t>
  </si>
  <si>
    <t>Robert Mulligan</t>
  </si>
  <si>
    <t>Eithne McNulty</t>
  </si>
  <si>
    <t>NIWC</t>
  </si>
  <si>
    <t>Linda Cleland</t>
  </si>
  <si>
    <t>All</t>
  </si>
  <si>
    <t>Ind</t>
  </si>
  <si>
    <t>1st</t>
  </si>
  <si>
    <t>Thomas Buchanan</t>
  </si>
  <si>
    <t>Brian McMahon</t>
  </si>
  <si>
    <t>Derek Reaney</t>
  </si>
  <si>
    <t>Bert Wilson</t>
  </si>
  <si>
    <t>PUP</t>
  </si>
  <si>
    <t>Roy Reid</t>
  </si>
  <si>
    <t>Steven Alexander</t>
  </si>
  <si>
    <t>Geraldine Dougan</t>
  </si>
  <si>
    <t>4th</t>
  </si>
  <si>
    <t>Patsy McGlone</t>
  </si>
  <si>
    <t>Trevor Wilson</t>
  </si>
  <si>
    <t>Alan Miller</t>
  </si>
  <si>
    <t>Cora Grogan</t>
  </si>
  <si>
    <t>Francis Donnelly</t>
  </si>
  <si>
    <t>WP</t>
  </si>
  <si>
    <t>James Holmes</t>
  </si>
  <si>
    <t>Raymond McCartney</t>
  </si>
  <si>
    <t>Mary Bradley</t>
  </si>
  <si>
    <t>Mary Hamilton</t>
  </si>
  <si>
    <t>Pat Ramsey</t>
  </si>
  <si>
    <t>Eamon McCann</t>
  </si>
  <si>
    <t>SEA</t>
  </si>
  <si>
    <t>Gerard Diver</t>
  </si>
  <si>
    <t>Alan Castle</t>
  </si>
  <si>
    <t>Danny McBrearty</t>
  </si>
  <si>
    <t>Francis Brolly</t>
  </si>
  <si>
    <t>George Robinson</t>
  </si>
  <si>
    <t>Maurice Bradley</t>
  </si>
  <si>
    <t>Norman Hillis</t>
  </si>
  <si>
    <t>Cliona O'Kane</t>
  </si>
  <si>
    <t>UUC</t>
  </si>
  <si>
    <t>Edwin Stevenson</t>
  </si>
  <si>
    <t>UKUP</t>
  </si>
  <si>
    <t>Yvonne Boyle</t>
  </si>
  <si>
    <t>Marion Baur</t>
  </si>
  <si>
    <t>Davy Hyland</t>
  </si>
  <si>
    <t>Jim Lennon</t>
  </si>
  <si>
    <t>Dominic Bradley</t>
  </si>
  <si>
    <t>William Frazer</t>
  </si>
  <si>
    <t>Freda Donnelly</t>
  </si>
  <si>
    <t>Peter Whitcroft</t>
  </si>
  <si>
    <t>Caitriona Ruane</t>
  </si>
  <si>
    <t>Margaret Ritchie</t>
  </si>
  <si>
    <t>Willie Clarke</t>
  </si>
  <si>
    <t>Jim Donaldson</t>
  </si>
  <si>
    <t>Eamonn McConvey</t>
  </si>
  <si>
    <t>Marian Fitzpatrick</t>
  </si>
  <si>
    <t>Raymond Blaney</t>
  </si>
  <si>
    <t>GP</t>
  </si>
  <si>
    <t>Trudy Miller</t>
  </si>
  <si>
    <t>Neil Powell</t>
  </si>
  <si>
    <t>Nelson Wharton</t>
  </si>
  <si>
    <t>Malachi Curran</t>
  </si>
  <si>
    <t>Desmond O'Hagan</t>
  </si>
  <si>
    <t>-</t>
  </si>
  <si>
    <t>Arlene Foster*</t>
  </si>
  <si>
    <t>Michelle Gildernew*</t>
  </si>
  <si>
    <t>Tom Elliot*</t>
  </si>
  <si>
    <t>Tommy Gallagher*</t>
  </si>
  <si>
    <t>Sean Lynch</t>
  </si>
  <si>
    <t>Maurice Morrow*</t>
  </si>
  <si>
    <t>Kenneth Donaldson</t>
  </si>
  <si>
    <t>Vincent Currie</t>
  </si>
  <si>
    <t>Gerry McGeough</t>
  </si>
  <si>
    <t>Allan Leonard</t>
  </si>
  <si>
    <t>Michael McManus</t>
  </si>
  <si>
    <t>RSF</t>
  </si>
  <si>
    <t>Robert McCartney</t>
  </si>
  <si>
    <t>West Tyrone: Electorate: 58,367 Total Poll: 41,839 Valid Poll: 41,454 Quota: 5,923</t>
  </si>
  <si>
    <t>Pat Doherty*</t>
  </si>
  <si>
    <t>Barry McElduff*</t>
  </si>
  <si>
    <t>Thomas Buchanan*</t>
  </si>
  <si>
    <t>Eugene McMenamin*</t>
  </si>
  <si>
    <t>Derek Hussey*</t>
  </si>
  <si>
    <t>Claire McGill</t>
  </si>
  <si>
    <t>Allan Bresland</t>
  </si>
  <si>
    <t>Josephine Deehan</t>
  </si>
  <si>
    <t>Seamus Shields</t>
  </si>
  <si>
    <t>Joe O'Neill</t>
  </si>
  <si>
    <t>Francie Molloy*</t>
  </si>
  <si>
    <t>Martin McGuinness*</t>
  </si>
  <si>
    <t>Billy Armstrong*</t>
  </si>
  <si>
    <t>Patsy McGlone*</t>
  </si>
  <si>
    <t>Ian McCrea</t>
  </si>
  <si>
    <t>Kathleen Lagan</t>
  </si>
  <si>
    <t>Walter Millar</t>
  </si>
  <si>
    <t>Anne Forde</t>
  </si>
  <si>
    <t>Brendan McLaughlin</t>
  </si>
  <si>
    <t>Margaret Marshall</t>
  </si>
  <si>
    <t>Harry Hutchinson</t>
  </si>
  <si>
    <t>2nd</t>
  </si>
  <si>
    <t>Mark Durkan*</t>
  </si>
  <si>
    <t>William Hay*</t>
  </si>
  <si>
    <t>Mary Bradley*</t>
  </si>
  <si>
    <t>Pat Ramsey*</t>
  </si>
  <si>
    <t>Martina Anderson</t>
  </si>
  <si>
    <t>Raymond McCartney*</t>
  </si>
  <si>
    <t>Lynn Fleming</t>
  </si>
  <si>
    <t>Peggy O'Hara</t>
  </si>
  <si>
    <t>Peter Munce</t>
  </si>
  <si>
    <t>Adele Corry</t>
  </si>
  <si>
    <t>Helen Quigley</t>
  </si>
  <si>
    <t>Gregory Campbell*</t>
  </si>
  <si>
    <t>David McClarty*</t>
  </si>
  <si>
    <t>Francis Brolly*</t>
  </si>
  <si>
    <t>Norman Hillis*</t>
  </si>
  <si>
    <t>John Dallat*</t>
  </si>
  <si>
    <t>George Robinson*</t>
  </si>
  <si>
    <t>Adrian McQuillan</t>
  </si>
  <si>
    <t>Orla Beattie</t>
  </si>
  <si>
    <t>Billy Leonard</t>
  </si>
  <si>
    <t>Barney Fitzpatrick</t>
  </si>
  <si>
    <t>Michael McGonigle</t>
  </si>
  <si>
    <t>Victor Christie</t>
  </si>
  <si>
    <t>Philippe Moison</t>
  </si>
  <si>
    <t>Leslie Cubitt</t>
  </si>
  <si>
    <t>Conor Murphy*</t>
  </si>
  <si>
    <t>Danny Kennedy*</t>
  </si>
  <si>
    <t>Dominic Bradley*</t>
  </si>
  <si>
    <t>Cathal Boylan</t>
  </si>
  <si>
    <t>Mickey Brady</t>
  </si>
  <si>
    <t>William Irwin</t>
  </si>
  <si>
    <t>Sharon Haughey</t>
  </si>
  <si>
    <t>Paul Berry*</t>
  </si>
  <si>
    <t>Davy Hyland*</t>
  </si>
  <si>
    <t>Maire Hendron</t>
  </si>
  <si>
    <t>Arthur Morgan</t>
  </si>
  <si>
    <t>Jim Wells*</t>
  </si>
  <si>
    <t>P.J. Bradley*</t>
  </si>
  <si>
    <t>Caitriona Ruane*</t>
  </si>
  <si>
    <t>Willie Clarke*</t>
  </si>
  <si>
    <t>Margaret Ritchie*</t>
  </si>
  <si>
    <t>John McCallister</t>
  </si>
  <si>
    <t>Michael Carr</t>
  </si>
  <si>
    <t>David Griffin</t>
  </si>
  <si>
    <t>Peter Bowles</t>
  </si>
  <si>
    <t>Con</t>
  </si>
  <si>
    <t>Martin Cunningham</t>
  </si>
  <si>
    <t>Ciaran Mussen</t>
  </si>
  <si>
    <t>Henry Reilly</t>
  </si>
  <si>
    <t>William Burns</t>
  </si>
  <si>
    <t>Turnout</t>
  </si>
  <si>
    <t>Mid-Ulster: Electorate: 61,223 Total Poll: 44,728 Valid Poll: 44,277 Quota: 6,326</t>
  </si>
  <si>
    <t>Foyle: Electorate: 64,889 Total Poll: 41,455 Valid Poll: 41,036 Quota: 5,863</t>
  </si>
  <si>
    <t>East Derry: Electorate: 56,104 Total Poll: 34,180 Valid Poll: 33,922 Quota: 4,847</t>
  </si>
  <si>
    <t>Newry &amp; Armagh: Electorate: 70,823 Total Poll: 50,165 Valid Poll: 49,619 Quota: 7,089</t>
  </si>
  <si>
    <t>South Down: Electorate: 71,704 Total Poll: 46,623 Valid Poll: 46,110 Quota: 6,588</t>
  </si>
  <si>
    <t>Frederick Wharton</t>
  </si>
  <si>
    <t>Upper Bann: Electorate: 70,716 Total Poll: 43,235 Valid Poll: 42,882 Quota: 6,127</t>
  </si>
  <si>
    <t>John O'Dowd*</t>
  </si>
  <si>
    <t>David Simpson*</t>
  </si>
  <si>
    <t>Ind U.</t>
  </si>
  <si>
    <t>Samuel Gardiner*</t>
  </si>
  <si>
    <t>Dolores Kelly*</t>
  </si>
  <si>
    <t>Stephen Moutray*</t>
  </si>
  <si>
    <t>Desmond Ward</t>
  </si>
  <si>
    <t>John McCrum</t>
  </si>
  <si>
    <t>George Savage</t>
  </si>
  <si>
    <t>George Hatch</t>
  </si>
  <si>
    <t>David Calvert</t>
  </si>
  <si>
    <t>Helen Corry</t>
  </si>
  <si>
    <t>Sheila McQuaid</t>
  </si>
  <si>
    <t>Patrick McAleenan</t>
  </si>
  <si>
    <t>Barry Toman</t>
  </si>
  <si>
    <t>David Fry</t>
  </si>
  <si>
    <t>Suzanne Peeples</t>
  </si>
  <si>
    <t>Lagan Valley: Electorate: 70,101 Total Poll: 42,058 Valid Poll: 41,822 Quota: 5,975</t>
  </si>
  <si>
    <t>Paul Butler</t>
  </si>
  <si>
    <t>Jeffrey Donaldson*</t>
  </si>
  <si>
    <t>Basil McCrea</t>
  </si>
  <si>
    <t>Trevor Lunn</t>
  </si>
  <si>
    <t>Edwin Poots*</t>
  </si>
  <si>
    <t>Jonathan Craig</t>
  </si>
  <si>
    <t>Paul Givan</t>
  </si>
  <si>
    <t>Marietta Farrell*</t>
  </si>
  <si>
    <t>Billy Bell*</t>
  </si>
  <si>
    <t>Ronnie Crawford</t>
  </si>
  <si>
    <t>Michael Rogan</t>
  </si>
  <si>
    <t>Neil Johnston</t>
  </si>
  <si>
    <t>John Magee</t>
  </si>
  <si>
    <t>Mitchel McLaughlin*</t>
  </si>
  <si>
    <t>William McCrea*</t>
  </si>
  <si>
    <t>David Ford*</t>
  </si>
  <si>
    <t>David Burnside*</t>
  </si>
  <si>
    <t>Trevor Clarke</t>
  </si>
  <si>
    <t>Mel Lucas</t>
  </si>
  <si>
    <t>Thomas Burns*</t>
  </si>
  <si>
    <t>Danny Kinahan</t>
  </si>
  <si>
    <t>Noreen McClelland</t>
  </si>
  <si>
    <t>Stephen Nicholl</t>
  </si>
  <si>
    <t>Stephen O'Brien</t>
  </si>
  <si>
    <t>Marcella Delaney</t>
  </si>
  <si>
    <t>Ian Paisley*</t>
  </si>
  <si>
    <t>Daithí McKay</t>
  </si>
  <si>
    <t>Ian Paisley Jnr.*</t>
  </si>
  <si>
    <t>Mervyn Storey*</t>
  </si>
  <si>
    <t>Robert Coulter*</t>
  </si>
  <si>
    <t>Declan O'Loan</t>
  </si>
  <si>
    <t>Deirdre Nelson</t>
  </si>
  <si>
    <t>Orla Black</t>
  </si>
  <si>
    <t>Lyle Cubitt</t>
  </si>
  <si>
    <t>Robert Swann</t>
  </si>
  <si>
    <t>Jayne Dunlop</t>
  </si>
  <si>
    <t>Paul McGlinchey</t>
  </si>
  <si>
    <t>James Gregg</t>
  </si>
  <si>
    <t>Sammy Wilson*</t>
  </si>
  <si>
    <t>George Dawson*</t>
  </si>
  <si>
    <t>Sean Neeson*</t>
  </si>
  <si>
    <t>Roy Beggs Jnr.*</t>
  </si>
  <si>
    <t>David Hilditch*</t>
  </si>
  <si>
    <t>Ken Robinson*</t>
  </si>
  <si>
    <t>Danny O'Connor</t>
  </si>
  <si>
    <t>Stewart Dickson</t>
  </si>
  <si>
    <t>Mark Dunn</t>
  </si>
  <si>
    <t>Oliver McMullan</t>
  </si>
  <si>
    <t>Thomas Robinson</t>
  </si>
  <si>
    <t>Mark Bailey</t>
  </si>
  <si>
    <t>John Anderson</t>
  </si>
  <si>
    <t>Tim Lewis</t>
  </si>
  <si>
    <t>Iris Robinson*</t>
  </si>
  <si>
    <t>Jim Shannon*</t>
  </si>
  <si>
    <t>Kieran McCarthy*</t>
  </si>
  <si>
    <t>Simon Hamilton</t>
  </si>
  <si>
    <t>David McNarry*</t>
  </si>
  <si>
    <t>Michelle McIlveen</t>
  </si>
  <si>
    <t>Joe Boyle</t>
  </si>
  <si>
    <t>Angus Carson</t>
  </si>
  <si>
    <t>Dermot Kennedy</t>
  </si>
  <si>
    <t>George Ennis*</t>
  </si>
  <si>
    <t>Stephanie Sim</t>
  </si>
  <si>
    <t>Michael Henderson</t>
  </si>
  <si>
    <t>Robert Little</t>
  </si>
  <si>
    <t>Cedric Wilson</t>
  </si>
  <si>
    <t>David Gregg</t>
  </si>
  <si>
    <t>Robert McCartney*</t>
  </si>
  <si>
    <t>Alexander Easton*</t>
  </si>
  <si>
    <t>Peter Weir*</t>
  </si>
  <si>
    <t>Stephen Farry</t>
  </si>
  <si>
    <t>Leslie Cree*</t>
  </si>
  <si>
    <t>Brian Wilson</t>
  </si>
  <si>
    <t>Alan McFarland*</t>
  </si>
  <si>
    <t>Alan Graham</t>
  </si>
  <si>
    <t>Marion Smith</t>
  </si>
  <si>
    <t>Brian Rowan</t>
  </si>
  <si>
    <t>Alan Chambers</t>
  </si>
  <si>
    <t>William Logan</t>
  </si>
  <si>
    <t>James Leslie</t>
  </si>
  <si>
    <t>Deaglan Page</t>
  </si>
  <si>
    <t>Elaine Martin</t>
  </si>
  <si>
    <t>Christopher Carter</t>
  </si>
  <si>
    <t>South Antrim: Electorate: 63,654 Total Poll: 38,481 Valid Poll: 38,175 Quota: 5,454</t>
  </si>
  <si>
    <t>North Antrim: Electorate: 72,814 Total Poll: 44,655 Valid Poll: 44,331 Quota: 6,334</t>
  </si>
  <si>
    <t>East Antrim: Electorate: 56,666 Total Poll: 30,293 Valid Poll: 30,039 Quota: 4,292</t>
  </si>
  <si>
    <t>Strangford: Electorate: 66,648 Total Poll: 36,340 Valid Poll: 36,019 Quota: 5,146</t>
  </si>
  <si>
    <t>North Down: Electorate: 57,525 Total Poll: 30,930 Valid Poll: 30,707 Quota: 4,387</t>
  </si>
  <si>
    <t>Michelle O'Neill</t>
  </si>
  <si>
    <t>Electoral Ward</t>
  </si>
  <si>
    <t>Alliance</t>
  </si>
  <si>
    <t>Omagh</t>
  </si>
  <si>
    <t>Omagh Council</t>
  </si>
  <si>
    <t>Fermanagh Council</t>
  </si>
  <si>
    <t>Strabane Council</t>
  </si>
  <si>
    <t>Erne East</t>
  </si>
  <si>
    <t>Erne North</t>
  </si>
  <si>
    <t>Erne West</t>
  </si>
  <si>
    <t>Enniskillen</t>
  </si>
  <si>
    <t>West Tyrone</t>
  </si>
  <si>
    <t>Mid Tyrone</t>
  </si>
  <si>
    <t>Derg</t>
  </si>
  <si>
    <t>Glenelly</t>
  </si>
  <si>
    <t>Clogher Valley</t>
  </si>
  <si>
    <t>Blackwater</t>
  </si>
  <si>
    <t>Dungannon</t>
  </si>
  <si>
    <t>Torrent</t>
  </si>
  <si>
    <t>Dungannon Council</t>
  </si>
  <si>
    <t>Ballinderry</t>
  </si>
  <si>
    <t>Drum Manor</t>
  </si>
  <si>
    <t>Cookstown Central</t>
  </si>
  <si>
    <t>Cookstown Council</t>
  </si>
  <si>
    <t>Magherafelt Town</t>
  </si>
  <si>
    <t>Moyola</t>
  </si>
  <si>
    <t>Sperrin</t>
  </si>
  <si>
    <t>Magherafelt Council</t>
  </si>
  <si>
    <t>Rural</t>
  </si>
  <si>
    <t>Waterside</t>
  </si>
  <si>
    <t>Northland</t>
  </si>
  <si>
    <t>Cityside</t>
  </si>
  <si>
    <t>Shantallow</t>
  </si>
  <si>
    <t>Derry Council</t>
  </si>
  <si>
    <t>Limavady Council</t>
  </si>
  <si>
    <t>Bellarena</t>
  </si>
  <si>
    <t>Benbradagh</t>
  </si>
  <si>
    <t>Limavady Town</t>
  </si>
  <si>
    <t>Coleraine Central</t>
  </si>
  <si>
    <t>Coleraine East</t>
  </si>
  <si>
    <t>Bann</t>
  </si>
  <si>
    <t>The Skerries</t>
  </si>
  <si>
    <t>Coleraine Council</t>
  </si>
  <si>
    <t>Armagh City</t>
  </si>
  <si>
    <t>Crossmore</t>
  </si>
  <si>
    <t>Cusher</t>
  </si>
  <si>
    <t>Orchard</t>
  </si>
  <si>
    <t>Armagh Council</t>
  </si>
  <si>
    <t>The Mournes</t>
  </si>
  <si>
    <t>The Fews</t>
  </si>
  <si>
    <t>Newry Town</t>
  </si>
  <si>
    <t>Crotlieve</t>
  </si>
  <si>
    <t>Slieve Gullion</t>
  </si>
  <si>
    <t>Newry &amp; Mourne</t>
  </si>
  <si>
    <t>Lurgan</t>
  </si>
  <si>
    <t>Craigavon Central</t>
  </si>
  <si>
    <t>Portadown</t>
  </si>
  <si>
    <t>Loughside</t>
  </si>
  <si>
    <t>Craigavon Council</t>
  </si>
  <si>
    <t>Dromore</t>
  </si>
  <si>
    <t>Banbridge Town</t>
  </si>
  <si>
    <t>Knockiveagh</t>
  </si>
  <si>
    <t>Banbridge Council</t>
  </si>
  <si>
    <t>Downpatrick</t>
  </si>
  <si>
    <t>Newcastle</t>
  </si>
  <si>
    <t>Rowallane</t>
  </si>
  <si>
    <t>Ballynahinch</t>
  </si>
  <si>
    <t>Down Council</t>
  </si>
  <si>
    <t>Downshire</t>
  </si>
  <si>
    <t>Killultagh</t>
  </si>
  <si>
    <t>Lisburn Town North</t>
  </si>
  <si>
    <t>Lisburn Town South</t>
  </si>
  <si>
    <t>Dunmurry Cross</t>
  </si>
  <si>
    <t>Lisburn Council</t>
  </si>
  <si>
    <t>Ards Peninsula</t>
  </si>
  <si>
    <t>Ards East</t>
  </si>
  <si>
    <t>Ards West</t>
  </si>
  <si>
    <t>Newtownards</t>
  </si>
  <si>
    <t>Ards Council</t>
  </si>
  <si>
    <t>Abbey</t>
  </si>
  <si>
    <t>Ballyholme &amp; Groomsport</t>
  </si>
  <si>
    <t>Hollywood</t>
  </si>
  <si>
    <t>Bangor West</t>
  </si>
  <si>
    <t>North Down Council</t>
  </si>
  <si>
    <t>Castlereagh Central</t>
  </si>
  <si>
    <t>Castlereagh East</t>
  </si>
  <si>
    <t>Castlereagh South</t>
  </si>
  <si>
    <t>Castlereagh Council</t>
  </si>
  <si>
    <t>Antrim Town</t>
  </si>
  <si>
    <t>Antrim North-West</t>
  </si>
  <si>
    <t>Antrim South-East</t>
  </si>
  <si>
    <t>Antrim Council</t>
  </si>
  <si>
    <t>Ballymena North</t>
  </si>
  <si>
    <t>Ballymena South</t>
  </si>
  <si>
    <t>Bannside</t>
  </si>
  <si>
    <t>Braid</t>
  </si>
  <si>
    <t>Ballymena Council</t>
  </si>
  <si>
    <t>Bann Valley</t>
  </si>
  <si>
    <t>Ballymoney Town</t>
  </si>
  <si>
    <t>Bushvale</t>
  </si>
  <si>
    <t>Ballymoney Council</t>
  </si>
  <si>
    <t>Ballycastle</t>
  </si>
  <si>
    <t>Giants Causeway</t>
  </si>
  <si>
    <t>The Glens</t>
  </si>
  <si>
    <t>Moyle Council</t>
  </si>
  <si>
    <t>Coast Road</t>
  </si>
  <si>
    <t>Larne Lough</t>
  </si>
  <si>
    <t>Larne Town</t>
  </si>
  <si>
    <t>Larne Council</t>
  </si>
  <si>
    <t>Knockagh Monument</t>
  </si>
  <si>
    <t>Carrick Castle</t>
  </si>
  <si>
    <t>Kilroot</t>
  </si>
  <si>
    <t>Carrickfergus Council</t>
  </si>
  <si>
    <t>Antrim Line</t>
  </si>
  <si>
    <t>Ballyclare</t>
  </si>
  <si>
    <t>Macedon</t>
  </si>
  <si>
    <t>University</t>
  </si>
  <si>
    <t>Newtownabbey Council</t>
  </si>
  <si>
    <t>Court</t>
  </si>
  <si>
    <t>Pottinger</t>
  </si>
  <si>
    <t>Victoria</t>
  </si>
  <si>
    <t>Balmoral</t>
  </si>
  <si>
    <t>Castle</t>
  </si>
  <si>
    <t>Oldpark</t>
  </si>
  <si>
    <t>Lagan Bank</t>
  </si>
  <si>
    <t>Upper Falls</t>
  </si>
  <si>
    <t>Lower Falls</t>
  </si>
  <si>
    <t>Belfast City Council</t>
  </si>
  <si>
    <t>Mourne</t>
  </si>
  <si>
    <t>Dungannon Town</t>
  </si>
  <si>
    <t>Omagh Town</t>
  </si>
  <si>
    <t>Castlereagh West</t>
  </si>
  <si>
    <t>East Belfast: Total Electorate: 49,757 Total Poll: 29,873 Valid Poll: 29,631 Quota: 4,233</t>
  </si>
  <si>
    <t>Peter Robinson*</t>
  </si>
  <si>
    <t>Naomi Long*</t>
  </si>
  <si>
    <t>Reg Empey*</t>
  </si>
  <si>
    <t>Wallace Browne</t>
  </si>
  <si>
    <t>Dawn Purvis</t>
  </si>
  <si>
    <t>Robin Newton*</t>
  </si>
  <si>
    <t>Michael Copeland*</t>
  </si>
  <si>
    <t>Niall Ó Donnghaile</t>
  </si>
  <si>
    <t>Jim Rodgers</t>
  </si>
  <si>
    <t>Mary Muldoon</t>
  </si>
  <si>
    <t>Steve Agnew</t>
  </si>
  <si>
    <t>Glyn Chambers</t>
  </si>
  <si>
    <t>Thomas Black</t>
  </si>
  <si>
    <t>Soc</t>
  </si>
  <si>
    <t>Joe Bell</t>
  </si>
  <si>
    <t>Rainbow George</t>
  </si>
  <si>
    <t>South Belfast: Total Electorate: 48,923 Total Poll: 30,533 Valid Poll: 30,344 Quota: 4,335</t>
  </si>
  <si>
    <t>Jimmy Spratt</t>
  </si>
  <si>
    <t>Anna Lo</t>
  </si>
  <si>
    <t>Michael McGimpsey*</t>
  </si>
  <si>
    <t>Christopher Stalford</t>
  </si>
  <si>
    <t>Andrew Park</t>
  </si>
  <si>
    <t>Esmond Birnie*</t>
  </si>
  <si>
    <t>Alex Maskey*</t>
  </si>
  <si>
    <t>Bob Stoker</t>
  </si>
  <si>
    <t>Alasdair McDonnell*</t>
  </si>
  <si>
    <t>Carmel Hanna*</t>
  </si>
  <si>
    <t>Roger Lomas</t>
  </si>
  <si>
    <t>Jim Barbour</t>
  </si>
  <si>
    <t>Paddy Lynn</t>
  </si>
  <si>
    <t>David Hoey</t>
  </si>
  <si>
    <t>Charles Smyth</t>
  </si>
  <si>
    <t>Geoffrey Wilson</t>
  </si>
  <si>
    <t>Brenda Cooke</t>
  </si>
  <si>
    <t>North Belfast: Total Electorate: 49,372 Total Poll: 30,067 Valid Poll: 29,715 Quota: 4,246</t>
  </si>
  <si>
    <t>Nigel Dodds*</t>
  </si>
  <si>
    <t>Tommy McCullough</t>
  </si>
  <si>
    <t>Fred Cobain*</t>
  </si>
  <si>
    <t>Nelson McCausland*</t>
  </si>
  <si>
    <t>William Humphrey</t>
  </si>
  <si>
    <t>Gerry Kelly*</t>
  </si>
  <si>
    <t>Caral Ní Chuilin</t>
  </si>
  <si>
    <t>Alban McGuinness*</t>
  </si>
  <si>
    <t>Pat Convery</t>
  </si>
  <si>
    <t>Peter Emerson</t>
  </si>
  <si>
    <t>John Lavery</t>
  </si>
  <si>
    <t>Raymond McCord</t>
  </si>
  <si>
    <t>West Belfast: Total Electorate: 50,792 Total Poll: 34,238 Valid Poll: 33,790 Quota: 4,828</t>
  </si>
  <si>
    <t>Diane Dodds*</t>
  </si>
  <si>
    <t>Gerry Adams*</t>
  </si>
  <si>
    <t>Sue Ramsey*</t>
  </si>
  <si>
    <t>Louis West</t>
  </si>
  <si>
    <t>Paul Maskey</t>
  </si>
  <si>
    <t>Alex Attwood*</t>
  </si>
  <si>
    <t>Margaret Walsh</t>
  </si>
  <si>
    <t>Jennifer McCann</t>
  </si>
  <si>
    <t>Sean Mitchell</t>
  </si>
  <si>
    <t>PBP</t>
  </si>
  <si>
    <t>Fra McCann*</t>
  </si>
  <si>
    <t>Dan McGuinness</t>
  </si>
  <si>
    <t>John Lowry</t>
  </si>
  <si>
    <t>Geraldine Taylor</t>
  </si>
  <si>
    <t>Gerry McHugh*</t>
  </si>
  <si>
    <t>West Tyrone: Electorate: 57,795 Total Poll: 42,328 Valid Poll: 41,454 Quota: 5,962</t>
  </si>
  <si>
    <t>Joe Byrne*</t>
  </si>
  <si>
    <t>Kieran Deeny</t>
  </si>
  <si>
    <t>Kieran Deeny*</t>
  </si>
  <si>
    <t>Mid-Ulster: Electorate: 60,095 Total Poll: 45,023 Valid Poll: 44,362 Quota: 6,338</t>
  </si>
  <si>
    <t>Denis Haughey*</t>
  </si>
  <si>
    <t>Mary Nelis*</t>
  </si>
  <si>
    <t>Annie Courtney*</t>
  </si>
  <si>
    <t>Foyle: Electorate: 65,303 Total Poll: 41,436 Valid Poll: 40,806 Quota: 5,830</t>
  </si>
  <si>
    <t>Boyd Douglas*</t>
  </si>
  <si>
    <t>Michael Coyle*</t>
  </si>
  <si>
    <t>Pauline Armitage*</t>
  </si>
  <si>
    <t>East Derry: Electorate: 56,203 Total Poll: 34,703 Valid Poll: 34,273 Quota: 4,897</t>
  </si>
  <si>
    <t>Newry &amp; Armagh: Electorate: 68,731 Total Poll: 48,233 Valid Poll: 47,378 Quota: 6,769</t>
  </si>
  <si>
    <t>South Down: Electorate: 70,149 Total Poll: 46,012 Valid Poll: 45,346 Quota: 6,479</t>
  </si>
  <si>
    <t>Patricia O'Rawe</t>
  </si>
  <si>
    <t>John Fee*</t>
  </si>
  <si>
    <t>Dermot Nesbitt*</t>
  </si>
  <si>
    <t>Eamonn O'Neill*</t>
  </si>
  <si>
    <t>Upper Bann: Electorate: 68,814 Total Poll: 44,145 Valid Poll: 43,482 Quota: 6,212</t>
  </si>
  <si>
    <t>David Trimble*</t>
  </si>
  <si>
    <t>John O'Dowd</t>
  </si>
  <si>
    <t>David Simpson</t>
  </si>
  <si>
    <t>Samuel Gardiner</t>
  </si>
  <si>
    <t>Dolores Kelly</t>
  </si>
  <si>
    <t>Denis Watson*</t>
  </si>
  <si>
    <t>Stephen Moutray</t>
  </si>
  <si>
    <t>Dara O'Hagan*</t>
  </si>
  <si>
    <t>George Savage*</t>
  </si>
  <si>
    <t>Kieran Corr</t>
  </si>
  <si>
    <t>Frank McQuaid</t>
  </si>
  <si>
    <t>Tom French</t>
  </si>
  <si>
    <t xml:space="preserve">Ind  </t>
  </si>
  <si>
    <t>David Jones</t>
  </si>
  <si>
    <t>Sidney Anderson</t>
  </si>
  <si>
    <t>Lagan Valley: Electorate: 67,910 Total Poll: 41,724 Valid Poll: 41,524 Quota: 5,894</t>
  </si>
  <si>
    <t>Norah Beare</t>
  </si>
  <si>
    <t>Seamus Close*</t>
  </si>
  <si>
    <t>Andrew Hunter</t>
  </si>
  <si>
    <t>Patricia Lewsley*</t>
  </si>
  <si>
    <t>Jim Kirkpatrick</t>
  </si>
  <si>
    <t>Frances McCarthy</t>
  </si>
  <si>
    <t>Joanne Johnston</t>
  </si>
  <si>
    <t>Ivan Davis*</t>
  </si>
  <si>
    <t>South Antrim: Electorate: 63,640 Total Poll: 37,858 Valid Poll: 37,421 Quota: 5,346</t>
  </si>
  <si>
    <t>Martin Meehan</t>
  </si>
  <si>
    <t>Wilson Clyde*</t>
  </si>
  <si>
    <t>David Burnside</t>
  </si>
  <si>
    <t>Paul Girvan</t>
  </si>
  <si>
    <t>John Smyth</t>
  </si>
  <si>
    <t>Thomas Burns</t>
  </si>
  <si>
    <t>Jim Wilson*</t>
  </si>
  <si>
    <t>Donovan McClelland*</t>
  </si>
  <si>
    <t>Adrian Cochrane-Watson</t>
  </si>
  <si>
    <t>NIUP</t>
  </si>
  <si>
    <t>Norman Boyd*</t>
  </si>
  <si>
    <t>Jason Docherty</t>
  </si>
  <si>
    <t>Kenneth Wilkinson</t>
  </si>
  <si>
    <t>Joan Cosgrove</t>
  </si>
  <si>
    <t>North Antrim: Electorate: 70,489 Total Poll: 44,632 Valid Poll: 44,099 Quota: 6,300</t>
  </si>
  <si>
    <t>Philip McGuigan</t>
  </si>
  <si>
    <t>Mervyn Storey</t>
  </si>
  <si>
    <t>Sean Farren*</t>
  </si>
  <si>
    <t>Gardiner Kane*</t>
  </si>
  <si>
    <t>James Currie</t>
  </si>
  <si>
    <t>Nathaniel Small</t>
  </si>
  <si>
    <t>Billy McCaughey</t>
  </si>
  <si>
    <t>East Antrim: Electorate: 55,473 Total Poll: 31,343 Valid Poll: 30,952 Quota: 4,422</t>
  </si>
  <si>
    <t>George Dawson</t>
  </si>
  <si>
    <t>Danny O'Connor*</t>
  </si>
  <si>
    <t>Roy McCune</t>
  </si>
  <si>
    <t>Andrew Frew</t>
  </si>
  <si>
    <t>Jack McKee</t>
  </si>
  <si>
    <t>Alan Greer</t>
  </si>
  <si>
    <t>Roger Hutchinson*</t>
  </si>
  <si>
    <t>Robert Mason</t>
  </si>
  <si>
    <t>Carolyn Howarth</t>
  </si>
  <si>
    <t>Anne Monaghan</t>
  </si>
  <si>
    <t>Strangford: Electorate: 66,308 Total Poll: 37,838 Valid Poll: 37,250 Quota: 5,322</t>
  </si>
  <si>
    <t>John Taylor*</t>
  </si>
  <si>
    <t>David McNarry</t>
  </si>
  <si>
    <t>George Ennis</t>
  </si>
  <si>
    <t>Bob Little</t>
  </si>
  <si>
    <t>Philip Orr</t>
  </si>
  <si>
    <t>Cedric Wilson*</t>
  </si>
  <si>
    <t>Colin Neill</t>
  </si>
  <si>
    <t>Danny McCarthy</t>
  </si>
  <si>
    <t>North Down: Electorate: 57,422 Total Poll: 31,316 Valid Poll: 30,835 Quota: 4,406</t>
  </si>
  <si>
    <t>Alexander Easton</t>
  </si>
  <si>
    <t>Eileen Bell*</t>
  </si>
  <si>
    <t>Leslie Cree</t>
  </si>
  <si>
    <t>John Barry</t>
  </si>
  <si>
    <t>Jane Morrice*</t>
  </si>
  <si>
    <t>Diana Peacocke</t>
  </si>
  <si>
    <t>Liam Logan</t>
  </si>
  <si>
    <t>Julian Robertson</t>
  </si>
  <si>
    <t>Maria George</t>
  </si>
  <si>
    <t>David Rose</t>
  </si>
  <si>
    <t>Alan Field</t>
  </si>
  <si>
    <t>Tom Sheridan</t>
  </si>
  <si>
    <t>Chris Carter</t>
  </si>
  <si>
    <t>North Belfast: Total Electorate: 51,353 Total Poll: 31,997 Valid Poll: 31,532 Quota: 4,505</t>
  </si>
  <si>
    <t>Kathy Stanton</t>
  </si>
  <si>
    <t>Nelson McCausland</t>
  </si>
  <si>
    <t>Billy Hutchinson*</t>
  </si>
  <si>
    <t>Fraser Agnew*</t>
  </si>
  <si>
    <t>Marjorie Hawkins</t>
  </si>
  <si>
    <t>Eliz Byrne-McCullough</t>
  </si>
  <si>
    <t>Frank McCoubrey</t>
  </si>
  <si>
    <t>John Gallagher</t>
  </si>
  <si>
    <t>West Belfast: Total Electorate: 50,861 Total Poll: 33,527 Valid Poll: 32,854 Quota: 4,694</t>
  </si>
  <si>
    <t>Fra McCann</t>
  </si>
  <si>
    <t>Bairbre De Brún*</t>
  </si>
  <si>
    <t>Michael Ferguson</t>
  </si>
  <si>
    <t>Diane Dodds</t>
  </si>
  <si>
    <t>Joe Hendron*</t>
  </si>
  <si>
    <t>Chris McGimpsey</t>
  </si>
  <si>
    <t>Kathryn Ayers</t>
  </si>
  <si>
    <t>Hugh Smyth</t>
  </si>
  <si>
    <t>David Kerr</t>
  </si>
  <si>
    <t>John MacVicar</t>
  </si>
  <si>
    <t>South Belfast: Total Electorate: 50,707 Total Poll: 31,737 Valid Poll: 31,330 Quota: 4,476</t>
  </si>
  <si>
    <t>Mark Robinson*</t>
  </si>
  <si>
    <t>Ruth Patterson</t>
  </si>
  <si>
    <t>John Hiddleston</t>
  </si>
  <si>
    <t>John Wright</t>
  </si>
  <si>
    <t>Thomas Morrow</t>
  </si>
  <si>
    <t>Monica McWilliams*</t>
  </si>
  <si>
    <t>Lindsay Steven</t>
  </si>
  <si>
    <t>Tom Ekin</t>
  </si>
  <si>
    <t>Geraldine Rice</t>
  </si>
  <si>
    <t>East Belfast: Total Electorate: 51,937 Total Poll: 31,524 Valid Poll: 30,965 Quota: 4,424</t>
  </si>
  <si>
    <t>David Ervine*</t>
  </si>
  <si>
    <t>Naomi Long</t>
  </si>
  <si>
    <t>Harry Toan</t>
  </si>
  <si>
    <t>Robin Newton</t>
  </si>
  <si>
    <t>Michael Copeland</t>
  </si>
  <si>
    <t>Joseph O'Donnell</t>
  </si>
  <si>
    <t>Leo Van Es</t>
  </si>
  <si>
    <t>John McBlain</t>
  </si>
  <si>
    <t>Terry Dick</t>
  </si>
  <si>
    <t>IIP</t>
  </si>
  <si>
    <t>Rodney Connor</t>
  </si>
  <si>
    <t>Fergal McKinney</t>
  </si>
  <si>
    <t>Vasundhara Kamble</t>
  </si>
  <si>
    <t>John Stevenson</t>
  </si>
  <si>
    <t>UCUNF</t>
  </si>
  <si>
    <t>Ross Hussey</t>
  </si>
  <si>
    <t>Joe Byrne</t>
  </si>
  <si>
    <t>Michael Bower</t>
  </si>
  <si>
    <t>Ciaran McClean</t>
  </si>
  <si>
    <t>Majority</t>
  </si>
  <si>
    <t>West Tyrone: Electorate: 61,148 Total Poll: 37,632 Valid Poll: 37,275</t>
  </si>
  <si>
    <t>Sandra Overend</t>
  </si>
  <si>
    <t>Tony Quinn</t>
  </si>
  <si>
    <t>TUV</t>
  </si>
  <si>
    <t>Ian Butler</t>
  </si>
  <si>
    <t>Mid-Ulster: Electorate: 64,594 Total Poll: 41,139 Valid Poll: 40,842</t>
  </si>
  <si>
    <t>Maurice Devenney</t>
  </si>
  <si>
    <t>David Harding</t>
  </si>
  <si>
    <t>Keith McGrellis</t>
  </si>
  <si>
    <t>Foyle: Electorate: 65,843 Total Poll: 38,190 Valid Poll: 37,889</t>
  </si>
  <si>
    <t>Cathal Ó hOisín</t>
  </si>
  <si>
    <t>Thomas Conway</t>
  </si>
  <si>
    <t>Lesley Macauley</t>
  </si>
  <si>
    <t>William Ross</t>
  </si>
  <si>
    <t>East Derry: Electorate: 63,220 Total Poll: 35,086 Valid Poll: 34,950</t>
  </si>
  <si>
    <t>Newry &amp; Armagh: Electorate: 74,308 Total Poll: 45,249 Valid Poll: 44,906</t>
  </si>
  <si>
    <t>Danny Kennedy</t>
  </si>
  <si>
    <t>Andrew Muir</t>
  </si>
  <si>
    <t>South Down: Electorate: 70,784 Total Poll: 42,840 Valid Poll: 42,589</t>
  </si>
  <si>
    <t>Jim Wells</t>
  </si>
  <si>
    <t>Ivor McConnell</t>
  </si>
  <si>
    <t>Cadogan Enright</t>
  </si>
  <si>
    <t>Upper Bann: Electorate: 74,732 Total Poll: 41,681 Valid Poll: 41,383</t>
  </si>
  <si>
    <t>Harry Hamilton</t>
  </si>
  <si>
    <t>Brendan Heading</t>
  </si>
  <si>
    <t>Lagan Valley: Electorate: 65,257 Total Poll: 36,678 Valid Poll: 36,540</t>
  </si>
  <si>
    <t>Brian Heading</t>
  </si>
  <si>
    <t>Daphne Trimble</t>
  </si>
  <si>
    <t>Keith Harbinson</t>
  </si>
  <si>
    <t>Reg Empey</t>
  </si>
  <si>
    <t>Alan Lawther</t>
  </si>
  <si>
    <t>Melwyn Lucas</t>
  </si>
  <si>
    <t>Michelle Byrne</t>
  </si>
  <si>
    <t>Mitchel McLaughlin</t>
  </si>
  <si>
    <t>South Antrim: Electorate: 63,054 Total Poll: 34,143 Valid Poll: 34,009</t>
  </si>
  <si>
    <t>North Antrim: Electorate: 73,338 Total Poll: 42,579 Valid Poll: 42,397</t>
  </si>
  <si>
    <t>Ian Paisley Jr.</t>
  </si>
  <si>
    <t>Irwin Armstrong</t>
  </si>
  <si>
    <t>Daithi McKay</t>
  </si>
  <si>
    <t>Jim Allister</t>
  </si>
  <si>
    <t>East Antrim: Electorate: 60,204 Total Poll: 30,640 Valid Poll: 30,502</t>
  </si>
  <si>
    <t>Samuel Morrison</t>
  </si>
  <si>
    <t>Rodney McCune</t>
  </si>
  <si>
    <t>Justin McCamphill</t>
  </si>
  <si>
    <t>Gerry Lynch</t>
  </si>
  <si>
    <t>Strangford: Electorate: 60,539 Total Poll: 32,600 Valid Poll: 32,505</t>
  </si>
  <si>
    <t>Jim Shannon</t>
  </si>
  <si>
    <t>Mike Nesbitt</t>
  </si>
  <si>
    <t>Deborah Girvan</t>
  </si>
  <si>
    <t>Michael Coogan</t>
  </si>
  <si>
    <t>Claire Hanna</t>
  </si>
  <si>
    <t>Barbara Haig</t>
  </si>
  <si>
    <t>Terry Williams</t>
  </si>
  <si>
    <t>Sylvia Hermon*</t>
  </si>
  <si>
    <t>Ian Parsley</t>
  </si>
  <si>
    <t>Vincent Parker</t>
  </si>
  <si>
    <t>Steven Agnew</t>
  </si>
  <si>
    <t>North Down: Electorate: 60,698 Total Poll: 33,543 Valid Poll: 33,481</t>
  </si>
  <si>
    <t>Kaye Kilpatrick</t>
  </si>
  <si>
    <t>North Belfast: Total Electorate: 65,504 Total Poll: 37,233 Valid Poll: 36,993</t>
  </si>
  <si>
    <t>Fred Cobain</t>
  </si>
  <si>
    <t>Billy Webb</t>
  </si>
  <si>
    <t>Alban Maginness</t>
  </si>
  <si>
    <t>Martin McAuley</t>
  </si>
  <si>
    <t>Gerry Kelly</t>
  </si>
  <si>
    <t>West Belfast: Total Electorate: 59,522 Total Poll: 32,682 Valid Poll: 32,133</t>
  </si>
  <si>
    <t>Alex Attwood</t>
  </si>
  <si>
    <t>Bill Manwaring</t>
  </si>
  <si>
    <t>South Belfast: Total Electorate: 59,524 Total Poll: 34,359 Valid Poll: 34,186</t>
  </si>
  <si>
    <t>Adam McGibbon</t>
  </si>
  <si>
    <t>Paula Bradshaw</t>
  </si>
  <si>
    <t>East Belfast: Total Electorate: 59,007 Total Poll: 34,612 Valid Poll: 34,488</t>
  </si>
  <si>
    <t>Trevor Ringland</t>
  </si>
  <si>
    <t>David Vance</t>
  </si>
  <si>
    <t>Michelle Gildernew</t>
  </si>
  <si>
    <t>Maurice Morrow</t>
  </si>
  <si>
    <t>Tommy Gallagher</t>
  </si>
  <si>
    <t>Joan Carson</t>
  </si>
  <si>
    <t>Sam Foster</t>
  </si>
  <si>
    <t>Olive Mullen</t>
  </si>
  <si>
    <t>Bertie Kerr</t>
  </si>
  <si>
    <t>Marie Crowley</t>
  </si>
  <si>
    <t>Jim Dixon</t>
  </si>
  <si>
    <t>NLP</t>
  </si>
  <si>
    <t>Simeon Gillan</t>
  </si>
  <si>
    <t>Pat Treanor</t>
  </si>
  <si>
    <t>West Tyrone: Electorate: 59,081 Total Poll: 46,913 Valid Poll: 45,951 Quota: 6,565</t>
  </si>
  <si>
    <t>Ann Gormley</t>
  </si>
  <si>
    <t>Oliver Gibson</t>
  </si>
  <si>
    <t>Paddy McGowan</t>
  </si>
  <si>
    <t>Johnny McLaughlin</t>
  </si>
  <si>
    <t>Laurence O'Kane</t>
  </si>
  <si>
    <t>Robert Johnstone</t>
  </si>
  <si>
    <t>Eugene McMenamin</t>
  </si>
  <si>
    <t>Pat Doherty</t>
  </si>
  <si>
    <t>Barry McElduff</t>
  </si>
  <si>
    <t>Derek Hussey</t>
  </si>
  <si>
    <t>Seamus Devine</t>
  </si>
  <si>
    <t>Pat McDonnell</t>
  </si>
  <si>
    <t>Alastair Patterson</t>
  </si>
  <si>
    <t>Tommy Owens</t>
  </si>
  <si>
    <t>Mid-Ulster: Electorate: 59,991 Total Poll: 50,622 Valid Poll: 49,798 Quota: 7,115</t>
  </si>
  <si>
    <t>William McCrea</t>
  </si>
  <si>
    <t>Martin McGuinness</t>
  </si>
  <si>
    <t>Francie Molloy</t>
  </si>
  <si>
    <t>Billy Armstrong</t>
  </si>
  <si>
    <t>Denis Haughey</t>
  </si>
  <si>
    <t>John Kelly</t>
  </si>
  <si>
    <t>John Junkin</t>
  </si>
  <si>
    <t>Paul McLean</t>
  </si>
  <si>
    <t>Mary Daly</t>
  </si>
  <si>
    <t>Foyle: Electorate: 68,888 Total Poll: 49,604 Valid Poll: 48,794 Quota: 6,971</t>
  </si>
  <si>
    <t>Mark Durkan</t>
  </si>
  <si>
    <t>William Hay</t>
  </si>
  <si>
    <t>Mary Nelis</t>
  </si>
  <si>
    <t>Annie Courtney</t>
  </si>
  <si>
    <t>John Hume</t>
  </si>
  <si>
    <t>John Tierney</t>
  </si>
  <si>
    <t>Jack Allen</t>
  </si>
  <si>
    <t>Gearóid Ó hEara</t>
  </si>
  <si>
    <t>Brian Gurney</t>
  </si>
  <si>
    <t>Colm Cavanagh</t>
  </si>
  <si>
    <t>Lab</t>
  </si>
  <si>
    <t>Ken Adams</t>
  </si>
  <si>
    <t>Peter MacKenzie</t>
  </si>
  <si>
    <t>Donn Brennan</t>
  </si>
  <si>
    <t>East Derry: Electorate: 59,370 Total Poll: 40,167 Valid Poll: 39,564 Quota: 5,653</t>
  </si>
  <si>
    <t>Gregory Campbell</t>
  </si>
  <si>
    <t>David McClarty</t>
  </si>
  <si>
    <t>John Dallat</t>
  </si>
  <si>
    <t>Boyd Douglas</t>
  </si>
  <si>
    <t>Pauline Armitage</t>
  </si>
  <si>
    <t>Malachy O'Kane</t>
  </si>
  <si>
    <t>David Gilmour</t>
  </si>
  <si>
    <t>Arthur Doherty</t>
  </si>
  <si>
    <t>John McIlhenny</t>
  </si>
  <si>
    <t>Robert McPherson</t>
  </si>
  <si>
    <t>UDP</t>
  </si>
  <si>
    <t>David Nelson</t>
  </si>
  <si>
    <t>Barbara Dempsey</t>
  </si>
  <si>
    <t>Maura McCann</t>
  </si>
  <si>
    <t>Newry &amp; Armagh: Electorate: 71,553 Total Poll: 55,293 Valid Poll: 54,136 Quota: 7,734</t>
  </si>
  <si>
    <t>Paul Berry</t>
  </si>
  <si>
    <t>Conor Murphy</t>
  </si>
  <si>
    <t>John Fee</t>
  </si>
  <si>
    <t>Pat McNamee</t>
  </si>
  <si>
    <t>Seamus Mallon</t>
  </si>
  <si>
    <t>Jim Speers</t>
  </si>
  <si>
    <t>Kate Fearon</t>
  </si>
  <si>
    <t>Mary Allen</t>
  </si>
  <si>
    <t>David Evans</t>
  </si>
  <si>
    <t>South Down: Electorate: 71,027 Total Poll: 52,342 Valid Poll: 51,353 Quota: 7,337</t>
  </si>
  <si>
    <t>Dermot Nesbitt</t>
  </si>
  <si>
    <t>P.J. Bradley</t>
  </si>
  <si>
    <t>Eamonn O'Neill</t>
  </si>
  <si>
    <t>Eddie McGrady</t>
  </si>
  <si>
    <t>Mick Murphy</t>
  </si>
  <si>
    <t>Garret Ó Fachtna</t>
  </si>
  <si>
    <t>Hugh Carr</t>
  </si>
  <si>
    <t>Norman Hanna</t>
  </si>
  <si>
    <t>Anne Carr</t>
  </si>
  <si>
    <t>George Graham</t>
  </si>
  <si>
    <t>Anne-Marie Cunningham</t>
  </si>
  <si>
    <t>Patrick O'Connor</t>
  </si>
  <si>
    <t>Ind Lab</t>
  </si>
  <si>
    <t>Thomas Mullins</t>
  </si>
  <si>
    <t>Upper Bann: Electorate: 70,852 Total Poll: 51,223 Valid Poll: 50,399 Quota: 7,200</t>
  </si>
  <si>
    <t>David Trimble</t>
  </si>
  <si>
    <t>Dara O'Hagan</t>
  </si>
  <si>
    <t>Denis Watson</t>
  </si>
  <si>
    <t>Mervyn Carrick</t>
  </si>
  <si>
    <t>Francie Murray</t>
  </si>
  <si>
    <t>Ruth Allen</t>
  </si>
  <si>
    <t>Brid Rodgers</t>
  </si>
  <si>
    <t>Mel Byrne</t>
  </si>
  <si>
    <t>UUU</t>
  </si>
  <si>
    <t>Mark Neale</t>
  </si>
  <si>
    <t>Kenny McClinton</t>
  </si>
  <si>
    <t>UIM</t>
  </si>
  <si>
    <t>Brian Silcock</t>
  </si>
  <si>
    <t>Jack Lyons</t>
  </si>
  <si>
    <t>Alan Evans</t>
  </si>
  <si>
    <t>Lagan Valley: Electorate: 71,661 Total Poll: 47,074 Valid Poll: 46,510 Quota: 6,645</t>
  </si>
  <si>
    <t>Edwin Poots</t>
  </si>
  <si>
    <t>Seamus Close</t>
  </si>
  <si>
    <t>Patricia Lewsley</t>
  </si>
  <si>
    <t>Billy Bell</t>
  </si>
  <si>
    <t>Ivan Davis</t>
  </si>
  <si>
    <t>Patrick Roche</t>
  </si>
  <si>
    <t>David Campbell</t>
  </si>
  <si>
    <t>Ken Hull</t>
  </si>
  <si>
    <t>Gary McMichael</t>
  </si>
  <si>
    <t>Annie Campbell</t>
  </si>
  <si>
    <t>William Bleakes</t>
  </si>
  <si>
    <t>John Collins</t>
  </si>
  <si>
    <t>Cecil Calvert</t>
  </si>
  <si>
    <t>South Antrim: Electorate: 69,426 Total Poll: 44,599 Valid Poll: 43,991 Quota: 6,285</t>
  </si>
  <si>
    <t>Jim Wilson</t>
  </si>
  <si>
    <t>Wilson Clyde</t>
  </si>
  <si>
    <t>David Ford</t>
  </si>
  <si>
    <t>Donovan McClelland</t>
  </si>
  <si>
    <t>Norman Boyd</t>
  </si>
  <si>
    <t>Stuart Deignan</t>
  </si>
  <si>
    <t>Duncan Shipley-Dalton</t>
  </si>
  <si>
    <t>Norman Hunter</t>
  </si>
  <si>
    <t>Oliver Frawley</t>
  </si>
  <si>
    <t>George Stidolph</t>
  </si>
  <si>
    <t>North Antrim: Electorate: 73,247 Total Poll: 50,561 Valid Poll: 49,697 Quota: 7,100</t>
  </si>
  <si>
    <t>Ian Paisley</t>
  </si>
  <si>
    <t>Ian Paisley Jnr.</t>
  </si>
  <si>
    <t>Robert Coulter</t>
  </si>
  <si>
    <t>Sean Farren</t>
  </si>
  <si>
    <t>Gardiner Kane</t>
  </si>
  <si>
    <t>James McCarry</t>
  </si>
  <si>
    <t>Malachy McCamphill</t>
  </si>
  <si>
    <t>Joe Cahill</t>
  </si>
  <si>
    <t>William Wright</t>
  </si>
  <si>
    <t>Richard Rodgers</t>
  </si>
  <si>
    <t>Ind N.</t>
  </si>
  <si>
    <t>Patricia Campbell</t>
  </si>
  <si>
    <t>Maurice McAllister</t>
  </si>
  <si>
    <t>Chris McCaughan</t>
  </si>
  <si>
    <t>Thomas Palmer</t>
  </si>
  <si>
    <t>East Antrim: Electorate: 59,313 Total Poll: 36,103 Valid Poll: 35,610 Quota: 5,088</t>
  </si>
  <si>
    <t>Roy Beggs Jnr.</t>
  </si>
  <si>
    <t>David Hilditch</t>
  </si>
  <si>
    <t>Sean Neeson</t>
  </si>
  <si>
    <t>Ken Robinson</t>
  </si>
  <si>
    <t>Roger Hutchinson</t>
  </si>
  <si>
    <t>May Steele</t>
  </si>
  <si>
    <t>James Brown</t>
  </si>
  <si>
    <t>U.</t>
  </si>
  <si>
    <t>U</t>
  </si>
  <si>
    <t>Chrissy McAuley</t>
  </si>
  <si>
    <t>William Greer</t>
  </si>
  <si>
    <t>Tommy Kirkham</t>
  </si>
  <si>
    <t>Terence Dick</t>
  </si>
  <si>
    <t>James McKissock</t>
  </si>
  <si>
    <t>Strangford: Electorate: 70,868 Total Poll: 43,651 Valid Poll: 42,922 Quota: 6,132</t>
  </si>
  <si>
    <t>Iris Robinson</t>
  </si>
  <si>
    <t>John Taylor</t>
  </si>
  <si>
    <t>Kieran McCarthy</t>
  </si>
  <si>
    <t>Thomas Benson</t>
  </si>
  <si>
    <t>Tommy Jeffers</t>
  </si>
  <si>
    <t>Brian Hanvey</t>
  </si>
  <si>
    <t>Paddy McGreevy</t>
  </si>
  <si>
    <t>Ricky Johnston</t>
  </si>
  <si>
    <t>John Beattie</t>
  </si>
  <si>
    <t>Peter Osborne</t>
  </si>
  <si>
    <t>Wilbert Magill</t>
  </si>
  <si>
    <t>Blakely McNally</t>
  </si>
  <si>
    <t>Tom Hamilton</t>
  </si>
  <si>
    <t>Thomas Beattie</t>
  </si>
  <si>
    <t>Agnes Orr</t>
  </si>
  <si>
    <t>Jonathan Stewart</t>
  </si>
  <si>
    <t>Sarah Mullins</t>
  </si>
  <si>
    <t>North Down: Electorate: 62,942 Total Poll: 37,874 Valid Poll: 37,313 Quota: 5,331</t>
  </si>
  <si>
    <t>Peter Weir</t>
  </si>
  <si>
    <t>Alan McFarland</t>
  </si>
  <si>
    <t>Eileen Bell</t>
  </si>
  <si>
    <t>Jane Morrice</t>
  </si>
  <si>
    <t>John Gorman</t>
  </si>
  <si>
    <t>St. Clair McAllister</t>
  </si>
  <si>
    <t>Marietta Farrell</t>
  </si>
  <si>
    <t>Gavin Walker</t>
  </si>
  <si>
    <t>Elizabeth Roche</t>
  </si>
  <si>
    <t>Stewart Currie</t>
  </si>
  <si>
    <t>Leonard Fee</t>
  </si>
  <si>
    <t>Tom Lindsay</t>
  </si>
  <si>
    <t>Vanessa Baird-Gunning</t>
  </si>
  <si>
    <t>Andrea Gribben</t>
  </si>
  <si>
    <t>North Belfast: Total Electorate: 62,541 Total Poll: 42,066 Valid Poll: 41,125 Quota: 5,876</t>
  </si>
  <si>
    <t>East Belfast: Total Electorate: 60,562 Total Poll: 40,356 Valid Poll: 39,593 Quota: 5,657</t>
  </si>
  <si>
    <t>South Belfast: Total Electorate: 61,209 Total Poll: 41,266 Valid Poll: 40,724 Quota: 5,818</t>
  </si>
  <si>
    <t>West Belfast: Total Electorate: 60,669 Total Poll: 42,754 Valid Poll: 41,794 Quota: 5,971</t>
  </si>
  <si>
    <t>Nigel Dodds</t>
  </si>
  <si>
    <t>Alban McGuinness</t>
  </si>
  <si>
    <t>Billy Hutchinson</t>
  </si>
  <si>
    <t>Fraser Agnew</t>
  </si>
  <si>
    <t>Martina McIlkenny</t>
  </si>
  <si>
    <t>Martin Morgan</t>
  </si>
  <si>
    <t>Eric Smyth</t>
  </si>
  <si>
    <t>John White</t>
  </si>
  <si>
    <t>David Browne</t>
  </si>
  <si>
    <t>Glyn Roberts</t>
  </si>
  <si>
    <t>Dolores Quinn</t>
  </si>
  <si>
    <t>Steven Doran</t>
  </si>
  <si>
    <t>Kevin Blair</t>
  </si>
  <si>
    <t>Stephen Cooper</t>
  </si>
  <si>
    <t>Sam McAughry</t>
  </si>
  <si>
    <t>Gerry Adams</t>
  </si>
  <si>
    <t>Bairbre De Brún</t>
  </si>
  <si>
    <t>Sue Ramsey</t>
  </si>
  <si>
    <t>Joe Hendron</t>
  </si>
  <si>
    <t>Alex Maskey</t>
  </si>
  <si>
    <t>Margaret Ferris</t>
  </si>
  <si>
    <t>Thomas Dalzell-Sheridan</t>
  </si>
  <si>
    <t>Mary Cahillane</t>
  </si>
  <si>
    <t>Michael Kennedy</t>
  </si>
  <si>
    <t>Michael McGimpsey</t>
  </si>
  <si>
    <t>Mark Robinson</t>
  </si>
  <si>
    <t>Carmel Hanna</t>
  </si>
  <si>
    <t>Alasdair McDonnell</t>
  </si>
  <si>
    <t>Esmond Birnie</t>
  </si>
  <si>
    <t>Monica McWilliams</t>
  </si>
  <si>
    <t>Sean Hayes</t>
  </si>
  <si>
    <t>Myreve Chambers</t>
  </si>
  <si>
    <t>Steve McBride</t>
  </si>
  <si>
    <t>Jim Clarke</t>
  </si>
  <si>
    <t>David Adams</t>
  </si>
  <si>
    <t>Ernie Purvis</t>
  </si>
  <si>
    <t>William Dixon</t>
  </si>
  <si>
    <t>Boyd Black</t>
  </si>
  <si>
    <t>James Anderson</t>
  </si>
  <si>
    <t>Grant Dillon</t>
  </si>
  <si>
    <t>Niall Cusack</t>
  </si>
  <si>
    <t>Peter Robinson</t>
  </si>
  <si>
    <t>David Ervine</t>
  </si>
  <si>
    <t>Lord Alderdice</t>
  </si>
  <si>
    <t>Ian Adamson</t>
  </si>
  <si>
    <t>Sammy Wilson</t>
  </si>
  <si>
    <t>John Norris</t>
  </si>
  <si>
    <t>Peter Jones</t>
  </si>
  <si>
    <t>Lesley Donaldson</t>
  </si>
  <si>
    <t>Robert Girvan</t>
  </si>
  <si>
    <t>David Collins</t>
  </si>
  <si>
    <t>John Lawrence</t>
  </si>
  <si>
    <t>Denny Vitty</t>
  </si>
  <si>
    <t>Pearl Sager</t>
  </si>
  <si>
    <t>Richard Good</t>
  </si>
  <si>
    <t>David Bleakley</t>
  </si>
  <si>
    <t>OUP</t>
  </si>
  <si>
    <t>7th</t>
  </si>
  <si>
    <t>8th</t>
  </si>
  <si>
    <t>9th</t>
  </si>
  <si>
    <t>10th</t>
  </si>
  <si>
    <t>South Antrim (10 seats) Electorate: 131,734 Total Poll: 68,519 Valid Poll: 66,443 Quota: 6,041</t>
  </si>
  <si>
    <t>North Antrim (8 seats) Electorate: 104,683 Total Poll: 60,150 Valid Poll: 58,607 Quota: 6,512</t>
  </si>
  <si>
    <t>Armagh (7 seats) Electorate: 95,610 Total Poll: 63,982 Valid Poll: 61,904 Quota: 7,739</t>
  </si>
  <si>
    <t>East Belfast (6 seats) Total Electorate: 74,273 Total Poll: 40,692 Valid Poll: 39,417 Quota: 5,632</t>
  </si>
  <si>
    <t>North Belfast (5 seats) Total Electorate: 62,391 Total Poll: 36,905 Valid Poll: 35,739 Quota: 5,957</t>
  </si>
  <si>
    <t>South Belfast (5 seats) Total Electorate: 66,683 Total Poll: 38,712 Valid Poll: 37,469 Quota: 6,245</t>
  </si>
  <si>
    <t>West Belfast (4 seats) Total Electorate: 57,726 Total Poll: 36,078 Valid Poll: 34,259 Quota: 6,852</t>
  </si>
  <si>
    <t>North Down (8 seats) Electorate: 103,619 Total Poll: 55,801 Valid Poll: 54,619 Quota: 6,069</t>
  </si>
  <si>
    <t>South Down (7 seats) Electorate: 93,261 Total Poll: 61,192 Valid Poll: 59,055 Quota: 7,382</t>
  </si>
  <si>
    <t>Derry (7 seats) Electorate: 100,198 Total Poll: 66,125 Valid Poll: 64,462 Quota: 8,058</t>
  </si>
  <si>
    <t>Mid-Ulster (6 seats) Electorate: 84,699 Total Poll: 63,943 Valid Poll: 61,966 Quota: 8,853</t>
  </si>
  <si>
    <t>Austin Currie</t>
  </si>
  <si>
    <t>Ken Maginnis</t>
  </si>
  <si>
    <t>Owen Carron</t>
  </si>
  <si>
    <t>Francis Molloy</t>
  </si>
  <si>
    <t>Raymond Ferguson</t>
  </si>
  <si>
    <t>Cecil Noble</t>
  </si>
  <si>
    <t>Ivan Foster</t>
  </si>
  <si>
    <t>Ernest Baird</t>
  </si>
  <si>
    <t>UUUP</t>
  </si>
  <si>
    <t>Joseph Maguire</t>
  </si>
  <si>
    <t>Fergus McQuillan</t>
  </si>
  <si>
    <t>John Haslett</t>
  </si>
  <si>
    <t>Danny Morrison</t>
  </si>
  <si>
    <t>Alan Kane</t>
  </si>
  <si>
    <t>Francis McElwee</t>
  </si>
  <si>
    <t>Mary McSorley</t>
  </si>
  <si>
    <t>Samuel Glasgow</t>
  </si>
  <si>
    <t>Robert Overend</t>
  </si>
  <si>
    <t>James Lagan</t>
  </si>
  <si>
    <t>John Dunlop</t>
  </si>
  <si>
    <t>Francis McElroy</t>
  </si>
  <si>
    <t>Liam McQuaid</t>
  </si>
  <si>
    <t>William Douglas</t>
  </si>
  <si>
    <t>Hugh Logue</t>
  </si>
  <si>
    <t>Eamon Melaugh</t>
  </si>
  <si>
    <t>James McClure</t>
  </si>
  <si>
    <t>Bill Matthews</t>
  </si>
  <si>
    <t>Thomas Fleming</t>
  </si>
  <si>
    <t>Cathal Crumley</t>
  </si>
  <si>
    <t>Bill Norris</t>
  </si>
  <si>
    <t>Patrick Devine</t>
  </si>
  <si>
    <t>Paul Baxter</t>
  </si>
  <si>
    <t>Ita Breen</t>
  </si>
  <si>
    <t>Harold McCusker</t>
  </si>
  <si>
    <t>Alister Black</t>
  </si>
  <si>
    <t>James McAllister</t>
  </si>
  <si>
    <t>Douglas Hutchinson</t>
  </si>
  <si>
    <t>Joseph O'Hagan</t>
  </si>
  <si>
    <t>Hugh News</t>
  </si>
  <si>
    <t>William Jeffrey</t>
  </si>
  <si>
    <t>Paddy O'Hanlon</t>
  </si>
  <si>
    <t>Jim Nicholson</t>
  </si>
  <si>
    <t>Mary Simpson</t>
  </si>
  <si>
    <t>Woolsey Smith</t>
  </si>
  <si>
    <t>Cyril Toman</t>
  </si>
  <si>
    <t>Frank Feely</t>
  </si>
  <si>
    <t>William Brown</t>
  </si>
  <si>
    <t>Ethel Smyth</t>
  </si>
  <si>
    <t>Paddy O'Donoghue</t>
  </si>
  <si>
    <t>Raymond McCullough</t>
  </si>
  <si>
    <t>William Martin</t>
  </si>
  <si>
    <t>William Coulter</t>
  </si>
  <si>
    <t>Patrick Forde</t>
  </si>
  <si>
    <t>Tom Moore</t>
  </si>
  <si>
    <t>James Molyneaux</t>
  </si>
  <si>
    <t>Ind DUP</t>
  </si>
  <si>
    <t>Ind SDLP</t>
  </si>
  <si>
    <t>Comm.</t>
  </si>
  <si>
    <t>William Beattie</t>
  </si>
  <si>
    <t>Jim McDonald</t>
  </si>
  <si>
    <t>John Clenaghan</t>
  </si>
  <si>
    <t>Kevin Smyth</t>
  </si>
  <si>
    <t>Roy Thompson</t>
  </si>
  <si>
    <t>Clifford Forsythe</t>
  </si>
  <si>
    <t>Ernest Kirkland</t>
  </si>
  <si>
    <t>William Bell</t>
  </si>
  <si>
    <t>Gordon Mawhinney</t>
  </si>
  <si>
    <t>Ivan Hunter</t>
  </si>
  <si>
    <t>Frank Millar</t>
  </si>
  <si>
    <t>James Smith</t>
  </si>
  <si>
    <t>Joan Tomlin</t>
  </si>
  <si>
    <t>Billy McDonnell</t>
  </si>
  <si>
    <t>Paddy Ritchie</t>
  </si>
  <si>
    <t>Samuel Neill</t>
  </si>
  <si>
    <t>Bob Kidd</t>
  </si>
  <si>
    <t>Samuel Larmour</t>
  </si>
  <si>
    <t>Austin Kelly</t>
  </si>
  <si>
    <t>George Herron</t>
  </si>
  <si>
    <t>Kennedy Lindsay</t>
  </si>
  <si>
    <t>Andrew Gibb</t>
  </si>
  <si>
    <t>N. Lab</t>
  </si>
  <si>
    <t>Eco</t>
  </si>
  <si>
    <t>Roy Beggs</t>
  </si>
  <si>
    <t>Cecil Cousley</t>
  </si>
  <si>
    <t>Joseph Gaston</t>
  </si>
  <si>
    <t>Robert Glass</t>
  </si>
  <si>
    <t>Charles Brown</t>
  </si>
  <si>
    <t>Ken McFaul</t>
  </si>
  <si>
    <t>Michael O'Cleary</t>
  </si>
  <si>
    <t>Andrew McConaghy</t>
  </si>
  <si>
    <t>Malcolm Samuel</t>
  </si>
  <si>
    <t>James Kilfedder</t>
  </si>
  <si>
    <t>UPUP</t>
  </si>
  <si>
    <t>John Cushnahan</t>
  </si>
  <si>
    <t>Patrick Doherty</t>
  </si>
  <si>
    <t>Hugh Gibson</t>
  </si>
  <si>
    <t>Charles Dunleath</t>
  </si>
  <si>
    <t>John Pentland</t>
  </si>
  <si>
    <t>Hazel Bradford</t>
  </si>
  <si>
    <t>Desmond Green</t>
  </si>
  <si>
    <t>Robert Gabbey</t>
  </si>
  <si>
    <t>Thomas Gourley</t>
  </si>
  <si>
    <t>Charles Poots</t>
  </si>
  <si>
    <t>George Seawright</t>
  </si>
  <si>
    <t>Paschal O'Hare</t>
  </si>
  <si>
    <t>Joseph Austin</t>
  </si>
  <si>
    <t>Samuel Doyle</t>
  </si>
  <si>
    <t>William Boyd</t>
  </si>
  <si>
    <t>John Carson</t>
  </si>
  <si>
    <t>Peter Smith</t>
  </si>
  <si>
    <t>William Gault</t>
  </si>
  <si>
    <t>Paul Maguire</t>
  </si>
  <si>
    <t>Raymond Trimble</t>
  </si>
  <si>
    <t>Seamus Lynch</t>
  </si>
  <si>
    <t>Bill Lavery</t>
  </si>
  <si>
    <t>Fergus O'Hare</t>
  </si>
  <si>
    <t>PD</t>
  </si>
  <si>
    <t>Mary McMahon</t>
  </si>
  <si>
    <t>William Glendenning</t>
  </si>
  <si>
    <t>William Dickson</t>
  </si>
  <si>
    <t>Thomas Passmore</t>
  </si>
  <si>
    <t>John McAnulty</t>
  </si>
  <si>
    <t>Cormac Boomer</t>
  </si>
  <si>
    <t>Comm</t>
  </si>
  <si>
    <t>Ben Caraher</t>
  </si>
  <si>
    <t>Martin Smyth</t>
  </si>
  <si>
    <t>David Cook</t>
  </si>
  <si>
    <t>Philip Moles</t>
  </si>
  <si>
    <t>Simon Hall-Raleigh</t>
  </si>
  <si>
    <t>Edgar Graham</t>
  </si>
  <si>
    <t>Raymond McCrea</t>
  </si>
  <si>
    <t>James Scott</t>
  </si>
  <si>
    <t>John Glass</t>
  </si>
  <si>
    <t>William Clulow</t>
  </si>
  <si>
    <t>Thomas Kirkpatrick</t>
  </si>
  <si>
    <t>Michael Warden</t>
  </si>
  <si>
    <t>Barry Bruton</t>
  </si>
  <si>
    <t>Gerard Carr</t>
  </si>
  <si>
    <t>Oliver Napier</t>
  </si>
  <si>
    <t>David Burchill</t>
  </si>
  <si>
    <t>William Craig</t>
  </si>
  <si>
    <t>Dorothy Dunlop</t>
  </si>
  <si>
    <t>Peter Prendiville</t>
  </si>
  <si>
    <t>Herbert Johnstone</t>
  </si>
  <si>
    <t>Adam Morrow</t>
  </si>
  <si>
    <t>Denis Vitty</t>
  </si>
  <si>
    <t>Benjamin Horan</t>
  </si>
  <si>
    <t>Francis Cullen</t>
  </si>
  <si>
    <t>William Thompson</t>
  </si>
  <si>
    <t>Eddie McGrady*</t>
  </si>
  <si>
    <t>Roy Beggs*</t>
  </si>
  <si>
    <t>West Tyrone: Electorate: 59,842 Total Poll: 44,010 Valid Poll: 43,487</t>
  </si>
  <si>
    <t>Mid-Ulster: Electorate: 62,088 Total Poll: 45,894 Valid Poll: 45,426</t>
  </si>
  <si>
    <t>Foyle: Electorate: 68,758 Total Poll: 46,072 Valid Poll: 45,609</t>
  </si>
  <si>
    <t>Earl Storey</t>
  </si>
  <si>
    <t>Ben Reel</t>
  </si>
  <si>
    <t>East Derry: Electorate: 58,461 Total Poll: 35,812 Valid Poll: 35,504</t>
  </si>
  <si>
    <t>Newry &amp; Armagh: Electorate: 71,771 Total Poll: 51,326 Valid Poll: 50,696</t>
  </si>
  <si>
    <t>Gerry Markey</t>
  </si>
  <si>
    <t>South Down: Electorate: 73,715 Total Poll: 48,666 Valid Poll: 48,177</t>
  </si>
  <si>
    <t>Julian Crozier</t>
  </si>
  <si>
    <t>Upper Bann: Electorate: 71,645 Total Poll: 44,749 Valid Poll: 44,422</t>
  </si>
  <si>
    <t>Lagan Valley: Electorate: 70,238 Total Poll: 42,849 Valid Poll: 42,572</t>
  </si>
  <si>
    <t>South Antrim: Electorate: 66,580 Total Poll: 38,180 Valid Poll: 37,957</t>
  </si>
  <si>
    <t>Henry Cushinan</t>
  </si>
  <si>
    <t>North Antrim: Electorate: 73,938 Total Poll: 46,226 Valid Poll: 45,926</t>
  </si>
  <si>
    <t>VFY</t>
  </si>
  <si>
    <t>James McKeown</t>
  </si>
  <si>
    <t>East Antrim: Electorate: 57,966 Total Poll: 31,974 Valid Poll: 31,767</t>
  </si>
  <si>
    <t>Strangford: Electorate: 68,570 Total Poll: 37,222 Valid Poll: 37,032</t>
  </si>
  <si>
    <t>Gareth McGimpsey</t>
  </si>
  <si>
    <t>North Down: Electorate: 59,538 Total Poll: 32,461 Valid Poll: 32,290</t>
  </si>
  <si>
    <t>David Alderdice</t>
  </si>
  <si>
    <t>Janet McCrory</t>
  </si>
  <si>
    <t>North Belfast: Total Electorate: 52,535 Total Poll: 30,790 Valid Poll: 30,540</t>
  </si>
  <si>
    <t>Lynda Gilby</t>
  </si>
  <si>
    <t>West Belfast: Total Electorate: 53,536 Total Poll: 34,928 Valid Poll: 34,545</t>
  </si>
  <si>
    <t>Liam Kennedy</t>
  </si>
  <si>
    <t>South Belfast: Total Electorate: 52,218 Total Poll: 32,239 Valid Poll: 32,028</t>
  </si>
  <si>
    <t>Patrick Lynn</t>
  </si>
  <si>
    <t>East Belfast: Total Electorate: 52,899 Total Poll: 31,019 Valid Poll: 30,831</t>
  </si>
  <si>
    <t>Deborah Devenny</t>
  </si>
  <si>
    <t>Joseph Bell</t>
  </si>
  <si>
    <t>James Cooper</t>
  </si>
  <si>
    <t>William Thompson*</t>
  </si>
  <si>
    <t>West Tyrone: Electorate: 60,739 Total Poll: 48,964 Valid Poll: 48,530</t>
  </si>
  <si>
    <t>Mid-Ulster: Electorate: 61,390 Total Poll: 50,388 Valid Poll: 49,936</t>
  </si>
  <si>
    <t>Eilis Haughey</t>
  </si>
  <si>
    <t>John Hume*</t>
  </si>
  <si>
    <t>Foyle: Electorate: 70,943 Total Poll: 49,374 Valid Poll: 48,879</t>
  </si>
  <si>
    <t>Andrew Davidson</t>
  </si>
  <si>
    <t>Newry &amp; Armagh: Electorate: 72,466 Total Poll: 56,208 Valid Poll: 55,621</t>
  </si>
  <si>
    <t>Seamus Mallon*</t>
  </si>
  <si>
    <t>Sylvia McRoberts</t>
  </si>
  <si>
    <t>East Derry: Electorate: 60,215 Total Poll: 40,268 Valid Poll: 39,869</t>
  </si>
  <si>
    <t>William Ross*</t>
  </si>
  <si>
    <t>South Down: Electorate: 73,519 Total Poll: 52,648 Valid Poll: 52,074</t>
  </si>
  <si>
    <t>Betty Campbell</t>
  </si>
  <si>
    <t>Upper Bann: Electorate: 72,574 Total Poll: 51,376 Valid Poll: 51,037</t>
  </si>
  <si>
    <t>Lagan Valley: Electorate: 72,671 Total Poll: 46,222 Valid Poll: 45,941</t>
  </si>
  <si>
    <t>South Antrim: Electorate: 70,651 Total Poll: 44,354 Valid Poll: 44,158</t>
  </si>
  <si>
    <t>Sean McKee</t>
  </si>
  <si>
    <t>North Antrim: Electorate: 74,451 Total Poll: 49,545 Valid Poll: 49,217</t>
  </si>
  <si>
    <t>Lexie Scott</t>
  </si>
  <si>
    <t>East Antrim: Electorate: 60,897 Total Poll: 36,327 Valid Poll: 36,000</t>
  </si>
  <si>
    <t>John Matthews</t>
  </si>
  <si>
    <t>Janette Griffin</t>
  </si>
  <si>
    <t>Strangford: Electorate: 72,192 Total Poll: 43,471 Valid Poll: 43,254</t>
  </si>
  <si>
    <t>Liam Johnston</t>
  </si>
  <si>
    <t>Sylvia Hermon</t>
  </si>
  <si>
    <t>North Down: Electorate: 63,212 Total Poll: 37,377 Valid Poll: 37,189</t>
  </si>
  <si>
    <t>Eamon McConvey</t>
  </si>
  <si>
    <t>Cecil Walker*</t>
  </si>
  <si>
    <t>Rainbow George Weiss</t>
  </si>
  <si>
    <t>North Belfast: Total Electorate: 60,941 Total Poll: 41,309 Valid Poll: 40,932</t>
  </si>
  <si>
    <t>West Belfast: Total Electorate: 59,617 Total Poll: 41,698 Valid Poll: 40,982</t>
  </si>
  <si>
    <t>South Belfast: Total Electorate: 59,436 Total Poll: 38,185 Valid Poll: 37,952</t>
  </si>
  <si>
    <t>Martin Smyth*</t>
  </si>
  <si>
    <t>East Belfast: Total Electorate: 58,455 Total Poll: 37,031 Valid Poll: 36,829</t>
  </si>
  <si>
    <t>Tim Lemon</t>
  </si>
  <si>
    <t>Ciara Farren</t>
  </si>
  <si>
    <t>WPRC</t>
  </si>
  <si>
    <t>RepC</t>
  </si>
  <si>
    <t>Oth U.</t>
  </si>
  <si>
    <t>OthU</t>
  </si>
  <si>
    <t>Rep Cl.</t>
  </si>
  <si>
    <t>Coleraine</t>
  </si>
  <si>
    <t>Lisburn</t>
  </si>
  <si>
    <t>Ballymena</t>
  </si>
  <si>
    <t>Braid Valley</t>
  </si>
  <si>
    <t>Kells Water</t>
  </si>
  <si>
    <t>The Main</t>
  </si>
  <si>
    <t>Doagh Road</t>
  </si>
  <si>
    <t>Manse Road</t>
  </si>
  <si>
    <t>Shore Road</t>
  </si>
  <si>
    <t>Ken Maginnis*</t>
  </si>
  <si>
    <t>West Tyrone: Electorate: 58,428 Total Poll: 46,535 Valid Poll: 46,275</t>
  </si>
  <si>
    <t>Mid-Ulster: Electorate: 59,086 Total Poll: 50,823 Valid Poll: 50,669</t>
  </si>
  <si>
    <t>Marian Donnelly</t>
  </si>
  <si>
    <t>Ephrem Bogues</t>
  </si>
  <si>
    <t>Maureen Murray</t>
  </si>
  <si>
    <t>Foyle: Electorate: 67,905 Total Poll: 48,034 Valid Poll: 47,815</t>
  </si>
  <si>
    <t>Helen Bell</t>
  </si>
  <si>
    <t>East Derry: Electorate: 58,938 Total Poll: 38,214 Valid Poll: 38,102</t>
  </si>
  <si>
    <t>Clare Gallen</t>
  </si>
  <si>
    <t>Ian Anderson</t>
  </si>
  <si>
    <t>NatDem</t>
  </si>
  <si>
    <t>Patrick McNamee</t>
  </si>
  <si>
    <t>Newry &amp; Armagh: Electorate: 70,807 Total Poll: 53,503 Valid Poll: 53,275</t>
  </si>
  <si>
    <t>South Down: Electorate: 69,977 Total Poll: 49,734 Valid Poll: 49,486</t>
  </si>
  <si>
    <t>Rosaleen McKeon</t>
  </si>
  <si>
    <t>Upper Bann: Electorate: 70,503 Total Poll: 47,907 Valid Poll: 47,787</t>
  </si>
  <si>
    <t>Bernadette O'Hagan</t>
  </si>
  <si>
    <t>Brian Price</t>
  </si>
  <si>
    <t>William Ramsay</t>
  </si>
  <si>
    <t>Jeffrey Donaldson</t>
  </si>
  <si>
    <t>Lagan Valley: Electorate: 71,341 Total Poll: 44,443 Valid Poll: 44,310</t>
  </si>
  <si>
    <t>Stuart Sexton</t>
  </si>
  <si>
    <t>Hugh Finlay</t>
  </si>
  <si>
    <t>Clifford Forsythe*</t>
  </si>
  <si>
    <t>Barbara Briggs</t>
  </si>
  <si>
    <t>South Antrim: Electorate: 69,512 Total Poll: 40,343 Valid Poll: 40,195</t>
  </si>
  <si>
    <t>North Antrim: Electorate: 72,491 Total Poll: 46,301 Valid Poll: 46,186</t>
  </si>
  <si>
    <t>Bronagh Hinds</t>
  </si>
  <si>
    <t>East Antrim: Electorate: 59,032 Total Poll: 34,437 Valid Poll: 34,347</t>
  </si>
  <si>
    <t>Chrissie McAuley</t>
  </si>
  <si>
    <t>Billy Donaldson</t>
  </si>
  <si>
    <t>Peter O'Reilly</t>
  </si>
  <si>
    <t>Gilbert Chalk</t>
  </si>
  <si>
    <t>Strangford: Electorate: 70,073 Total Poll: 41,703 Valid Poll: 41,619</t>
  </si>
  <si>
    <t>North Down: Electorate: 63,101 Total Poll: 36,653 Valid Poll: 36,556</t>
  </si>
  <si>
    <t>Andrew Fee</t>
  </si>
  <si>
    <t>Robert Mooney</t>
  </si>
  <si>
    <t>North Belfast: Total Electorate: 64,645 Total Poll: 41,580 Valid Poll: 41,452</t>
  </si>
  <si>
    <t>Tom Campbell</t>
  </si>
  <si>
    <t>Paul Treanor</t>
  </si>
  <si>
    <t>West Belfast: Total Electorate: 61,920 Total Poll: 46,123 Valid Poll: 45,885</t>
  </si>
  <si>
    <t>Frederick Parkinson</t>
  </si>
  <si>
    <t>South Belfast: Total Electorate: 63,633 Total Poll: 39,728 Valid Poll: 39,484</t>
  </si>
  <si>
    <t>Myrtle Boal</t>
  </si>
  <si>
    <t>East Belfast: Total Electorate: 61,837 Total Poll: 39,154 Valid Poll: 39,029</t>
  </si>
  <si>
    <t>Jim Hendron</t>
  </si>
  <si>
    <t>Derek Dougan</t>
  </si>
  <si>
    <t>Dominic Corr</t>
  </si>
  <si>
    <t>Sarah Dines</t>
  </si>
  <si>
    <t>NA</t>
  </si>
  <si>
    <t>David Kettyles</t>
  </si>
  <si>
    <t>Eric Bullick</t>
  </si>
  <si>
    <t>Gerard Cullen</t>
  </si>
  <si>
    <t>John McLoughlin</t>
  </si>
  <si>
    <t>Lab-TU</t>
  </si>
  <si>
    <t>Mid-Ulster: Electorate: 69,138 Total Poll: 55,138 Valid Poll: 54,763</t>
  </si>
  <si>
    <t>Lara McIlroy</t>
  </si>
  <si>
    <t>Gordon McKenzie</t>
  </si>
  <si>
    <t>John Burns</t>
  </si>
  <si>
    <t>Foyle: Electorate: 74,673 Total Poll: 52,285 Valid Poll: 51,890</t>
  </si>
  <si>
    <t>Pauline Davey-Kennedy</t>
  </si>
  <si>
    <t>Patrick McGowan</t>
  </si>
  <si>
    <t>Alan Elder</t>
  </si>
  <si>
    <t>East Derry: Electorate: 75,576 Total Poll: 53,051 Valid Poll: 52,735</t>
  </si>
  <si>
    <t>James Speers</t>
  </si>
  <si>
    <t>Brendan Curran</t>
  </si>
  <si>
    <t>Newry &amp; Armagh: Electorate: 67,531 Total Poll: 52,968 Valid Poll: 52,574</t>
  </si>
  <si>
    <t>Drew Nelson</t>
  </si>
  <si>
    <t>Sean Fitzpatrick</t>
  </si>
  <si>
    <t>Michael Healy</t>
  </si>
  <si>
    <t>Jane MacKenzie-Hill</t>
  </si>
  <si>
    <t>South Down: Electorate: 76,186 Total Poll: 61,932 Valid Poll: 61,577</t>
  </si>
  <si>
    <t>Colette Jones</t>
  </si>
  <si>
    <t>Upper Bann: Electorate: 67,460 Total Poll: 45,807 Valid Poll: 45,479</t>
  </si>
  <si>
    <t>James Molyneaux*</t>
  </si>
  <si>
    <t>Hugh Lewsley</t>
  </si>
  <si>
    <t>Timothy Coleridge</t>
  </si>
  <si>
    <t>Patrick Rice</t>
  </si>
  <si>
    <t>Ann-Marie Lowry</t>
  </si>
  <si>
    <t>Lagan Valley: Electorate: 72,708 Total Poll: 49,233 Valid Poll: 48,956</t>
  </si>
  <si>
    <t>John Blair</t>
  </si>
  <si>
    <t>Denis Dino-Martin</t>
  </si>
  <si>
    <t>South Antrim: Electorate: 67,192 Total Poll: 42,408 Valid Poll: 42,239</t>
  </si>
  <si>
    <t>Gareth Williams</t>
  </si>
  <si>
    <t>Thomas Sowler</t>
  </si>
  <si>
    <t>North Antrim: Electorate: 69,114 Total Poll: 45,751 Valid Poll: 45,501</t>
  </si>
  <si>
    <t>Andrea Palmer</t>
  </si>
  <si>
    <t>East Antrim: Electorate: 62,864 Total Poll: 39,453 Valid Poll: 39,251</t>
  </si>
  <si>
    <t>Strangford: Electorate: 68,901 Total Poll: 44,790 Valid Poll: 44,785</t>
  </si>
  <si>
    <t>Stephen Eyre</t>
  </si>
  <si>
    <t>David Shaw</t>
  </si>
  <si>
    <t>James Kilfedder*</t>
  </si>
  <si>
    <t>Addie Morrow</t>
  </si>
  <si>
    <t>Laurence Kennedy</t>
  </si>
  <si>
    <t>Andrew Wilmot</t>
  </si>
  <si>
    <t>North Down: Electorate: 68,662 Total Poll: 45,108 Valid Poll: 44,956</t>
  </si>
  <si>
    <t>North Belfast: Total Electorate: 55,068 Total Poll: 36,113 Valid Poll: 35,914</t>
  </si>
  <si>
    <t>Patrick McManus</t>
  </si>
  <si>
    <t>Margaret Smith</t>
  </si>
  <si>
    <t>David O'Leary</t>
  </si>
  <si>
    <t>Margaret Redpath</t>
  </si>
  <si>
    <t>West Belfast: Total Electorate: 54,644 Total Poll: 40,289 Valid Poll: 39,970</t>
  </si>
</sst>
</file>

<file path=xl/styles.xml><?xml version="1.0" encoding="utf-8"?>
<styleSheet xmlns="http://schemas.openxmlformats.org/spreadsheetml/2006/main">
  <numFmts count="2">
    <numFmt numFmtId="164" formatCode="_-* #,##0_-;\-* #,##0_-;_-* &quot;-&quot;_-;_-@_-"/>
    <numFmt numFmtId="165" formatCode="_-* #,##0.00_-;\-* #,##0.00_-;_-* &quot;-&quot;??_-;_-@_-"/>
  </numFmts>
  <fonts count="7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7"/>
      <name val="Times New Roman"/>
      <family val="1"/>
    </font>
    <font>
      <b/>
      <sz val="11"/>
      <color indexed="12"/>
      <name val="Times New Roman"/>
      <family val="1"/>
    </font>
    <font>
      <b/>
      <sz val="11"/>
      <name val="Arial"/>
      <family val="2"/>
    </font>
    <font>
      <sz val="11"/>
      <color indexed="50"/>
      <name val="Times New Roman"/>
      <family val="1"/>
    </font>
    <font>
      <sz val="11"/>
      <name val="Arial"/>
      <family val="2"/>
    </font>
    <font>
      <b/>
      <sz val="11"/>
      <color indexed="17"/>
      <name val="Arial"/>
      <family val="2"/>
    </font>
    <font>
      <b/>
      <sz val="11"/>
      <color indexed="12"/>
      <name val="Arial"/>
      <family val="2"/>
    </font>
    <font>
      <b/>
      <sz val="11"/>
      <color indexed="50"/>
      <name val="Arial"/>
      <family val="2"/>
    </font>
    <font>
      <sz val="11"/>
      <color indexed="17"/>
      <name val="Times New Roman"/>
      <family val="1"/>
    </font>
    <font>
      <sz val="11"/>
      <color indexed="12"/>
      <name val="Times New Roman"/>
      <family val="1"/>
    </font>
    <font>
      <b/>
      <sz val="11"/>
      <color indexed="50"/>
      <name val="Times New Roman"/>
      <family val="1"/>
    </font>
    <font>
      <b/>
      <sz val="11"/>
      <color indexed="8"/>
      <name val="Arial"/>
      <family val="2"/>
    </font>
    <font>
      <sz val="11"/>
      <color indexed="52"/>
      <name val="Times New Roman"/>
      <family val="1"/>
    </font>
    <font>
      <b/>
      <sz val="11"/>
      <color indexed="52"/>
      <name val="Times New Roman"/>
      <family val="1"/>
    </font>
    <font>
      <sz val="11"/>
      <color indexed="14"/>
      <name val="Times New Roman"/>
      <family val="1"/>
    </font>
    <font>
      <b/>
      <sz val="11"/>
      <color indexed="52"/>
      <name val="Arial"/>
      <family val="2"/>
    </font>
    <font>
      <b/>
      <sz val="11"/>
      <color indexed="49"/>
      <name val="Times New Roman"/>
      <family val="1"/>
    </font>
    <font>
      <b/>
      <sz val="11"/>
      <color indexed="8"/>
      <name val="Times New Roman"/>
      <family val="1"/>
    </font>
    <font>
      <b/>
      <sz val="11"/>
      <color indexed="49"/>
      <name val="Arial"/>
      <family val="2"/>
    </font>
    <font>
      <sz val="11"/>
      <color indexed="49"/>
      <name val="Times New Roman"/>
      <family val="1"/>
    </font>
    <font>
      <sz val="11"/>
      <color indexed="60"/>
      <name val="Times New Roman"/>
      <family val="1"/>
    </font>
    <font>
      <sz val="11"/>
      <color indexed="8"/>
      <name val="Times New Roman"/>
      <family val="1"/>
    </font>
    <font>
      <sz val="11"/>
      <color indexed="19"/>
      <name val="Times New Roman"/>
      <family val="1"/>
    </font>
    <font>
      <sz val="11"/>
      <color indexed="40"/>
      <name val="Times New Roman"/>
      <family val="1"/>
    </font>
    <font>
      <sz val="11"/>
      <color indexed="21"/>
      <name val="Times New Roman"/>
      <family val="1"/>
    </font>
    <font>
      <sz val="11"/>
      <color indexed="16"/>
      <name val="Times New Roman"/>
      <family val="1"/>
    </font>
    <font>
      <b/>
      <sz val="11"/>
      <color indexed="19"/>
      <name val="Times New Roman"/>
      <family val="1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52"/>
      <name val="Arial"/>
      <family val="2"/>
    </font>
    <font>
      <b/>
      <sz val="10"/>
      <color indexed="19"/>
      <name val="Arial"/>
      <family val="2"/>
    </font>
    <font>
      <b/>
      <sz val="10"/>
      <name val="Arial"/>
      <family val="2"/>
    </font>
    <font>
      <sz val="10"/>
      <name val="MS Sans Serif"/>
      <family val="2"/>
    </font>
    <font>
      <b/>
      <i/>
      <sz val="10"/>
      <name val="Arial"/>
      <family val="2"/>
    </font>
    <font>
      <b/>
      <sz val="11"/>
      <color indexed="8"/>
      <name val="Calibri"/>
      <family val="2"/>
    </font>
    <font>
      <b/>
      <sz val="11"/>
      <color indexed="18"/>
      <name val="Times New Roman"/>
      <family val="1"/>
    </font>
    <font>
      <sz val="11"/>
      <color indexed="18"/>
      <name val="Times New Roman"/>
      <family val="1"/>
    </font>
    <font>
      <sz val="10"/>
      <name val="Arial"/>
      <family val="2"/>
    </font>
    <font>
      <b/>
      <sz val="10"/>
      <color indexed="50"/>
      <name val="Arial"/>
      <family val="2"/>
    </font>
    <font>
      <b/>
      <sz val="10"/>
      <color indexed="49"/>
      <name val="Arial"/>
      <family val="2"/>
    </font>
    <font>
      <b/>
      <sz val="10"/>
      <color indexed="8"/>
      <name val="Arial"/>
      <family val="2"/>
    </font>
    <font>
      <sz val="11"/>
      <color indexed="49"/>
      <name val="Times New Roman"/>
      <family val="1"/>
    </font>
    <font>
      <b/>
      <sz val="11"/>
      <color indexed="16"/>
      <name val="Times New Roman"/>
      <family val="1"/>
    </font>
    <font>
      <b/>
      <sz val="10"/>
      <color indexed="16"/>
      <name val="Arial"/>
      <family val="2"/>
    </font>
    <font>
      <b/>
      <sz val="10"/>
      <color indexed="57"/>
      <name val="Arial"/>
      <family val="2"/>
    </font>
    <font>
      <b/>
      <sz val="11"/>
      <color indexed="40"/>
      <name val="Times New Roman"/>
      <family val="1"/>
    </font>
    <font>
      <sz val="11"/>
      <color indexed="10"/>
      <name val="Times New Roman"/>
      <family val="1"/>
    </font>
    <font>
      <b/>
      <sz val="11"/>
      <color indexed="14"/>
      <name val="Times New Roman"/>
      <family val="1"/>
    </font>
    <font>
      <b/>
      <sz val="10"/>
      <color indexed="62"/>
      <name val="Arial"/>
      <family val="2"/>
    </font>
    <font>
      <sz val="11"/>
      <color indexed="62"/>
      <name val="Times New Roman"/>
      <family val="1"/>
    </font>
    <font>
      <b/>
      <sz val="11"/>
      <color indexed="62"/>
      <name val="Arial"/>
      <family val="2"/>
    </font>
    <font>
      <b/>
      <sz val="11"/>
      <color indexed="62"/>
      <name val="Times New Roman"/>
      <family val="1"/>
    </font>
    <font>
      <sz val="11"/>
      <color indexed="62"/>
      <name val="Times New Roman"/>
      <family val="1"/>
    </font>
    <font>
      <b/>
      <sz val="11"/>
      <color indexed="62"/>
      <name val="Times New Roman"/>
      <family val="1"/>
    </font>
    <font>
      <b/>
      <sz val="11"/>
      <color indexed="10"/>
      <name val="Times New Roman"/>
      <family val="1"/>
    </font>
    <font>
      <sz val="11"/>
      <color indexed="17"/>
      <name val="Times New Roman"/>
      <family val="1"/>
    </font>
    <font>
      <sz val="11"/>
      <color indexed="51"/>
      <name val="Times New Roman"/>
      <family val="1"/>
    </font>
    <font>
      <sz val="11"/>
      <color indexed="10"/>
      <name val="Times New Roman"/>
      <family val="1"/>
    </font>
    <font>
      <b/>
      <sz val="11"/>
      <color indexed="57"/>
      <name val="Times New Roman"/>
      <family val="1"/>
    </font>
    <font>
      <sz val="11"/>
      <color indexed="57"/>
      <name val="Times New Roman"/>
      <family val="1"/>
    </font>
    <font>
      <i/>
      <sz val="11"/>
      <name val="Times New Roman"/>
      <family val="1"/>
    </font>
    <font>
      <sz val="11"/>
      <color indexed="50"/>
      <name val="Times New Roman"/>
      <family val="1"/>
    </font>
    <font>
      <sz val="11"/>
      <color indexed="30"/>
      <name val="Times New Roman"/>
      <family val="1"/>
    </font>
    <font>
      <b/>
      <sz val="11"/>
      <color indexed="30"/>
      <name val="Times New Roman"/>
      <family val="1"/>
    </font>
    <font>
      <b/>
      <i/>
      <u/>
      <sz val="11"/>
      <color indexed="1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38" fillId="0" borderId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3" applyNumberFormat="1" applyFont="1"/>
    <xf numFmtId="0" fontId="4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10" fillId="0" borderId="0" xfId="0" applyFont="1"/>
    <xf numFmtId="0" fontId="11" fillId="0" borderId="0" xfId="0" applyFont="1"/>
    <xf numFmtId="3" fontId="10" fillId="0" borderId="0" xfId="0" applyNumberFormat="1" applyFont="1"/>
    <xf numFmtId="10" fontId="10" fillId="0" borderId="0" xfId="3" applyNumberFormat="1" applyFont="1"/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3" fontId="3" fillId="0" borderId="0" xfId="0" applyNumberFormat="1" applyFont="1"/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3" fontId="0" fillId="0" borderId="0" xfId="0" applyNumberFormat="1"/>
    <xf numFmtId="0" fontId="16" fillId="0" borderId="4" xfId="0" applyFont="1" applyBorder="1" applyAlignment="1">
      <alignment vertical="top" wrapText="1"/>
    </xf>
    <xf numFmtId="0" fontId="17" fillId="0" borderId="0" xfId="0" applyFont="1"/>
    <xf numFmtId="0" fontId="18" fillId="0" borderId="4" xfId="0" applyFont="1" applyBorder="1" applyAlignment="1">
      <alignment vertical="top" wrapText="1"/>
    </xf>
    <xf numFmtId="0" fontId="19" fillId="0" borderId="4" xfId="0" applyFont="1" applyBorder="1" applyAlignment="1">
      <alignment vertical="top" wrapText="1"/>
    </xf>
    <xf numFmtId="0" fontId="20" fillId="0" borderId="4" xfId="0" applyFont="1" applyBorder="1" applyAlignment="1">
      <alignment vertical="top" wrapText="1"/>
    </xf>
    <xf numFmtId="0" fontId="21" fillId="0" borderId="0" xfId="0" applyFont="1"/>
    <xf numFmtId="0" fontId="24" fillId="0" borderId="0" xfId="0" applyFont="1"/>
    <xf numFmtId="0" fontId="25" fillId="0" borderId="4" xfId="0" applyFont="1" applyBorder="1" applyAlignment="1">
      <alignment vertical="top" wrapText="1"/>
    </xf>
    <xf numFmtId="165" fontId="2" fillId="0" borderId="4" xfId="1" applyFont="1" applyBorder="1" applyAlignment="1">
      <alignment vertical="top" wrapText="1"/>
    </xf>
    <xf numFmtId="165" fontId="4" fillId="0" borderId="4" xfId="1" applyFont="1" applyBorder="1" applyAlignment="1">
      <alignment vertical="top" wrapText="1"/>
    </xf>
    <xf numFmtId="0" fontId="23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0" fontId="26" fillId="0" borderId="4" xfId="0" applyFont="1" applyBorder="1" applyAlignment="1">
      <alignment vertical="top" wrapText="1"/>
    </xf>
    <xf numFmtId="0" fontId="27" fillId="0" borderId="4" xfId="0" applyFont="1" applyBorder="1" applyAlignment="1">
      <alignment vertical="top" wrapText="1"/>
    </xf>
    <xf numFmtId="0" fontId="28" fillId="0" borderId="4" xfId="0" applyFont="1" applyBorder="1" applyAlignment="1">
      <alignment vertical="top" wrapText="1"/>
    </xf>
    <xf numFmtId="0" fontId="29" fillId="0" borderId="4" xfId="0" applyFont="1" applyBorder="1" applyAlignment="1">
      <alignment vertical="top" wrapText="1"/>
    </xf>
    <xf numFmtId="0" fontId="30" fillId="0" borderId="4" xfId="0" applyFont="1" applyBorder="1" applyAlignment="1">
      <alignment vertical="top" wrapText="1"/>
    </xf>
    <xf numFmtId="0" fontId="31" fillId="0" borderId="4" xfId="0" applyFont="1" applyBorder="1" applyAlignment="1">
      <alignment vertical="top" wrapText="1"/>
    </xf>
    <xf numFmtId="3" fontId="4" fillId="0" borderId="4" xfId="1" applyNumberFormat="1" applyFont="1" applyBorder="1" applyAlignment="1">
      <alignment vertical="top" wrapText="1"/>
    </xf>
    <xf numFmtId="3" fontId="2" fillId="0" borderId="4" xfId="1" applyNumberFormat="1" applyFont="1" applyBorder="1" applyAlignment="1">
      <alignment vertical="top" wrapText="1"/>
    </xf>
    <xf numFmtId="0" fontId="22" fillId="0" borderId="4" xfId="0" applyFont="1" applyBorder="1" applyAlignment="1">
      <alignment vertical="top" wrapText="1"/>
    </xf>
    <xf numFmtId="0" fontId="32" fillId="0" borderId="4" xfId="0" applyFont="1" applyBorder="1" applyAlignment="1">
      <alignment vertical="top" wrapText="1"/>
    </xf>
    <xf numFmtId="0" fontId="40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/>
    <xf numFmtId="0" fontId="37" fillId="0" borderId="0" xfId="2" applyNumberFormat="1" applyFont="1" applyFill="1" applyBorder="1" applyAlignment="1" applyProtection="1"/>
    <xf numFmtId="164" fontId="40" fillId="0" borderId="0" xfId="0" applyNumberFormat="1" applyFont="1"/>
    <xf numFmtId="164" fontId="0" fillId="0" borderId="0" xfId="0" applyNumberFormat="1"/>
    <xf numFmtId="0" fontId="39" fillId="0" borderId="0" xfId="2" applyNumberFormat="1" applyFont="1" applyFill="1" applyBorder="1" applyAlignment="1" applyProtection="1"/>
    <xf numFmtId="10" fontId="35" fillId="0" borderId="0" xfId="3" applyNumberFormat="1" applyFont="1"/>
    <xf numFmtId="10" fontId="34" fillId="0" borderId="0" xfId="3" applyNumberFormat="1" applyFont="1"/>
    <xf numFmtId="10" fontId="36" fillId="0" borderId="0" xfId="3" applyNumberFormat="1" applyFont="1"/>
    <xf numFmtId="10" fontId="37" fillId="0" borderId="0" xfId="3" applyNumberFormat="1" applyFont="1"/>
    <xf numFmtId="10" fontId="0" fillId="0" borderId="0" xfId="3" applyNumberFormat="1" applyFont="1"/>
    <xf numFmtId="0" fontId="41" fillId="0" borderId="4" xfId="0" applyFont="1" applyBorder="1" applyAlignment="1">
      <alignment vertical="top" wrapText="1"/>
    </xf>
    <xf numFmtId="0" fontId="42" fillId="0" borderId="4" xfId="0" applyFont="1" applyBorder="1" applyAlignment="1">
      <alignment vertical="top" wrapText="1"/>
    </xf>
    <xf numFmtId="0" fontId="43" fillId="0" borderId="0" xfId="0" applyFont="1"/>
    <xf numFmtId="0" fontId="44" fillId="0" borderId="0" xfId="0" applyFont="1"/>
    <xf numFmtId="0" fontId="45" fillId="0" borderId="0" xfId="0" applyFont="1"/>
    <xf numFmtId="0" fontId="46" fillId="0" borderId="0" xfId="0" applyFont="1"/>
    <xf numFmtId="3" fontId="43" fillId="0" borderId="0" xfId="0" applyNumberFormat="1" applyFont="1"/>
    <xf numFmtId="3" fontId="37" fillId="0" borderId="0" xfId="0" applyNumberFormat="1" applyFont="1"/>
    <xf numFmtId="10" fontId="43" fillId="0" borderId="0" xfId="3" applyNumberFormat="1" applyFont="1"/>
    <xf numFmtId="0" fontId="47" fillId="0" borderId="4" xfId="0" applyFont="1" applyBorder="1" applyAlignment="1">
      <alignment vertical="top" wrapText="1"/>
    </xf>
    <xf numFmtId="0" fontId="48" fillId="0" borderId="4" xfId="0" applyFont="1" applyBorder="1" applyAlignment="1">
      <alignment vertical="top" wrapText="1"/>
    </xf>
    <xf numFmtId="0" fontId="49" fillId="0" borderId="0" xfId="0" applyFont="1"/>
    <xf numFmtId="0" fontId="50" fillId="0" borderId="0" xfId="0" applyFont="1"/>
    <xf numFmtId="0" fontId="2" fillId="0" borderId="0" xfId="0" applyFont="1" applyBorder="1" applyAlignment="1">
      <alignment vertical="top" wrapText="1"/>
    </xf>
    <xf numFmtId="0" fontId="29" fillId="0" borderId="0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51" fillId="0" borderId="4" xfId="0" applyFont="1" applyBorder="1" applyAlignment="1">
      <alignment vertical="top" wrapText="1"/>
    </xf>
    <xf numFmtId="0" fontId="52" fillId="0" borderId="4" xfId="0" applyFont="1" applyBorder="1" applyAlignment="1">
      <alignment vertical="top" wrapText="1"/>
    </xf>
    <xf numFmtId="0" fontId="53" fillId="0" borderId="4" xfId="0" applyFont="1" applyBorder="1" applyAlignment="1">
      <alignment vertical="top" wrapText="1"/>
    </xf>
    <xf numFmtId="0" fontId="54" fillId="0" borderId="0" xfId="0" applyFont="1" applyBorder="1" applyAlignment="1"/>
    <xf numFmtId="0" fontId="55" fillId="0" borderId="4" xfId="0" applyFont="1" applyBorder="1" applyAlignment="1">
      <alignment vertical="top" wrapText="1"/>
    </xf>
    <xf numFmtId="0" fontId="54" fillId="0" borderId="0" xfId="0" applyFont="1"/>
    <xf numFmtId="0" fontId="56" fillId="0" borderId="0" xfId="0" applyFont="1"/>
    <xf numFmtId="0" fontId="57" fillId="0" borderId="4" xfId="0" applyFont="1" applyBorder="1" applyAlignment="1">
      <alignment vertical="top" wrapText="1"/>
    </xf>
    <xf numFmtId="0" fontId="58" fillId="0" borderId="4" xfId="0" applyFont="1" applyBorder="1" applyAlignment="1">
      <alignment vertical="top" wrapText="1"/>
    </xf>
    <xf numFmtId="0" fontId="59" fillId="0" borderId="4" xfId="0" applyFont="1" applyBorder="1" applyAlignment="1">
      <alignment vertical="top" wrapText="1"/>
    </xf>
    <xf numFmtId="0" fontId="60" fillId="0" borderId="4" xfId="0" applyFont="1" applyBorder="1" applyAlignment="1">
      <alignment vertical="top" wrapText="1"/>
    </xf>
    <xf numFmtId="0" fontId="61" fillId="0" borderId="4" xfId="0" applyFont="1" applyBorder="1" applyAlignment="1">
      <alignment vertical="top" wrapText="1"/>
    </xf>
    <xf numFmtId="0" fontId="62" fillId="0" borderId="4" xfId="0" applyFont="1" applyBorder="1" applyAlignment="1">
      <alignment vertical="top" wrapText="1"/>
    </xf>
    <xf numFmtId="0" fontId="63" fillId="0" borderId="4" xfId="0" applyFont="1" applyBorder="1" applyAlignment="1">
      <alignment vertical="top" wrapText="1"/>
    </xf>
    <xf numFmtId="0" fontId="65" fillId="0" borderId="0" xfId="0" applyFont="1"/>
    <xf numFmtId="0" fontId="14" fillId="0" borderId="1" xfId="0" applyFont="1" applyBorder="1" applyAlignment="1">
      <alignment vertical="top" wrapText="1"/>
    </xf>
    <xf numFmtId="0" fontId="65" fillId="0" borderId="4" xfId="0" applyFont="1" applyBorder="1" applyAlignment="1">
      <alignment vertical="top" wrapText="1"/>
    </xf>
    <xf numFmtId="0" fontId="58" fillId="0" borderId="1" xfId="0" applyFont="1" applyBorder="1" applyAlignment="1">
      <alignment vertical="top" wrapText="1"/>
    </xf>
    <xf numFmtId="0" fontId="64" fillId="0" borderId="4" xfId="0" applyFont="1" applyBorder="1" applyAlignment="1">
      <alignment vertical="top" wrapText="1"/>
    </xf>
    <xf numFmtId="3" fontId="4" fillId="0" borderId="0" xfId="0" applyNumberFormat="1" applyFont="1" applyBorder="1" applyAlignment="1">
      <alignment vertical="top" wrapText="1"/>
    </xf>
    <xf numFmtId="0" fontId="66" fillId="0" borderId="0" xfId="0" applyFont="1" applyBorder="1" applyAlignment="1">
      <alignment vertical="top"/>
    </xf>
    <xf numFmtId="3" fontId="2" fillId="0" borderId="4" xfId="0" applyNumberFormat="1" applyFont="1" applyBorder="1" applyAlignment="1">
      <alignment vertical="top"/>
    </xf>
    <xf numFmtId="0" fontId="67" fillId="0" borderId="4" xfId="0" applyFont="1" applyBorder="1" applyAlignment="1">
      <alignment vertical="top" wrapText="1"/>
    </xf>
    <xf numFmtId="0" fontId="68" fillId="0" borderId="4" xfId="0" applyFont="1" applyBorder="1" applyAlignment="1">
      <alignment vertical="top" wrapText="1"/>
    </xf>
    <xf numFmtId="0" fontId="69" fillId="0" borderId="4" xfId="0" applyFont="1" applyBorder="1" applyAlignment="1">
      <alignment vertical="top" wrapText="1"/>
    </xf>
    <xf numFmtId="0" fontId="70" fillId="0" borderId="0" xfId="0" applyFont="1" applyFill="1" applyBorder="1" applyAlignment="1">
      <alignment vertical="top" wrapText="1"/>
    </xf>
    <xf numFmtId="10" fontId="1" fillId="0" borderId="0" xfId="3" applyNumberFormat="1" applyFont="1"/>
    <xf numFmtId="164" fontId="1" fillId="0" borderId="0" xfId="0" applyNumberFormat="1" applyFont="1"/>
  </cellXfs>
  <cellStyles count="4">
    <cellStyle name="Comma" xfId="1" builtinId="3"/>
    <cellStyle name="Normal" xfId="0" builtinId="0"/>
    <cellStyle name="Normal_Westmeath" xfId="2"/>
    <cellStyle name="Percent" xfId="3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C294"/>
  <sheetViews>
    <sheetView workbookViewId="0">
      <selection activeCell="O1" sqref="O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4" max="6" width="8.7109375" customWidth="1"/>
    <col min="7" max="7" width="8.85546875" customWidth="1"/>
    <col min="15" max="15" width="9.42578125" bestFit="1" customWidth="1"/>
  </cols>
  <sheetData>
    <row r="1" spans="1:13" s="2" customFormat="1" ht="16.5" customHeight="1">
      <c r="A1" s="1" t="s">
        <v>1185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1244</v>
      </c>
      <c r="B3" s="5" t="s">
        <v>1245</v>
      </c>
      <c r="C3" s="5" t="s">
        <v>1246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/>
      <c r="J3" s="10" t="s">
        <v>1413</v>
      </c>
      <c r="K3" s="11">
        <f>(48949/70985)</f>
        <v>0.68956821863774032</v>
      </c>
    </row>
    <row r="4" spans="1:13" s="2" customFormat="1" ht="16.5" customHeight="1" thickBot="1">
      <c r="A4" s="6" t="s">
        <v>1328</v>
      </c>
      <c r="B4" s="25" t="s">
        <v>1247</v>
      </c>
      <c r="C4" s="36">
        <v>9110</v>
      </c>
      <c r="D4" s="8"/>
      <c r="E4" s="8"/>
      <c r="F4" s="8"/>
      <c r="G4" s="8"/>
      <c r="H4" s="8"/>
      <c r="I4" s="33" t="s">
        <v>1271</v>
      </c>
      <c r="J4" s="14"/>
      <c r="K4" s="10" t="s">
        <v>1248</v>
      </c>
      <c r="L4" s="10" t="s">
        <v>1249</v>
      </c>
      <c r="M4" s="10" t="s">
        <v>1250</v>
      </c>
    </row>
    <row r="5" spans="1:13" s="2" customFormat="1" ht="16.5" customHeight="1" thickBot="1">
      <c r="A5" s="6" t="s">
        <v>1329</v>
      </c>
      <c r="B5" s="9" t="s">
        <v>1257</v>
      </c>
      <c r="C5" s="36">
        <v>6896</v>
      </c>
      <c r="D5" s="8"/>
      <c r="E5" s="8"/>
      <c r="F5" s="8"/>
      <c r="G5" s="8"/>
      <c r="H5" s="8"/>
      <c r="I5" s="33" t="s">
        <v>1362</v>
      </c>
      <c r="J5" s="19" t="s">
        <v>1247</v>
      </c>
      <c r="K5" s="16">
        <f>(C4+C7+C8)</f>
        <v>19338</v>
      </c>
      <c r="L5" s="17">
        <f>SUM(K5/K11)</f>
        <v>0.40288339340402923</v>
      </c>
      <c r="M5" s="14">
        <v>3</v>
      </c>
    </row>
    <row r="6" spans="1:13" s="2" customFormat="1" ht="16.5" customHeight="1" thickBot="1">
      <c r="A6" s="6" t="s">
        <v>1327</v>
      </c>
      <c r="B6" s="28" t="s">
        <v>1258</v>
      </c>
      <c r="C6" s="36">
        <v>6876</v>
      </c>
      <c r="D6" s="8"/>
      <c r="E6" s="8"/>
      <c r="F6" s="8"/>
      <c r="G6" s="8"/>
      <c r="H6" s="8"/>
      <c r="I6" s="33" t="s">
        <v>1252</v>
      </c>
      <c r="J6" s="18" t="s">
        <v>1257</v>
      </c>
      <c r="K6" s="16">
        <f>(C5+C11)</f>
        <v>9262</v>
      </c>
      <c r="L6" s="17">
        <f>SUM(K6/K11)</f>
        <v>0.19296235338236215</v>
      </c>
      <c r="M6" s="14">
        <v>1</v>
      </c>
    </row>
    <row r="7" spans="1:13" s="2" customFormat="1" ht="16.5" customHeight="1" thickBot="1">
      <c r="A7" s="6" t="s">
        <v>1331</v>
      </c>
      <c r="B7" s="25" t="s">
        <v>1247</v>
      </c>
      <c r="C7" s="8">
        <v>5146</v>
      </c>
      <c r="D7" s="8">
        <v>6247</v>
      </c>
      <c r="E7" s="8">
        <v>6278</v>
      </c>
      <c r="F7" s="8">
        <v>6469</v>
      </c>
      <c r="G7" s="8">
        <v>6475</v>
      </c>
      <c r="H7" s="36">
        <v>6476</v>
      </c>
      <c r="I7" s="33" t="s">
        <v>1251</v>
      </c>
      <c r="J7" s="30" t="s">
        <v>1258</v>
      </c>
      <c r="K7" s="16">
        <f>(C6+C9)</f>
        <v>11720</v>
      </c>
      <c r="L7" s="17">
        <f>SUM(K7/K11)</f>
        <v>0.24417175357819954</v>
      </c>
      <c r="M7" s="2">
        <v>2</v>
      </c>
    </row>
    <row r="8" spans="1:13" s="2" customFormat="1" ht="16.5" customHeight="1" thickBot="1">
      <c r="A8" s="6" t="s">
        <v>1080</v>
      </c>
      <c r="B8" s="25" t="s">
        <v>1247</v>
      </c>
      <c r="C8" s="8">
        <v>5082</v>
      </c>
      <c r="D8" s="8">
        <v>5782</v>
      </c>
      <c r="E8" s="8">
        <v>5799</v>
      </c>
      <c r="F8" s="8">
        <v>6109</v>
      </c>
      <c r="G8" s="8">
        <v>6128</v>
      </c>
      <c r="H8" s="36">
        <v>6137</v>
      </c>
      <c r="I8" s="33" t="s">
        <v>1253</v>
      </c>
      <c r="J8" s="15" t="s">
        <v>1261</v>
      </c>
      <c r="K8" s="21">
        <v>4606</v>
      </c>
      <c r="L8" s="17">
        <f>SUM(K8/K11)</f>
        <v>9.5960332506927232E-2</v>
      </c>
    </row>
    <row r="9" spans="1:13" s="2" customFormat="1" ht="16.5" customHeight="1" thickBot="1">
      <c r="A9" s="6" t="s">
        <v>1332</v>
      </c>
      <c r="B9" s="28" t="s">
        <v>1258</v>
      </c>
      <c r="C9" s="8">
        <v>4844</v>
      </c>
      <c r="D9" s="8">
        <v>4849</v>
      </c>
      <c r="E9" s="8">
        <v>4911</v>
      </c>
      <c r="F9" s="8">
        <v>5324</v>
      </c>
      <c r="G9" s="36">
        <v>7229</v>
      </c>
      <c r="H9" s="8"/>
      <c r="I9" s="33" t="s">
        <v>1280</v>
      </c>
      <c r="J9" s="31" t="s">
        <v>1269</v>
      </c>
      <c r="K9" s="21">
        <v>845</v>
      </c>
      <c r="L9" s="17">
        <f>SUM(K9/K11)</f>
        <v>1.7604533427779744E-2</v>
      </c>
    </row>
    <row r="10" spans="1:13" s="2" customFormat="1" ht="16.5" customHeight="1" thickBot="1">
      <c r="A10" s="12" t="s">
        <v>1330</v>
      </c>
      <c r="B10" s="20" t="s">
        <v>1261</v>
      </c>
      <c r="C10" s="8">
        <v>4606</v>
      </c>
      <c r="D10" s="8">
        <v>4948</v>
      </c>
      <c r="E10" s="8">
        <v>5304</v>
      </c>
      <c r="F10" s="8">
        <v>5639</v>
      </c>
      <c r="G10" s="8">
        <v>5941</v>
      </c>
      <c r="H10" s="8">
        <v>6075</v>
      </c>
      <c r="I10" s="33"/>
      <c r="J10" s="26" t="s">
        <v>1254</v>
      </c>
      <c r="K10" s="21">
        <f>(C12+C13)</f>
        <v>2228</v>
      </c>
      <c r="L10" s="11">
        <f>SUM(K10/K11)</f>
        <v>4.64176337007021E-2</v>
      </c>
    </row>
    <row r="11" spans="1:13" s="2" customFormat="1" ht="16.5" customHeight="1" thickBot="1">
      <c r="A11" s="12" t="s">
        <v>1333</v>
      </c>
      <c r="B11" s="22" t="s">
        <v>1257</v>
      </c>
      <c r="C11" s="8">
        <v>2366</v>
      </c>
      <c r="D11" s="8">
        <v>2369</v>
      </c>
      <c r="E11" s="8">
        <v>2526</v>
      </c>
      <c r="F11" s="8">
        <v>3201</v>
      </c>
      <c r="G11" s="8" t="s">
        <v>1326</v>
      </c>
      <c r="K11" s="23">
        <f>SUM(C4:C14)</f>
        <v>47999</v>
      </c>
    </row>
    <row r="12" spans="1:13" s="2" customFormat="1" ht="16.5" customHeight="1" thickBot="1">
      <c r="A12" s="12" t="s">
        <v>1128</v>
      </c>
      <c r="B12" s="42" t="s">
        <v>1878</v>
      </c>
      <c r="C12" s="8">
        <v>1231</v>
      </c>
      <c r="D12" s="8">
        <v>1232</v>
      </c>
      <c r="E12" s="8">
        <v>1250</v>
      </c>
      <c r="F12" s="8" t="s">
        <v>1326</v>
      </c>
    </row>
    <row r="13" spans="1:13" s="2" customFormat="1" ht="16.5" customHeight="1" thickBot="1">
      <c r="A13" s="12" t="s">
        <v>1153</v>
      </c>
      <c r="B13" s="38" t="s">
        <v>1270</v>
      </c>
      <c r="C13" s="8">
        <v>997</v>
      </c>
      <c r="D13" s="8">
        <v>1049</v>
      </c>
      <c r="E13" s="8">
        <v>1105</v>
      </c>
      <c r="F13" s="8" t="s">
        <v>1326</v>
      </c>
    </row>
    <row r="14" spans="1:13" s="2" customFormat="1" ht="16.5" customHeight="1" thickBot="1">
      <c r="A14" s="12" t="s">
        <v>1127</v>
      </c>
      <c r="B14" s="40" t="s">
        <v>1269</v>
      </c>
      <c r="C14" s="8">
        <v>845</v>
      </c>
      <c r="D14" s="8">
        <v>872</v>
      </c>
      <c r="E14" s="8" t="s">
        <v>1326</v>
      </c>
    </row>
    <row r="15" spans="1:13" s="2" customFormat="1" ht="12" customHeight="1">
      <c r="A15" s="1"/>
      <c r="C15" s="21"/>
      <c r="E15"/>
      <c r="I15" s="30"/>
      <c r="J15" s="21"/>
      <c r="K15" s="11"/>
    </row>
    <row r="16" spans="1:13" s="2" customFormat="1" ht="16.5" customHeight="1">
      <c r="A16" s="1" t="s">
        <v>1186</v>
      </c>
      <c r="E16"/>
      <c r="I16" s="10"/>
      <c r="J16" s="21"/>
      <c r="K16" s="11"/>
    </row>
    <row r="17" spans="1:17" s="2" customFormat="1" ht="9.75" customHeight="1" thickBot="1">
      <c r="A17" s="3"/>
      <c r="J17" s="23"/>
    </row>
    <row r="18" spans="1:17" s="2" customFormat="1" ht="16.5" customHeight="1" thickBot="1">
      <c r="A18" s="4" t="s">
        <v>1244</v>
      </c>
      <c r="B18" s="5" t="s">
        <v>1245</v>
      </c>
      <c r="C18" s="5" t="s">
        <v>1246</v>
      </c>
      <c r="D18" s="5">
        <v>2</v>
      </c>
      <c r="E18" s="5">
        <v>3</v>
      </c>
      <c r="F18" s="5">
        <v>4</v>
      </c>
      <c r="G18" s="5">
        <v>5</v>
      </c>
      <c r="H18" s="5"/>
      <c r="I18" s="10" t="s">
        <v>1413</v>
      </c>
      <c r="J18" s="11">
        <f>(40323/62970)</f>
        <v>0.64035254883277748</v>
      </c>
      <c r="K18" s="16"/>
    </row>
    <row r="19" spans="1:17" s="2" customFormat="1" ht="16.5" customHeight="1" thickBot="1">
      <c r="A19" s="6" t="s">
        <v>1342</v>
      </c>
      <c r="B19" s="25" t="s">
        <v>1247</v>
      </c>
      <c r="C19" s="36">
        <v>6008</v>
      </c>
      <c r="D19" s="8"/>
      <c r="E19" s="8"/>
      <c r="F19" s="8"/>
      <c r="G19" s="8"/>
      <c r="H19" s="33" t="s">
        <v>1271</v>
      </c>
      <c r="I19" s="21"/>
      <c r="J19" s="10" t="s">
        <v>1248</v>
      </c>
      <c r="K19" s="10" t="s">
        <v>1249</v>
      </c>
      <c r="L19" s="10" t="s">
        <v>1250</v>
      </c>
      <c r="Q19" s="14"/>
    </row>
    <row r="20" spans="1:17" s="2" customFormat="1" ht="16.5" customHeight="1" thickBot="1">
      <c r="A20" s="6" t="s">
        <v>1341</v>
      </c>
      <c r="B20" s="25" t="s">
        <v>1247</v>
      </c>
      <c r="C20" s="36">
        <v>5630</v>
      </c>
      <c r="D20" s="8"/>
      <c r="E20" s="8"/>
      <c r="F20" s="8"/>
      <c r="G20" s="8"/>
      <c r="H20" s="33" t="s">
        <v>1362</v>
      </c>
      <c r="I20" s="19" t="s">
        <v>1247</v>
      </c>
      <c r="J20" s="16">
        <f>(C19+C20+C21+C26)</f>
        <v>19699</v>
      </c>
      <c r="K20" s="17">
        <f>SUM(J20/J26)</f>
        <v>0.50120855914306794</v>
      </c>
      <c r="L20" s="14">
        <v>3</v>
      </c>
    </row>
    <row r="21" spans="1:17" s="2" customFormat="1" ht="16.5" customHeight="1" thickBot="1">
      <c r="A21" s="6" t="s">
        <v>1114</v>
      </c>
      <c r="B21" s="25" t="s">
        <v>1247</v>
      </c>
      <c r="C21" s="8">
        <v>5053</v>
      </c>
      <c r="D21" s="8">
        <v>5089</v>
      </c>
      <c r="E21" s="8">
        <v>5446</v>
      </c>
      <c r="F21" s="36">
        <v>7792</v>
      </c>
      <c r="G21" s="8"/>
      <c r="H21" s="33" t="s">
        <v>1252</v>
      </c>
      <c r="I21" s="18" t="s">
        <v>1257</v>
      </c>
      <c r="J21" s="16">
        <v>4072</v>
      </c>
      <c r="K21" s="17">
        <f>SUM(J21/J26)</f>
        <v>0.10360532274889958</v>
      </c>
      <c r="L21" s="14">
        <v>1</v>
      </c>
    </row>
    <row r="22" spans="1:17" s="2" customFormat="1" ht="16.5" customHeight="1" thickBot="1">
      <c r="A22" s="6" t="s">
        <v>1343</v>
      </c>
      <c r="B22" s="28" t="s">
        <v>1258</v>
      </c>
      <c r="C22" s="8">
        <v>5027</v>
      </c>
      <c r="D22" s="8">
        <v>5027</v>
      </c>
      <c r="E22" s="8">
        <v>5134</v>
      </c>
      <c r="F22" s="8">
        <v>5144</v>
      </c>
      <c r="G22" s="36">
        <v>5163</v>
      </c>
      <c r="H22" s="33" t="s">
        <v>1251</v>
      </c>
      <c r="I22" s="30" t="s">
        <v>1258</v>
      </c>
      <c r="J22" s="16">
        <f>(C22+C24)</f>
        <v>9086</v>
      </c>
      <c r="K22" s="17">
        <f>SUM(J22/J26)</f>
        <v>0.23117828155611531</v>
      </c>
      <c r="L22" s="2">
        <v>1</v>
      </c>
    </row>
    <row r="23" spans="1:17" s="2" customFormat="1" ht="16.5" customHeight="1" thickBot="1">
      <c r="A23" s="6" t="s">
        <v>1870</v>
      </c>
      <c r="B23" s="9" t="s">
        <v>1257</v>
      </c>
      <c r="C23" s="8">
        <v>4072</v>
      </c>
      <c r="D23" s="8">
        <v>4073</v>
      </c>
      <c r="E23" s="8">
        <v>4366</v>
      </c>
      <c r="F23" s="8">
        <v>4395</v>
      </c>
      <c r="G23" s="36">
        <v>4398</v>
      </c>
      <c r="H23" s="33" t="s">
        <v>1253</v>
      </c>
      <c r="I23" s="15" t="s">
        <v>1261</v>
      </c>
      <c r="J23" s="21">
        <v>3353</v>
      </c>
      <c r="K23" s="17">
        <f>SUM(J23/J26)</f>
        <v>8.5311553825407727E-2</v>
      </c>
      <c r="L23" s="2">
        <v>1</v>
      </c>
    </row>
    <row r="24" spans="1:17" s="2" customFormat="1" ht="16.5" customHeight="1" thickBot="1">
      <c r="A24" s="12" t="s">
        <v>1081</v>
      </c>
      <c r="B24" s="27" t="s">
        <v>1258</v>
      </c>
      <c r="C24" s="8">
        <v>4059</v>
      </c>
      <c r="D24" s="8">
        <v>4059</v>
      </c>
      <c r="E24" s="8">
        <v>4115</v>
      </c>
      <c r="F24" s="8">
        <v>4117</v>
      </c>
      <c r="G24" s="8">
        <v>4124</v>
      </c>
      <c r="H24" s="33"/>
      <c r="I24" s="31" t="s">
        <v>1269</v>
      </c>
      <c r="J24" s="21">
        <v>852</v>
      </c>
      <c r="K24" s="17">
        <f>SUM(J24/J26)</f>
        <v>2.1677734524082132E-2</v>
      </c>
    </row>
    <row r="25" spans="1:17" s="2" customFormat="1" ht="16.5" customHeight="1" thickBot="1">
      <c r="A25" s="6" t="s">
        <v>1871</v>
      </c>
      <c r="B25" s="7" t="s">
        <v>1261</v>
      </c>
      <c r="C25" s="8">
        <v>3353</v>
      </c>
      <c r="D25" s="8">
        <v>3372</v>
      </c>
      <c r="E25" s="8">
        <v>4556</v>
      </c>
      <c r="F25" s="8">
        <v>4919</v>
      </c>
      <c r="G25" s="36">
        <v>5321</v>
      </c>
      <c r="H25" s="33" t="s">
        <v>1280</v>
      </c>
      <c r="I25" s="26" t="s">
        <v>1254</v>
      </c>
      <c r="J25" s="21">
        <f>(C27+C28)</f>
        <v>2241</v>
      </c>
      <c r="K25" s="11">
        <f>SUM(J25/J26)</f>
        <v>5.7018548202427292E-2</v>
      </c>
    </row>
    <row r="26" spans="1:17" s="2" customFormat="1" ht="16.5" customHeight="1" thickBot="1">
      <c r="A26" s="12" t="s">
        <v>1115</v>
      </c>
      <c r="B26" s="13" t="s">
        <v>1247</v>
      </c>
      <c r="C26" s="8">
        <v>3008</v>
      </c>
      <c r="D26" s="8">
        <v>3273</v>
      </c>
      <c r="E26" s="8">
        <v>3576</v>
      </c>
      <c r="F26" s="8" t="s">
        <v>1326</v>
      </c>
      <c r="J26" s="23">
        <f>SUM(C19:C29)</f>
        <v>39303</v>
      </c>
    </row>
    <row r="27" spans="1:17" s="2" customFormat="1" ht="16.5" customHeight="1" thickBot="1">
      <c r="A27" s="12" t="s">
        <v>1964</v>
      </c>
      <c r="B27" s="38" t="s">
        <v>1270</v>
      </c>
      <c r="C27" s="8">
        <v>1145</v>
      </c>
      <c r="D27" s="8">
        <v>1159</v>
      </c>
      <c r="E27" s="8" t="s">
        <v>1326</v>
      </c>
    </row>
    <row r="28" spans="1:17" s="2" customFormat="1" ht="16.5" customHeight="1" thickBot="1">
      <c r="A28" s="12" t="s">
        <v>1968</v>
      </c>
      <c r="B28" s="38" t="s">
        <v>1270</v>
      </c>
      <c r="C28" s="8">
        <v>1096</v>
      </c>
      <c r="D28" s="8">
        <v>1099</v>
      </c>
      <c r="E28" s="8" t="s">
        <v>1326</v>
      </c>
    </row>
    <row r="29" spans="1:17" s="2" customFormat="1" ht="16.5" customHeight="1" thickBot="1">
      <c r="A29" s="12" t="s">
        <v>2509</v>
      </c>
      <c r="B29" s="32" t="s">
        <v>1269</v>
      </c>
      <c r="C29" s="8">
        <v>852</v>
      </c>
      <c r="D29" s="8">
        <v>854</v>
      </c>
      <c r="E29" s="8" t="s">
        <v>1326</v>
      </c>
    </row>
    <row r="30" spans="1:17" s="2" customFormat="1" ht="12" customHeight="1">
      <c r="A30" s="1"/>
      <c r="C30" s="21"/>
    </row>
    <row r="31" spans="1:17" s="2" customFormat="1" ht="16.5" customHeight="1">
      <c r="A31" s="1" t="s">
        <v>1187</v>
      </c>
    </row>
    <row r="32" spans="1:17" s="2" customFormat="1" ht="9.75" customHeight="1" thickBot="1">
      <c r="A32" s="3"/>
    </row>
    <row r="33" spans="1:14" s="2" customFormat="1" ht="16.5" customHeight="1" thickBot="1">
      <c r="A33" s="4" t="s">
        <v>1244</v>
      </c>
      <c r="B33" s="5" t="s">
        <v>1245</v>
      </c>
      <c r="C33" s="5" t="s">
        <v>1246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/>
      <c r="K33" s="10" t="s">
        <v>1413</v>
      </c>
      <c r="L33" s="11">
        <f>(43522/66602)</f>
        <v>0.6534638599441458</v>
      </c>
    </row>
    <row r="34" spans="1:14" s="2" customFormat="1" ht="16.5" customHeight="1" thickBot="1">
      <c r="A34" s="6" t="s">
        <v>1352</v>
      </c>
      <c r="B34" s="25" t="s">
        <v>1247</v>
      </c>
      <c r="C34" s="36">
        <v>8957</v>
      </c>
      <c r="D34" s="8"/>
      <c r="E34" s="8"/>
      <c r="F34" s="8"/>
      <c r="G34" s="43"/>
      <c r="H34" s="43"/>
      <c r="I34" s="8"/>
      <c r="J34" s="33" t="s">
        <v>1271</v>
      </c>
      <c r="K34" s="14"/>
      <c r="L34" s="10" t="s">
        <v>1248</v>
      </c>
      <c r="M34" s="10" t="s">
        <v>1249</v>
      </c>
      <c r="N34" s="10" t="s">
        <v>1250</v>
      </c>
    </row>
    <row r="35" spans="1:14" s="2" customFormat="1" ht="16.5" customHeight="1" thickBot="1">
      <c r="A35" s="6" t="s">
        <v>1082</v>
      </c>
      <c r="B35" s="28" t="s">
        <v>1258</v>
      </c>
      <c r="C35" s="36">
        <v>7127</v>
      </c>
      <c r="D35" s="8"/>
      <c r="E35" s="8"/>
      <c r="F35" s="8"/>
      <c r="G35" s="8"/>
      <c r="H35" s="8"/>
      <c r="I35" s="8"/>
      <c r="J35" s="33" t="s">
        <v>1362</v>
      </c>
      <c r="K35" s="19" t="s">
        <v>1247</v>
      </c>
      <c r="L35" s="16">
        <f>(C34+C36+C39+C40)</f>
        <v>21033</v>
      </c>
      <c r="M35" s="17">
        <f>SUM(L35/L41)</f>
        <v>0.49213814404043238</v>
      </c>
      <c r="N35" s="14">
        <v>3</v>
      </c>
    </row>
    <row r="36" spans="1:14" s="2" customFormat="1" ht="16.5" customHeight="1" thickBot="1">
      <c r="A36" s="6" t="s">
        <v>1101</v>
      </c>
      <c r="B36" s="25" t="s">
        <v>1247</v>
      </c>
      <c r="C36" s="8">
        <v>5178</v>
      </c>
      <c r="D36" s="8">
        <v>5515</v>
      </c>
      <c r="E36" s="8">
        <v>5515</v>
      </c>
      <c r="F36" s="8">
        <v>5542</v>
      </c>
      <c r="G36" s="8">
        <v>5591</v>
      </c>
      <c r="H36" s="8">
        <v>5710</v>
      </c>
      <c r="I36" s="36" t="s">
        <v>1184</v>
      </c>
      <c r="J36" s="33" t="s">
        <v>1251</v>
      </c>
      <c r="K36" s="18" t="s">
        <v>1257</v>
      </c>
      <c r="L36" s="16">
        <v>4409</v>
      </c>
      <c r="M36" s="17">
        <f>SUM(L36/L41)</f>
        <v>0.10316346108849267</v>
      </c>
      <c r="N36" s="14">
        <v>1</v>
      </c>
    </row>
    <row r="37" spans="1:14" s="2" customFormat="1" ht="16.5" customHeight="1" thickBot="1">
      <c r="A37" s="6" t="s">
        <v>1354</v>
      </c>
      <c r="B37" s="7" t="s">
        <v>1261</v>
      </c>
      <c r="C37" s="8">
        <v>5065</v>
      </c>
      <c r="D37" s="8">
        <v>5482</v>
      </c>
      <c r="E37" s="8">
        <v>5511</v>
      </c>
      <c r="F37" s="8">
        <v>5728</v>
      </c>
      <c r="G37" s="36">
        <v>6110</v>
      </c>
      <c r="H37" s="8"/>
      <c r="I37" s="8"/>
      <c r="J37" s="33" t="s">
        <v>1252</v>
      </c>
      <c r="K37" s="30" t="s">
        <v>1258</v>
      </c>
      <c r="L37" s="16">
        <v>7127</v>
      </c>
      <c r="M37" s="17">
        <f>SUM(L37/L41)</f>
        <v>0.16676026018999485</v>
      </c>
      <c r="N37" s="2">
        <v>1</v>
      </c>
    </row>
    <row r="38" spans="1:14" s="2" customFormat="1" ht="16.5" customHeight="1" thickBot="1">
      <c r="A38" s="6" t="s">
        <v>1876</v>
      </c>
      <c r="B38" s="9" t="s">
        <v>1257</v>
      </c>
      <c r="C38" s="8">
        <v>4409</v>
      </c>
      <c r="D38" s="8">
        <v>4413</v>
      </c>
      <c r="E38" s="8">
        <v>5107</v>
      </c>
      <c r="F38" s="8">
        <v>5229</v>
      </c>
      <c r="G38" s="8">
        <v>5336</v>
      </c>
      <c r="H38" s="36">
        <v>7130</v>
      </c>
      <c r="I38" s="43"/>
      <c r="J38" s="33" t="s">
        <v>1280</v>
      </c>
      <c r="K38" s="15" t="s">
        <v>1261</v>
      </c>
      <c r="L38" s="21">
        <f>(C37+C42)</f>
        <v>6279</v>
      </c>
      <c r="M38" s="17">
        <f>SUM(L38/L41)</f>
        <v>0.1469184332444195</v>
      </c>
      <c r="N38" s="2">
        <v>1</v>
      </c>
    </row>
    <row r="39" spans="1:14" s="2" customFormat="1" ht="16.5" customHeight="1" thickBot="1">
      <c r="A39" s="6" t="s">
        <v>1351</v>
      </c>
      <c r="B39" s="25" t="s">
        <v>1247</v>
      </c>
      <c r="C39" s="8">
        <v>4263</v>
      </c>
      <c r="D39" s="8">
        <v>4813</v>
      </c>
      <c r="E39" s="8">
        <v>4814</v>
      </c>
      <c r="F39" s="8">
        <v>4843</v>
      </c>
      <c r="G39" s="8">
        <v>4929</v>
      </c>
      <c r="H39" s="8">
        <v>5180</v>
      </c>
      <c r="I39" s="36" t="s">
        <v>1184</v>
      </c>
      <c r="J39" s="33" t="s">
        <v>1253</v>
      </c>
      <c r="K39" s="31" t="s">
        <v>1269</v>
      </c>
      <c r="L39" s="21">
        <v>398</v>
      </c>
      <c r="M39" s="17">
        <f>SUM(L39/L41)</f>
        <v>9.3125555711544763E-3</v>
      </c>
    </row>
    <row r="40" spans="1:14" s="2" customFormat="1" ht="16.5" customHeight="1" thickBot="1">
      <c r="A40" s="12" t="s">
        <v>1151</v>
      </c>
      <c r="B40" s="13" t="s">
        <v>1247</v>
      </c>
      <c r="C40" s="8">
        <v>2635</v>
      </c>
      <c r="D40" s="8">
        <v>3962</v>
      </c>
      <c r="E40" s="8">
        <v>3962</v>
      </c>
      <c r="F40" s="8">
        <v>4005</v>
      </c>
      <c r="G40" s="8">
        <v>4133</v>
      </c>
      <c r="H40" s="8">
        <v>4412</v>
      </c>
      <c r="I40" s="43"/>
      <c r="J40" s="33"/>
      <c r="K40" s="26" t="s">
        <v>1254</v>
      </c>
      <c r="L40" s="21">
        <f>(C41+C43+C45+C46)</f>
        <v>3492</v>
      </c>
      <c r="M40" s="11">
        <f>SUM(L40/L41)</f>
        <v>8.1707145865506106E-2</v>
      </c>
    </row>
    <row r="41" spans="1:14" s="2" customFormat="1" ht="16.5" customHeight="1" thickBot="1">
      <c r="A41" s="12" t="s">
        <v>1357</v>
      </c>
      <c r="B41" s="42" t="s">
        <v>1878</v>
      </c>
      <c r="C41" s="8">
        <v>2075</v>
      </c>
      <c r="D41" s="8">
        <v>2087</v>
      </c>
      <c r="E41" s="8">
        <v>2330</v>
      </c>
      <c r="F41" s="8">
        <v>2383</v>
      </c>
      <c r="G41" s="8">
        <v>2431</v>
      </c>
      <c r="H41" s="43" t="s">
        <v>1326</v>
      </c>
      <c r="L41" s="23">
        <v>42738</v>
      </c>
    </row>
    <row r="42" spans="1:14" s="2" customFormat="1" ht="16.5" customHeight="1" thickBot="1">
      <c r="A42" s="12" t="s">
        <v>2298</v>
      </c>
      <c r="B42" s="20" t="s">
        <v>1261</v>
      </c>
      <c r="C42" s="8">
        <v>1214</v>
      </c>
      <c r="D42" s="8">
        <v>1262</v>
      </c>
      <c r="E42" s="8">
        <v>1266</v>
      </c>
      <c r="F42" s="8">
        <v>1332</v>
      </c>
      <c r="G42" s="8">
        <v>1429</v>
      </c>
      <c r="H42" s="8" t="s">
        <v>1326</v>
      </c>
    </row>
    <row r="43" spans="1:14" s="2" customFormat="1" ht="16.5" customHeight="1" thickBot="1">
      <c r="A43" s="12" t="s">
        <v>1152</v>
      </c>
      <c r="B43" s="38" t="s">
        <v>1270</v>
      </c>
      <c r="C43" s="8">
        <v>933</v>
      </c>
      <c r="D43" s="8">
        <v>989</v>
      </c>
      <c r="E43" s="8">
        <v>1003</v>
      </c>
      <c r="F43" s="8">
        <v>1207</v>
      </c>
      <c r="G43" s="8" t="s">
        <v>1326</v>
      </c>
    </row>
    <row r="44" spans="1:14" s="2" customFormat="1" ht="16.5" customHeight="1" thickBot="1">
      <c r="A44" s="12" t="s">
        <v>1129</v>
      </c>
      <c r="B44" s="32" t="s">
        <v>1269</v>
      </c>
      <c r="C44" s="8">
        <v>398</v>
      </c>
      <c r="D44" s="8">
        <v>405</v>
      </c>
      <c r="E44" s="8">
        <v>416</v>
      </c>
      <c r="F44" s="8" t="s">
        <v>1326</v>
      </c>
      <c r="I44" s="11"/>
      <c r="M44" s="17"/>
    </row>
    <row r="45" spans="1:14" s="2" customFormat="1" ht="16.5" customHeight="1" thickBot="1">
      <c r="A45" s="12" t="s">
        <v>1361</v>
      </c>
      <c r="B45" s="38" t="s">
        <v>1717</v>
      </c>
      <c r="C45" s="8">
        <v>243</v>
      </c>
      <c r="D45" s="8">
        <v>249</v>
      </c>
      <c r="E45" s="8">
        <v>261</v>
      </c>
      <c r="F45" s="8" t="s">
        <v>1326</v>
      </c>
      <c r="L45" s="21"/>
    </row>
    <row r="46" spans="1:14" s="2" customFormat="1" ht="16.5" customHeight="1" thickBot="1">
      <c r="A46" s="12" t="s">
        <v>1154</v>
      </c>
      <c r="B46" s="38" t="s">
        <v>1270</v>
      </c>
      <c r="C46" s="8">
        <v>241</v>
      </c>
      <c r="D46" s="8">
        <v>253</v>
      </c>
      <c r="E46" s="8">
        <v>255</v>
      </c>
      <c r="F46" s="8" t="s">
        <v>1326</v>
      </c>
      <c r="L46" s="21"/>
    </row>
    <row r="47" spans="1:14" s="2" customFormat="1" ht="12" customHeight="1">
      <c r="A47" s="1"/>
      <c r="C47" s="21"/>
    </row>
    <row r="48" spans="1:14" s="2" customFormat="1" ht="16.5" customHeight="1">
      <c r="A48" s="1" t="s">
        <v>1188</v>
      </c>
    </row>
    <row r="49" spans="1:15" s="2" customFormat="1" ht="9.75" customHeight="1" thickBot="1">
      <c r="A49" s="3"/>
    </row>
    <row r="50" spans="1:15" s="2" customFormat="1" ht="16.5" customHeight="1" thickBot="1">
      <c r="A50" s="4" t="s">
        <v>1244</v>
      </c>
      <c r="B50" s="5" t="s">
        <v>1245</v>
      </c>
      <c r="C50" s="5" t="s">
        <v>1246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/>
      <c r="K50" s="10" t="s">
        <v>1413</v>
      </c>
      <c r="L50" s="11">
        <f>(39686/68663)</f>
        <v>0.57798231944424217</v>
      </c>
    </row>
    <row r="51" spans="1:15" s="2" customFormat="1" ht="16.5" customHeight="1" thickBot="1">
      <c r="A51" s="6" t="s">
        <v>1364</v>
      </c>
      <c r="B51" s="28" t="s">
        <v>1258</v>
      </c>
      <c r="C51" s="36">
        <v>7154</v>
      </c>
      <c r="D51" s="8"/>
      <c r="E51" s="8"/>
      <c r="F51" s="8"/>
      <c r="G51" s="8"/>
      <c r="H51" s="8"/>
      <c r="I51" s="8"/>
      <c r="J51" s="33" t="s">
        <v>1271</v>
      </c>
      <c r="K51" s="14"/>
      <c r="L51" s="10" t="s">
        <v>1248</v>
      </c>
      <c r="M51" s="10" t="s">
        <v>1249</v>
      </c>
      <c r="N51" s="10" t="s">
        <v>1250</v>
      </c>
    </row>
    <row r="52" spans="1:15" s="2" customFormat="1" ht="16.5" customHeight="1" thickBot="1">
      <c r="A52" s="6" t="s">
        <v>1102</v>
      </c>
      <c r="B52" s="25" t="s">
        <v>1247</v>
      </c>
      <c r="C52" s="36">
        <v>6950</v>
      </c>
      <c r="D52" s="8"/>
      <c r="E52" s="8"/>
      <c r="F52" s="8"/>
      <c r="G52" s="8"/>
      <c r="H52" s="8"/>
      <c r="I52" s="8"/>
      <c r="J52" s="33" t="s">
        <v>1362</v>
      </c>
      <c r="K52" s="19" t="s">
        <v>1247</v>
      </c>
      <c r="L52" s="16">
        <f>(C52+C54+C59)</f>
        <v>13200</v>
      </c>
      <c r="M52" s="17">
        <f>SUM(L52/L57)</f>
        <v>0.3397945787319484</v>
      </c>
      <c r="N52" s="14">
        <v>2</v>
      </c>
    </row>
    <row r="53" spans="1:15" s="2" customFormat="1" ht="16.5" customHeight="1" thickBot="1">
      <c r="A53" s="6" t="s">
        <v>1109</v>
      </c>
      <c r="B53" s="7" t="s">
        <v>1261</v>
      </c>
      <c r="C53" s="8">
        <v>4970</v>
      </c>
      <c r="D53" s="8">
        <v>5382</v>
      </c>
      <c r="E53" s="8">
        <v>5484</v>
      </c>
      <c r="F53" s="36">
        <v>5794</v>
      </c>
      <c r="G53" s="8"/>
      <c r="H53" s="8"/>
      <c r="I53" s="8"/>
      <c r="J53" s="33" t="s">
        <v>1252</v>
      </c>
      <c r="K53" s="30" t="s">
        <v>1258</v>
      </c>
      <c r="L53" s="16">
        <v>7154</v>
      </c>
      <c r="M53" s="17">
        <f>SUM(L53/L57)</f>
        <v>0.18415836486729992</v>
      </c>
      <c r="N53" s="2">
        <v>1</v>
      </c>
    </row>
    <row r="54" spans="1:15" s="2" customFormat="1" ht="16.5" customHeight="1" thickBot="1">
      <c r="A54" s="6" t="s">
        <v>1368</v>
      </c>
      <c r="B54" s="25" t="s">
        <v>1247</v>
      </c>
      <c r="C54" s="8">
        <v>3638</v>
      </c>
      <c r="D54" s="8">
        <v>3642</v>
      </c>
      <c r="E54" s="8">
        <v>3904</v>
      </c>
      <c r="F54" s="8">
        <v>4044</v>
      </c>
      <c r="G54" s="8">
        <v>4102</v>
      </c>
      <c r="H54" s="8">
        <v>4116</v>
      </c>
      <c r="I54" s="36">
        <v>6245</v>
      </c>
      <c r="J54" s="33" t="s">
        <v>1280</v>
      </c>
      <c r="K54" s="15" t="s">
        <v>1261</v>
      </c>
      <c r="L54" s="21">
        <f>(C53+C55+C57+C58)</f>
        <v>13699</v>
      </c>
      <c r="M54" s="17">
        <f>SUM(L54/L57)</f>
        <v>0.3526398434885577</v>
      </c>
      <c r="N54" s="2">
        <v>3</v>
      </c>
    </row>
    <row r="55" spans="1:15" s="2" customFormat="1" ht="16.5" customHeight="1" thickBot="1">
      <c r="A55" s="6" t="s">
        <v>1366</v>
      </c>
      <c r="B55" s="7" t="s">
        <v>1261</v>
      </c>
      <c r="C55" s="8">
        <v>3138</v>
      </c>
      <c r="D55" s="8">
        <v>3683</v>
      </c>
      <c r="E55" s="8">
        <v>3716</v>
      </c>
      <c r="F55" s="8">
        <v>4089</v>
      </c>
      <c r="G55" s="8">
        <v>4554</v>
      </c>
      <c r="H55" s="8">
        <v>4626</v>
      </c>
      <c r="I55" s="36">
        <v>4876</v>
      </c>
      <c r="J55" s="33" t="s">
        <v>1253</v>
      </c>
      <c r="K55" s="31" t="s">
        <v>1269</v>
      </c>
      <c r="L55" s="21">
        <v>334</v>
      </c>
      <c r="M55" s="17">
        <f>SUM(L55/L57)</f>
        <v>8.5978325224599066E-3</v>
      </c>
    </row>
    <row r="56" spans="1:15" s="2" customFormat="1" ht="16.5" customHeight="1" thickBot="1">
      <c r="A56" s="12" t="s">
        <v>1292</v>
      </c>
      <c r="B56" s="38" t="s">
        <v>1717</v>
      </c>
      <c r="C56" s="8">
        <v>3120</v>
      </c>
      <c r="D56" s="8">
        <v>3209</v>
      </c>
      <c r="E56" s="8">
        <v>3255</v>
      </c>
      <c r="F56" s="8">
        <v>3587</v>
      </c>
      <c r="G56" s="8">
        <v>3698</v>
      </c>
      <c r="H56" s="8">
        <v>3720</v>
      </c>
      <c r="I56" s="8">
        <v>3916</v>
      </c>
      <c r="J56" s="33"/>
      <c r="K56" s="26" t="s">
        <v>1254</v>
      </c>
      <c r="L56" s="21">
        <f>(C56+C60+C62)</f>
        <v>4460</v>
      </c>
      <c r="M56" s="11">
        <f>SUM(L56/L57)</f>
        <v>0.11480938038973408</v>
      </c>
    </row>
    <row r="57" spans="1:15" s="2" customFormat="1" ht="16.5" customHeight="1" thickBot="1">
      <c r="A57" s="6" t="s">
        <v>1110</v>
      </c>
      <c r="B57" s="7" t="s">
        <v>1261</v>
      </c>
      <c r="C57" s="8">
        <v>2967</v>
      </c>
      <c r="D57" s="8">
        <v>3069</v>
      </c>
      <c r="E57" s="8">
        <v>3101</v>
      </c>
      <c r="F57" s="8">
        <v>3403</v>
      </c>
      <c r="G57" s="8">
        <v>5377</v>
      </c>
      <c r="H57" s="8">
        <v>5501</v>
      </c>
      <c r="I57" s="36">
        <v>5563</v>
      </c>
      <c r="J57" s="33" t="s">
        <v>1251</v>
      </c>
      <c r="L57" s="23">
        <f>SUM(C51:C62)</f>
        <v>38847</v>
      </c>
    </row>
    <row r="58" spans="1:15" s="2" customFormat="1" ht="16.5" customHeight="1" thickBot="1">
      <c r="A58" s="12" t="s">
        <v>1108</v>
      </c>
      <c r="B58" s="20" t="s">
        <v>1261</v>
      </c>
      <c r="C58" s="8">
        <v>2624</v>
      </c>
      <c r="D58" s="8">
        <v>2691</v>
      </c>
      <c r="E58" s="8">
        <v>2730</v>
      </c>
      <c r="F58" s="8">
        <v>2891</v>
      </c>
      <c r="G58" s="8" t="s">
        <v>1326</v>
      </c>
    </row>
    <row r="59" spans="1:15" s="2" customFormat="1" ht="16.5" customHeight="1" thickBot="1">
      <c r="A59" s="12" t="s">
        <v>1158</v>
      </c>
      <c r="B59" s="13" t="s">
        <v>1247</v>
      </c>
      <c r="C59" s="8">
        <v>2612</v>
      </c>
      <c r="D59" s="8">
        <v>2616</v>
      </c>
      <c r="E59" s="8">
        <v>3434</v>
      </c>
      <c r="F59" s="8">
        <v>3503</v>
      </c>
      <c r="G59" s="8">
        <v>3607</v>
      </c>
      <c r="H59" s="8">
        <v>3615</v>
      </c>
      <c r="I59" s="8" t="s">
        <v>1326</v>
      </c>
    </row>
    <row r="60" spans="1:15" s="2" customFormat="1" ht="16.5" customHeight="1" thickBot="1">
      <c r="A60" s="12" t="s">
        <v>1159</v>
      </c>
      <c r="B60" s="38" t="s">
        <v>1270</v>
      </c>
      <c r="C60" s="8">
        <v>1280</v>
      </c>
      <c r="D60" s="8">
        <v>1336</v>
      </c>
      <c r="E60" s="8">
        <v>1353</v>
      </c>
      <c r="F60" s="8" t="s">
        <v>1326</v>
      </c>
    </row>
    <row r="61" spans="1:15" s="2" customFormat="1" ht="16.5" customHeight="1" thickBot="1">
      <c r="A61" s="12" t="s">
        <v>1883</v>
      </c>
      <c r="B61" s="32" t="s">
        <v>1269</v>
      </c>
      <c r="C61" s="8">
        <v>334</v>
      </c>
      <c r="D61" s="8">
        <v>621</v>
      </c>
      <c r="E61" s="8">
        <v>622</v>
      </c>
      <c r="F61" s="8" t="s">
        <v>1326</v>
      </c>
      <c r="O61" s="17"/>
    </row>
    <row r="62" spans="1:15" s="2" customFormat="1" ht="16.5" customHeight="1" thickBot="1">
      <c r="A62" s="12" t="s">
        <v>1157</v>
      </c>
      <c r="B62" s="38" t="s">
        <v>1270</v>
      </c>
      <c r="C62" s="8">
        <v>60</v>
      </c>
      <c r="D62" s="43">
        <v>79</v>
      </c>
      <c r="E62" s="43">
        <v>82</v>
      </c>
      <c r="F62" s="43" t="s">
        <v>1326</v>
      </c>
    </row>
    <row r="63" spans="1:15" s="2" customFormat="1" ht="12" customHeight="1">
      <c r="A63" s="1"/>
    </row>
    <row r="64" spans="1:15" s="2" customFormat="1" ht="16.5" customHeight="1">
      <c r="A64" s="1" t="s">
        <v>1189</v>
      </c>
    </row>
    <row r="65" spans="1:15" s="2" customFormat="1" ht="9.75" customHeight="1" thickBot="1">
      <c r="A65" s="3"/>
    </row>
    <row r="66" spans="1:15" s="2" customFormat="1" ht="16.5" customHeight="1" thickBot="1">
      <c r="A66" s="4" t="s">
        <v>1244</v>
      </c>
      <c r="B66" s="5" t="s">
        <v>1245</v>
      </c>
      <c r="C66" s="5" t="s">
        <v>1246</v>
      </c>
      <c r="D66" s="5">
        <v>2</v>
      </c>
      <c r="E66" s="5">
        <v>3</v>
      </c>
      <c r="F66" s="5">
        <v>4</v>
      </c>
      <c r="G66" s="5">
        <v>5</v>
      </c>
      <c r="H66" s="5">
        <v>6</v>
      </c>
      <c r="I66" s="5">
        <v>7</v>
      </c>
      <c r="J66" s="5"/>
      <c r="K66" s="10" t="s">
        <v>1413</v>
      </c>
      <c r="L66" s="11">
        <f>(35303/65226)</f>
        <v>0.54124122282525378</v>
      </c>
    </row>
    <row r="67" spans="1:15" s="2" customFormat="1" ht="16.5" customHeight="1" thickBot="1">
      <c r="A67" s="6" t="s">
        <v>1083</v>
      </c>
      <c r="B67" s="28" t="s">
        <v>1258</v>
      </c>
      <c r="C67" s="36">
        <v>6319</v>
      </c>
      <c r="D67" s="8"/>
      <c r="E67" s="8"/>
      <c r="F67" s="8"/>
      <c r="G67" s="8"/>
      <c r="H67" s="8"/>
      <c r="I67" s="8"/>
      <c r="J67" s="33" t="s">
        <v>1271</v>
      </c>
      <c r="K67" s="14"/>
      <c r="L67" s="10" t="s">
        <v>1248</v>
      </c>
      <c r="M67" s="10" t="s">
        <v>1249</v>
      </c>
      <c r="N67" s="10" t="s">
        <v>1250</v>
      </c>
    </row>
    <row r="68" spans="1:15" s="2" customFormat="1" ht="16.5" customHeight="1" thickBot="1">
      <c r="A68" s="6" t="s">
        <v>1156</v>
      </c>
      <c r="B68" s="25" t="s">
        <v>1247</v>
      </c>
      <c r="C68" s="8">
        <v>4681</v>
      </c>
      <c r="D68" s="8">
        <v>4683</v>
      </c>
      <c r="E68" s="8">
        <v>4683</v>
      </c>
      <c r="F68" s="8">
        <v>4684</v>
      </c>
      <c r="G68" s="8">
        <v>4712</v>
      </c>
      <c r="H68" s="36">
        <v>4962</v>
      </c>
      <c r="I68" s="8"/>
      <c r="J68" s="33" t="s">
        <v>1252</v>
      </c>
      <c r="K68" s="19" t="s">
        <v>1247</v>
      </c>
      <c r="L68" s="16">
        <f>(C68+C72)</f>
        <v>7320</v>
      </c>
      <c r="M68" s="17">
        <f>SUM(L68/L74)</f>
        <v>0.21081734923103507</v>
      </c>
      <c r="N68" s="14">
        <v>1</v>
      </c>
    </row>
    <row r="69" spans="1:15" s="2" customFormat="1" ht="16.5" customHeight="1" thickBot="1">
      <c r="A69" s="6" t="s">
        <v>1379</v>
      </c>
      <c r="B69" s="28" t="s">
        <v>1258</v>
      </c>
      <c r="C69" s="8">
        <v>3855</v>
      </c>
      <c r="D69" s="8">
        <v>4168</v>
      </c>
      <c r="E69" s="8">
        <v>4235</v>
      </c>
      <c r="F69" s="8">
        <v>4696</v>
      </c>
      <c r="G69" s="8">
        <v>4764</v>
      </c>
      <c r="H69" s="8">
        <v>4785</v>
      </c>
      <c r="I69" s="36">
        <v>4823</v>
      </c>
      <c r="J69" s="33" t="s">
        <v>1280</v>
      </c>
      <c r="K69" s="18" t="s">
        <v>1257</v>
      </c>
      <c r="L69" s="16">
        <f>(C77+C78)</f>
        <v>2930</v>
      </c>
      <c r="M69" s="17">
        <f>SUM(L69/L74)</f>
        <v>8.438454006105639E-2</v>
      </c>
      <c r="N69" s="14"/>
    </row>
    <row r="70" spans="1:15" s="2" customFormat="1" ht="16.5" customHeight="1" thickBot="1">
      <c r="A70" s="6" t="s">
        <v>1375</v>
      </c>
      <c r="B70" s="35" t="s">
        <v>1270</v>
      </c>
      <c r="C70" s="8">
        <v>3003</v>
      </c>
      <c r="D70" s="8">
        <v>3119</v>
      </c>
      <c r="E70" s="8">
        <v>3276</v>
      </c>
      <c r="F70" s="8">
        <v>3512</v>
      </c>
      <c r="G70" s="8">
        <v>4113</v>
      </c>
      <c r="H70" s="8">
        <v>4154</v>
      </c>
      <c r="I70" s="36">
        <v>4405</v>
      </c>
      <c r="J70" s="33" t="s">
        <v>1251</v>
      </c>
      <c r="K70" s="30" t="s">
        <v>1258</v>
      </c>
      <c r="L70" s="16">
        <f>(C67+C69+C73)</f>
        <v>12807</v>
      </c>
      <c r="M70" s="17">
        <f>SUM(L70/L74)</f>
        <v>0.36884396060134783</v>
      </c>
      <c r="N70" s="2">
        <v>3</v>
      </c>
    </row>
    <row r="71" spans="1:15" s="2" customFormat="1" ht="16.5" customHeight="1" thickBot="1">
      <c r="A71" s="6" t="s">
        <v>1378</v>
      </c>
      <c r="B71" s="7" t="s">
        <v>1261</v>
      </c>
      <c r="C71" s="8">
        <v>2967</v>
      </c>
      <c r="D71" s="8">
        <v>2978</v>
      </c>
      <c r="E71" s="8">
        <v>2994</v>
      </c>
      <c r="F71" s="8">
        <v>3003</v>
      </c>
      <c r="G71" s="8">
        <v>3515</v>
      </c>
      <c r="H71" s="36">
        <v>5207</v>
      </c>
      <c r="I71" s="8"/>
      <c r="J71" s="33" t="s">
        <v>1362</v>
      </c>
      <c r="K71" s="15" t="s">
        <v>1261</v>
      </c>
      <c r="L71" s="21">
        <f>(C71+C74)</f>
        <v>5189</v>
      </c>
      <c r="M71" s="17">
        <f>SUM(L71/L74)</f>
        <v>0.14944415644260123</v>
      </c>
      <c r="N71" s="2">
        <v>1</v>
      </c>
    </row>
    <row r="72" spans="1:15" s="2" customFormat="1" ht="16.5" customHeight="1" thickBot="1">
      <c r="A72" s="12" t="s">
        <v>1155</v>
      </c>
      <c r="B72" s="13" t="s">
        <v>1247</v>
      </c>
      <c r="C72" s="8">
        <v>2639</v>
      </c>
      <c r="D72" s="8">
        <v>2641</v>
      </c>
      <c r="E72" s="8">
        <v>2644</v>
      </c>
      <c r="F72" s="8">
        <v>2647</v>
      </c>
      <c r="G72" s="8">
        <v>2674</v>
      </c>
      <c r="H72" s="8">
        <v>2771</v>
      </c>
      <c r="I72" s="8" t="s">
        <v>1326</v>
      </c>
      <c r="K72" s="31" t="s">
        <v>1269</v>
      </c>
      <c r="L72" s="21">
        <v>1905</v>
      </c>
      <c r="M72" s="17">
        <f>SUM(L72/L74)</f>
        <v>5.4864351131847247E-2</v>
      </c>
    </row>
    <row r="73" spans="1:15" s="2" customFormat="1" ht="16.5" customHeight="1" thickBot="1">
      <c r="A73" s="6" t="s">
        <v>1084</v>
      </c>
      <c r="B73" s="28" t="s">
        <v>1258</v>
      </c>
      <c r="C73" s="8">
        <v>2633</v>
      </c>
      <c r="D73" s="8">
        <v>3299</v>
      </c>
      <c r="E73" s="8">
        <v>3368</v>
      </c>
      <c r="F73" s="8">
        <v>3610</v>
      </c>
      <c r="G73" s="8">
        <v>3702</v>
      </c>
      <c r="H73" s="8">
        <v>3718</v>
      </c>
      <c r="I73" s="36">
        <v>3782</v>
      </c>
      <c r="J73" s="33" t="s">
        <v>1253</v>
      </c>
      <c r="K73" s="26" t="s">
        <v>1254</v>
      </c>
      <c r="L73" s="21">
        <f>(C70+C76)</f>
        <v>4571</v>
      </c>
      <c r="M73" s="11">
        <f>SUM(L73/L74)</f>
        <v>0.13164564253211219</v>
      </c>
      <c r="N73" s="2">
        <v>1</v>
      </c>
    </row>
    <row r="74" spans="1:15" s="2" customFormat="1" ht="16.5" customHeight="1" thickBot="1">
      <c r="A74" s="12" t="s">
        <v>1886</v>
      </c>
      <c r="B74" s="20" t="s">
        <v>1261</v>
      </c>
      <c r="C74" s="8">
        <v>2222</v>
      </c>
      <c r="D74" s="8">
        <v>2228</v>
      </c>
      <c r="E74" s="8">
        <v>2231</v>
      </c>
      <c r="F74" s="8">
        <v>2244</v>
      </c>
      <c r="G74" s="8">
        <v>2363</v>
      </c>
      <c r="H74" s="8" t="s">
        <v>1326</v>
      </c>
      <c r="L74" s="23">
        <f>SUM(C67:C78)</f>
        <v>34722</v>
      </c>
    </row>
    <row r="75" spans="1:15" s="2" customFormat="1" ht="16.5" customHeight="1" thickBot="1">
      <c r="A75" s="12" t="s">
        <v>1383</v>
      </c>
      <c r="B75" s="32" t="s">
        <v>1269</v>
      </c>
      <c r="C75" s="8">
        <v>1905</v>
      </c>
      <c r="D75" s="8">
        <v>1932</v>
      </c>
      <c r="E75" s="8">
        <v>2006</v>
      </c>
      <c r="F75" s="8">
        <v>2040</v>
      </c>
      <c r="G75" s="8" t="s">
        <v>1326</v>
      </c>
    </row>
    <row r="76" spans="1:15" s="2" customFormat="1" ht="16.5" customHeight="1" thickBot="1">
      <c r="A76" s="12" t="s">
        <v>2005</v>
      </c>
      <c r="B76" s="42" t="s">
        <v>1878</v>
      </c>
      <c r="C76" s="8">
        <v>1568</v>
      </c>
      <c r="D76" s="8">
        <v>1647</v>
      </c>
      <c r="E76" s="8">
        <v>1703</v>
      </c>
      <c r="F76" s="8" t="s">
        <v>1326</v>
      </c>
    </row>
    <row r="77" spans="1:15" s="2" customFormat="1" ht="16.5" customHeight="1" thickBot="1">
      <c r="A77" s="12" t="s">
        <v>1887</v>
      </c>
      <c r="B77" s="22" t="s">
        <v>1257</v>
      </c>
      <c r="C77" s="8">
        <v>1472</v>
      </c>
      <c r="D77" s="8">
        <v>1530</v>
      </c>
      <c r="E77" s="8" t="s">
        <v>1326</v>
      </c>
      <c r="M77" s="17"/>
    </row>
    <row r="78" spans="1:15" s="2" customFormat="1" ht="16.5" customHeight="1" thickBot="1">
      <c r="A78" s="12" t="s">
        <v>1882</v>
      </c>
      <c r="B78" s="22" t="s">
        <v>1257</v>
      </c>
      <c r="C78" s="8">
        <v>1458</v>
      </c>
      <c r="D78" s="8">
        <v>1532</v>
      </c>
      <c r="E78" s="8">
        <v>2580</v>
      </c>
      <c r="F78" s="43">
        <v>3131</v>
      </c>
      <c r="G78" s="8">
        <v>3400</v>
      </c>
      <c r="H78" s="8">
        <v>3427</v>
      </c>
      <c r="I78" s="8">
        <v>3461</v>
      </c>
      <c r="J78" s="33"/>
      <c r="O78" s="17"/>
    </row>
    <row r="79" spans="1:15" s="2" customFormat="1" ht="12" customHeight="1">
      <c r="A79" s="1"/>
    </row>
    <row r="80" spans="1:15" s="2" customFormat="1" ht="16.5" customHeight="1">
      <c r="A80" s="1" t="s">
        <v>1180</v>
      </c>
    </row>
    <row r="81" spans="1:13" s="2" customFormat="1" ht="9.75" customHeight="1" thickBot="1">
      <c r="A81" s="3"/>
    </row>
    <row r="82" spans="1:13" s="2" customFormat="1" ht="16.5" customHeight="1" thickBot="1">
      <c r="A82" s="4" t="s">
        <v>1244</v>
      </c>
      <c r="B82" s="5" t="s">
        <v>1245</v>
      </c>
      <c r="C82" s="5" t="s">
        <v>1246</v>
      </c>
      <c r="D82" s="5">
        <v>2</v>
      </c>
      <c r="E82" s="5">
        <v>3</v>
      </c>
      <c r="F82" s="5">
        <v>4</v>
      </c>
      <c r="G82" s="5">
        <v>5</v>
      </c>
      <c r="H82" s="5">
        <v>6</v>
      </c>
      <c r="I82" s="5"/>
      <c r="J82" s="10" t="s">
        <v>1413</v>
      </c>
      <c r="K82" s="11">
        <f>(47562/77544)</f>
        <v>0.61335499845249153</v>
      </c>
    </row>
    <row r="83" spans="1:13" s="2" customFormat="1" ht="16.5" customHeight="1" thickBot="1">
      <c r="A83" s="6" t="s">
        <v>1388</v>
      </c>
      <c r="B83" s="25" t="s">
        <v>1247</v>
      </c>
      <c r="C83" s="36">
        <v>9127</v>
      </c>
      <c r="D83" s="8"/>
      <c r="E83" s="8"/>
      <c r="F83" s="8"/>
      <c r="G83" s="8"/>
      <c r="H83" s="8"/>
      <c r="I83" s="33" t="s">
        <v>1271</v>
      </c>
      <c r="J83" s="14"/>
      <c r="K83" s="10" t="s">
        <v>1248</v>
      </c>
      <c r="L83" s="10" t="s">
        <v>1249</v>
      </c>
      <c r="M83" s="10" t="s">
        <v>1250</v>
      </c>
    </row>
    <row r="84" spans="1:13" s="2" customFormat="1" ht="16.5" customHeight="1" thickBot="1">
      <c r="A84" s="6" t="s">
        <v>1389</v>
      </c>
      <c r="B84" s="9" t="s">
        <v>1257</v>
      </c>
      <c r="C84" s="36">
        <v>8718</v>
      </c>
      <c r="D84" s="8"/>
      <c r="E84" s="8"/>
      <c r="F84" s="8"/>
      <c r="G84" s="8"/>
      <c r="H84" s="8"/>
      <c r="I84" s="33" t="s">
        <v>1362</v>
      </c>
      <c r="J84" s="19" t="s">
        <v>1247</v>
      </c>
      <c r="K84" s="16">
        <f>(C83+C86+C89)</f>
        <v>18995</v>
      </c>
      <c r="L84" s="17">
        <f>SUM(K84/K90)</f>
        <v>0.4083716730446747</v>
      </c>
      <c r="M84" s="14">
        <v>3</v>
      </c>
    </row>
    <row r="85" spans="1:13" s="2" customFormat="1" ht="16.5" customHeight="1" thickBot="1">
      <c r="A85" s="6" t="s">
        <v>1390</v>
      </c>
      <c r="B85" s="7" t="s">
        <v>1261</v>
      </c>
      <c r="C85" s="36">
        <v>7123</v>
      </c>
      <c r="D85" s="8"/>
      <c r="E85" s="8"/>
      <c r="F85" s="8"/>
      <c r="G85" s="8"/>
      <c r="H85" s="8"/>
      <c r="I85" s="33" t="s">
        <v>1252</v>
      </c>
      <c r="J85" s="18" t="s">
        <v>1257</v>
      </c>
      <c r="K85" s="16">
        <v>8718</v>
      </c>
      <c r="L85" s="17">
        <f>SUM(K85/K90)</f>
        <v>0.18742744120049878</v>
      </c>
      <c r="M85" s="14">
        <v>1</v>
      </c>
    </row>
    <row r="86" spans="1:13" s="2" customFormat="1" ht="16.5" customHeight="1" thickBot="1">
      <c r="A86" s="6" t="s">
        <v>1103</v>
      </c>
      <c r="B86" s="25" t="s">
        <v>1247</v>
      </c>
      <c r="C86" s="8">
        <v>6614</v>
      </c>
      <c r="D86" s="36">
        <v>8092</v>
      </c>
      <c r="E86" s="8"/>
      <c r="F86" s="8"/>
      <c r="G86" s="8"/>
      <c r="H86" s="8"/>
      <c r="I86" s="33" t="s">
        <v>1280</v>
      </c>
      <c r="J86" s="30" t="s">
        <v>1258</v>
      </c>
      <c r="K86" s="16">
        <v>6101</v>
      </c>
      <c r="L86" s="17">
        <f>SUM(K86/K90)</f>
        <v>0.13116481059465968</v>
      </c>
      <c r="M86" s="2">
        <v>1</v>
      </c>
    </row>
    <row r="87" spans="1:13" s="2" customFormat="1" ht="16.5" customHeight="1" thickBot="1">
      <c r="A87" s="6" t="s">
        <v>1085</v>
      </c>
      <c r="B87" s="28" t="s">
        <v>1258</v>
      </c>
      <c r="C87" s="8">
        <v>6101</v>
      </c>
      <c r="D87" s="8">
        <v>6105</v>
      </c>
      <c r="E87" s="36">
        <v>7502</v>
      </c>
      <c r="F87" s="8"/>
      <c r="G87" s="8"/>
      <c r="H87" s="8"/>
      <c r="I87" s="33" t="s">
        <v>1251</v>
      </c>
      <c r="J87" s="15" t="s">
        <v>1261</v>
      </c>
      <c r="K87" s="21">
        <f>(C85+C88)</f>
        <v>10948</v>
      </c>
      <c r="L87" s="17">
        <f>SUM(K87/K90)</f>
        <v>0.23536999613019735</v>
      </c>
      <c r="M87" s="2">
        <v>1</v>
      </c>
    </row>
    <row r="88" spans="1:13" s="2" customFormat="1" ht="16.5" customHeight="1" thickBot="1">
      <c r="A88" s="12" t="s">
        <v>1111</v>
      </c>
      <c r="B88" s="20" t="s">
        <v>1261</v>
      </c>
      <c r="C88" s="8">
        <v>3825</v>
      </c>
      <c r="D88" s="8">
        <v>3935</v>
      </c>
      <c r="E88" s="8">
        <v>4012</v>
      </c>
      <c r="F88" s="8">
        <v>4064</v>
      </c>
      <c r="G88" s="8">
        <v>4641</v>
      </c>
      <c r="H88" s="8">
        <v>5014</v>
      </c>
      <c r="I88" s="33"/>
      <c r="J88" s="31" t="s">
        <v>1269</v>
      </c>
      <c r="K88" s="21">
        <v>734</v>
      </c>
      <c r="L88" s="17">
        <f>SUM(K88/K90)</f>
        <v>1.5780195210044288E-2</v>
      </c>
    </row>
    <row r="89" spans="1:13" s="2" customFormat="1" ht="16.5" customHeight="1" thickBot="1">
      <c r="A89" s="6" t="s">
        <v>1104</v>
      </c>
      <c r="B89" s="25" t="s">
        <v>1247</v>
      </c>
      <c r="C89" s="8">
        <v>3254</v>
      </c>
      <c r="D89" s="8">
        <v>4049</v>
      </c>
      <c r="E89" s="8">
        <v>4058</v>
      </c>
      <c r="F89" s="8">
        <v>5377</v>
      </c>
      <c r="G89" s="8">
        <v>5615</v>
      </c>
      <c r="H89" s="36">
        <v>5625</v>
      </c>
      <c r="I89" s="33" t="s">
        <v>1253</v>
      </c>
      <c r="J89" s="26" t="s">
        <v>1254</v>
      </c>
      <c r="K89" s="21">
        <f>(C90+C92+C93)</f>
        <v>1018</v>
      </c>
      <c r="L89" s="11">
        <f>SUM(K89/K90)</f>
        <v>2.1885883819925185E-2</v>
      </c>
    </row>
    <row r="90" spans="1:13" s="2" customFormat="1" ht="16.5" customHeight="1" thickBot="1">
      <c r="A90" s="12" t="s">
        <v>1160</v>
      </c>
      <c r="B90" s="42" t="s">
        <v>1878</v>
      </c>
      <c r="C90" s="8">
        <v>830</v>
      </c>
      <c r="D90" s="8">
        <v>831</v>
      </c>
      <c r="E90" s="8">
        <v>1238</v>
      </c>
      <c r="F90" s="8">
        <v>1239</v>
      </c>
      <c r="G90" s="8" t="s">
        <v>1326</v>
      </c>
      <c r="K90" s="23">
        <v>46514</v>
      </c>
    </row>
    <row r="91" spans="1:13" s="2" customFormat="1" ht="16.5" customHeight="1" thickBot="1">
      <c r="A91" s="12" t="s">
        <v>1130</v>
      </c>
      <c r="B91" s="32" t="s">
        <v>1269</v>
      </c>
      <c r="C91" s="8">
        <v>734</v>
      </c>
      <c r="D91" s="8">
        <v>748</v>
      </c>
      <c r="E91" s="8">
        <v>839</v>
      </c>
      <c r="F91" s="8">
        <v>840</v>
      </c>
      <c r="G91" s="8" t="s">
        <v>1326</v>
      </c>
    </row>
    <row r="92" spans="1:13" s="2" customFormat="1" ht="16.5" customHeight="1" thickBot="1">
      <c r="A92" s="12" t="s">
        <v>1131</v>
      </c>
      <c r="B92" s="38" t="s">
        <v>1162</v>
      </c>
      <c r="C92" s="8">
        <v>98</v>
      </c>
      <c r="D92" s="8">
        <v>99</v>
      </c>
      <c r="E92" s="8">
        <v>125</v>
      </c>
      <c r="F92" s="8">
        <v>126</v>
      </c>
      <c r="G92" s="8" t="s">
        <v>1326</v>
      </c>
    </row>
    <row r="93" spans="1:13" s="2" customFormat="1" ht="16.5" customHeight="1" thickBot="1">
      <c r="A93" s="12" t="s">
        <v>1161</v>
      </c>
      <c r="B93" s="38" t="s">
        <v>1270</v>
      </c>
      <c r="C93" s="8">
        <v>90</v>
      </c>
      <c r="D93" s="8">
        <v>94</v>
      </c>
      <c r="E93" s="8">
        <v>99</v>
      </c>
      <c r="F93" s="8">
        <v>100</v>
      </c>
      <c r="G93" s="8" t="s">
        <v>1326</v>
      </c>
      <c r="H93" s="11"/>
    </row>
    <row r="94" spans="1:13" s="2" customFormat="1" ht="12" customHeight="1">
      <c r="A94" s="1"/>
    </row>
    <row r="95" spans="1:13" s="2" customFormat="1" ht="16.5" customHeight="1">
      <c r="A95" s="1" t="s">
        <v>1182</v>
      </c>
    </row>
    <row r="96" spans="1:13" s="2" customFormat="1" ht="9.75" customHeight="1" thickBot="1">
      <c r="A96" s="3"/>
    </row>
    <row r="97" spans="1:16" s="2" customFormat="1" ht="16.5" customHeight="1" thickBot="1">
      <c r="A97" s="4" t="s">
        <v>1244</v>
      </c>
      <c r="B97" s="5" t="s">
        <v>1245</v>
      </c>
      <c r="C97" s="5" t="s">
        <v>1246</v>
      </c>
      <c r="D97" s="5">
        <v>2</v>
      </c>
      <c r="E97" s="5">
        <v>3</v>
      </c>
      <c r="F97" s="5">
        <v>4</v>
      </c>
      <c r="G97" s="5">
        <v>5</v>
      </c>
      <c r="H97" s="5">
        <v>6</v>
      </c>
      <c r="I97" s="5">
        <v>7</v>
      </c>
      <c r="J97" s="5">
        <v>8</v>
      </c>
      <c r="K97" s="5">
        <v>9</v>
      </c>
      <c r="L97" s="5"/>
      <c r="M97" s="10" t="s">
        <v>1413</v>
      </c>
      <c r="N97" s="11">
        <f>(42551/73240)</f>
        <v>0.58098033861277987</v>
      </c>
    </row>
    <row r="98" spans="1:16" s="2" customFormat="1" ht="16.5" customHeight="1" thickBot="1">
      <c r="A98" s="6" t="s">
        <v>1403</v>
      </c>
      <c r="B98" s="7" t="s">
        <v>1261</v>
      </c>
      <c r="C98" s="36">
        <v>8506</v>
      </c>
      <c r="D98" s="8"/>
      <c r="E98" s="8"/>
      <c r="F98" s="8"/>
      <c r="G98" s="8"/>
      <c r="H98" s="8"/>
      <c r="I98" s="8"/>
      <c r="J98" s="8"/>
      <c r="K98" s="8"/>
      <c r="L98" s="33" t="s">
        <v>1271</v>
      </c>
      <c r="M98" s="14"/>
      <c r="N98" s="10" t="s">
        <v>1248</v>
      </c>
      <c r="O98" s="10" t="s">
        <v>1249</v>
      </c>
      <c r="P98" s="10" t="s">
        <v>1250</v>
      </c>
    </row>
    <row r="99" spans="1:16" s="2" customFormat="1" ht="16.5" customHeight="1" thickBot="1">
      <c r="A99" s="6" t="s">
        <v>1401</v>
      </c>
      <c r="B99" s="25" t="s">
        <v>1247</v>
      </c>
      <c r="C99" s="8">
        <v>5955</v>
      </c>
      <c r="D99" s="36">
        <v>6192</v>
      </c>
      <c r="E99" s="8"/>
      <c r="F99" s="8"/>
      <c r="G99" s="8"/>
      <c r="H99" s="8"/>
      <c r="I99" s="8"/>
      <c r="J99" s="8"/>
      <c r="K99" s="8"/>
      <c r="L99" s="33" t="s">
        <v>1362</v>
      </c>
      <c r="M99" s="19" t="s">
        <v>1247</v>
      </c>
      <c r="N99" s="16">
        <f>(C99+C102+C104)</f>
        <v>12887</v>
      </c>
      <c r="O99" s="17">
        <f>SUM(N99/N105)</f>
        <v>0.30884820016296793</v>
      </c>
      <c r="P99" s="14">
        <v>2</v>
      </c>
    </row>
    <row r="100" spans="1:16" s="2" customFormat="1" ht="16.5" customHeight="1" thickBot="1">
      <c r="A100" s="6" t="s">
        <v>1399</v>
      </c>
      <c r="B100" s="28" t="s">
        <v>1258</v>
      </c>
      <c r="C100" s="8">
        <v>5200</v>
      </c>
      <c r="D100" s="8">
        <v>5282</v>
      </c>
      <c r="E100" s="8">
        <v>5355</v>
      </c>
      <c r="F100" s="8">
        <v>5404</v>
      </c>
      <c r="G100" s="36">
        <v>6543</v>
      </c>
      <c r="H100" s="8"/>
      <c r="I100" s="8"/>
      <c r="J100" s="8"/>
      <c r="K100" s="8"/>
      <c r="L100" s="33" t="s">
        <v>1252</v>
      </c>
      <c r="M100" s="18" t="s">
        <v>1257</v>
      </c>
      <c r="N100" s="16">
        <v>4409</v>
      </c>
      <c r="O100" s="17">
        <f>SUM(N100/N105)</f>
        <v>0.10566553228203039</v>
      </c>
      <c r="P100" s="14">
        <v>1</v>
      </c>
    </row>
    <row r="101" spans="1:16" s="2" customFormat="1" ht="16.5" customHeight="1" thickBot="1">
      <c r="A101" s="6" t="s">
        <v>1092</v>
      </c>
      <c r="B101" s="9" t="s">
        <v>1257</v>
      </c>
      <c r="C101" s="8">
        <v>4409</v>
      </c>
      <c r="D101" s="8">
        <v>4481</v>
      </c>
      <c r="E101" s="8">
        <v>4625</v>
      </c>
      <c r="F101" s="8">
        <v>4712</v>
      </c>
      <c r="G101" s="8">
        <v>5680</v>
      </c>
      <c r="H101" s="36">
        <v>6240</v>
      </c>
      <c r="I101" s="8"/>
      <c r="J101" s="8"/>
      <c r="K101" s="8"/>
      <c r="L101" s="33" t="s">
        <v>1280</v>
      </c>
      <c r="M101" s="30" t="s">
        <v>1258</v>
      </c>
      <c r="N101" s="16">
        <v>5200</v>
      </c>
      <c r="O101" s="17">
        <f>SUM(N101/N105)</f>
        <v>0.12462253750659061</v>
      </c>
      <c r="P101" s="2">
        <v>1</v>
      </c>
    </row>
    <row r="102" spans="1:16" s="2" customFormat="1" ht="16.5" customHeight="1" thickBot="1">
      <c r="A102" s="6" t="s">
        <v>1402</v>
      </c>
      <c r="B102" s="25" t="s">
        <v>1247</v>
      </c>
      <c r="C102" s="8">
        <v>3882</v>
      </c>
      <c r="D102" s="8">
        <v>3958</v>
      </c>
      <c r="E102" s="8">
        <v>3992</v>
      </c>
      <c r="F102" s="8">
        <v>4094</v>
      </c>
      <c r="G102" s="8">
        <v>4101</v>
      </c>
      <c r="H102" s="8">
        <v>4103</v>
      </c>
      <c r="I102" s="36">
        <v>6777</v>
      </c>
      <c r="J102" s="8"/>
      <c r="K102" s="8"/>
      <c r="L102" s="33" t="s">
        <v>1251</v>
      </c>
      <c r="M102" s="15" t="s">
        <v>1261</v>
      </c>
      <c r="N102" s="21">
        <f>(C98+C103+C105)</f>
        <v>14927</v>
      </c>
      <c r="O102" s="17">
        <f>SUM(N102/N105)</f>
        <v>0.35773858026170735</v>
      </c>
      <c r="P102" s="2">
        <v>2</v>
      </c>
    </row>
    <row r="103" spans="1:16" s="2" customFormat="1" ht="16.5" customHeight="1" thickBot="1">
      <c r="A103" s="6" t="s">
        <v>1113</v>
      </c>
      <c r="B103" s="7" t="s">
        <v>1261</v>
      </c>
      <c r="C103" s="8">
        <v>3758</v>
      </c>
      <c r="D103" s="8">
        <v>4319</v>
      </c>
      <c r="E103" s="8">
        <v>4433</v>
      </c>
      <c r="F103" s="8">
        <v>4675</v>
      </c>
      <c r="G103" s="8">
        <v>4702</v>
      </c>
      <c r="H103" s="8">
        <v>4707</v>
      </c>
      <c r="I103" s="8">
        <v>4843</v>
      </c>
      <c r="J103" s="8">
        <v>5277</v>
      </c>
      <c r="K103" s="36">
        <v>5347</v>
      </c>
      <c r="L103" s="33" t="s">
        <v>1253</v>
      </c>
      <c r="M103" s="31" t="s">
        <v>1269</v>
      </c>
      <c r="N103" s="21">
        <v>864</v>
      </c>
      <c r="O103" s="17">
        <f>SUM(N103/N105)</f>
        <v>2.0706513924171978E-2</v>
      </c>
    </row>
    <row r="104" spans="1:16" s="2" customFormat="1" ht="16.5" customHeight="1" thickBot="1">
      <c r="A104" s="12" t="s">
        <v>1164</v>
      </c>
      <c r="B104" s="13" t="s">
        <v>1247</v>
      </c>
      <c r="C104" s="8">
        <v>3050</v>
      </c>
      <c r="D104" s="8">
        <v>3150</v>
      </c>
      <c r="E104" s="8">
        <v>3161</v>
      </c>
      <c r="F104" s="8">
        <v>3305</v>
      </c>
      <c r="G104" s="8">
        <v>3306</v>
      </c>
      <c r="H104" s="8">
        <v>3308</v>
      </c>
      <c r="I104" s="8" t="s">
        <v>1326</v>
      </c>
      <c r="M104" s="26" t="s">
        <v>1254</v>
      </c>
      <c r="N104" s="21">
        <f>(C106+C107)</f>
        <v>3439</v>
      </c>
      <c r="O104" s="11">
        <f>SUM(N104/N105)</f>
        <v>8.2418635862531758E-2</v>
      </c>
    </row>
    <row r="105" spans="1:16" s="2" customFormat="1" ht="16.5" customHeight="1" thickBot="1">
      <c r="A105" s="12" t="s">
        <v>1132</v>
      </c>
      <c r="B105" s="20" t="s">
        <v>1261</v>
      </c>
      <c r="C105" s="8">
        <v>2663</v>
      </c>
      <c r="D105" s="8">
        <v>3845</v>
      </c>
      <c r="E105" s="8">
        <v>3958</v>
      </c>
      <c r="F105" s="8">
        <v>4223</v>
      </c>
      <c r="G105" s="8">
        <v>4251</v>
      </c>
      <c r="H105" s="8">
        <v>4259</v>
      </c>
      <c r="I105" s="8">
        <v>4449</v>
      </c>
      <c r="J105" s="8">
        <v>4826</v>
      </c>
      <c r="K105" s="8">
        <v>4883</v>
      </c>
      <c r="L105" s="33"/>
      <c r="N105" s="23">
        <f>SUM(C98:C108)</f>
        <v>41726</v>
      </c>
    </row>
    <row r="106" spans="1:16" s="2" customFormat="1" ht="16.5" customHeight="1" thickBot="1">
      <c r="A106" s="12" t="s">
        <v>1411</v>
      </c>
      <c r="B106" s="38" t="s">
        <v>1162</v>
      </c>
      <c r="C106" s="8">
        <v>2332</v>
      </c>
      <c r="D106" s="8">
        <v>2253</v>
      </c>
      <c r="E106" s="8">
        <v>2374</v>
      </c>
      <c r="F106" s="8">
        <v>2399</v>
      </c>
      <c r="G106" s="8" t="s">
        <v>1326</v>
      </c>
    </row>
    <row r="107" spans="1:16" s="2" customFormat="1" ht="16.5" customHeight="1" thickBot="1">
      <c r="A107" s="12" t="s">
        <v>1896</v>
      </c>
      <c r="B107" s="39" t="s">
        <v>1320</v>
      </c>
      <c r="C107" s="8">
        <v>1107</v>
      </c>
      <c r="D107" s="8">
        <v>1227</v>
      </c>
      <c r="E107" s="8">
        <v>1239</v>
      </c>
      <c r="F107" s="8" t="s">
        <v>1326</v>
      </c>
      <c r="M107" s="17"/>
    </row>
    <row r="108" spans="1:16" s="2" customFormat="1" ht="16.5" customHeight="1" thickBot="1">
      <c r="A108" s="12" t="s">
        <v>1406</v>
      </c>
      <c r="B108" s="32" t="s">
        <v>1269</v>
      </c>
      <c r="C108" s="8">
        <v>864</v>
      </c>
      <c r="D108" s="43">
        <v>915</v>
      </c>
      <c r="E108" s="8" t="s">
        <v>1326</v>
      </c>
      <c r="M108" s="17"/>
    </row>
    <row r="109" spans="1:16" s="2" customFormat="1" ht="12" customHeight="1">
      <c r="A109" s="1"/>
    </row>
    <row r="110" spans="1:16" s="2" customFormat="1" ht="16.5" customHeight="1">
      <c r="A110" s="1" t="s">
        <v>1194</v>
      </c>
    </row>
    <row r="111" spans="1:16" s="2" customFormat="1" ht="9.75" customHeight="1" thickBot="1">
      <c r="A111" s="3"/>
    </row>
    <row r="112" spans="1:16" s="2" customFormat="1" ht="16.5" customHeight="1" thickBot="1">
      <c r="A112" s="4" t="s">
        <v>1244</v>
      </c>
      <c r="B112" s="5" t="s">
        <v>1245</v>
      </c>
      <c r="C112" s="5" t="s">
        <v>1246</v>
      </c>
      <c r="D112" s="5">
        <v>2</v>
      </c>
      <c r="E112" s="5">
        <v>3</v>
      </c>
      <c r="F112" s="5">
        <v>4</v>
      </c>
      <c r="G112" s="5">
        <v>5</v>
      </c>
      <c r="H112" s="5">
        <v>6</v>
      </c>
      <c r="I112" s="5">
        <v>7</v>
      </c>
      <c r="J112" s="5"/>
      <c r="K112" s="10" t="s">
        <v>1413</v>
      </c>
      <c r="L112" s="11">
        <f>(43113/77905)</f>
        <v>0.55340478788267766</v>
      </c>
    </row>
    <row r="113" spans="1:15" s="2" customFormat="1" ht="16.5" customHeight="1" thickBot="1">
      <c r="A113" s="6" t="s">
        <v>1421</v>
      </c>
      <c r="B113" s="25" t="s">
        <v>1247</v>
      </c>
      <c r="C113" s="36">
        <v>6649</v>
      </c>
      <c r="D113" s="8"/>
      <c r="E113" s="8"/>
      <c r="F113" s="8"/>
      <c r="G113" s="8"/>
      <c r="H113" s="8"/>
      <c r="I113" s="8"/>
      <c r="J113" s="33" t="s">
        <v>1271</v>
      </c>
      <c r="K113" s="14"/>
      <c r="L113" s="10" t="s">
        <v>1248</v>
      </c>
      <c r="M113" s="10" t="s">
        <v>1249</v>
      </c>
      <c r="N113" s="10" t="s">
        <v>1250</v>
      </c>
    </row>
    <row r="114" spans="1:15" s="2" customFormat="1" ht="16.5" customHeight="1" thickBot="1">
      <c r="A114" s="6" t="s">
        <v>811</v>
      </c>
      <c r="B114" s="28" t="s">
        <v>1258</v>
      </c>
      <c r="C114" s="8">
        <v>5854</v>
      </c>
      <c r="D114" s="8">
        <v>5855</v>
      </c>
      <c r="E114" s="8">
        <v>5878</v>
      </c>
      <c r="F114" s="8">
        <v>6035</v>
      </c>
      <c r="G114" s="36">
        <v>6163</v>
      </c>
      <c r="H114" s="8"/>
      <c r="I114" s="8"/>
      <c r="J114" s="33" t="s">
        <v>1362</v>
      </c>
      <c r="K114" s="19" t="s">
        <v>1247</v>
      </c>
      <c r="L114" s="16">
        <f>(C113+C116)</f>
        <v>11528</v>
      </c>
      <c r="M114" s="17">
        <f>SUM(L114/L120)</f>
        <v>0.27213068315943534</v>
      </c>
      <c r="N114" s="14">
        <v>1</v>
      </c>
    </row>
    <row r="115" spans="1:15" s="2" customFormat="1" ht="16.5" customHeight="1" thickBot="1">
      <c r="A115" s="6" t="s">
        <v>1426</v>
      </c>
      <c r="B115" s="28" t="s">
        <v>1258</v>
      </c>
      <c r="C115" s="8">
        <v>5645</v>
      </c>
      <c r="D115" s="8">
        <v>5646</v>
      </c>
      <c r="E115" s="8">
        <v>5687</v>
      </c>
      <c r="F115" s="8">
        <v>5936</v>
      </c>
      <c r="G115" s="36">
        <v>6086</v>
      </c>
      <c r="H115" s="8"/>
      <c r="I115" s="8"/>
      <c r="J115" s="33" t="s">
        <v>1252</v>
      </c>
      <c r="K115" s="18" t="s">
        <v>1257</v>
      </c>
      <c r="L115" s="16">
        <f>(C118+C119+C120)</f>
        <v>10426</v>
      </c>
      <c r="M115" s="17">
        <f>SUM(L115/L120)</f>
        <v>0.24611680279495773</v>
      </c>
      <c r="N115" s="14">
        <v>2</v>
      </c>
    </row>
    <row r="116" spans="1:15" s="2" customFormat="1" ht="16.5" customHeight="1" thickBot="1">
      <c r="A116" s="12" t="s">
        <v>1134</v>
      </c>
      <c r="B116" s="13" t="s">
        <v>1247</v>
      </c>
      <c r="C116" s="8">
        <v>4879</v>
      </c>
      <c r="D116" s="8">
        <v>5347</v>
      </c>
      <c r="E116" s="8">
        <v>5347</v>
      </c>
      <c r="F116" s="8">
        <v>5365</v>
      </c>
      <c r="G116" s="8">
        <v>5427</v>
      </c>
      <c r="H116" s="8">
        <v>5429</v>
      </c>
      <c r="I116" s="8">
        <v>5437</v>
      </c>
      <c r="J116" s="33"/>
      <c r="K116" s="30" t="s">
        <v>1258</v>
      </c>
      <c r="L116" s="16">
        <f>(C114+C115)</f>
        <v>11499</v>
      </c>
      <c r="M116" s="17">
        <f>SUM(L116/L120)</f>
        <v>0.27144610736037017</v>
      </c>
      <c r="N116" s="2">
        <v>2</v>
      </c>
    </row>
    <row r="117" spans="1:15" s="2" customFormat="1" ht="16.5" customHeight="1" thickBot="1">
      <c r="A117" s="6" t="s">
        <v>1425</v>
      </c>
      <c r="B117" s="7" t="s">
        <v>1261</v>
      </c>
      <c r="C117" s="8">
        <v>4846</v>
      </c>
      <c r="D117" s="8">
        <v>4942</v>
      </c>
      <c r="E117" s="8">
        <v>4949</v>
      </c>
      <c r="F117" s="8">
        <v>5105</v>
      </c>
      <c r="G117" s="8">
        <v>5734</v>
      </c>
      <c r="H117" s="8">
        <v>5745</v>
      </c>
      <c r="I117" s="36">
        <v>5787</v>
      </c>
      <c r="J117" s="33" t="s">
        <v>1253</v>
      </c>
      <c r="K117" s="15" t="s">
        <v>1261</v>
      </c>
      <c r="L117" s="21">
        <v>4846</v>
      </c>
      <c r="M117" s="17">
        <f>SUM(L117/L120)</f>
        <v>0.11439497662999859</v>
      </c>
      <c r="N117" s="2">
        <v>1</v>
      </c>
    </row>
    <row r="118" spans="1:15" s="2" customFormat="1" ht="16.5" customHeight="1" thickBot="1">
      <c r="A118" s="6" t="s">
        <v>1424</v>
      </c>
      <c r="B118" s="9" t="s">
        <v>1257</v>
      </c>
      <c r="C118" s="8">
        <v>3676</v>
      </c>
      <c r="D118" s="8">
        <v>3676</v>
      </c>
      <c r="E118" s="8">
        <v>3702</v>
      </c>
      <c r="F118" s="8">
        <v>3917</v>
      </c>
      <c r="G118" s="8">
        <v>4231</v>
      </c>
      <c r="H118" s="8">
        <v>4245</v>
      </c>
      <c r="I118" s="36">
        <v>6012</v>
      </c>
      <c r="J118" s="33" t="s">
        <v>1280</v>
      </c>
      <c r="K118" s="31" t="s">
        <v>1269</v>
      </c>
      <c r="L118" s="21">
        <f>(C121+C123)</f>
        <v>2765</v>
      </c>
      <c r="M118" s="17">
        <f>SUM(L118/L120)</f>
        <v>6.5270761531561305E-2</v>
      </c>
    </row>
    <row r="119" spans="1:15" s="2" customFormat="1" ht="16.5" customHeight="1" thickBot="1">
      <c r="A119" s="12" t="s">
        <v>1093</v>
      </c>
      <c r="B119" s="22" t="s">
        <v>1257</v>
      </c>
      <c r="C119" s="8">
        <v>3402</v>
      </c>
      <c r="D119" s="8">
        <v>3403</v>
      </c>
      <c r="E119" s="8">
        <v>3421</v>
      </c>
      <c r="F119" s="8">
        <v>3625</v>
      </c>
      <c r="G119" s="8">
        <v>3865</v>
      </c>
      <c r="H119" s="8">
        <v>3885</v>
      </c>
      <c r="I119" s="8" t="s">
        <v>1326</v>
      </c>
      <c r="K119" s="26" t="s">
        <v>1254</v>
      </c>
      <c r="L119" s="21">
        <f>(C122+C124)</f>
        <v>1298</v>
      </c>
      <c r="M119" s="11">
        <f>SUM(L119/L120)</f>
        <v>3.0640668523676879E-2</v>
      </c>
    </row>
    <row r="120" spans="1:15" s="2" customFormat="1" ht="16.5" customHeight="1" thickBot="1">
      <c r="A120" s="6" t="s">
        <v>1094</v>
      </c>
      <c r="B120" s="9" t="s">
        <v>1257</v>
      </c>
      <c r="C120" s="8">
        <v>3348</v>
      </c>
      <c r="D120" s="8">
        <v>3349</v>
      </c>
      <c r="E120" s="8">
        <v>3374</v>
      </c>
      <c r="F120" s="8">
        <v>3555</v>
      </c>
      <c r="G120" s="8">
        <v>4008</v>
      </c>
      <c r="H120" s="8">
        <v>4043</v>
      </c>
      <c r="I120" s="36">
        <v>5827</v>
      </c>
      <c r="J120" s="33" t="s">
        <v>1251</v>
      </c>
      <c r="L120" s="23">
        <f>SUM(C113:C124)</f>
        <v>42362</v>
      </c>
    </row>
    <row r="121" spans="1:15" s="2" customFormat="1" ht="16.5" customHeight="1" thickBot="1">
      <c r="A121" s="12" t="s">
        <v>1898</v>
      </c>
      <c r="B121" s="32" t="s">
        <v>1269</v>
      </c>
      <c r="C121" s="8">
        <v>1979</v>
      </c>
      <c r="D121" s="8">
        <v>1983</v>
      </c>
      <c r="E121" s="8">
        <v>2014</v>
      </c>
      <c r="F121" s="8">
        <v>2545</v>
      </c>
      <c r="G121" s="8" t="s">
        <v>1326</v>
      </c>
    </row>
    <row r="122" spans="1:15" s="2" customFormat="1" ht="16.5" customHeight="1" thickBot="1">
      <c r="A122" s="12" t="s">
        <v>1948</v>
      </c>
      <c r="B122" s="42" t="s">
        <v>1878</v>
      </c>
      <c r="C122" s="8">
        <v>1026</v>
      </c>
      <c r="D122" s="8">
        <v>1026</v>
      </c>
      <c r="E122" s="8">
        <v>1092</v>
      </c>
      <c r="F122" s="8" t="s">
        <v>1326</v>
      </c>
      <c r="J122" s="17"/>
    </row>
    <row r="123" spans="1:15" s="2" customFormat="1" ht="16.5" customHeight="1" thickBot="1">
      <c r="A123" s="12" t="s">
        <v>1433</v>
      </c>
      <c r="B123" s="32" t="s">
        <v>1269</v>
      </c>
      <c r="C123" s="8">
        <v>786</v>
      </c>
      <c r="D123" s="43">
        <v>793</v>
      </c>
      <c r="E123" s="8">
        <v>802</v>
      </c>
      <c r="F123" s="8" t="s">
        <v>1326</v>
      </c>
      <c r="J123" s="17"/>
    </row>
    <row r="124" spans="1:15" s="2" customFormat="1" ht="16.5" customHeight="1" thickBot="1">
      <c r="A124" s="12" t="s">
        <v>1133</v>
      </c>
      <c r="B124" s="38" t="s">
        <v>1162</v>
      </c>
      <c r="C124" s="8">
        <v>272</v>
      </c>
      <c r="D124" s="8">
        <v>272</v>
      </c>
      <c r="E124" s="8" t="s">
        <v>1326</v>
      </c>
      <c r="O124" s="17"/>
    </row>
    <row r="125" spans="1:15" s="2" customFormat="1" ht="12" customHeight="1">
      <c r="A125" s="1"/>
    </row>
    <row r="126" spans="1:15" s="2" customFormat="1" ht="16.5" customHeight="1">
      <c r="A126" s="1" t="s">
        <v>1181</v>
      </c>
    </row>
    <row r="127" spans="1:15" s="2" customFormat="1" ht="9.75" customHeight="1" thickBot="1">
      <c r="A127" s="3"/>
    </row>
    <row r="128" spans="1:15" s="2" customFormat="1" ht="16.5" customHeight="1" thickBot="1">
      <c r="A128" s="4" t="s">
        <v>1244</v>
      </c>
      <c r="B128" s="5" t="s">
        <v>1245</v>
      </c>
      <c r="C128" s="5" t="s">
        <v>1246</v>
      </c>
      <c r="D128" s="5">
        <v>2</v>
      </c>
      <c r="E128" s="5">
        <v>3</v>
      </c>
      <c r="F128" s="5">
        <v>4</v>
      </c>
      <c r="G128" s="5">
        <v>5</v>
      </c>
      <c r="H128" s="5">
        <v>6</v>
      </c>
      <c r="I128" s="5">
        <v>7</v>
      </c>
      <c r="J128" s="5"/>
      <c r="K128" s="10" t="s">
        <v>1413</v>
      </c>
      <c r="L128" s="11">
        <f>(35842/67532)</f>
        <v>0.53074098205295273</v>
      </c>
    </row>
    <row r="129" spans="1:14" s="2" customFormat="1" ht="16.5" customHeight="1" thickBot="1">
      <c r="A129" s="6" t="s">
        <v>1443</v>
      </c>
      <c r="B129" s="28" t="s">
        <v>1258</v>
      </c>
      <c r="C129" s="36">
        <v>7329</v>
      </c>
      <c r="D129" s="8"/>
      <c r="E129" s="8"/>
      <c r="F129" s="8"/>
      <c r="G129" s="8"/>
      <c r="H129" s="8"/>
      <c r="I129" s="8"/>
      <c r="J129" s="33" t="s">
        <v>1271</v>
      </c>
      <c r="K129" s="14"/>
      <c r="L129" s="10" t="s">
        <v>1248</v>
      </c>
      <c r="M129" s="10" t="s">
        <v>1249</v>
      </c>
      <c r="N129" s="10" t="s">
        <v>1250</v>
      </c>
    </row>
    <row r="130" spans="1:14" s="2" customFormat="1" ht="16.5" customHeight="1" thickBot="1">
      <c r="A130" s="6" t="s">
        <v>1095</v>
      </c>
      <c r="B130" s="9" t="s">
        <v>1257</v>
      </c>
      <c r="C130" s="36">
        <v>5771</v>
      </c>
      <c r="D130" s="8"/>
      <c r="E130" s="8"/>
      <c r="F130" s="8"/>
      <c r="G130" s="8"/>
      <c r="H130" s="8"/>
      <c r="I130" s="8"/>
      <c r="J130" s="33" t="s">
        <v>1362</v>
      </c>
      <c r="K130" s="19" t="s">
        <v>1247</v>
      </c>
      <c r="L130" s="16">
        <v>1203</v>
      </c>
      <c r="M130" s="17">
        <f>SUM(L130/L136)</f>
        <v>3.3899737932200524E-2</v>
      </c>
      <c r="N130" s="14"/>
    </row>
    <row r="131" spans="1:14" s="2" customFormat="1" ht="16.5" customHeight="1" thickBot="1">
      <c r="A131" s="6" t="s">
        <v>1105</v>
      </c>
      <c r="B131" s="45" t="s">
        <v>1269</v>
      </c>
      <c r="C131" s="8">
        <v>4389</v>
      </c>
      <c r="D131" s="8">
        <v>4471</v>
      </c>
      <c r="E131" s="8">
        <v>4550</v>
      </c>
      <c r="F131" s="8">
        <v>4877</v>
      </c>
      <c r="G131" s="8">
        <v>4947</v>
      </c>
      <c r="H131" s="36">
        <v>5120</v>
      </c>
      <c r="I131" s="8"/>
      <c r="J131" s="33" t="s">
        <v>1280</v>
      </c>
      <c r="K131" s="18" t="s">
        <v>1257</v>
      </c>
      <c r="L131" s="16">
        <f>(C130+C136)</f>
        <v>7253</v>
      </c>
      <c r="M131" s="17">
        <f>SUM(L131/L136)</f>
        <v>0.20438470425789726</v>
      </c>
      <c r="N131" s="14">
        <v>1</v>
      </c>
    </row>
    <row r="132" spans="1:14" s="2" customFormat="1" ht="16.5" customHeight="1" thickBot="1">
      <c r="A132" s="6" t="s">
        <v>1445</v>
      </c>
      <c r="B132" s="28" t="s">
        <v>1258</v>
      </c>
      <c r="C132" s="8">
        <v>4352</v>
      </c>
      <c r="D132" s="8">
        <v>4822</v>
      </c>
      <c r="E132" s="8">
        <v>4858</v>
      </c>
      <c r="F132" s="8">
        <v>4872</v>
      </c>
      <c r="G132" s="8">
        <v>4978</v>
      </c>
      <c r="H132" s="8">
        <v>4992</v>
      </c>
      <c r="I132" s="36">
        <v>5518</v>
      </c>
      <c r="J132" s="33" t="s">
        <v>1251</v>
      </c>
      <c r="K132" s="30" t="s">
        <v>1258</v>
      </c>
      <c r="L132" s="16">
        <f>(C129+C132+C133+C134)</f>
        <v>18854</v>
      </c>
      <c r="M132" s="17">
        <f>SUM(L132/L136)</f>
        <v>0.53129314960408036</v>
      </c>
      <c r="N132" s="2">
        <v>4</v>
      </c>
    </row>
    <row r="133" spans="1:14" s="2" customFormat="1" ht="16.5" customHeight="1" thickBot="1">
      <c r="A133" s="6" t="s">
        <v>1086</v>
      </c>
      <c r="B133" s="28" t="s">
        <v>1258</v>
      </c>
      <c r="C133" s="8">
        <v>4263</v>
      </c>
      <c r="D133" s="8">
        <v>4888</v>
      </c>
      <c r="E133" s="8">
        <v>4931</v>
      </c>
      <c r="F133" s="8">
        <v>4950</v>
      </c>
      <c r="G133" s="36">
        <v>5081</v>
      </c>
      <c r="H133" s="8"/>
      <c r="I133" s="8"/>
      <c r="J133" s="33" t="s">
        <v>1252</v>
      </c>
      <c r="K133" s="15" t="s">
        <v>1261</v>
      </c>
      <c r="L133" s="21">
        <v>2165</v>
      </c>
      <c r="M133" s="17">
        <f>SUM(L133/L136)</f>
        <v>6.1008256544650155E-2</v>
      </c>
    </row>
    <row r="134" spans="1:14" s="2" customFormat="1" ht="16.5" customHeight="1" thickBot="1">
      <c r="A134" s="6" t="s">
        <v>812</v>
      </c>
      <c r="B134" s="28" t="s">
        <v>1258</v>
      </c>
      <c r="C134" s="8">
        <v>2910</v>
      </c>
      <c r="D134" s="8">
        <v>3816</v>
      </c>
      <c r="E134" s="8">
        <v>3856</v>
      </c>
      <c r="F134" s="8">
        <v>3874</v>
      </c>
      <c r="G134" s="8">
        <v>4056</v>
      </c>
      <c r="H134" s="8">
        <v>4067</v>
      </c>
      <c r="I134" s="36">
        <v>4791</v>
      </c>
      <c r="J134" s="33" t="s">
        <v>1253</v>
      </c>
      <c r="K134" s="31" t="s">
        <v>1269</v>
      </c>
      <c r="L134" s="21">
        <v>4389</v>
      </c>
      <c r="M134" s="17">
        <f>SUM(L134/L136)</f>
        <v>0.12367909375264181</v>
      </c>
      <c r="N134" s="2">
        <v>1</v>
      </c>
    </row>
    <row r="135" spans="1:14" s="2" customFormat="1" ht="16.5" customHeight="1" thickBot="1">
      <c r="A135" s="12" t="s">
        <v>1136</v>
      </c>
      <c r="B135" s="20" t="s">
        <v>1261</v>
      </c>
      <c r="C135" s="8">
        <v>2165</v>
      </c>
      <c r="D135" s="8">
        <v>2176</v>
      </c>
      <c r="E135" s="8">
        <v>2186</v>
      </c>
      <c r="F135" s="8">
        <v>2286</v>
      </c>
      <c r="G135" s="8">
        <v>2295</v>
      </c>
      <c r="H135" s="8">
        <v>3195</v>
      </c>
      <c r="I135" s="8">
        <v>3406</v>
      </c>
      <c r="J135" s="33"/>
      <c r="K135" s="26" t="s">
        <v>1254</v>
      </c>
      <c r="L135" s="21">
        <f>(C138+C139)</f>
        <v>1623</v>
      </c>
      <c r="M135" s="11">
        <f>SUM(L135/L136)</f>
        <v>4.5735057908529886E-2</v>
      </c>
    </row>
    <row r="136" spans="1:14" s="2" customFormat="1" ht="16.5" customHeight="1" thickBot="1">
      <c r="A136" s="12" t="s">
        <v>1096</v>
      </c>
      <c r="B136" s="22" t="s">
        <v>1257</v>
      </c>
      <c r="C136" s="8">
        <v>1482</v>
      </c>
      <c r="D136" s="8">
        <v>1563</v>
      </c>
      <c r="E136" s="8">
        <v>1985</v>
      </c>
      <c r="F136" s="8">
        <v>2014</v>
      </c>
      <c r="G136" s="8">
        <v>2426</v>
      </c>
      <c r="H136" s="8">
        <v>2434</v>
      </c>
      <c r="I136" s="8" t="s">
        <v>1326</v>
      </c>
      <c r="L136" s="23">
        <f>SUM(C129:C139)</f>
        <v>35487</v>
      </c>
    </row>
    <row r="137" spans="1:14" s="2" customFormat="1" ht="16.5" customHeight="1" thickBot="1">
      <c r="A137" s="12" t="s">
        <v>1163</v>
      </c>
      <c r="B137" s="13" t="s">
        <v>1247</v>
      </c>
      <c r="C137" s="8">
        <v>1203</v>
      </c>
      <c r="D137" s="8">
        <v>1207</v>
      </c>
      <c r="E137" s="8">
        <v>1208</v>
      </c>
      <c r="F137" s="8">
        <v>1237</v>
      </c>
      <c r="G137" s="8">
        <v>1241</v>
      </c>
      <c r="H137" s="8" t="s">
        <v>1326</v>
      </c>
    </row>
    <row r="138" spans="1:14" s="2" customFormat="1" ht="16.5" customHeight="1" thickBot="1">
      <c r="A138" s="12" t="s">
        <v>1137</v>
      </c>
      <c r="B138" s="42" t="s">
        <v>1878</v>
      </c>
      <c r="C138" s="8">
        <v>1031</v>
      </c>
      <c r="D138" s="43">
        <v>1067</v>
      </c>
      <c r="E138" s="43">
        <v>1096</v>
      </c>
      <c r="F138" s="8">
        <v>1110</v>
      </c>
      <c r="G138" s="8" t="s">
        <v>1326</v>
      </c>
      <c r="J138" s="17"/>
    </row>
    <row r="139" spans="1:14" s="2" customFormat="1" ht="16.5" customHeight="1" thickBot="1">
      <c r="A139" s="12" t="s">
        <v>1135</v>
      </c>
      <c r="B139" s="39" t="s">
        <v>1320</v>
      </c>
      <c r="C139" s="8">
        <v>592</v>
      </c>
      <c r="D139" s="8">
        <v>599</v>
      </c>
      <c r="E139" s="8">
        <v>606</v>
      </c>
      <c r="F139" s="8" t="s">
        <v>1326</v>
      </c>
      <c r="L139" s="17"/>
    </row>
    <row r="140" spans="1:14" s="2" customFormat="1" ht="12" customHeight="1">
      <c r="A140" s="3"/>
    </row>
    <row r="141" spans="1:14" s="2" customFormat="1" ht="16.5" customHeight="1">
      <c r="A141" s="1" t="s">
        <v>1190</v>
      </c>
    </row>
    <row r="142" spans="1:14" s="2" customFormat="1" ht="9.75" customHeight="1" thickBot="1">
      <c r="A142" s="3"/>
    </row>
    <row r="143" spans="1:14" s="2" customFormat="1" ht="16.5" customHeight="1" thickBot="1">
      <c r="A143" s="4" t="s">
        <v>1244</v>
      </c>
      <c r="B143" s="5" t="s">
        <v>1245</v>
      </c>
      <c r="C143" s="5" t="s">
        <v>1246</v>
      </c>
      <c r="D143" s="5">
        <v>2</v>
      </c>
      <c r="E143" s="5">
        <v>3</v>
      </c>
      <c r="F143" s="5">
        <v>4</v>
      </c>
      <c r="G143" s="5"/>
      <c r="H143" s="10" t="s">
        <v>1413</v>
      </c>
      <c r="I143" s="11">
        <f>(32652/65231)</f>
        <v>0.50055954990725271</v>
      </c>
    </row>
    <row r="144" spans="1:14" s="2" customFormat="1" ht="16.5" customHeight="1" thickBot="1">
      <c r="A144" s="6" t="s">
        <v>1771</v>
      </c>
      <c r="B144" s="28" t="s">
        <v>1258</v>
      </c>
      <c r="C144" s="36">
        <v>4844</v>
      </c>
      <c r="D144" s="8"/>
      <c r="E144" s="8"/>
      <c r="F144" s="8"/>
      <c r="G144" s="33" t="s">
        <v>1271</v>
      </c>
      <c r="H144" s="14"/>
      <c r="I144" s="10" t="s">
        <v>1248</v>
      </c>
      <c r="J144" s="10" t="s">
        <v>1249</v>
      </c>
      <c r="K144" s="10" t="s">
        <v>1250</v>
      </c>
    </row>
    <row r="145" spans="1:16" s="2" customFormat="1" ht="16.5" customHeight="1" thickBot="1">
      <c r="A145" s="6" t="s">
        <v>1452</v>
      </c>
      <c r="B145" s="25" t="s">
        <v>1247</v>
      </c>
      <c r="C145" s="36">
        <v>4662</v>
      </c>
      <c r="D145" s="8"/>
      <c r="E145" s="8"/>
      <c r="F145" s="8"/>
      <c r="G145" s="33" t="s">
        <v>1362</v>
      </c>
      <c r="H145" s="19" t="s">
        <v>1247</v>
      </c>
      <c r="I145" s="16">
        <v>4662</v>
      </c>
      <c r="J145" s="17">
        <f>SUM(I145/I151)</f>
        <v>0.14494465862454919</v>
      </c>
      <c r="K145" s="14">
        <v>1</v>
      </c>
    </row>
    <row r="146" spans="1:16" s="2" customFormat="1" ht="16.5" customHeight="1" thickBot="1">
      <c r="A146" s="6" t="s">
        <v>1087</v>
      </c>
      <c r="B146" s="28" t="s">
        <v>1258</v>
      </c>
      <c r="C146" s="36">
        <v>4607</v>
      </c>
      <c r="D146" s="8"/>
      <c r="E146" s="8"/>
      <c r="F146" s="8"/>
      <c r="G146" s="33" t="s">
        <v>1252</v>
      </c>
      <c r="H146" s="18" t="s">
        <v>1257</v>
      </c>
      <c r="I146" s="16">
        <f>(C148+C151)</f>
        <v>5730</v>
      </c>
      <c r="J146" s="17">
        <f>SUM(I146/I151)</f>
        <v>0.17814948389503793</v>
      </c>
      <c r="K146" s="14">
        <v>1</v>
      </c>
    </row>
    <row r="147" spans="1:16" s="2" customFormat="1" ht="16.5" customHeight="1" thickBot="1">
      <c r="A147" s="6" t="s">
        <v>1454</v>
      </c>
      <c r="B147" s="45" t="s">
        <v>1269</v>
      </c>
      <c r="C147" s="8">
        <v>4554</v>
      </c>
      <c r="D147" s="36">
        <v>4660</v>
      </c>
      <c r="E147" s="8"/>
      <c r="F147" s="8"/>
      <c r="G147" s="33" t="s">
        <v>1280</v>
      </c>
      <c r="H147" s="30" t="s">
        <v>1258</v>
      </c>
      <c r="I147" s="16">
        <f>(C144+C146+C150)</f>
        <v>12317</v>
      </c>
      <c r="J147" s="17">
        <f>SUM(I147/I151)</f>
        <v>0.38294366372341748</v>
      </c>
      <c r="K147" s="2">
        <v>3</v>
      </c>
    </row>
    <row r="148" spans="1:16" s="2" customFormat="1" ht="16.5" customHeight="1" thickBot="1">
      <c r="A148" s="6" t="s">
        <v>1459</v>
      </c>
      <c r="B148" s="9" t="s">
        <v>1257</v>
      </c>
      <c r="C148" s="8">
        <v>3445</v>
      </c>
      <c r="D148" s="8">
        <v>3826</v>
      </c>
      <c r="E148" s="36">
        <v>5585</v>
      </c>
      <c r="F148" s="8"/>
      <c r="G148" s="33" t="s">
        <v>1251</v>
      </c>
      <c r="H148" s="15" t="s">
        <v>1261</v>
      </c>
      <c r="I148" s="21">
        <v>3406</v>
      </c>
      <c r="J148" s="17">
        <f>SUM(I148/I151)</f>
        <v>0.10589478920532272</v>
      </c>
    </row>
    <row r="149" spans="1:16" s="2" customFormat="1" ht="16.5" customHeight="1" thickBot="1">
      <c r="A149" s="12" t="s">
        <v>1458</v>
      </c>
      <c r="B149" s="20" t="s">
        <v>1261</v>
      </c>
      <c r="C149" s="8">
        <v>3406</v>
      </c>
      <c r="D149" s="8">
        <v>3436</v>
      </c>
      <c r="E149" s="8">
        <v>3482</v>
      </c>
      <c r="F149" s="8">
        <v>3591</v>
      </c>
      <c r="G149" s="33"/>
      <c r="H149" s="31" t="s">
        <v>1269</v>
      </c>
      <c r="I149" s="21">
        <v>4554</v>
      </c>
      <c r="J149" s="17">
        <f>SUM(I149/I151)</f>
        <v>0.14158686730506156</v>
      </c>
      <c r="K149" s="2">
        <v>1</v>
      </c>
    </row>
    <row r="150" spans="1:16" s="2" customFormat="1" ht="16.5" customHeight="1" thickBot="1">
      <c r="A150" s="6" t="s">
        <v>813</v>
      </c>
      <c r="B150" s="28" t="s">
        <v>1258</v>
      </c>
      <c r="C150" s="8">
        <v>2866</v>
      </c>
      <c r="D150" s="8">
        <v>3329</v>
      </c>
      <c r="E150" s="8">
        <v>3797</v>
      </c>
      <c r="F150" s="36">
        <v>4668</v>
      </c>
      <c r="G150" s="33" t="s">
        <v>1253</v>
      </c>
      <c r="H150" s="26" t="s">
        <v>1254</v>
      </c>
      <c r="I150" s="21">
        <f>(C152+C153)</f>
        <v>1495</v>
      </c>
      <c r="J150" s="11">
        <f>SUM(I150/I151)</f>
        <v>4.6480537246611116E-2</v>
      </c>
    </row>
    <row r="151" spans="1:16" s="2" customFormat="1" ht="16.5" customHeight="1" thickBot="1">
      <c r="A151" s="12" t="s">
        <v>1776</v>
      </c>
      <c r="B151" s="22" t="s">
        <v>1257</v>
      </c>
      <c r="C151" s="8">
        <v>2285</v>
      </c>
      <c r="D151" s="8">
        <v>2568</v>
      </c>
      <c r="E151" s="8" t="s">
        <v>1326</v>
      </c>
      <c r="I151" s="23">
        <f>SUM(C144:C153)</f>
        <v>32164</v>
      </c>
    </row>
    <row r="152" spans="1:16" s="2" customFormat="1" ht="16.5" customHeight="1" thickBot="1">
      <c r="A152" s="12" t="s">
        <v>1457</v>
      </c>
      <c r="B152" s="42" t="s">
        <v>1878</v>
      </c>
      <c r="C152" s="8">
        <v>1091</v>
      </c>
      <c r="D152" s="8" t="s">
        <v>1326</v>
      </c>
    </row>
    <row r="153" spans="1:16" s="2" customFormat="1" ht="16.5" customHeight="1" thickBot="1">
      <c r="A153" s="12" t="s">
        <v>1169</v>
      </c>
      <c r="B153" s="38" t="s">
        <v>1167</v>
      </c>
      <c r="C153" s="8">
        <v>404</v>
      </c>
      <c r="D153" s="8" t="s">
        <v>1326</v>
      </c>
      <c r="H153" s="17"/>
    </row>
    <row r="154" spans="1:16" s="2" customFormat="1" ht="12" customHeight="1">
      <c r="A154" s="3"/>
    </row>
    <row r="155" spans="1:16" s="2" customFormat="1" ht="16.5" customHeight="1">
      <c r="A155" s="1" t="s">
        <v>1183</v>
      </c>
    </row>
    <row r="156" spans="1:16" s="2" customFormat="1" ht="9.75" customHeight="1" thickBot="1">
      <c r="A156" s="3"/>
    </row>
    <row r="157" spans="1:16" s="2" customFormat="1" ht="16.5" customHeight="1" thickBot="1">
      <c r="A157" s="4" t="s">
        <v>1244</v>
      </c>
      <c r="B157" s="5" t="s">
        <v>1245</v>
      </c>
      <c r="C157" s="5" t="s">
        <v>1246</v>
      </c>
      <c r="D157" s="5">
        <v>2</v>
      </c>
      <c r="E157" s="5">
        <v>3</v>
      </c>
      <c r="F157" s="5">
        <v>4</v>
      </c>
      <c r="G157" s="5">
        <v>5</v>
      </c>
      <c r="H157" s="5">
        <v>6</v>
      </c>
      <c r="I157" s="5">
        <v>7</v>
      </c>
      <c r="J157" s="5">
        <v>8</v>
      </c>
      <c r="K157" s="5">
        <v>9</v>
      </c>
      <c r="L157" s="5"/>
      <c r="M157" s="10" t="s">
        <v>1413</v>
      </c>
      <c r="N157" s="11">
        <f>(40983/74760)</f>
        <v>0.54819422150882824</v>
      </c>
    </row>
    <row r="158" spans="1:16" s="2" customFormat="1" ht="16.5" customHeight="1" thickBot="1">
      <c r="A158" s="6" t="s">
        <v>814</v>
      </c>
      <c r="B158" s="28" t="s">
        <v>1258</v>
      </c>
      <c r="C158" s="36">
        <v>6581</v>
      </c>
      <c r="D158" s="8"/>
      <c r="E158" s="8"/>
      <c r="F158" s="8"/>
      <c r="G158" s="8"/>
      <c r="H158" s="8"/>
      <c r="I158" s="8"/>
      <c r="J158" s="8"/>
      <c r="K158" s="8"/>
      <c r="L158" s="33" t="s">
        <v>1271</v>
      </c>
      <c r="M158" s="14"/>
      <c r="N158" s="10" t="s">
        <v>1248</v>
      </c>
      <c r="O158" s="10" t="s">
        <v>1249</v>
      </c>
      <c r="P158" s="10" t="s">
        <v>1250</v>
      </c>
    </row>
    <row r="159" spans="1:16" s="2" customFormat="1" ht="16.5" customHeight="1" thickBot="1">
      <c r="A159" s="6" t="s">
        <v>1106</v>
      </c>
      <c r="B159" s="25" t="s">
        <v>1247</v>
      </c>
      <c r="C159" s="36">
        <v>6152</v>
      </c>
      <c r="D159" s="8"/>
      <c r="E159" s="8"/>
      <c r="F159" s="8"/>
      <c r="G159" s="8"/>
      <c r="H159" s="8"/>
      <c r="I159" s="8"/>
      <c r="J159" s="8"/>
      <c r="K159" s="8"/>
      <c r="L159" s="33" t="s">
        <v>1362</v>
      </c>
      <c r="M159" s="19" t="s">
        <v>1247</v>
      </c>
      <c r="N159" s="16">
        <v>6152</v>
      </c>
      <c r="O159" s="17">
        <f>SUM(N159/N165)</f>
        <v>0.15260585915213454</v>
      </c>
      <c r="P159" s="14">
        <v>1</v>
      </c>
    </row>
    <row r="160" spans="1:16" s="2" customFormat="1" ht="16.5" customHeight="1" thickBot="1">
      <c r="A160" s="6" t="s">
        <v>1467</v>
      </c>
      <c r="B160" s="28" t="s">
        <v>1258</v>
      </c>
      <c r="C160" s="36">
        <v>6083</v>
      </c>
      <c r="D160" s="8"/>
      <c r="E160" s="8"/>
      <c r="F160" s="8"/>
      <c r="G160" s="8"/>
      <c r="H160" s="8"/>
      <c r="I160" s="8"/>
      <c r="J160" s="8"/>
      <c r="K160" s="8"/>
      <c r="L160" s="33" t="s">
        <v>1252</v>
      </c>
      <c r="M160" s="18" t="s">
        <v>1257</v>
      </c>
      <c r="N160" s="16">
        <f>(C165+C166)</f>
        <v>4707</v>
      </c>
      <c r="O160" s="17">
        <f>SUM(N160/N165)</f>
        <v>0.1167613424949768</v>
      </c>
      <c r="P160" s="14">
        <v>1</v>
      </c>
    </row>
    <row r="161" spans="1:17" s="2" customFormat="1" ht="16.5" customHeight="1" thickBot="1">
      <c r="A161" s="6" t="s">
        <v>1914</v>
      </c>
      <c r="B161" s="72" t="s">
        <v>1878</v>
      </c>
      <c r="C161" s="8">
        <v>4061</v>
      </c>
      <c r="D161" s="8">
        <v>4093</v>
      </c>
      <c r="E161" s="8">
        <v>4656</v>
      </c>
      <c r="F161" s="8">
        <v>4657</v>
      </c>
      <c r="G161" s="8">
        <v>4745</v>
      </c>
      <c r="H161" s="8">
        <v>4759</v>
      </c>
      <c r="I161" s="8">
        <v>4963</v>
      </c>
      <c r="J161" s="8">
        <v>5189</v>
      </c>
      <c r="K161" s="36">
        <v>5430</v>
      </c>
      <c r="L161" s="33" t="s">
        <v>1253</v>
      </c>
      <c r="M161" s="30" t="s">
        <v>1258</v>
      </c>
      <c r="N161" s="16">
        <f>(C158+C160+C163+C164)</f>
        <v>19195</v>
      </c>
      <c r="O161" s="17">
        <f>SUM(N161/N165)</f>
        <v>0.47614913303400885</v>
      </c>
      <c r="P161" s="2">
        <v>3</v>
      </c>
    </row>
    <row r="162" spans="1:17" s="2" customFormat="1" ht="16.5" customHeight="1" thickBot="1">
      <c r="A162" s="12" t="s">
        <v>1107</v>
      </c>
      <c r="B162" s="20" t="s">
        <v>1261</v>
      </c>
      <c r="C162" s="8">
        <v>3682</v>
      </c>
      <c r="D162" s="8">
        <v>3689</v>
      </c>
      <c r="E162" s="8">
        <v>3689</v>
      </c>
      <c r="F162" s="8">
        <v>4036</v>
      </c>
      <c r="G162" s="8">
        <v>4639</v>
      </c>
      <c r="H162" s="8">
        <v>4641</v>
      </c>
      <c r="I162" s="8">
        <v>4745</v>
      </c>
      <c r="J162" s="8">
        <v>4798</v>
      </c>
      <c r="K162" s="8">
        <v>4816</v>
      </c>
      <c r="L162" s="33"/>
      <c r="M162" s="15" t="s">
        <v>1261</v>
      </c>
      <c r="N162" s="21">
        <v>3682</v>
      </c>
      <c r="O162" s="17">
        <f>SUM(N162/N165)</f>
        <v>9.1335301267581173E-2</v>
      </c>
    </row>
    <row r="163" spans="1:17" s="2" customFormat="1" ht="16.5" customHeight="1" thickBot="1">
      <c r="A163" s="6" t="s">
        <v>815</v>
      </c>
      <c r="B163" s="28" t="s">
        <v>1258</v>
      </c>
      <c r="C163" s="8">
        <v>3275</v>
      </c>
      <c r="D163" s="8">
        <v>3826</v>
      </c>
      <c r="E163" s="8">
        <v>3832</v>
      </c>
      <c r="F163" s="8">
        <v>3833</v>
      </c>
      <c r="G163" s="8">
        <v>3941</v>
      </c>
      <c r="H163" s="8">
        <v>3974</v>
      </c>
      <c r="I163" s="8">
        <v>4063</v>
      </c>
      <c r="J163" s="36">
        <v>6594</v>
      </c>
      <c r="K163" s="8"/>
      <c r="L163" s="33" t="s">
        <v>1280</v>
      </c>
      <c r="M163" s="31" t="s">
        <v>1269</v>
      </c>
      <c r="N163" s="21">
        <v>1848</v>
      </c>
      <c r="O163" s="17">
        <f>SUM(N163/N165)</f>
        <v>4.584129189095329E-2</v>
      </c>
    </row>
    <row r="164" spans="1:17" s="2" customFormat="1" ht="16.5" customHeight="1" thickBot="1">
      <c r="A164" s="12" t="s">
        <v>816</v>
      </c>
      <c r="B164" s="27" t="s">
        <v>1258</v>
      </c>
      <c r="C164" s="8">
        <v>3256</v>
      </c>
      <c r="D164" s="8">
        <v>3381</v>
      </c>
      <c r="E164" s="8">
        <v>3405</v>
      </c>
      <c r="F164" s="8">
        <v>3406</v>
      </c>
      <c r="G164" s="8">
        <v>3539</v>
      </c>
      <c r="H164" s="8">
        <v>3754</v>
      </c>
      <c r="I164" s="8">
        <v>3989</v>
      </c>
      <c r="J164" s="8" t="s">
        <v>1326</v>
      </c>
      <c r="M164" s="26" t="s">
        <v>1254</v>
      </c>
      <c r="N164" s="21">
        <f>(C161+C168)</f>
        <v>4729</v>
      </c>
      <c r="O164" s="11">
        <f>SUM(N164/N165)</f>
        <v>0.1173070721603453</v>
      </c>
      <c r="P164" s="2">
        <v>1</v>
      </c>
    </row>
    <row r="165" spans="1:17" s="2" customFormat="1" ht="16.5" customHeight="1" thickBot="1">
      <c r="A165" s="6" t="s">
        <v>1097</v>
      </c>
      <c r="B165" s="9" t="s">
        <v>1257</v>
      </c>
      <c r="C165" s="8">
        <v>2518</v>
      </c>
      <c r="D165" s="8">
        <v>2547</v>
      </c>
      <c r="E165" s="8">
        <v>2565</v>
      </c>
      <c r="F165" s="8">
        <v>2566</v>
      </c>
      <c r="G165" s="8">
        <v>2829</v>
      </c>
      <c r="H165" s="8">
        <v>2840</v>
      </c>
      <c r="I165" s="8">
        <v>4578</v>
      </c>
      <c r="J165" s="8">
        <v>4991</v>
      </c>
      <c r="K165" s="36">
        <v>5557</v>
      </c>
      <c r="L165" s="33" t="s">
        <v>1251</v>
      </c>
      <c r="N165" s="23">
        <f>SUM(C158:C168)</f>
        <v>40313</v>
      </c>
    </row>
    <row r="166" spans="1:17" s="2" customFormat="1" ht="16.5" customHeight="1" thickBot="1">
      <c r="A166" s="12" t="s">
        <v>1098</v>
      </c>
      <c r="B166" s="22" t="s">
        <v>1257</v>
      </c>
      <c r="C166" s="8">
        <v>2189</v>
      </c>
      <c r="D166" s="8">
        <v>2207</v>
      </c>
      <c r="E166" s="8">
        <v>2237</v>
      </c>
      <c r="F166" s="8">
        <v>2241</v>
      </c>
      <c r="G166" s="8">
        <v>2564</v>
      </c>
      <c r="H166" s="8">
        <v>2583</v>
      </c>
      <c r="I166" s="8" t="s">
        <v>1326</v>
      </c>
    </row>
    <row r="167" spans="1:17" s="2" customFormat="1" ht="16.5" customHeight="1" thickBot="1">
      <c r="A167" s="12" t="s">
        <v>1474</v>
      </c>
      <c r="B167" s="32" t="s">
        <v>1269</v>
      </c>
      <c r="C167" s="8">
        <v>1848</v>
      </c>
      <c r="D167" s="43">
        <v>1860</v>
      </c>
      <c r="E167" s="43">
        <v>1868</v>
      </c>
      <c r="F167" s="8">
        <v>1882</v>
      </c>
      <c r="G167" s="8" t="s">
        <v>1326</v>
      </c>
    </row>
    <row r="168" spans="1:17" s="2" customFormat="1" ht="16.5" customHeight="1" thickBot="1">
      <c r="A168" s="12" t="s">
        <v>1138</v>
      </c>
      <c r="B168" s="42" t="s">
        <v>1878</v>
      </c>
      <c r="C168" s="8">
        <v>668</v>
      </c>
      <c r="D168" s="8">
        <v>670</v>
      </c>
      <c r="E168" s="8" t="s">
        <v>1326</v>
      </c>
    </row>
    <row r="169" spans="1:17" s="2" customFormat="1" ht="12" customHeight="1">
      <c r="A169" s="1"/>
    </row>
    <row r="170" spans="1:17" s="2" customFormat="1" ht="16.5" customHeight="1">
      <c r="A170" s="1" t="s">
        <v>1196</v>
      </c>
    </row>
    <row r="171" spans="1:17" s="2" customFormat="1" ht="9.75" customHeight="1" thickBot="1">
      <c r="A171" s="3"/>
    </row>
    <row r="172" spans="1:17" s="2" customFormat="1" ht="16.5" customHeight="1" thickBot="1">
      <c r="A172" s="4" t="s">
        <v>1244</v>
      </c>
      <c r="B172" s="5" t="s">
        <v>1245</v>
      </c>
      <c r="C172" s="5" t="s">
        <v>1246</v>
      </c>
      <c r="D172" s="5">
        <v>2</v>
      </c>
      <c r="E172" s="5">
        <v>3</v>
      </c>
      <c r="F172" s="5">
        <v>4</v>
      </c>
      <c r="G172" s="5">
        <v>5</v>
      </c>
      <c r="H172" s="5">
        <v>6</v>
      </c>
      <c r="I172" s="5">
        <v>7</v>
      </c>
      <c r="J172" s="5">
        <v>8</v>
      </c>
      <c r="K172" s="5">
        <v>9</v>
      </c>
      <c r="L172" s="5">
        <v>10</v>
      </c>
      <c r="M172" s="5"/>
      <c r="N172" s="10" t="s">
        <v>1413</v>
      </c>
      <c r="O172" s="11">
        <f>(29430/61617)</f>
        <v>0.4776279273577097</v>
      </c>
    </row>
    <row r="173" spans="1:17" s="2" customFormat="1" ht="16.5" customHeight="1" thickBot="1">
      <c r="A173" s="6" t="s">
        <v>1477</v>
      </c>
      <c r="B173" s="28" t="s">
        <v>1258</v>
      </c>
      <c r="C173" s="36">
        <v>7181</v>
      </c>
      <c r="D173" s="8"/>
      <c r="E173" s="8"/>
      <c r="F173" s="8"/>
      <c r="G173" s="8"/>
      <c r="H173" s="8"/>
      <c r="I173" s="8"/>
      <c r="J173" s="8"/>
      <c r="K173" s="8"/>
      <c r="L173" s="8"/>
      <c r="M173" s="33" t="s">
        <v>1271</v>
      </c>
      <c r="N173" s="14"/>
      <c r="O173" s="10" t="s">
        <v>1248</v>
      </c>
      <c r="P173" s="10" t="s">
        <v>1249</v>
      </c>
      <c r="Q173" s="10" t="s">
        <v>1250</v>
      </c>
    </row>
    <row r="174" spans="1:17" s="2" customFormat="1" ht="16.5" customHeight="1" thickBot="1">
      <c r="A174" s="6" t="s">
        <v>1481</v>
      </c>
      <c r="B174" s="28" t="s">
        <v>1258</v>
      </c>
      <c r="C174" s="8">
        <v>3288</v>
      </c>
      <c r="D174" s="36">
        <v>4218</v>
      </c>
      <c r="E174" s="8"/>
      <c r="F174" s="8"/>
      <c r="G174" s="8"/>
      <c r="H174" s="8"/>
      <c r="I174" s="8"/>
      <c r="J174" s="8"/>
      <c r="K174" s="8"/>
      <c r="L174" s="8"/>
      <c r="M174" s="33" t="s">
        <v>1362</v>
      </c>
      <c r="N174" s="19" t="s">
        <v>1247</v>
      </c>
      <c r="O174" s="16">
        <v>2369</v>
      </c>
      <c r="P174" s="17">
        <f>SUM(O174/O180)</f>
        <v>8.1624918168349242E-2</v>
      </c>
      <c r="Q174" s="14">
        <v>1</v>
      </c>
    </row>
    <row r="175" spans="1:17" s="2" customFormat="1" ht="16.5" customHeight="1" thickBot="1">
      <c r="A175" s="6" t="s">
        <v>2372</v>
      </c>
      <c r="B175" s="9" t="s">
        <v>1257</v>
      </c>
      <c r="C175" s="8">
        <v>3042</v>
      </c>
      <c r="D175" s="8">
        <v>3349</v>
      </c>
      <c r="E175" s="8">
        <v>3450</v>
      </c>
      <c r="F175" s="8">
        <v>3468</v>
      </c>
      <c r="G175" s="8">
        <v>3839</v>
      </c>
      <c r="H175" s="8">
        <v>4037</v>
      </c>
      <c r="I175" s="8">
        <v>4080</v>
      </c>
      <c r="J175" s="8">
        <v>4125</v>
      </c>
      <c r="K175" s="36">
        <v>4194</v>
      </c>
      <c r="L175" s="8"/>
      <c r="M175" s="33" t="s">
        <v>1251</v>
      </c>
      <c r="N175" s="18" t="s">
        <v>1257</v>
      </c>
      <c r="O175" s="16">
        <f>(C175+C178)</f>
        <v>4893</v>
      </c>
      <c r="P175" s="17">
        <f>SUM(O175/O180)</f>
        <v>0.1685904282810185</v>
      </c>
      <c r="Q175" s="14">
        <v>1</v>
      </c>
    </row>
    <row r="176" spans="1:17" s="2" customFormat="1" ht="16.5" customHeight="1" thickBot="1">
      <c r="A176" s="6" t="s">
        <v>1484</v>
      </c>
      <c r="B176" s="45" t="s">
        <v>1269</v>
      </c>
      <c r="C176" s="8">
        <v>2889</v>
      </c>
      <c r="D176" s="8">
        <v>2977</v>
      </c>
      <c r="E176" s="8">
        <v>3162</v>
      </c>
      <c r="F176" s="8">
        <v>3410</v>
      </c>
      <c r="G176" s="8">
        <v>3480</v>
      </c>
      <c r="H176" s="8">
        <v>3520</v>
      </c>
      <c r="I176" s="8">
        <v>3527</v>
      </c>
      <c r="J176" s="8">
        <v>3534</v>
      </c>
      <c r="K176" s="36">
        <v>4777</v>
      </c>
      <c r="L176" s="8"/>
      <c r="M176" s="33" t="s">
        <v>1280</v>
      </c>
      <c r="N176" s="30" t="s">
        <v>1258</v>
      </c>
      <c r="O176" s="16">
        <f>(C173+C174+C180+C183)</f>
        <v>13398</v>
      </c>
      <c r="P176" s="17">
        <f>SUM(O176/O180)</f>
        <v>0.46163387658064292</v>
      </c>
      <c r="Q176" s="2">
        <v>3</v>
      </c>
    </row>
    <row r="177" spans="1:17" s="2" customFormat="1" ht="16.5" customHeight="1" thickBot="1">
      <c r="A177" s="6" t="s">
        <v>1486</v>
      </c>
      <c r="B177" s="25" t="s">
        <v>1247</v>
      </c>
      <c r="C177" s="8">
        <v>2369</v>
      </c>
      <c r="D177" s="8">
        <v>2379</v>
      </c>
      <c r="E177" s="8">
        <v>2417</v>
      </c>
      <c r="F177" s="8">
        <v>2917</v>
      </c>
      <c r="G177" s="8">
        <v>2925</v>
      </c>
      <c r="H177" s="8">
        <v>2931</v>
      </c>
      <c r="I177" s="8">
        <v>2931</v>
      </c>
      <c r="J177" s="8">
        <v>2931</v>
      </c>
      <c r="K177" s="8">
        <v>3250</v>
      </c>
      <c r="L177" s="36">
        <v>3389</v>
      </c>
      <c r="M177" s="33" t="s">
        <v>1253</v>
      </c>
      <c r="N177" s="15" t="s">
        <v>1261</v>
      </c>
      <c r="O177" s="21">
        <v>1333</v>
      </c>
      <c r="P177" s="17">
        <f>SUM(O177/O180)</f>
        <v>4.5929090721152192E-2</v>
      </c>
    </row>
    <row r="178" spans="1:17" s="2" customFormat="1" ht="16.5" customHeight="1" thickBot="1">
      <c r="A178" s="12" t="s">
        <v>1917</v>
      </c>
      <c r="B178" s="22" t="s">
        <v>1257</v>
      </c>
      <c r="C178" s="8">
        <v>1851</v>
      </c>
      <c r="D178" s="8">
        <v>1958</v>
      </c>
      <c r="E178" s="8">
        <v>2030</v>
      </c>
      <c r="F178" s="8">
        <v>2038</v>
      </c>
      <c r="G178" s="8">
        <v>2343</v>
      </c>
      <c r="H178" s="8">
        <v>2417</v>
      </c>
      <c r="I178" s="8">
        <v>2446</v>
      </c>
      <c r="J178" s="8">
        <v>2463</v>
      </c>
      <c r="K178" s="8">
        <v>2603</v>
      </c>
      <c r="L178" s="8">
        <v>2890</v>
      </c>
      <c r="M178" s="33"/>
      <c r="N178" s="31" t="s">
        <v>1269</v>
      </c>
      <c r="O178" s="21">
        <f>(C176+C179)</f>
        <v>4509</v>
      </c>
      <c r="P178" s="17">
        <f>SUM(O178/O180)</f>
        <v>0.15535954243186439</v>
      </c>
      <c r="Q178" s="2">
        <v>1</v>
      </c>
    </row>
    <row r="179" spans="1:17" s="2" customFormat="1" ht="16.5" customHeight="1" thickBot="1">
      <c r="A179" s="12" t="s">
        <v>1139</v>
      </c>
      <c r="B179" s="32" t="s">
        <v>1269</v>
      </c>
      <c r="C179" s="8">
        <v>1620</v>
      </c>
      <c r="D179" s="8">
        <v>1689</v>
      </c>
      <c r="E179" s="8">
        <v>1869</v>
      </c>
      <c r="F179" s="8">
        <v>2314</v>
      </c>
      <c r="G179" s="8">
        <v>2357</v>
      </c>
      <c r="H179" s="8">
        <v>2389</v>
      </c>
      <c r="I179" s="8">
        <v>2392</v>
      </c>
      <c r="J179" s="8">
        <v>2395</v>
      </c>
      <c r="K179" s="8" t="s">
        <v>1326</v>
      </c>
      <c r="N179" s="26" t="s">
        <v>1254</v>
      </c>
      <c r="O179" s="21">
        <f>(C181+C184+C185)</f>
        <v>2521</v>
      </c>
      <c r="P179" s="11">
        <f>SUM(O179/O180)</f>
        <v>8.6862143816972742E-2</v>
      </c>
    </row>
    <row r="180" spans="1:17" s="2" customFormat="1" ht="16.5" customHeight="1" thickBot="1">
      <c r="A180" s="6" t="s">
        <v>818</v>
      </c>
      <c r="B180" s="28" t="s">
        <v>1258</v>
      </c>
      <c r="C180" s="8">
        <v>1608</v>
      </c>
      <c r="D180" s="8">
        <v>2567</v>
      </c>
      <c r="E180" s="8">
        <v>2642</v>
      </c>
      <c r="F180" s="8">
        <v>2646</v>
      </c>
      <c r="G180" s="8">
        <v>2938</v>
      </c>
      <c r="H180" s="36">
        <v>4267</v>
      </c>
      <c r="I180" s="8"/>
      <c r="J180" s="8"/>
      <c r="K180" s="8"/>
      <c r="L180" s="8"/>
      <c r="M180" s="33" t="s">
        <v>1252</v>
      </c>
      <c r="O180" s="23">
        <f>SUM(C173:C185)</f>
        <v>29023</v>
      </c>
    </row>
    <row r="181" spans="1:17" s="2" customFormat="1" ht="16.5" customHeight="1" thickBot="1">
      <c r="A181" s="12" t="s">
        <v>1140</v>
      </c>
      <c r="B181" s="42" t="s">
        <v>1878</v>
      </c>
      <c r="C181" s="8">
        <v>1346</v>
      </c>
      <c r="D181" s="8">
        <v>1509</v>
      </c>
      <c r="E181" s="8">
        <v>1651</v>
      </c>
      <c r="F181" s="8">
        <v>1654</v>
      </c>
      <c r="G181" s="8" t="s">
        <v>1326</v>
      </c>
    </row>
    <row r="182" spans="1:17" s="2" customFormat="1" ht="16.5" customHeight="1" thickBot="1">
      <c r="A182" s="12" t="s">
        <v>1918</v>
      </c>
      <c r="B182" s="20" t="s">
        <v>1261</v>
      </c>
      <c r="C182" s="8">
        <v>1333</v>
      </c>
      <c r="D182" s="8">
        <v>1345</v>
      </c>
      <c r="E182" s="8">
        <v>1433</v>
      </c>
      <c r="F182" s="8" t="s">
        <v>1326</v>
      </c>
      <c r="K182" s="11"/>
    </row>
    <row r="183" spans="1:17" s="2" customFormat="1" ht="16.5" customHeight="1" thickBot="1">
      <c r="A183" s="12" t="s">
        <v>817</v>
      </c>
      <c r="B183" s="27" t="s">
        <v>1258</v>
      </c>
      <c r="C183" s="8">
        <v>1321</v>
      </c>
      <c r="D183" s="43">
        <v>1601</v>
      </c>
      <c r="E183" s="43">
        <v>1716</v>
      </c>
      <c r="F183" s="8">
        <v>1733</v>
      </c>
      <c r="G183" s="8">
        <v>1973</v>
      </c>
      <c r="H183" s="8" t="s">
        <v>1326</v>
      </c>
    </row>
    <row r="184" spans="1:17" s="2" customFormat="1" ht="16.5" customHeight="1" thickBot="1">
      <c r="A184" s="12" t="s">
        <v>1166</v>
      </c>
      <c r="B184" s="39" t="s">
        <v>1320</v>
      </c>
      <c r="C184" s="8">
        <v>664</v>
      </c>
      <c r="D184" s="8">
        <v>685</v>
      </c>
      <c r="E184" s="8" t="s">
        <v>1326</v>
      </c>
    </row>
    <row r="185" spans="1:17" s="2" customFormat="1" ht="16.5" customHeight="1" thickBot="1">
      <c r="A185" s="12" t="s">
        <v>1168</v>
      </c>
      <c r="B185" s="38" t="s">
        <v>1167</v>
      </c>
      <c r="C185" s="8">
        <v>511</v>
      </c>
      <c r="D185" s="8">
        <v>546</v>
      </c>
      <c r="E185" s="8" t="s">
        <v>1326</v>
      </c>
    </row>
    <row r="186" spans="1:17" s="2" customFormat="1" ht="12" customHeight="1">
      <c r="A186" s="1"/>
      <c r="C186" s="21"/>
    </row>
    <row r="187" spans="1:17" s="2" customFormat="1" ht="16.5" customHeight="1">
      <c r="A187" s="1" t="s">
        <v>1192</v>
      </c>
    </row>
    <row r="188" spans="1:17" s="2" customFormat="1" ht="9.75" customHeight="1" thickBot="1">
      <c r="A188" s="3"/>
    </row>
    <row r="189" spans="1:17" s="2" customFormat="1" ht="16.5" customHeight="1" thickBot="1">
      <c r="A189" s="4" t="s">
        <v>1244</v>
      </c>
      <c r="B189" s="5" t="s">
        <v>1245</v>
      </c>
      <c r="C189" s="5" t="s">
        <v>1246</v>
      </c>
      <c r="D189" s="5">
        <v>2</v>
      </c>
      <c r="E189" s="5">
        <v>3</v>
      </c>
      <c r="F189" s="5">
        <v>4</v>
      </c>
      <c r="G189" s="5">
        <v>5</v>
      </c>
      <c r="H189" s="5">
        <v>6</v>
      </c>
      <c r="I189" s="5"/>
      <c r="J189" s="10" t="s">
        <v>1413</v>
      </c>
      <c r="K189" s="11">
        <f>(30186/62178)</f>
        <v>0.48547717842323651</v>
      </c>
    </row>
    <row r="190" spans="1:17" s="2" customFormat="1" ht="16.5" customHeight="1" thickBot="1">
      <c r="A190" s="6" t="s">
        <v>1089</v>
      </c>
      <c r="B190" s="28" t="s">
        <v>1258</v>
      </c>
      <c r="C190" s="36">
        <v>4573</v>
      </c>
      <c r="D190" s="8"/>
      <c r="E190" s="8"/>
      <c r="F190" s="8"/>
      <c r="G190" s="8"/>
      <c r="H190" s="8"/>
      <c r="I190" s="33" t="s">
        <v>1271</v>
      </c>
      <c r="J190" s="14"/>
      <c r="K190" s="10" t="s">
        <v>1248</v>
      </c>
      <c r="L190" s="10" t="s">
        <v>1249</v>
      </c>
      <c r="M190" s="10" t="s">
        <v>1250</v>
      </c>
    </row>
    <row r="191" spans="1:17" s="2" customFormat="1" ht="16.5" customHeight="1" thickBot="1">
      <c r="A191" s="6" t="s">
        <v>1493</v>
      </c>
      <c r="B191" s="45" t="s">
        <v>1269</v>
      </c>
      <c r="C191" s="36">
        <v>4284</v>
      </c>
      <c r="D191" s="8"/>
      <c r="E191" s="8"/>
      <c r="F191" s="8"/>
      <c r="G191" s="8"/>
      <c r="H191" s="8"/>
      <c r="I191" s="33" t="s">
        <v>1362</v>
      </c>
      <c r="J191" s="19" t="s">
        <v>1247</v>
      </c>
      <c r="K191" s="16">
        <v>902</v>
      </c>
      <c r="L191" s="17">
        <f>SUM(K191/K197)</f>
        <v>3.040312794930565E-2</v>
      </c>
      <c r="M191" s="14"/>
    </row>
    <row r="192" spans="1:17" s="2" customFormat="1" ht="16.5" customHeight="1" thickBot="1">
      <c r="A192" s="6" t="s">
        <v>1090</v>
      </c>
      <c r="B192" s="28" t="s">
        <v>1258</v>
      </c>
      <c r="C192" s="36">
        <v>4265</v>
      </c>
      <c r="D192" s="8"/>
      <c r="E192" s="8"/>
      <c r="F192" s="8"/>
      <c r="G192" s="8"/>
      <c r="H192" s="8"/>
      <c r="I192" s="33" t="s">
        <v>1252</v>
      </c>
      <c r="J192" s="18" t="s">
        <v>1257</v>
      </c>
      <c r="K192" s="16">
        <f>(C194+C195)</f>
        <v>6046</v>
      </c>
      <c r="L192" s="17">
        <f>SUM(K192/K197)</f>
        <v>0.20378859377106648</v>
      </c>
      <c r="M192" s="14">
        <v>2</v>
      </c>
    </row>
    <row r="193" spans="1:18" s="2" customFormat="1" ht="16.5" customHeight="1" thickBot="1">
      <c r="A193" s="6" t="s">
        <v>1088</v>
      </c>
      <c r="B193" s="28" t="s">
        <v>1258</v>
      </c>
      <c r="C193" s="8">
        <v>3456</v>
      </c>
      <c r="D193" s="8">
        <v>3673</v>
      </c>
      <c r="E193" s="8">
        <v>3779</v>
      </c>
      <c r="F193" s="8">
        <v>3960</v>
      </c>
      <c r="G193" s="36">
        <v>5745</v>
      </c>
      <c r="H193" s="8"/>
      <c r="I193" s="33" t="s">
        <v>1280</v>
      </c>
      <c r="J193" s="30" t="s">
        <v>1258</v>
      </c>
      <c r="K193" s="16">
        <f>(C190+C192+C193+C197)</f>
        <v>14469</v>
      </c>
      <c r="L193" s="17">
        <f>SUM(K193/K197)</f>
        <v>0.48769718214911689</v>
      </c>
      <c r="M193" s="2">
        <v>3</v>
      </c>
    </row>
    <row r="194" spans="1:18" s="2" customFormat="1" ht="16.5" customHeight="1" thickBot="1">
      <c r="A194" s="6" t="s">
        <v>1922</v>
      </c>
      <c r="B194" s="9" t="s">
        <v>1257</v>
      </c>
      <c r="C194" s="8">
        <v>3273</v>
      </c>
      <c r="D194" s="8">
        <v>3287</v>
      </c>
      <c r="E194" s="8">
        <v>3372</v>
      </c>
      <c r="F194" s="8">
        <v>3595</v>
      </c>
      <c r="G194" s="8">
        <v>3781</v>
      </c>
      <c r="H194" s="36">
        <v>4070</v>
      </c>
      <c r="I194" s="33" t="s">
        <v>1251</v>
      </c>
      <c r="J194" s="15" t="s">
        <v>1261</v>
      </c>
      <c r="K194" s="21">
        <v>2525</v>
      </c>
      <c r="L194" s="17">
        <f>SUM(K194/K197)</f>
        <v>8.5108534447889989E-2</v>
      </c>
    </row>
    <row r="195" spans="1:18" s="2" customFormat="1" ht="16.5" customHeight="1" thickBot="1">
      <c r="A195" s="6" t="s">
        <v>1495</v>
      </c>
      <c r="B195" s="9" t="s">
        <v>1257</v>
      </c>
      <c r="C195" s="8">
        <v>2773</v>
      </c>
      <c r="D195" s="8">
        <v>2790</v>
      </c>
      <c r="E195" s="8">
        <v>2875</v>
      </c>
      <c r="F195" s="8">
        <v>3076</v>
      </c>
      <c r="G195" s="8">
        <v>3260</v>
      </c>
      <c r="H195" s="36">
        <v>3767</v>
      </c>
      <c r="I195" s="33" t="s">
        <v>1253</v>
      </c>
      <c r="J195" s="31" t="s">
        <v>1269</v>
      </c>
      <c r="K195" s="21">
        <v>4284</v>
      </c>
      <c r="L195" s="17">
        <f>SUM(K195/K197)</f>
        <v>0.14439800458406363</v>
      </c>
      <c r="M195" s="2">
        <v>1</v>
      </c>
    </row>
    <row r="196" spans="1:18" s="2" customFormat="1" ht="16.5" customHeight="1" thickBot="1">
      <c r="A196" s="12" t="s">
        <v>1497</v>
      </c>
      <c r="B196" s="20" t="s">
        <v>1261</v>
      </c>
      <c r="C196" s="8">
        <v>2525</v>
      </c>
      <c r="D196" s="8">
        <v>2527</v>
      </c>
      <c r="E196" s="8">
        <v>2579</v>
      </c>
      <c r="F196" s="8">
        <v>3245</v>
      </c>
      <c r="G196" s="8">
        <v>3281</v>
      </c>
      <c r="H196" s="8">
        <v>3308</v>
      </c>
      <c r="I196" s="33"/>
      <c r="J196" s="26" t="s">
        <v>1254</v>
      </c>
      <c r="K196" s="21">
        <f>(C199+C200)</f>
        <v>1442</v>
      </c>
      <c r="L196" s="11">
        <f>SUM(K196/K197)</f>
        <v>4.860455709855737E-2</v>
      </c>
    </row>
    <row r="197" spans="1:18" s="2" customFormat="1" ht="16.5" customHeight="1" thickBot="1">
      <c r="A197" s="12" t="s">
        <v>809</v>
      </c>
      <c r="B197" s="27" t="s">
        <v>1258</v>
      </c>
      <c r="C197" s="8">
        <v>2175</v>
      </c>
      <c r="D197" s="8">
        <v>2231</v>
      </c>
      <c r="E197" s="8">
        <v>2283</v>
      </c>
      <c r="F197" s="8">
        <v>2449</v>
      </c>
      <c r="G197" s="8" t="s">
        <v>1326</v>
      </c>
      <c r="K197" s="23">
        <f>SUM(C190:C200)</f>
        <v>29668</v>
      </c>
    </row>
    <row r="198" spans="1:18" s="2" customFormat="1" ht="16.5" customHeight="1" thickBot="1">
      <c r="A198" s="12" t="s">
        <v>1174</v>
      </c>
      <c r="B198" s="13" t="s">
        <v>1247</v>
      </c>
      <c r="C198" s="8">
        <v>902</v>
      </c>
      <c r="D198" s="8">
        <v>902</v>
      </c>
      <c r="E198" s="8">
        <v>913</v>
      </c>
      <c r="F198" s="8" t="s">
        <v>1326</v>
      </c>
    </row>
    <row r="199" spans="1:18" s="2" customFormat="1" ht="16.5" customHeight="1" thickBot="1">
      <c r="A199" s="12" t="s">
        <v>1927</v>
      </c>
      <c r="B199" s="42" t="s">
        <v>1878</v>
      </c>
      <c r="C199" s="8">
        <v>841</v>
      </c>
      <c r="D199" s="8">
        <v>844</v>
      </c>
      <c r="E199" s="8">
        <v>963</v>
      </c>
      <c r="F199" s="8" t="s">
        <v>1326</v>
      </c>
    </row>
    <row r="200" spans="1:18" s="2" customFormat="1" ht="16.5" customHeight="1" thickBot="1">
      <c r="A200" s="12" t="s">
        <v>1141</v>
      </c>
      <c r="B200" s="38" t="s">
        <v>1162</v>
      </c>
      <c r="C200" s="8">
        <v>601</v>
      </c>
      <c r="D200" s="43">
        <v>602</v>
      </c>
      <c r="E200" s="8" t="s">
        <v>1326</v>
      </c>
    </row>
    <row r="201" spans="1:18" s="2" customFormat="1" ht="12" customHeight="1">
      <c r="A201" s="3"/>
    </row>
    <row r="202" spans="1:18" s="2" customFormat="1" ht="16.5" customHeight="1">
      <c r="A202" s="1" t="s">
        <v>1195</v>
      </c>
    </row>
    <row r="203" spans="1:18" s="2" customFormat="1" ht="9.75" customHeight="1" thickBot="1">
      <c r="A203" s="3"/>
    </row>
    <row r="204" spans="1:18" s="2" customFormat="1" ht="16.5" customHeight="1" thickBot="1">
      <c r="A204" s="4" t="s">
        <v>1244</v>
      </c>
      <c r="B204" s="5" t="s">
        <v>1245</v>
      </c>
      <c r="C204" s="5" t="s">
        <v>1246</v>
      </c>
      <c r="D204" s="5">
        <v>2</v>
      </c>
      <c r="E204" s="5">
        <v>3</v>
      </c>
      <c r="F204" s="5">
        <v>4</v>
      </c>
      <c r="G204" s="5">
        <v>5</v>
      </c>
      <c r="H204" s="5">
        <v>6</v>
      </c>
      <c r="I204" s="5">
        <v>7</v>
      </c>
      <c r="J204" s="5">
        <v>8</v>
      </c>
      <c r="K204" s="5">
        <v>9</v>
      </c>
      <c r="L204" s="5">
        <v>10</v>
      </c>
      <c r="M204" s="5">
        <v>11</v>
      </c>
      <c r="N204" s="5"/>
      <c r="O204" s="10" t="s">
        <v>1413</v>
      </c>
      <c r="P204" s="11">
        <f>(28528/62170)</f>
        <v>0.4588708380247708</v>
      </c>
    </row>
    <row r="205" spans="1:18" s="2" customFormat="1" ht="16.5" customHeight="1" thickBot="1">
      <c r="A205" s="6" t="s">
        <v>1507</v>
      </c>
      <c r="B205" s="28" t="s">
        <v>1258</v>
      </c>
      <c r="C205" s="36">
        <v>5175</v>
      </c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33" t="s">
        <v>1271</v>
      </c>
      <c r="O205" s="14"/>
      <c r="P205" s="10" t="s">
        <v>1248</v>
      </c>
      <c r="Q205" s="10" t="s">
        <v>1249</v>
      </c>
      <c r="R205" s="10" t="s">
        <v>1250</v>
      </c>
    </row>
    <row r="206" spans="1:18" s="2" customFormat="1" ht="16.5" customHeight="1" thickBot="1">
      <c r="A206" s="6" t="s">
        <v>810</v>
      </c>
      <c r="B206" s="28" t="s">
        <v>1258</v>
      </c>
      <c r="C206" s="8">
        <v>3741</v>
      </c>
      <c r="D206" s="36">
        <v>4121</v>
      </c>
      <c r="E206" s="8"/>
      <c r="F206" s="8"/>
      <c r="G206" s="8"/>
      <c r="H206" s="8"/>
      <c r="I206" s="8"/>
      <c r="J206" s="8"/>
      <c r="K206" s="8"/>
      <c r="L206" s="8"/>
      <c r="M206" s="8"/>
      <c r="N206" s="33" t="s">
        <v>1362</v>
      </c>
      <c r="O206" s="19" t="s">
        <v>1247</v>
      </c>
      <c r="P206" s="16">
        <v>293</v>
      </c>
      <c r="Q206" s="17">
        <f>SUM(P206/P212)</f>
        <v>1.0427788454694284E-2</v>
      </c>
      <c r="R206" s="14"/>
    </row>
    <row r="207" spans="1:18" s="2" customFormat="1" ht="16.5" customHeight="1" thickBot="1">
      <c r="A207" s="6" t="s">
        <v>1508</v>
      </c>
      <c r="B207" s="28" t="s">
        <v>1258</v>
      </c>
      <c r="C207" s="8">
        <v>3496</v>
      </c>
      <c r="D207" s="36">
        <v>4101</v>
      </c>
      <c r="E207" s="8"/>
      <c r="F207" s="8"/>
      <c r="G207" s="8"/>
      <c r="H207" s="8"/>
      <c r="I207" s="8"/>
      <c r="J207" s="8"/>
      <c r="K207" s="8"/>
      <c r="L207" s="8"/>
      <c r="M207" s="8"/>
      <c r="N207" s="33" t="s">
        <v>1252</v>
      </c>
      <c r="O207" s="18" t="s">
        <v>1257</v>
      </c>
      <c r="P207" s="16">
        <f>(C213+C214)</f>
        <v>2928</v>
      </c>
      <c r="Q207" s="17">
        <f>SUM(P207/P212)</f>
        <v>0.1042067051035661</v>
      </c>
      <c r="R207" s="14">
        <v>1</v>
      </c>
    </row>
    <row r="208" spans="1:18" s="2" customFormat="1" ht="16.5" customHeight="1" thickBot="1">
      <c r="A208" s="6" t="s">
        <v>1143</v>
      </c>
      <c r="B208" s="45" t="s">
        <v>1269</v>
      </c>
      <c r="C208" s="8">
        <v>3131</v>
      </c>
      <c r="D208" s="8">
        <v>3153</v>
      </c>
      <c r="E208" s="8">
        <v>3173</v>
      </c>
      <c r="F208" s="8">
        <v>3218</v>
      </c>
      <c r="G208" s="8">
        <v>3486</v>
      </c>
      <c r="H208" s="8">
        <v>3515</v>
      </c>
      <c r="I208" s="8">
        <v>3522</v>
      </c>
      <c r="J208" s="8">
        <v>3739</v>
      </c>
      <c r="K208" s="8">
        <v>3745</v>
      </c>
      <c r="L208" s="36">
        <v>4078</v>
      </c>
      <c r="M208" s="8"/>
      <c r="N208" s="33" t="s">
        <v>1251</v>
      </c>
      <c r="O208" s="30" t="s">
        <v>1258</v>
      </c>
      <c r="P208" s="16">
        <f>(C205+C206+C207)</f>
        <v>12412</v>
      </c>
      <c r="Q208" s="17">
        <f>SUM(P208/P212)</f>
        <v>0.44173962559612784</v>
      </c>
      <c r="R208" s="2">
        <v>3</v>
      </c>
    </row>
    <row r="209" spans="1:19" s="2" customFormat="1" ht="16.5" customHeight="1" thickBot="1">
      <c r="A209" s="6" t="s">
        <v>1931</v>
      </c>
      <c r="B209" s="46" t="s">
        <v>1320</v>
      </c>
      <c r="C209" s="8">
        <v>2207</v>
      </c>
      <c r="D209" s="8">
        <v>2220</v>
      </c>
      <c r="E209" s="8">
        <v>2261</v>
      </c>
      <c r="F209" s="8">
        <v>2314</v>
      </c>
      <c r="G209" s="8">
        <v>2553</v>
      </c>
      <c r="H209" s="8">
        <v>2605</v>
      </c>
      <c r="I209" s="8">
        <v>2615</v>
      </c>
      <c r="J209" s="8">
        <v>2812</v>
      </c>
      <c r="K209" s="8">
        <v>2820</v>
      </c>
      <c r="L209" s="8">
        <v>3193</v>
      </c>
      <c r="M209" s="36">
        <v>3229</v>
      </c>
      <c r="N209" s="33" t="s">
        <v>1253</v>
      </c>
      <c r="O209" s="15" t="s">
        <v>1261</v>
      </c>
      <c r="P209" s="21">
        <v>768</v>
      </c>
      <c r="Q209" s="17">
        <f>SUM(P209/P212)</f>
        <v>2.7332906256673072E-2</v>
      </c>
    </row>
    <row r="210" spans="1:19" s="2" customFormat="1" ht="16.5" customHeight="1" thickBot="1">
      <c r="A210" s="12" t="s">
        <v>1142</v>
      </c>
      <c r="B210" s="32" t="s">
        <v>1269</v>
      </c>
      <c r="C210" s="8">
        <v>2100</v>
      </c>
      <c r="D210" s="8">
        <v>2115</v>
      </c>
      <c r="E210" s="8">
        <v>2134</v>
      </c>
      <c r="F210" s="8">
        <v>2171</v>
      </c>
      <c r="G210" s="8">
        <v>2447</v>
      </c>
      <c r="H210" s="8">
        <v>2482</v>
      </c>
      <c r="I210" s="8">
        <v>2492</v>
      </c>
      <c r="J210" s="8">
        <v>2658</v>
      </c>
      <c r="K210" s="8">
        <v>2664</v>
      </c>
      <c r="L210" s="8">
        <v>3078</v>
      </c>
      <c r="M210" s="8">
        <v>3130</v>
      </c>
      <c r="N210" s="33"/>
      <c r="O210" s="31" t="s">
        <v>1269</v>
      </c>
      <c r="P210" s="21">
        <f>(C208+C210)</f>
        <v>5231</v>
      </c>
      <c r="Q210" s="17">
        <f>SUM(P210/P212)</f>
        <v>0.18616983415189695</v>
      </c>
      <c r="R210" s="2">
        <v>1</v>
      </c>
    </row>
    <row r="211" spans="1:19" s="2" customFormat="1" ht="16.5" customHeight="1" thickBot="1">
      <c r="A211" s="12" t="s">
        <v>1512</v>
      </c>
      <c r="B211" s="38" t="s">
        <v>1270</v>
      </c>
      <c r="C211" s="8">
        <v>1879</v>
      </c>
      <c r="D211" s="8">
        <v>1905</v>
      </c>
      <c r="E211" s="8">
        <v>1910</v>
      </c>
      <c r="F211" s="8">
        <v>2012</v>
      </c>
      <c r="G211" s="8">
        <v>2048</v>
      </c>
      <c r="H211" s="8">
        <v>2083</v>
      </c>
      <c r="I211" s="8">
        <v>2095</v>
      </c>
      <c r="J211" s="8">
        <v>2604</v>
      </c>
      <c r="K211" s="8">
        <v>2619</v>
      </c>
      <c r="L211" s="8" t="s">
        <v>1326</v>
      </c>
      <c r="O211" s="26" t="s">
        <v>1254</v>
      </c>
      <c r="P211" s="21">
        <f>(C209+C211+C212+C216)</f>
        <v>6466</v>
      </c>
      <c r="Q211" s="11">
        <f>SUM(P211/P212)</f>
        <v>0.2301231404370418</v>
      </c>
      <c r="R211" s="2">
        <v>1</v>
      </c>
    </row>
    <row r="212" spans="1:19" s="2" customFormat="1" ht="16.5" customHeight="1" thickBot="1">
      <c r="A212" s="12" t="s">
        <v>1516</v>
      </c>
      <c r="B212" s="38" t="s">
        <v>1270</v>
      </c>
      <c r="C212" s="8">
        <v>1765</v>
      </c>
      <c r="D212" s="8">
        <v>1795</v>
      </c>
      <c r="E212" s="8">
        <v>1796</v>
      </c>
      <c r="F212" s="8">
        <v>1862</v>
      </c>
      <c r="G212" s="8">
        <v>1893</v>
      </c>
      <c r="H212" s="8">
        <v>1980</v>
      </c>
      <c r="I212" s="8">
        <v>1989</v>
      </c>
      <c r="J212" s="8" t="s">
        <v>1326</v>
      </c>
      <c r="P212" s="23">
        <f>SUM(C205:C217)</f>
        <v>28098</v>
      </c>
    </row>
    <row r="213" spans="1:19" s="2" customFormat="1" ht="16.5" customHeight="1" thickBot="1">
      <c r="A213" s="6" t="s">
        <v>1510</v>
      </c>
      <c r="B213" s="9" t="s">
        <v>1257</v>
      </c>
      <c r="C213" s="8">
        <v>1585</v>
      </c>
      <c r="D213" s="8">
        <v>1609</v>
      </c>
      <c r="E213" s="8">
        <v>1610</v>
      </c>
      <c r="F213" s="8">
        <v>1678</v>
      </c>
      <c r="G213" s="8">
        <v>1691</v>
      </c>
      <c r="H213" s="8">
        <v>2795</v>
      </c>
      <c r="I213" s="8">
        <v>2853</v>
      </c>
      <c r="J213" s="8">
        <v>3310</v>
      </c>
      <c r="K213" s="8">
        <v>3361</v>
      </c>
      <c r="L213" s="36">
        <v>4110</v>
      </c>
      <c r="M213" s="8"/>
      <c r="N213" s="33" t="s">
        <v>1280</v>
      </c>
    </row>
    <row r="214" spans="1:19" s="2" customFormat="1" ht="16.5" customHeight="1" thickBot="1">
      <c r="A214" s="12" t="s">
        <v>1099</v>
      </c>
      <c r="B214" s="22" t="s">
        <v>1257</v>
      </c>
      <c r="C214" s="8">
        <v>1343</v>
      </c>
      <c r="D214" s="43">
        <v>1359</v>
      </c>
      <c r="E214" s="8">
        <v>1360</v>
      </c>
      <c r="F214" s="8">
        <v>1433</v>
      </c>
      <c r="G214" s="8">
        <v>1449</v>
      </c>
      <c r="H214" s="8" t="s">
        <v>1326</v>
      </c>
      <c r="L214" s="11"/>
    </row>
    <row r="215" spans="1:19" s="2" customFormat="1" ht="16.5" customHeight="1" thickBot="1">
      <c r="A215" s="12" t="s">
        <v>1817</v>
      </c>
      <c r="B215" s="20" t="s">
        <v>1261</v>
      </c>
      <c r="C215" s="8">
        <v>768</v>
      </c>
      <c r="D215" s="8">
        <v>772</v>
      </c>
      <c r="E215" s="8">
        <v>953</v>
      </c>
      <c r="F215" s="8">
        <v>961</v>
      </c>
      <c r="G215" s="8" t="s">
        <v>1326</v>
      </c>
      <c r="L215" s="11"/>
    </row>
    <row r="216" spans="1:19" s="2" customFormat="1" ht="16.5" customHeight="1" thickBot="1">
      <c r="A216" s="12" t="s">
        <v>1144</v>
      </c>
      <c r="B216" s="38" t="s">
        <v>1162</v>
      </c>
      <c r="C216" s="8">
        <v>615</v>
      </c>
      <c r="D216" s="8">
        <v>624</v>
      </c>
      <c r="E216" s="8">
        <v>624</v>
      </c>
      <c r="F216" s="8" t="s">
        <v>1326</v>
      </c>
    </row>
    <row r="217" spans="1:19" s="2" customFormat="1" ht="16.5" customHeight="1" thickBot="1">
      <c r="A217" s="12" t="s">
        <v>1173</v>
      </c>
      <c r="B217" s="13" t="s">
        <v>1247</v>
      </c>
      <c r="C217" s="8">
        <v>293</v>
      </c>
      <c r="D217" s="8">
        <v>295</v>
      </c>
      <c r="E217" s="8" t="s">
        <v>1326</v>
      </c>
      <c r="L217" s="11"/>
    </row>
    <row r="218" spans="1:19" s="2" customFormat="1" ht="12" customHeight="1">
      <c r="A218" s="1"/>
      <c r="L218"/>
      <c r="S218"/>
    </row>
    <row r="219" spans="1:19" s="2" customFormat="1" ht="16.5" customHeight="1">
      <c r="A219" s="1" t="s">
        <v>1193</v>
      </c>
    </row>
    <row r="220" spans="1:19" s="2" customFormat="1" ht="9.75" customHeight="1" thickBot="1">
      <c r="A220" s="3"/>
    </row>
    <row r="221" spans="1:19" s="2" customFormat="1" ht="16.5" customHeight="1" thickBot="1">
      <c r="A221" s="4" t="s">
        <v>1244</v>
      </c>
      <c r="B221" s="5" t="s">
        <v>1245</v>
      </c>
      <c r="C221" s="5" t="s">
        <v>1246</v>
      </c>
      <c r="D221" s="5">
        <v>2</v>
      </c>
      <c r="E221" s="5">
        <v>3</v>
      </c>
      <c r="F221" s="5">
        <v>4</v>
      </c>
      <c r="G221" s="5">
        <v>5</v>
      </c>
      <c r="H221" s="5">
        <v>6</v>
      </c>
      <c r="I221" s="5">
        <v>7</v>
      </c>
      <c r="J221" s="5"/>
      <c r="K221" s="10" t="s">
        <v>1413</v>
      </c>
      <c r="L221" s="11">
        <f>(34280/68119)</f>
        <v>0.50323698233972902</v>
      </c>
    </row>
    <row r="222" spans="1:19" s="2" customFormat="1" ht="16.5" customHeight="1" thickBot="1">
      <c r="A222" s="6" t="s">
        <v>1700</v>
      </c>
      <c r="B222" s="25" t="s">
        <v>1247</v>
      </c>
      <c r="C222" s="36">
        <v>6674</v>
      </c>
      <c r="D222" s="8"/>
      <c r="E222" s="8"/>
      <c r="F222" s="8"/>
      <c r="G222" s="8"/>
      <c r="H222" s="8"/>
      <c r="I222" s="8"/>
      <c r="J222" s="33" t="s">
        <v>1271</v>
      </c>
      <c r="K222" s="14"/>
      <c r="L222" s="10" t="s">
        <v>1248</v>
      </c>
      <c r="M222" s="10" t="s">
        <v>1249</v>
      </c>
      <c r="N222" s="10" t="s">
        <v>1250</v>
      </c>
    </row>
    <row r="223" spans="1:19" s="2" customFormat="1" ht="16.5" customHeight="1" thickBot="1">
      <c r="A223" s="6" t="s">
        <v>1698</v>
      </c>
      <c r="B223" s="28" t="s">
        <v>1258</v>
      </c>
      <c r="C223" s="36">
        <v>5200</v>
      </c>
      <c r="D223" s="8"/>
      <c r="E223" s="8"/>
      <c r="F223" s="8"/>
      <c r="G223" s="8"/>
      <c r="H223" s="8"/>
      <c r="I223" s="8"/>
      <c r="J223" s="33" t="s">
        <v>1362</v>
      </c>
      <c r="K223" s="19" t="s">
        <v>1247</v>
      </c>
      <c r="L223" s="16">
        <f>(C222+C227+C231)</f>
        <v>10671</v>
      </c>
      <c r="M223" s="17">
        <f>SUM(L223/L229)</f>
        <v>0.318822826411712</v>
      </c>
      <c r="N223" s="14">
        <v>2</v>
      </c>
    </row>
    <row r="224" spans="1:19" s="2" customFormat="1" ht="16.5" customHeight="1" thickBot="1">
      <c r="A224" s="6" t="s">
        <v>1702</v>
      </c>
      <c r="B224" s="7" t="s">
        <v>1261</v>
      </c>
      <c r="C224" s="8">
        <v>4025</v>
      </c>
      <c r="D224" s="8">
        <v>4262</v>
      </c>
      <c r="E224" s="8">
        <v>4357</v>
      </c>
      <c r="F224" s="8">
        <v>4360</v>
      </c>
      <c r="G224" s="36">
        <v>4563</v>
      </c>
      <c r="H224" s="8"/>
      <c r="I224" s="8"/>
      <c r="J224" s="33" t="s">
        <v>1252</v>
      </c>
      <c r="K224" s="18" t="s">
        <v>1257</v>
      </c>
      <c r="L224" s="16">
        <v>2758</v>
      </c>
      <c r="M224" s="17">
        <f>SUM(L224/L229)</f>
        <v>8.2402151180161337E-2</v>
      </c>
      <c r="N224" s="14"/>
    </row>
    <row r="225" spans="1:18" s="2" customFormat="1" ht="16.5" customHeight="1" thickBot="1">
      <c r="A225" s="6" t="s">
        <v>1699</v>
      </c>
      <c r="B225" s="28" t="s">
        <v>1258</v>
      </c>
      <c r="C225" s="8">
        <v>3724</v>
      </c>
      <c r="D225" s="8">
        <v>3725</v>
      </c>
      <c r="E225" s="8">
        <v>3734</v>
      </c>
      <c r="F225" s="8">
        <v>3998</v>
      </c>
      <c r="G225" s="8">
        <v>4159</v>
      </c>
      <c r="H225" s="8">
        <v>4166</v>
      </c>
      <c r="I225" s="36">
        <v>4332</v>
      </c>
      <c r="J225" s="33" t="s">
        <v>1251</v>
      </c>
      <c r="K225" s="30" t="s">
        <v>1258</v>
      </c>
      <c r="L225" s="16">
        <f>(C223+C225+C226)</f>
        <v>12412</v>
      </c>
      <c r="M225" s="17">
        <f>SUM(L225/L229)</f>
        <v>0.37083955781296685</v>
      </c>
      <c r="N225" s="2">
        <v>3</v>
      </c>
    </row>
    <row r="226" spans="1:18" s="2" customFormat="1" ht="16.5" customHeight="1" thickBot="1">
      <c r="A226" s="6" t="s">
        <v>807</v>
      </c>
      <c r="B226" s="28" t="s">
        <v>1258</v>
      </c>
      <c r="C226" s="8">
        <v>3488</v>
      </c>
      <c r="D226" s="8">
        <v>3494</v>
      </c>
      <c r="E226" s="8">
        <v>3501</v>
      </c>
      <c r="F226" s="8">
        <v>3591</v>
      </c>
      <c r="G226" s="8">
        <v>3728</v>
      </c>
      <c r="H226" s="8">
        <v>3735</v>
      </c>
      <c r="I226" s="36">
        <v>4065</v>
      </c>
      <c r="J226" s="33" t="s">
        <v>1253</v>
      </c>
      <c r="K226" s="15" t="s">
        <v>1261</v>
      </c>
      <c r="L226" s="21">
        <v>4025</v>
      </c>
      <c r="M226" s="17">
        <f>SUM(L226/L229)</f>
        <v>0.12025694651927099</v>
      </c>
      <c r="N226" s="2">
        <v>1</v>
      </c>
    </row>
    <row r="227" spans="1:18" s="2" customFormat="1" ht="16.5" customHeight="1" thickBot="1">
      <c r="A227" s="6" t="s">
        <v>1120</v>
      </c>
      <c r="B227" s="25" t="s">
        <v>1247</v>
      </c>
      <c r="C227" s="8">
        <v>2999</v>
      </c>
      <c r="D227" s="8">
        <v>3939</v>
      </c>
      <c r="E227" s="8">
        <v>3976</v>
      </c>
      <c r="F227" s="8">
        <v>3976</v>
      </c>
      <c r="G227" s="8">
        <v>4061</v>
      </c>
      <c r="H227" s="36">
        <v>4868</v>
      </c>
      <c r="I227" s="8"/>
      <c r="J227" s="33" t="s">
        <v>1280</v>
      </c>
      <c r="K227" s="31" t="s">
        <v>1269</v>
      </c>
      <c r="L227" s="21">
        <v>2096</v>
      </c>
      <c r="M227" s="17">
        <f>SUM(L227/L229)</f>
        <v>6.2623244696743352E-2</v>
      </c>
    </row>
    <row r="228" spans="1:18" s="2" customFormat="1" ht="16.5" customHeight="1" thickBot="1">
      <c r="A228" s="12" t="s">
        <v>1697</v>
      </c>
      <c r="B228" s="22" t="s">
        <v>1257</v>
      </c>
      <c r="C228" s="8">
        <v>2758</v>
      </c>
      <c r="D228" s="8">
        <v>2761</v>
      </c>
      <c r="E228" s="8">
        <v>2767</v>
      </c>
      <c r="F228" s="8">
        <v>2804</v>
      </c>
      <c r="G228" s="8">
        <v>2991</v>
      </c>
      <c r="H228" s="8">
        <v>2993</v>
      </c>
      <c r="I228" s="8">
        <v>3623</v>
      </c>
      <c r="J228" s="33"/>
      <c r="K228" s="26" t="s">
        <v>1254</v>
      </c>
      <c r="L228" s="21">
        <f>(C230+C232)</f>
        <v>1508</v>
      </c>
      <c r="M228" s="11">
        <f>SUM(L228/L229)</f>
        <v>4.5055273379145507E-2</v>
      </c>
    </row>
    <row r="229" spans="1:18" s="2" customFormat="1" ht="16.5" customHeight="1" thickBot="1">
      <c r="A229" s="12" t="s">
        <v>1936</v>
      </c>
      <c r="B229" s="32" t="s">
        <v>1269</v>
      </c>
      <c r="C229" s="8">
        <v>2096</v>
      </c>
      <c r="D229" s="8">
        <v>2113</v>
      </c>
      <c r="E229" s="8">
        <v>2168</v>
      </c>
      <c r="F229" s="8">
        <v>2173</v>
      </c>
      <c r="G229" s="8">
        <v>2396</v>
      </c>
      <c r="H229" s="8">
        <v>2458</v>
      </c>
      <c r="I229" s="8" t="s">
        <v>1326</v>
      </c>
      <c r="L229" s="23">
        <v>33470</v>
      </c>
    </row>
    <row r="230" spans="1:18" s="2" customFormat="1" ht="16.5" customHeight="1" thickBot="1">
      <c r="A230" s="12" t="s">
        <v>1706</v>
      </c>
      <c r="B230" s="38" t="s">
        <v>1270</v>
      </c>
      <c r="C230" s="8">
        <v>1176</v>
      </c>
      <c r="D230" s="8">
        <v>1206</v>
      </c>
      <c r="E230" s="8">
        <v>1269</v>
      </c>
      <c r="F230" s="8">
        <v>1280</v>
      </c>
      <c r="G230" s="8" t="s">
        <v>1326</v>
      </c>
    </row>
    <row r="231" spans="1:18" s="2" customFormat="1" ht="16.5" customHeight="1" thickBot="1">
      <c r="A231" s="12" t="s">
        <v>1165</v>
      </c>
      <c r="B231" s="13" t="s">
        <v>1247</v>
      </c>
      <c r="C231" s="8">
        <v>998</v>
      </c>
      <c r="D231" s="8">
        <v>1571</v>
      </c>
      <c r="E231" s="8">
        <v>1611</v>
      </c>
      <c r="F231" s="8">
        <v>1611</v>
      </c>
      <c r="G231" s="8">
        <v>1673</v>
      </c>
      <c r="H231" s="8" t="s">
        <v>1326</v>
      </c>
    </row>
    <row r="232" spans="1:18" s="2" customFormat="1" ht="16.5" customHeight="1" thickBot="1">
      <c r="A232" s="12" t="s">
        <v>1705</v>
      </c>
      <c r="B232" s="37" t="s">
        <v>1286</v>
      </c>
      <c r="C232" s="8">
        <v>332</v>
      </c>
      <c r="D232" s="43">
        <v>363</v>
      </c>
      <c r="E232" s="8" t="s">
        <v>1326</v>
      </c>
      <c r="M232" s="17"/>
    </row>
    <row r="233" spans="1:18" s="2" customFormat="1" ht="12" customHeight="1">
      <c r="A233" s="1"/>
      <c r="C233" s="21"/>
    </row>
    <row r="234" spans="1:18" s="2" customFormat="1" ht="16.5" customHeight="1">
      <c r="A234" s="1" t="s">
        <v>1197</v>
      </c>
    </row>
    <row r="235" spans="1:18" s="2" customFormat="1" ht="9.75" customHeight="1" thickBot="1">
      <c r="A235" s="3"/>
    </row>
    <row r="236" spans="1:18" s="2" customFormat="1" ht="16.5" customHeight="1" thickBot="1">
      <c r="A236" s="4" t="s">
        <v>1244</v>
      </c>
      <c r="B236" s="5" t="s">
        <v>1245</v>
      </c>
      <c r="C236" s="5" t="s">
        <v>1246</v>
      </c>
      <c r="D236" s="5">
        <v>2</v>
      </c>
      <c r="E236" s="5">
        <v>3</v>
      </c>
      <c r="F236" s="5">
        <v>4</v>
      </c>
      <c r="G236" s="5">
        <v>5</v>
      </c>
      <c r="H236" s="5">
        <v>6</v>
      </c>
      <c r="I236" s="5">
        <v>7</v>
      </c>
      <c r="J236" s="5">
        <v>8</v>
      </c>
      <c r="K236" s="5">
        <v>9</v>
      </c>
      <c r="L236" s="5">
        <v>10</v>
      </c>
      <c r="M236" s="5">
        <v>11</v>
      </c>
      <c r="N236" s="5"/>
      <c r="O236" s="10" t="s">
        <v>1413</v>
      </c>
      <c r="P236" s="11">
        <f>(35618/61520)</f>
        <v>0.57896618985695714</v>
      </c>
    </row>
    <row r="237" spans="1:18" s="2" customFormat="1" ht="16.5" customHeight="1" thickBot="1">
      <c r="A237" s="6" t="s">
        <v>1123</v>
      </c>
      <c r="B237" s="25" t="s">
        <v>1247</v>
      </c>
      <c r="C237" s="36">
        <v>5343</v>
      </c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33" t="s">
        <v>1271</v>
      </c>
      <c r="O237" s="14"/>
      <c r="P237" s="10" t="s">
        <v>1248</v>
      </c>
      <c r="Q237" s="10" t="s">
        <v>1249</v>
      </c>
      <c r="R237" s="10" t="s">
        <v>1250</v>
      </c>
    </row>
    <row r="238" spans="1:18" s="2" customFormat="1" ht="16.5" customHeight="1" thickBot="1">
      <c r="A238" s="6" t="s">
        <v>1124</v>
      </c>
      <c r="B238" s="25" t="s">
        <v>1247</v>
      </c>
      <c r="C238" s="36">
        <v>5239</v>
      </c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33" t="s">
        <v>1362</v>
      </c>
      <c r="O238" s="19" t="s">
        <v>1247</v>
      </c>
      <c r="P238" s="16">
        <f>(C237+C238+C239+C240+C242)</f>
        <v>22902</v>
      </c>
      <c r="Q238" s="17">
        <f>SUM(P238/P244)</f>
        <v>0.66104777024101602</v>
      </c>
      <c r="R238" s="14">
        <v>5</v>
      </c>
    </row>
    <row r="239" spans="1:18" s="2" customFormat="1" ht="16.5" customHeight="1" thickBot="1">
      <c r="A239" s="6" t="s">
        <v>1718</v>
      </c>
      <c r="B239" s="25" t="s">
        <v>1247</v>
      </c>
      <c r="C239" s="8">
        <v>4481</v>
      </c>
      <c r="D239" s="8">
        <v>4588</v>
      </c>
      <c r="E239" s="8">
        <v>4605</v>
      </c>
      <c r="F239" s="8">
        <v>4613</v>
      </c>
      <c r="G239" s="8">
        <v>4645</v>
      </c>
      <c r="H239" s="8">
        <v>4682</v>
      </c>
      <c r="I239" s="8">
        <v>4736</v>
      </c>
      <c r="J239" s="8">
        <v>4837</v>
      </c>
      <c r="K239" s="8">
        <v>4848</v>
      </c>
      <c r="L239" s="36">
        <v>5167</v>
      </c>
      <c r="M239" s="8"/>
      <c r="N239" s="33" t="s">
        <v>1252</v>
      </c>
      <c r="O239" s="18" t="s">
        <v>1257</v>
      </c>
      <c r="P239" s="16">
        <v>1471</v>
      </c>
      <c r="Q239" s="17">
        <f>SUM(P239/P244)</f>
        <v>4.2459229326021072E-2</v>
      </c>
      <c r="R239" s="14"/>
    </row>
    <row r="240" spans="1:18" s="2" customFormat="1" ht="16.5" customHeight="1" thickBot="1">
      <c r="A240" s="6" t="s">
        <v>1710</v>
      </c>
      <c r="B240" s="25" t="s">
        <v>1247</v>
      </c>
      <c r="C240" s="8">
        <v>4116</v>
      </c>
      <c r="D240" s="8">
        <v>4340</v>
      </c>
      <c r="E240" s="8">
        <v>4351</v>
      </c>
      <c r="F240" s="8">
        <v>4358</v>
      </c>
      <c r="G240" s="8">
        <v>4377</v>
      </c>
      <c r="H240" s="8">
        <v>4394</v>
      </c>
      <c r="I240" s="8">
        <v>4407</v>
      </c>
      <c r="J240" s="8">
        <v>4424</v>
      </c>
      <c r="K240" s="8">
        <v>4434</v>
      </c>
      <c r="L240" s="8">
        <v>4684</v>
      </c>
      <c r="M240" s="36">
        <v>4823</v>
      </c>
      <c r="N240" s="33" t="s">
        <v>1251</v>
      </c>
      <c r="O240" s="30" t="s">
        <v>1258</v>
      </c>
      <c r="P240" s="16">
        <v>2587</v>
      </c>
      <c r="Q240" s="17">
        <f>SUM(P240/P244)</f>
        <v>7.4671669793621012E-2</v>
      </c>
    </row>
    <row r="241" spans="1:18" s="2" customFormat="1" ht="16.5" customHeight="1" thickBot="1">
      <c r="A241" s="6" t="s">
        <v>1713</v>
      </c>
      <c r="B241" s="7" t="s">
        <v>1261</v>
      </c>
      <c r="C241" s="8">
        <v>3765</v>
      </c>
      <c r="D241" s="8">
        <v>3777</v>
      </c>
      <c r="E241" s="8">
        <v>3780</v>
      </c>
      <c r="F241" s="8">
        <v>3787</v>
      </c>
      <c r="G241" s="8">
        <v>3890</v>
      </c>
      <c r="H241" s="8">
        <v>3940</v>
      </c>
      <c r="I241" s="8">
        <v>4084</v>
      </c>
      <c r="J241" s="8">
        <v>4720</v>
      </c>
      <c r="K241" s="8">
        <v>4781</v>
      </c>
      <c r="L241" s="36">
        <v>5152</v>
      </c>
      <c r="M241" s="8"/>
      <c r="N241" s="33" t="s">
        <v>1280</v>
      </c>
      <c r="O241" s="15" t="s">
        <v>1261</v>
      </c>
      <c r="P241" s="21">
        <f>(C241+C246)</f>
        <v>4567</v>
      </c>
      <c r="Q241" s="17">
        <f>SUM(P241/P244)</f>
        <v>0.13182277384904026</v>
      </c>
      <c r="R241" s="2">
        <v>1</v>
      </c>
    </row>
    <row r="242" spans="1:18" s="2" customFormat="1" ht="16.5" customHeight="1" thickBot="1">
      <c r="A242" s="6" t="s">
        <v>1125</v>
      </c>
      <c r="B242" s="25" t="s">
        <v>1247</v>
      </c>
      <c r="C242" s="8">
        <v>3723</v>
      </c>
      <c r="D242" s="8">
        <v>3737</v>
      </c>
      <c r="E242" s="8">
        <v>3960</v>
      </c>
      <c r="F242" s="8">
        <v>3972</v>
      </c>
      <c r="G242" s="8">
        <v>3996</v>
      </c>
      <c r="H242" s="8">
        <v>4017</v>
      </c>
      <c r="I242" s="8">
        <v>4030</v>
      </c>
      <c r="J242" s="8">
        <v>4052</v>
      </c>
      <c r="K242" s="8">
        <v>4055</v>
      </c>
      <c r="L242" s="8">
        <v>4250</v>
      </c>
      <c r="M242" s="36">
        <v>4327</v>
      </c>
      <c r="N242" s="33" t="s">
        <v>1253</v>
      </c>
      <c r="O242" s="31" t="s">
        <v>1269</v>
      </c>
      <c r="P242" s="21">
        <v>365</v>
      </c>
      <c r="Q242" s="17">
        <f>SUM(P242/P244)</f>
        <v>1.0535430798094964E-2</v>
      </c>
    </row>
    <row r="243" spans="1:18" s="2" customFormat="1" ht="16.5" customHeight="1" thickBot="1">
      <c r="A243" s="12" t="s">
        <v>808</v>
      </c>
      <c r="B243" s="27" t="s">
        <v>1258</v>
      </c>
      <c r="C243" s="8">
        <v>2587</v>
      </c>
      <c r="D243" s="8">
        <v>2587</v>
      </c>
      <c r="E243" s="8">
        <v>2587</v>
      </c>
      <c r="F243" s="8">
        <v>2587</v>
      </c>
      <c r="G243" s="8">
        <v>2600</v>
      </c>
      <c r="H243" s="8">
        <v>2604</v>
      </c>
      <c r="I243" s="8">
        <v>2607</v>
      </c>
      <c r="J243" s="8">
        <v>2617</v>
      </c>
      <c r="K243" s="8">
        <v>3834</v>
      </c>
      <c r="L243" s="8">
        <v>3866</v>
      </c>
      <c r="M243" s="8">
        <v>3866</v>
      </c>
      <c r="N243" s="33"/>
      <c r="O243" s="26" t="s">
        <v>1254</v>
      </c>
      <c r="P243" s="21">
        <f>(C244+C247+C248+C250)</f>
        <v>2753</v>
      </c>
      <c r="Q243" s="11">
        <f>SUM(P243/P244)</f>
        <v>7.9463125992206673E-2</v>
      </c>
    </row>
    <row r="244" spans="1:18" s="2" customFormat="1" ht="16.5" customHeight="1" thickBot="1">
      <c r="A244" s="12" t="s">
        <v>1178</v>
      </c>
      <c r="B244" s="38" t="s">
        <v>1717</v>
      </c>
      <c r="C244" s="8">
        <v>1661</v>
      </c>
      <c r="D244" s="8">
        <v>1665</v>
      </c>
      <c r="E244" s="8">
        <v>1666</v>
      </c>
      <c r="F244" s="8">
        <v>1702</v>
      </c>
      <c r="G244" s="8">
        <v>1733</v>
      </c>
      <c r="H244" s="8">
        <v>1854</v>
      </c>
      <c r="I244" s="8">
        <v>1939</v>
      </c>
      <c r="J244" s="8">
        <v>1977</v>
      </c>
      <c r="K244" s="8">
        <v>1999</v>
      </c>
      <c r="L244" s="8" t="s">
        <v>1326</v>
      </c>
      <c r="P244" s="23">
        <v>34645</v>
      </c>
    </row>
    <row r="245" spans="1:18" s="2" customFormat="1" ht="16.5" customHeight="1" thickBot="1">
      <c r="A245" s="12" t="s">
        <v>1942</v>
      </c>
      <c r="B245" s="22" t="s">
        <v>1257</v>
      </c>
      <c r="C245" s="8">
        <v>1471</v>
      </c>
      <c r="D245" s="8">
        <v>1471</v>
      </c>
      <c r="E245" s="8">
        <v>1471</v>
      </c>
      <c r="F245" s="8">
        <v>1473</v>
      </c>
      <c r="G245" s="8">
        <v>1503</v>
      </c>
      <c r="H245" s="8">
        <v>1512</v>
      </c>
      <c r="I245" s="8">
        <v>1517</v>
      </c>
      <c r="J245" s="8">
        <v>1526</v>
      </c>
      <c r="K245" s="8" t="s">
        <v>1326</v>
      </c>
    </row>
    <row r="246" spans="1:18" s="2" customFormat="1" ht="16.5" customHeight="1" thickBot="1">
      <c r="A246" s="12" t="s">
        <v>1150</v>
      </c>
      <c r="B246" s="20" t="s">
        <v>1261</v>
      </c>
      <c r="C246" s="8">
        <v>802</v>
      </c>
      <c r="D246" s="8">
        <v>803</v>
      </c>
      <c r="E246" s="8">
        <v>804</v>
      </c>
      <c r="F246" s="8">
        <v>807</v>
      </c>
      <c r="G246" s="8">
        <v>853</v>
      </c>
      <c r="H246" s="8">
        <v>878</v>
      </c>
      <c r="I246" s="8">
        <v>982</v>
      </c>
      <c r="J246" s="8" t="s">
        <v>1326</v>
      </c>
    </row>
    <row r="247" spans="1:18" s="2" customFormat="1" ht="16.5" customHeight="1" thickBot="1">
      <c r="A247" s="12" t="s">
        <v>1720</v>
      </c>
      <c r="B247" s="37" t="s">
        <v>1286</v>
      </c>
      <c r="C247" s="8">
        <v>586</v>
      </c>
      <c r="D247" s="43">
        <v>587</v>
      </c>
      <c r="E247" s="43">
        <v>587</v>
      </c>
      <c r="F247" s="8">
        <v>590</v>
      </c>
      <c r="G247" s="8">
        <v>607</v>
      </c>
      <c r="H247" s="8">
        <v>644</v>
      </c>
      <c r="I247" s="8" t="s">
        <v>1326</v>
      </c>
      <c r="M247" s="17"/>
    </row>
    <row r="248" spans="1:18" s="2" customFormat="1" ht="16.5" customHeight="1" thickBot="1">
      <c r="A248" s="12" t="s">
        <v>1126</v>
      </c>
      <c r="B248" s="38" t="s">
        <v>1673</v>
      </c>
      <c r="C248" s="8">
        <v>384</v>
      </c>
      <c r="D248" s="8">
        <v>384</v>
      </c>
      <c r="E248" s="8">
        <v>385</v>
      </c>
      <c r="F248" s="8">
        <v>400</v>
      </c>
      <c r="G248" s="8">
        <v>409</v>
      </c>
      <c r="H248" s="8" t="s">
        <v>1326</v>
      </c>
      <c r="M248" s="17"/>
      <c r="R248" s="17"/>
    </row>
    <row r="249" spans="1:18" s="2" customFormat="1" ht="16.5" customHeight="1" thickBot="1">
      <c r="A249" s="12" t="s">
        <v>1719</v>
      </c>
      <c r="B249" s="32" t="s">
        <v>1269</v>
      </c>
      <c r="C249" s="8">
        <v>365</v>
      </c>
      <c r="D249" s="8">
        <v>368</v>
      </c>
      <c r="E249" s="8">
        <v>369</v>
      </c>
      <c r="F249" s="8">
        <v>371</v>
      </c>
      <c r="G249" s="8" t="s">
        <v>1326</v>
      </c>
    </row>
    <row r="250" spans="1:18" s="2" customFormat="1" ht="16.5" customHeight="1" thickBot="1">
      <c r="A250" s="12" t="s">
        <v>1179</v>
      </c>
      <c r="B250" s="38" t="s">
        <v>1270</v>
      </c>
      <c r="C250" s="8">
        <v>122</v>
      </c>
      <c r="D250" s="8">
        <v>123</v>
      </c>
      <c r="E250" s="8">
        <v>123</v>
      </c>
      <c r="F250" s="8" t="s">
        <v>1326</v>
      </c>
    </row>
    <row r="251" spans="1:18" s="2" customFormat="1" ht="12" customHeight="1">
      <c r="A251" s="1"/>
      <c r="C251" s="21"/>
    </row>
    <row r="252" spans="1:18" s="2" customFormat="1" ht="16.5" customHeight="1">
      <c r="A252" s="1" t="s">
        <v>1191</v>
      </c>
    </row>
    <row r="253" spans="1:18" s="2" customFormat="1" ht="9.75" customHeight="1" thickBot="1">
      <c r="A253" s="3"/>
    </row>
    <row r="254" spans="1:18" s="2" customFormat="1" ht="16.5" customHeight="1" thickBot="1">
      <c r="A254" s="4" t="s">
        <v>1244</v>
      </c>
      <c r="B254" s="5" t="s">
        <v>1245</v>
      </c>
      <c r="C254" s="5" t="s">
        <v>1246</v>
      </c>
      <c r="D254" s="5">
        <v>2</v>
      </c>
      <c r="E254" s="5">
        <v>3</v>
      </c>
      <c r="F254" s="5">
        <v>4</v>
      </c>
      <c r="G254" s="5">
        <v>5</v>
      </c>
      <c r="H254" s="5"/>
      <c r="I254" s="10" t="s">
        <v>1413</v>
      </c>
      <c r="J254" s="11">
        <f>(32752/62484)</f>
        <v>0.52416618654375524</v>
      </c>
    </row>
    <row r="255" spans="1:18" s="2" customFormat="1" ht="16.5" customHeight="1" thickBot="1">
      <c r="A255" s="6" t="s">
        <v>1121</v>
      </c>
      <c r="B255" s="45" t="s">
        <v>1269</v>
      </c>
      <c r="C255" s="36">
        <v>6390</v>
      </c>
      <c r="D255" s="8"/>
      <c r="E255" s="8"/>
      <c r="F255" s="8"/>
      <c r="G255" s="8"/>
      <c r="H255" s="33" t="s">
        <v>1271</v>
      </c>
      <c r="I255" s="14"/>
      <c r="J255" s="10" t="s">
        <v>1248</v>
      </c>
      <c r="K255" s="10" t="s">
        <v>1249</v>
      </c>
      <c r="L255" s="10" t="s">
        <v>1250</v>
      </c>
    </row>
    <row r="256" spans="1:18" s="2" customFormat="1" ht="16.5" customHeight="1" thickBot="1">
      <c r="A256" s="6" t="s">
        <v>1685</v>
      </c>
      <c r="B256" s="7" t="s">
        <v>1261</v>
      </c>
      <c r="C256" s="8">
        <v>4527</v>
      </c>
      <c r="D256" s="36">
        <v>4916</v>
      </c>
      <c r="E256" s="8"/>
      <c r="F256" s="8"/>
      <c r="G256" s="8"/>
      <c r="H256" s="33" t="s">
        <v>1362</v>
      </c>
      <c r="I256" s="19" t="s">
        <v>1247</v>
      </c>
      <c r="J256" s="16">
        <v>4038</v>
      </c>
      <c r="K256" s="17">
        <f>SUM(J256/J262)</f>
        <v>0.12494585060956742</v>
      </c>
      <c r="L256" s="14">
        <v>1</v>
      </c>
    </row>
    <row r="257" spans="1:24" s="2" customFormat="1" ht="16.5" customHeight="1" thickBot="1">
      <c r="A257" s="6" t="s">
        <v>1091</v>
      </c>
      <c r="B257" s="28" t="s">
        <v>1258</v>
      </c>
      <c r="C257" s="8">
        <v>4045</v>
      </c>
      <c r="D257" s="8">
        <v>4099</v>
      </c>
      <c r="E257" s="8">
        <v>4104</v>
      </c>
      <c r="F257" s="8">
        <v>4164</v>
      </c>
      <c r="G257" s="36">
        <v>4281</v>
      </c>
      <c r="H257" s="33" t="s">
        <v>1253</v>
      </c>
      <c r="I257" s="18" t="s">
        <v>1257</v>
      </c>
      <c r="J257" s="16">
        <f>(C261+C262)</f>
        <v>4382</v>
      </c>
      <c r="K257" s="17">
        <f>SUM(J257/J262)</f>
        <v>0.13559007364317099</v>
      </c>
      <c r="L257" s="14">
        <v>1</v>
      </c>
    </row>
    <row r="258" spans="1:24" s="2" customFormat="1" ht="16.5" customHeight="1" thickBot="1">
      <c r="A258" s="6" t="s">
        <v>1683</v>
      </c>
      <c r="B258" s="25" t="s">
        <v>1247</v>
      </c>
      <c r="C258" s="8">
        <v>4038</v>
      </c>
      <c r="D258" s="8">
        <v>4125</v>
      </c>
      <c r="E258" s="8">
        <v>4139</v>
      </c>
      <c r="F258" s="8">
        <v>4268</v>
      </c>
      <c r="G258" s="36">
        <v>4452</v>
      </c>
      <c r="H258" s="33" t="s">
        <v>1280</v>
      </c>
      <c r="I258" s="30" t="s">
        <v>1258</v>
      </c>
      <c r="J258" s="16">
        <f>(C257+C259)</f>
        <v>7845</v>
      </c>
      <c r="K258" s="17">
        <f>SUM(J258/J262)</f>
        <v>0.24274398168203479</v>
      </c>
      <c r="L258" s="2">
        <v>1</v>
      </c>
    </row>
    <row r="259" spans="1:24" s="2" customFormat="1" ht="16.5" customHeight="1" thickBot="1">
      <c r="A259" s="12" t="s">
        <v>1846</v>
      </c>
      <c r="B259" s="27" t="s">
        <v>1258</v>
      </c>
      <c r="C259" s="8">
        <v>3800</v>
      </c>
      <c r="D259" s="8">
        <v>3887</v>
      </c>
      <c r="E259" s="8">
        <v>3894</v>
      </c>
      <c r="F259" s="8">
        <v>3953</v>
      </c>
      <c r="G259" s="8">
        <v>4163</v>
      </c>
      <c r="H259" s="33"/>
      <c r="I259" s="15" t="s">
        <v>1261</v>
      </c>
      <c r="J259" s="21">
        <f>(C256+C260)</f>
        <v>7718</v>
      </c>
      <c r="K259" s="17">
        <f>SUM(J259/J262)</f>
        <v>0.23881428306207067</v>
      </c>
      <c r="L259" s="2">
        <v>2</v>
      </c>
    </row>
    <row r="260" spans="1:24" s="2" customFormat="1" ht="16.5" customHeight="1" thickBot="1">
      <c r="A260" s="6" t="s">
        <v>1112</v>
      </c>
      <c r="B260" s="7" t="s">
        <v>1261</v>
      </c>
      <c r="C260" s="8">
        <v>3191</v>
      </c>
      <c r="D260" s="8">
        <v>3510</v>
      </c>
      <c r="E260" s="8">
        <v>3687</v>
      </c>
      <c r="F260" s="8">
        <v>3852</v>
      </c>
      <c r="G260" s="36">
        <v>4445</v>
      </c>
      <c r="H260" s="33" t="s">
        <v>1251</v>
      </c>
      <c r="I260" s="31" t="s">
        <v>1269</v>
      </c>
      <c r="J260" s="21">
        <v>6390</v>
      </c>
      <c r="K260" s="17">
        <f>SUM(J260/J262)</f>
        <v>0.19772263135094995</v>
      </c>
      <c r="L260" s="2">
        <v>1</v>
      </c>
    </row>
    <row r="261" spans="1:24" s="2" customFormat="1" ht="16.5" customHeight="1" thickBot="1">
      <c r="A261" s="6" t="s">
        <v>1679</v>
      </c>
      <c r="B261" s="9" t="s">
        <v>1257</v>
      </c>
      <c r="C261" s="8">
        <v>2988</v>
      </c>
      <c r="D261" s="8">
        <v>3209</v>
      </c>
      <c r="E261" s="8">
        <v>3241</v>
      </c>
      <c r="F261" s="8">
        <v>3323</v>
      </c>
      <c r="G261" s="36">
        <v>4622</v>
      </c>
      <c r="H261" s="33" t="s">
        <v>1252</v>
      </c>
      <c r="I261" s="26" t="s">
        <v>1254</v>
      </c>
      <c r="J261" s="21">
        <f>(C263+C264+C265+C266+C267+C268)</f>
        <v>1945</v>
      </c>
      <c r="K261" s="11">
        <f>SUM(J261/J262)</f>
        <v>6.0183179652206202E-2</v>
      </c>
    </row>
    <row r="262" spans="1:24" s="2" customFormat="1" ht="16.5" customHeight="1" thickBot="1">
      <c r="A262" s="12" t="s">
        <v>1100</v>
      </c>
      <c r="B262" s="22" t="s">
        <v>1257</v>
      </c>
      <c r="C262" s="8">
        <v>1394</v>
      </c>
      <c r="D262" s="8">
        <v>1554</v>
      </c>
      <c r="E262" s="8">
        <v>1567</v>
      </c>
      <c r="F262" s="8">
        <v>1618</v>
      </c>
      <c r="G262" s="8" t="s">
        <v>1326</v>
      </c>
      <c r="J262" s="23">
        <v>32318</v>
      </c>
    </row>
    <row r="263" spans="1:24" s="2" customFormat="1" ht="16.5" customHeight="1" thickBot="1">
      <c r="A263" s="12" t="s">
        <v>1122</v>
      </c>
      <c r="B263" s="39" t="s">
        <v>1320</v>
      </c>
      <c r="C263" s="8">
        <v>899</v>
      </c>
      <c r="D263" s="8">
        <v>1227</v>
      </c>
      <c r="E263" s="8">
        <v>1264</v>
      </c>
      <c r="F263" s="8">
        <v>1656</v>
      </c>
      <c r="G263" s="8" t="s">
        <v>1326</v>
      </c>
    </row>
    <row r="264" spans="1:24" s="2" customFormat="1" ht="16.5" customHeight="1" thickBot="1">
      <c r="A264" s="12" t="s">
        <v>1175</v>
      </c>
      <c r="B264" s="38" t="s">
        <v>1717</v>
      </c>
      <c r="C264" s="8">
        <v>414</v>
      </c>
      <c r="D264" s="8">
        <v>476</v>
      </c>
      <c r="E264" s="8">
        <v>480</v>
      </c>
      <c r="F264" s="8" t="s">
        <v>1326</v>
      </c>
    </row>
    <row r="265" spans="1:24" s="2" customFormat="1" ht="16.5" customHeight="1" thickBot="1">
      <c r="A265" s="12" t="s">
        <v>1149</v>
      </c>
      <c r="B265" s="38" t="s">
        <v>1673</v>
      </c>
      <c r="C265" s="8">
        <v>234</v>
      </c>
      <c r="D265" s="8">
        <v>252</v>
      </c>
      <c r="E265" s="8">
        <v>255</v>
      </c>
      <c r="F265" s="8" t="s">
        <v>1326</v>
      </c>
      <c r="L265" s="17"/>
    </row>
    <row r="266" spans="1:24" s="2" customFormat="1" ht="16.5" customHeight="1" thickBot="1">
      <c r="A266" s="12" t="s">
        <v>1177</v>
      </c>
      <c r="B266" s="38" t="s">
        <v>1162</v>
      </c>
      <c r="C266" s="8">
        <v>234</v>
      </c>
      <c r="D266" s="8">
        <v>244</v>
      </c>
      <c r="E266" s="8">
        <v>245</v>
      </c>
      <c r="F266" s="8" t="s">
        <v>1326</v>
      </c>
      <c r="L266" s="17"/>
      <c r="Q266"/>
      <c r="X266"/>
    </row>
    <row r="267" spans="1:24" s="2" customFormat="1" ht="16.5" customHeight="1" thickBot="1">
      <c r="A267" s="12" t="s">
        <v>1689</v>
      </c>
      <c r="B267" s="37" t="s">
        <v>1286</v>
      </c>
      <c r="C267" s="8">
        <v>135</v>
      </c>
      <c r="D267" s="8">
        <v>155</v>
      </c>
      <c r="E267" s="8">
        <v>159</v>
      </c>
      <c r="F267" s="8" t="s">
        <v>1326</v>
      </c>
      <c r="L267" s="17"/>
      <c r="Q267" s="17"/>
    </row>
    <row r="268" spans="1:24" s="2" customFormat="1" ht="16.5" customHeight="1" thickBot="1">
      <c r="A268" s="12" t="s">
        <v>604</v>
      </c>
      <c r="B268" s="38" t="s">
        <v>1176</v>
      </c>
      <c r="C268" s="8">
        <v>29</v>
      </c>
      <c r="D268" s="8">
        <v>33</v>
      </c>
      <c r="E268" s="8">
        <v>33</v>
      </c>
      <c r="F268" s="8" t="s">
        <v>1326</v>
      </c>
      <c r="L268" s="11"/>
    </row>
    <row r="269" spans="1:24" s="2" customFormat="1" ht="12" customHeight="1">
      <c r="A269" s="1"/>
      <c r="C269" s="21"/>
    </row>
    <row r="270" spans="1:24" s="2" customFormat="1" ht="16.5" customHeight="1">
      <c r="A270" s="1" t="s">
        <v>1198</v>
      </c>
    </row>
    <row r="271" spans="1:24" s="2" customFormat="1" ht="9.75" customHeight="1" thickBot="1">
      <c r="A271" s="3"/>
    </row>
    <row r="272" spans="1:24" s="2" customFormat="1" ht="16.5" customHeight="1" thickBot="1">
      <c r="A272" s="4" t="s">
        <v>1244</v>
      </c>
      <c r="B272" s="5" t="s">
        <v>1245</v>
      </c>
      <c r="C272" s="5" t="s">
        <v>1246</v>
      </c>
      <c r="D272" s="5">
        <v>2</v>
      </c>
      <c r="E272" s="5">
        <v>3</v>
      </c>
      <c r="F272" s="5">
        <v>4</v>
      </c>
      <c r="G272" s="5">
        <v>5</v>
      </c>
      <c r="H272" s="5">
        <v>6</v>
      </c>
      <c r="I272" s="5">
        <v>7</v>
      </c>
      <c r="J272" s="5">
        <v>8</v>
      </c>
      <c r="K272" s="5">
        <v>9</v>
      </c>
      <c r="L272" s="5">
        <v>10</v>
      </c>
      <c r="M272" s="5">
        <v>11</v>
      </c>
      <c r="N272" s="5"/>
      <c r="O272" s="10" t="s">
        <v>1413</v>
      </c>
      <c r="P272" s="11">
        <f>(32828/61263)</f>
        <v>0.53585361474299331</v>
      </c>
    </row>
    <row r="273" spans="1:29" s="2" customFormat="1" ht="16.5" customHeight="1" thickBot="1">
      <c r="A273" s="6" t="s">
        <v>1660</v>
      </c>
      <c r="B273" s="28" t="s">
        <v>1258</v>
      </c>
      <c r="C273" s="36">
        <v>9149</v>
      </c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33" t="s">
        <v>1271</v>
      </c>
      <c r="O273" s="14"/>
      <c r="P273" s="10" t="s">
        <v>1248</v>
      </c>
      <c r="Q273" s="10" t="s">
        <v>1249</v>
      </c>
      <c r="R273" s="10" t="s">
        <v>1250</v>
      </c>
    </row>
    <row r="274" spans="1:29" s="2" customFormat="1" ht="16.5" customHeight="1" thickBot="1">
      <c r="A274" s="6" t="s">
        <v>1117</v>
      </c>
      <c r="B274" s="45" t="s">
        <v>1269</v>
      </c>
      <c r="C274" s="8">
        <v>4329</v>
      </c>
      <c r="D274" s="8">
        <v>4432</v>
      </c>
      <c r="E274" s="8">
        <v>4434</v>
      </c>
      <c r="F274" s="8">
        <v>4449</v>
      </c>
      <c r="G274" s="8">
        <v>4498</v>
      </c>
      <c r="H274" s="8">
        <v>4572</v>
      </c>
      <c r="I274" s="36">
        <v>4755</v>
      </c>
      <c r="J274" s="8"/>
      <c r="K274" s="8"/>
      <c r="L274" s="8"/>
      <c r="M274" s="8"/>
      <c r="N274" s="33" t="s">
        <v>1252</v>
      </c>
      <c r="O274" s="19" t="s">
        <v>1247</v>
      </c>
      <c r="P274" s="16">
        <v>1030</v>
      </c>
      <c r="Q274" s="17">
        <f>SUM(P274/P280)</f>
        <v>3.1842211024206264E-2</v>
      </c>
      <c r="R274" s="14"/>
    </row>
    <row r="275" spans="1:29" s="2" customFormat="1" ht="16.5" customHeight="1" thickBot="1">
      <c r="A275" s="6" t="s">
        <v>1148</v>
      </c>
      <c r="B275" s="45" t="s">
        <v>1269</v>
      </c>
      <c r="C275" s="8">
        <v>4183</v>
      </c>
      <c r="D275" s="8">
        <v>4307</v>
      </c>
      <c r="E275" s="8">
        <v>4308</v>
      </c>
      <c r="F275" s="8">
        <v>4320</v>
      </c>
      <c r="G275" s="8">
        <v>4330</v>
      </c>
      <c r="H275" s="8">
        <v>4419</v>
      </c>
      <c r="I275" s="8">
        <v>4530</v>
      </c>
      <c r="J275" s="8">
        <v>4571</v>
      </c>
      <c r="K275" s="36">
        <v>4695</v>
      </c>
      <c r="L275" s="8"/>
      <c r="M275" s="8"/>
      <c r="N275" s="33" t="s">
        <v>1280</v>
      </c>
      <c r="O275" s="18" t="s">
        <v>1257</v>
      </c>
      <c r="P275" s="16">
        <f>(C278+C282)</f>
        <v>3137</v>
      </c>
      <c r="Q275" s="17">
        <f>SUM(P275/P280)</f>
        <v>9.6979627167898111E-2</v>
      </c>
      <c r="R275" s="14">
        <v>1</v>
      </c>
    </row>
    <row r="276" spans="1:29" s="2" customFormat="1" ht="16.5" customHeight="1" thickBot="1">
      <c r="A276" s="6" t="s">
        <v>806</v>
      </c>
      <c r="B276" s="28" t="s">
        <v>1258</v>
      </c>
      <c r="C276" s="8">
        <v>2668</v>
      </c>
      <c r="D276" s="8">
        <v>3683</v>
      </c>
      <c r="E276" s="8">
        <v>3809</v>
      </c>
      <c r="F276" s="8">
        <v>3819</v>
      </c>
      <c r="G276" s="8">
        <v>3831</v>
      </c>
      <c r="H276" s="8">
        <v>3892</v>
      </c>
      <c r="I276" s="8">
        <v>3941</v>
      </c>
      <c r="J276" s="8">
        <v>4053</v>
      </c>
      <c r="K276" s="8">
        <v>4078</v>
      </c>
      <c r="L276" s="8">
        <v>4455</v>
      </c>
      <c r="M276" s="36">
        <v>4783</v>
      </c>
      <c r="N276" s="33" t="s">
        <v>1251</v>
      </c>
      <c r="O276" s="30" t="s">
        <v>1258</v>
      </c>
      <c r="P276" s="16">
        <f>(C273+C276+C277)</f>
        <v>14253</v>
      </c>
      <c r="Q276" s="17">
        <f>SUM(P276/P280)</f>
        <v>0.4406281880854484</v>
      </c>
      <c r="R276" s="2">
        <v>3</v>
      </c>
    </row>
    <row r="277" spans="1:29" s="2" customFormat="1" ht="16.5" customHeight="1" thickBot="1">
      <c r="A277" s="6" t="s">
        <v>1665</v>
      </c>
      <c r="B277" s="28" t="s">
        <v>1258</v>
      </c>
      <c r="C277" s="8">
        <v>2436</v>
      </c>
      <c r="D277" s="36">
        <v>4800</v>
      </c>
      <c r="E277" s="8"/>
      <c r="F277" s="8"/>
      <c r="G277" s="8"/>
      <c r="H277" s="8"/>
      <c r="I277" s="8"/>
      <c r="J277" s="8"/>
      <c r="K277" s="8"/>
      <c r="L277" s="8"/>
      <c r="M277" s="8"/>
      <c r="N277" s="33" t="s">
        <v>1362</v>
      </c>
      <c r="O277" s="15" t="s">
        <v>1261</v>
      </c>
      <c r="P277" s="21">
        <v>250</v>
      </c>
      <c r="Q277" s="17">
        <f>SUM(P277/P280)</f>
        <v>7.7286919961665687E-3</v>
      </c>
    </row>
    <row r="278" spans="1:29" s="2" customFormat="1" ht="16.5" customHeight="1" thickBot="1">
      <c r="A278" s="6" t="s">
        <v>1859</v>
      </c>
      <c r="B278" s="9" t="s">
        <v>1257</v>
      </c>
      <c r="C278" s="8">
        <v>2194</v>
      </c>
      <c r="D278" s="8">
        <v>2355</v>
      </c>
      <c r="E278" s="8">
        <v>2357</v>
      </c>
      <c r="F278" s="8">
        <v>2357</v>
      </c>
      <c r="G278" s="8">
        <v>2383</v>
      </c>
      <c r="H278" s="8">
        <v>2437</v>
      </c>
      <c r="I278" s="8">
        <v>2476</v>
      </c>
      <c r="J278" s="8">
        <v>2618</v>
      </c>
      <c r="K278" s="8">
        <v>2625</v>
      </c>
      <c r="L278" s="8">
        <v>3225</v>
      </c>
      <c r="M278" s="36">
        <v>3723</v>
      </c>
      <c r="N278" s="33" t="s">
        <v>1253</v>
      </c>
      <c r="O278" s="31" t="s">
        <v>1269</v>
      </c>
      <c r="P278" s="21">
        <f>(C274+C275)</f>
        <v>8512</v>
      </c>
      <c r="Q278" s="17">
        <f>SUM(P278/P280)</f>
        <v>0.26314650508547932</v>
      </c>
      <c r="R278" s="2">
        <v>2</v>
      </c>
    </row>
    <row r="279" spans="1:29" s="2" customFormat="1" ht="16.5" customHeight="1" thickBot="1">
      <c r="A279" s="12" t="s">
        <v>1116</v>
      </c>
      <c r="B279" s="38" t="s">
        <v>1270</v>
      </c>
      <c r="C279" s="8">
        <v>1702</v>
      </c>
      <c r="D279" s="8">
        <v>1909</v>
      </c>
      <c r="E279" s="8">
        <v>1911</v>
      </c>
      <c r="F279" s="8">
        <v>1926</v>
      </c>
      <c r="G279" s="8">
        <v>1955</v>
      </c>
      <c r="H279" s="8">
        <v>2010</v>
      </c>
      <c r="I279" s="8">
        <v>2094</v>
      </c>
      <c r="J279" s="8">
        <v>2179</v>
      </c>
      <c r="K279" s="8">
        <v>2229</v>
      </c>
      <c r="L279" s="8">
        <v>2320</v>
      </c>
      <c r="M279" s="8">
        <v>2789</v>
      </c>
      <c r="N279" s="33"/>
      <c r="O279" s="26" t="s">
        <v>1254</v>
      </c>
      <c r="P279" s="21">
        <f>(C279+C280+C283+C284+C285+C287+C288+C289)</f>
        <v>5165</v>
      </c>
      <c r="Q279" s="11">
        <f>SUM(P279/P280)</f>
        <v>0.15967477664080132</v>
      </c>
    </row>
    <row r="280" spans="1:29" s="2" customFormat="1" ht="16.5" customHeight="1" thickBot="1">
      <c r="A280" s="12" t="s">
        <v>1146</v>
      </c>
      <c r="B280" s="63" t="s">
        <v>1276</v>
      </c>
      <c r="C280" s="8">
        <v>1493</v>
      </c>
      <c r="D280" s="8">
        <v>1667</v>
      </c>
      <c r="E280" s="8">
        <v>1670</v>
      </c>
      <c r="F280" s="8">
        <v>1671</v>
      </c>
      <c r="G280" s="8">
        <v>1681</v>
      </c>
      <c r="H280" s="8">
        <v>1761</v>
      </c>
      <c r="I280" s="8">
        <v>1787</v>
      </c>
      <c r="J280" s="8">
        <v>1873</v>
      </c>
      <c r="K280" s="8">
        <v>1884</v>
      </c>
      <c r="L280" s="8">
        <v>1963</v>
      </c>
      <c r="M280" s="8" t="s">
        <v>1326</v>
      </c>
      <c r="P280" s="23">
        <f>SUM(C273:C289)</f>
        <v>32347</v>
      </c>
    </row>
    <row r="281" spans="1:29" s="2" customFormat="1" ht="16.5" customHeight="1" thickBot="1">
      <c r="A281" s="12" t="s">
        <v>1667</v>
      </c>
      <c r="B281" s="13" t="s">
        <v>1247</v>
      </c>
      <c r="C281" s="8">
        <v>1030</v>
      </c>
      <c r="D281" s="8">
        <v>1037</v>
      </c>
      <c r="E281" s="8">
        <v>1037</v>
      </c>
      <c r="F281" s="8">
        <v>1061</v>
      </c>
      <c r="G281" s="8">
        <v>1070</v>
      </c>
      <c r="H281" s="8">
        <v>1127</v>
      </c>
      <c r="I281" s="8">
        <v>1148</v>
      </c>
      <c r="J281" s="8">
        <v>1148</v>
      </c>
      <c r="K281" s="8" t="s">
        <v>1326</v>
      </c>
    </row>
    <row r="282" spans="1:29" s="2" customFormat="1" ht="16.5" customHeight="1" thickBot="1">
      <c r="A282" s="12" t="s">
        <v>1147</v>
      </c>
      <c r="B282" s="22" t="s">
        <v>1257</v>
      </c>
      <c r="C282" s="8">
        <v>943</v>
      </c>
      <c r="D282" s="8">
        <v>1130</v>
      </c>
      <c r="E282" s="8">
        <v>1131</v>
      </c>
      <c r="F282" s="8">
        <v>1139</v>
      </c>
      <c r="G282" s="8">
        <v>1142</v>
      </c>
      <c r="H282" s="8">
        <v>1160</v>
      </c>
      <c r="I282" s="8">
        <v>1188</v>
      </c>
      <c r="J282" s="8">
        <v>1294</v>
      </c>
      <c r="K282" s="8">
        <v>1296</v>
      </c>
      <c r="L282" s="8" t="s">
        <v>1326</v>
      </c>
    </row>
    <row r="283" spans="1:29" s="2" customFormat="1" ht="16.5" customHeight="1" thickBot="1">
      <c r="A283" s="12" t="s">
        <v>1857</v>
      </c>
      <c r="B283" s="42" t="s">
        <v>1878</v>
      </c>
      <c r="C283" s="8">
        <v>712</v>
      </c>
      <c r="D283" s="43">
        <v>744</v>
      </c>
      <c r="E283" s="43">
        <v>744</v>
      </c>
      <c r="F283" s="8">
        <v>746</v>
      </c>
      <c r="G283" s="8">
        <v>753</v>
      </c>
      <c r="H283" s="8">
        <v>801</v>
      </c>
      <c r="I283" s="8">
        <v>824</v>
      </c>
      <c r="J283" s="8" t="s">
        <v>1326</v>
      </c>
      <c r="L283" s="11"/>
      <c r="Q283" s="17"/>
    </row>
    <row r="284" spans="1:29" s="2" customFormat="1" ht="16.5" customHeight="1" thickBot="1">
      <c r="A284" s="12" t="s">
        <v>1118</v>
      </c>
      <c r="B284" s="39" t="s">
        <v>1320</v>
      </c>
      <c r="C284" s="8">
        <v>572</v>
      </c>
      <c r="D284" s="43">
        <v>613</v>
      </c>
      <c r="E284" s="43">
        <v>614</v>
      </c>
      <c r="F284" s="8">
        <v>624</v>
      </c>
      <c r="G284" s="8">
        <v>649</v>
      </c>
      <c r="H284" s="8">
        <v>691</v>
      </c>
      <c r="I284" s="8" t="s">
        <v>1326</v>
      </c>
      <c r="L284" s="11"/>
      <c r="Q284" s="17"/>
    </row>
    <row r="285" spans="1:29" s="2" customFormat="1" ht="16.5" customHeight="1" thickBot="1">
      <c r="A285" s="12" t="s">
        <v>1170</v>
      </c>
      <c r="B285" s="38" t="s">
        <v>1167</v>
      </c>
      <c r="C285" s="8">
        <v>337</v>
      </c>
      <c r="D285" s="43">
        <v>355</v>
      </c>
      <c r="E285" s="43">
        <v>355</v>
      </c>
      <c r="F285" s="8">
        <v>358</v>
      </c>
      <c r="G285" s="8">
        <v>365</v>
      </c>
      <c r="H285" s="8" t="s">
        <v>1326</v>
      </c>
      <c r="L285" s="11"/>
      <c r="Q285" s="17"/>
    </row>
    <row r="286" spans="1:29" s="2" customFormat="1" ht="16.5" customHeight="1" thickBot="1">
      <c r="A286" s="12" t="s">
        <v>1119</v>
      </c>
      <c r="B286" s="20" t="s">
        <v>1261</v>
      </c>
      <c r="C286" s="8">
        <v>250</v>
      </c>
      <c r="D286" s="43">
        <v>253</v>
      </c>
      <c r="E286" s="43">
        <v>253</v>
      </c>
      <c r="F286" s="8">
        <v>270</v>
      </c>
      <c r="G286" s="8">
        <v>275</v>
      </c>
      <c r="H286" s="8" t="s">
        <v>1326</v>
      </c>
      <c r="L286" s="11"/>
      <c r="Q286" s="17"/>
    </row>
    <row r="287" spans="1:29" s="2" customFormat="1" ht="16.5" customHeight="1" thickBot="1">
      <c r="A287" s="12" t="s">
        <v>1145</v>
      </c>
      <c r="B287" s="38" t="s">
        <v>1673</v>
      </c>
      <c r="C287" s="8">
        <v>201</v>
      </c>
      <c r="D287" s="8">
        <v>205</v>
      </c>
      <c r="E287" s="8">
        <v>205</v>
      </c>
      <c r="F287" s="8">
        <v>217</v>
      </c>
      <c r="G287" s="8" t="s">
        <v>1326</v>
      </c>
      <c r="L287" s="11"/>
      <c r="Q287" s="17"/>
      <c r="V287"/>
      <c r="AC287"/>
    </row>
    <row r="288" spans="1:29" s="2" customFormat="1" ht="16.5" customHeight="1" thickBot="1">
      <c r="A288" s="12" t="s">
        <v>1171</v>
      </c>
      <c r="B288" s="37" t="s">
        <v>1286</v>
      </c>
      <c r="C288" s="8">
        <v>102</v>
      </c>
      <c r="D288" s="8">
        <v>106</v>
      </c>
      <c r="E288" s="8">
        <v>106</v>
      </c>
      <c r="F288" s="8" t="s">
        <v>1326</v>
      </c>
      <c r="Q288" s="17"/>
      <c r="V288" s="17"/>
    </row>
    <row r="289" spans="1:11" s="2" customFormat="1" ht="16.5" customHeight="1" thickBot="1">
      <c r="A289" s="12" t="s">
        <v>1172</v>
      </c>
      <c r="B289" s="38" t="s">
        <v>1270</v>
      </c>
      <c r="C289" s="8">
        <v>46</v>
      </c>
      <c r="D289" s="8">
        <v>54</v>
      </c>
      <c r="E289" s="8">
        <v>54</v>
      </c>
      <c r="F289" s="8" t="s">
        <v>1326</v>
      </c>
    </row>
    <row r="290" spans="1:11">
      <c r="C290" s="24"/>
    </row>
    <row r="291" spans="1:11" s="64" customFormat="1" ht="14.25" customHeight="1">
      <c r="B291" s="52" t="s">
        <v>1255</v>
      </c>
      <c r="C291" s="65" t="s">
        <v>1247</v>
      </c>
      <c r="D291" s="50" t="s">
        <v>1258</v>
      </c>
      <c r="E291" s="48" t="s">
        <v>1261</v>
      </c>
      <c r="F291" s="49" t="s">
        <v>1257</v>
      </c>
      <c r="G291" s="66" t="s">
        <v>1269</v>
      </c>
      <c r="H291" s="67" t="s">
        <v>1254</v>
      </c>
      <c r="J291" s="67"/>
      <c r="K291" s="68"/>
    </row>
    <row r="292" spans="1:11" s="64" customFormat="1" ht="14.25" customHeight="1">
      <c r="A292" s="64" t="s">
        <v>1248</v>
      </c>
      <c r="B292" s="69">
        <f>SUM(N105+K90+L74+L57+L41+J26+K11+P280+J262+P244+L229+P212+K197+O180+N165+I151+L136+L120)</f>
        <v>661744</v>
      </c>
      <c r="C292" s="68">
        <f>SUM(N99+K84+L68+L52+L35+J20+K5+P274+P238+J256+L223+P206+K191+O174+N159+I145+L130+L114)</f>
        <v>178222</v>
      </c>
      <c r="D292" s="68">
        <f>SUM(N101+K86+L70+L53+L37+J22+K7+P276+J258+P240+L225+P208+K193+O176+N161+I147+L132+L116)</f>
        <v>198436</v>
      </c>
      <c r="E292" s="68">
        <f>SUM(N102+K87+L71+L54+L38+J23+K8+P277+J259+P241+L226+P209+K194+O177+N162+I148+L133+L117)</f>
        <v>94286</v>
      </c>
      <c r="F292" s="68">
        <f>SUM(N100+K85+L69+L36+J21+K6+P275+J257+P239+L224+P207+K192+O175+N160+I146+L131+L115)</f>
        <v>87531</v>
      </c>
      <c r="G292" s="68">
        <f>SUM(N103+K88+L72+L55+L39+K9+P278+J260+P242+L227+P210+K195+O178+J24+N163+I149+L134+L118)</f>
        <v>50875</v>
      </c>
      <c r="H292" s="68">
        <f>SUM(N104+K89+L73+L56+L40+J25+K10+P279+J261+P243+L228+P211+K196+O179+N164+I150+L135+L119)</f>
        <v>52394</v>
      </c>
      <c r="J292" s="69"/>
      <c r="K292" s="69"/>
    </row>
    <row r="293" spans="1:11" s="64" customFormat="1" ht="14.25" customHeight="1">
      <c r="A293" s="64" t="s">
        <v>1249</v>
      </c>
      <c r="B293" s="60">
        <v>1</v>
      </c>
      <c r="C293" s="70">
        <f t="shared" ref="C293:H293" si="0">SUM(C292/$B$292)</f>
        <v>0.2693216712202906</v>
      </c>
      <c r="D293" s="70">
        <f t="shared" si="0"/>
        <v>0.29986822698807997</v>
      </c>
      <c r="E293" s="70">
        <f t="shared" si="0"/>
        <v>0.14248108029691239</v>
      </c>
      <c r="F293" s="70">
        <f t="shared" si="0"/>
        <v>0.13227320534829179</v>
      </c>
      <c r="G293" s="70">
        <f t="shared" si="0"/>
        <v>7.6880183273289979E-2</v>
      </c>
      <c r="H293" s="70">
        <f t="shared" si="0"/>
        <v>7.9175632873135227E-2</v>
      </c>
    </row>
    <row r="294" spans="1:11" s="64" customFormat="1" ht="14.25" customHeight="1">
      <c r="A294" s="64" t="s">
        <v>1250</v>
      </c>
      <c r="B294" s="52">
        <v>108</v>
      </c>
      <c r="C294" s="64">
        <v>28</v>
      </c>
      <c r="D294" s="64">
        <v>39</v>
      </c>
      <c r="E294" s="64">
        <v>14</v>
      </c>
      <c r="F294" s="64">
        <v>16</v>
      </c>
      <c r="G294" s="64">
        <v>8</v>
      </c>
      <c r="H294" s="64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AC333"/>
  <sheetViews>
    <sheetView tabSelected="1" workbookViewId="0">
      <selection activeCell="P1" sqref="P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4" max="6" width="8.7109375" customWidth="1"/>
    <col min="7" max="7" width="8.85546875" customWidth="1"/>
    <col min="15" max="15" width="9.42578125" bestFit="1" customWidth="1"/>
  </cols>
  <sheetData>
    <row r="1" spans="1:15" s="2" customFormat="1" ht="16.5" customHeight="1">
      <c r="A1" s="1" t="s">
        <v>819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1244</v>
      </c>
      <c r="B3" s="5" t="s">
        <v>1245</v>
      </c>
      <c r="C3" s="5" t="s">
        <v>1246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/>
      <c r="L3" s="10" t="s">
        <v>1413</v>
      </c>
      <c r="M3" s="11">
        <f>SUM(46845/65826)</f>
        <v>0.71164889253486463</v>
      </c>
    </row>
    <row r="4" spans="1:15" s="2" customFormat="1" ht="16.5" customHeight="1" thickBot="1">
      <c r="A4" s="6" t="s">
        <v>1327</v>
      </c>
      <c r="B4" s="28" t="s">
        <v>1258</v>
      </c>
      <c r="C4" s="36">
        <v>7138</v>
      </c>
      <c r="D4" s="8"/>
      <c r="E4" s="8"/>
      <c r="F4" s="8"/>
      <c r="G4" s="8"/>
      <c r="H4" s="8"/>
      <c r="I4" s="8"/>
      <c r="J4" s="8"/>
      <c r="K4" s="33" t="s">
        <v>1271</v>
      </c>
      <c r="L4" s="14"/>
      <c r="M4" s="10" t="s">
        <v>1248</v>
      </c>
      <c r="N4" s="10" t="s">
        <v>1249</v>
      </c>
      <c r="O4" s="10" t="s">
        <v>1250</v>
      </c>
    </row>
    <row r="5" spans="1:15" s="2" customFormat="1" ht="16.5" customHeight="1" thickBot="1">
      <c r="A5" s="6" t="s">
        <v>1328</v>
      </c>
      <c r="B5" s="25" t="s">
        <v>1247</v>
      </c>
      <c r="C5" s="36">
        <v>7026</v>
      </c>
      <c r="D5" s="8"/>
      <c r="E5" s="8"/>
      <c r="F5" s="8"/>
      <c r="G5" s="8"/>
      <c r="H5" s="8"/>
      <c r="I5" s="36"/>
      <c r="J5" s="8"/>
      <c r="K5" s="33" t="s">
        <v>1362</v>
      </c>
      <c r="L5" s="19" t="s">
        <v>1247</v>
      </c>
      <c r="M5" s="16">
        <f>SUM(C5+C8+C7)</f>
        <v>16833</v>
      </c>
      <c r="N5" s="17">
        <f>SUM(M5/M11)</f>
        <v>0.36245209077989748</v>
      </c>
      <c r="O5" s="14">
        <v>2</v>
      </c>
    </row>
    <row r="6" spans="1:15" s="2" customFormat="1" ht="16.5" customHeight="1" thickBot="1">
      <c r="A6" s="6" t="s">
        <v>1329</v>
      </c>
      <c r="B6" s="9" t="s">
        <v>1257</v>
      </c>
      <c r="C6" s="8">
        <v>6603</v>
      </c>
      <c r="D6" s="36">
        <v>6680</v>
      </c>
      <c r="E6" s="8"/>
      <c r="F6" s="8"/>
      <c r="G6" s="8"/>
      <c r="H6" s="8"/>
      <c r="I6" s="8"/>
      <c r="J6" s="8"/>
      <c r="K6" s="33" t="s">
        <v>1252</v>
      </c>
      <c r="L6" s="18" t="s">
        <v>1257</v>
      </c>
      <c r="M6" s="16">
        <f>SUM(C6+C11)</f>
        <v>9134</v>
      </c>
      <c r="N6" s="17">
        <f>SUM(M6/M11)</f>
        <v>0.19667542310839325</v>
      </c>
      <c r="O6" s="14">
        <v>1</v>
      </c>
    </row>
    <row r="7" spans="1:15" s="2" customFormat="1" ht="16.5" customHeight="1" thickBot="1">
      <c r="A7" s="6" t="s">
        <v>1262</v>
      </c>
      <c r="B7" s="25" t="s">
        <v>1247</v>
      </c>
      <c r="C7" s="8">
        <v>5103</v>
      </c>
      <c r="D7" s="8">
        <v>5103</v>
      </c>
      <c r="E7" s="8">
        <v>5277</v>
      </c>
      <c r="F7" s="8">
        <v>5277</v>
      </c>
      <c r="G7" s="8">
        <v>5278</v>
      </c>
      <c r="H7" s="8">
        <v>5666</v>
      </c>
      <c r="I7" s="8">
        <v>5747</v>
      </c>
      <c r="J7" s="36">
        <v>5877</v>
      </c>
      <c r="K7" s="33" t="s">
        <v>1253</v>
      </c>
      <c r="L7" s="30" t="s">
        <v>1258</v>
      </c>
      <c r="M7" s="16">
        <f>SUM(C9+C4)</f>
        <v>11838</v>
      </c>
      <c r="N7" s="17">
        <f>SUM(M7/M11)</f>
        <v>0.25489858317901898</v>
      </c>
      <c r="O7" s="2">
        <v>2</v>
      </c>
    </row>
    <row r="8" spans="1:15" s="2" customFormat="1" ht="16.5" customHeight="1" thickBot="1">
      <c r="A8" s="12" t="s">
        <v>1331</v>
      </c>
      <c r="B8" s="13" t="s">
        <v>1247</v>
      </c>
      <c r="C8" s="8">
        <v>4704</v>
      </c>
      <c r="D8" s="8">
        <v>4704</v>
      </c>
      <c r="E8" s="8">
        <v>4820</v>
      </c>
      <c r="F8" s="8">
        <v>4820</v>
      </c>
      <c r="G8" s="8">
        <v>4822</v>
      </c>
      <c r="H8" s="8">
        <v>5067</v>
      </c>
      <c r="I8" s="8">
        <v>5139</v>
      </c>
      <c r="J8" s="8">
        <v>5188</v>
      </c>
      <c r="K8" s="33"/>
      <c r="L8" s="15" t="s">
        <v>1261</v>
      </c>
      <c r="M8" s="21">
        <f>SUM(C10+C12)</f>
        <v>6483</v>
      </c>
      <c r="N8" s="17">
        <f>SUM(M8/M11)</f>
        <v>0.13959347142672582</v>
      </c>
      <c r="O8" s="2">
        <v>1</v>
      </c>
    </row>
    <row r="9" spans="1:15" s="2" customFormat="1" ht="16.5" customHeight="1" thickBot="1">
      <c r="A9" s="6" t="s">
        <v>1332</v>
      </c>
      <c r="B9" s="28" t="s">
        <v>1258</v>
      </c>
      <c r="C9" s="8">
        <v>4700</v>
      </c>
      <c r="D9" s="8">
        <v>5098</v>
      </c>
      <c r="E9" s="8">
        <v>5099</v>
      </c>
      <c r="F9" s="8">
        <v>5120</v>
      </c>
      <c r="G9" s="8">
        <v>5304</v>
      </c>
      <c r="H9" s="8">
        <v>5333</v>
      </c>
      <c r="I9" s="8">
        <v>5346</v>
      </c>
      <c r="J9" s="36">
        <v>7014</v>
      </c>
      <c r="K9" s="33" t="s">
        <v>1251</v>
      </c>
      <c r="L9" s="31" t="s">
        <v>1269</v>
      </c>
      <c r="M9" s="21">
        <v>521</v>
      </c>
      <c r="N9" s="17">
        <f>SUM(M9/M11)</f>
        <v>1.1218293785797339E-2</v>
      </c>
    </row>
    <row r="10" spans="1:15" s="2" customFormat="1" ht="16.5" customHeight="1" thickBot="1">
      <c r="A10" s="6" t="s">
        <v>1330</v>
      </c>
      <c r="B10" s="7" t="s">
        <v>1261</v>
      </c>
      <c r="C10" s="8">
        <v>4440</v>
      </c>
      <c r="D10" s="8">
        <v>4442</v>
      </c>
      <c r="E10" s="8">
        <v>4464</v>
      </c>
      <c r="F10" s="8">
        <v>4464</v>
      </c>
      <c r="G10" s="8">
        <v>4466</v>
      </c>
      <c r="H10" s="8">
        <v>4769</v>
      </c>
      <c r="I10" s="36">
        <v>6640</v>
      </c>
      <c r="J10" s="8"/>
      <c r="K10" s="33" t="s">
        <v>1280</v>
      </c>
      <c r="L10" s="26" t="s">
        <v>1254</v>
      </c>
      <c r="M10" s="21">
        <f>SUM(C13+C15+C16)</f>
        <v>1633</v>
      </c>
      <c r="N10" s="11">
        <f>SUM(M10/M11)</f>
        <v>3.5162137720167089E-2</v>
      </c>
    </row>
    <row r="11" spans="1:15" s="2" customFormat="1" ht="16.5" customHeight="1" thickBot="1">
      <c r="A11" s="12" t="s">
        <v>1333</v>
      </c>
      <c r="B11" s="22" t="s">
        <v>1257</v>
      </c>
      <c r="C11" s="8">
        <v>2531</v>
      </c>
      <c r="D11" s="8">
        <v>2544</v>
      </c>
      <c r="E11" s="8">
        <v>2544</v>
      </c>
      <c r="F11" s="8">
        <v>2564</v>
      </c>
      <c r="G11" s="8">
        <v>2676</v>
      </c>
      <c r="H11" s="8">
        <v>2824</v>
      </c>
      <c r="I11" s="8">
        <v>2887</v>
      </c>
      <c r="J11" s="8" t="s">
        <v>1326</v>
      </c>
      <c r="M11" s="23">
        <f>SUM(C4:C16)</f>
        <v>46442</v>
      </c>
    </row>
    <row r="12" spans="1:15" s="2" customFormat="1" ht="16.5" customHeight="1" thickBot="1">
      <c r="A12" s="12" t="s">
        <v>1334</v>
      </c>
      <c r="B12" s="20" t="s">
        <v>1261</v>
      </c>
      <c r="C12" s="8">
        <v>2043</v>
      </c>
      <c r="D12" s="8">
        <v>2044</v>
      </c>
      <c r="E12" s="8">
        <v>2065</v>
      </c>
      <c r="F12" s="8">
        <v>2065</v>
      </c>
      <c r="G12" s="8">
        <v>2069</v>
      </c>
      <c r="H12" s="8">
        <v>2261</v>
      </c>
      <c r="I12" s="8" t="s">
        <v>1326</v>
      </c>
    </row>
    <row r="13" spans="1:15" s="2" customFormat="1" ht="16.5" customHeight="1" thickBot="1">
      <c r="A13" s="12" t="s">
        <v>1335</v>
      </c>
      <c r="B13" s="38" t="s">
        <v>1270</v>
      </c>
      <c r="C13" s="8">
        <v>814</v>
      </c>
      <c r="D13" s="8">
        <v>814</v>
      </c>
      <c r="E13" s="8">
        <v>825</v>
      </c>
      <c r="F13" s="8">
        <v>825</v>
      </c>
      <c r="G13" s="8">
        <v>827</v>
      </c>
      <c r="H13" s="8" t="s">
        <v>1326</v>
      </c>
    </row>
    <row r="14" spans="1:15" s="2" customFormat="1" ht="16.5" customHeight="1" thickBot="1">
      <c r="A14" s="12" t="s">
        <v>1336</v>
      </c>
      <c r="B14" s="40" t="s">
        <v>1269</v>
      </c>
      <c r="C14" s="8">
        <v>521</v>
      </c>
      <c r="D14" s="8">
        <v>521</v>
      </c>
      <c r="E14" s="8">
        <v>523</v>
      </c>
      <c r="F14" s="8">
        <v>523</v>
      </c>
      <c r="G14" s="8">
        <v>536</v>
      </c>
      <c r="H14" s="8" t="s">
        <v>1326</v>
      </c>
      <c r="L14" s="17"/>
    </row>
    <row r="15" spans="1:15" s="2" customFormat="1" ht="16.5" customHeight="1" thickBot="1">
      <c r="A15" s="12" t="s">
        <v>1337</v>
      </c>
      <c r="B15" s="41" t="s">
        <v>1338</v>
      </c>
      <c r="C15" s="8">
        <v>431</v>
      </c>
      <c r="D15" s="8">
        <v>431</v>
      </c>
      <c r="E15" s="8">
        <v>432</v>
      </c>
      <c r="F15" s="8">
        <v>432</v>
      </c>
      <c r="G15" s="8">
        <v>432</v>
      </c>
      <c r="H15" s="8" t="s">
        <v>1326</v>
      </c>
    </row>
    <row r="16" spans="1:15" s="2" customFormat="1" ht="16.5" customHeight="1" thickBot="1">
      <c r="A16" s="12" t="s">
        <v>1339</v>
      </c>
      <c r="B16" s="42" t="s">
        <v>1304</v>
      </c>
      <c r="C16" s="8">
        <v>388</v>
      </c>
      <c r="D16" s="8">
        <v>393</v>
      </c>
      <c r="E16" s="8">
        <v>394</v>
      </c>
      <c r="F16" s="8">
        <v>395</v>
      </c>
      <c r="G16" s="8" t="s">
        <v>1326</v>
      </c>
    </row>
    <row r="17" spans="1:19" s="2" customFormat="1" ht="12" customHeight="1">
      <c r="A17" s="1"/>
      <c r="E17"/>
      <c r="I17" s="30"/>
      <c r="J17" s="21"/>
      <c r="K17" s="11"/>
    </row>
    <row r="18" spans="1:19" s="2" customFormat="1" ht="16.5" customHeight="1">
      <c r="A18" s="1" t="s">
        <v>1340</v>
      </c>
      <c r="E18"/>
      <c r="I18" s="10"/>
      <c r="J18" s="21"/>
      <c r="K18" s="11"/>
    </row>
    <row r="19" spans="1:19" s="2" customFormat="1" ht="9.75" customHeight="1" thickBot="1">
      <c r="A19" s="3"/>
      <c r="J19" s="23"/>
    </row>
    <row r="20" spans="1:19" s="2" customFormat="1" ht="16.5" customHeight="1" thickBot="1">
      <c r="A20" s="4" t="s">
        <v>1244</v>
      </c>
      <c r="B20" s="5" t="s">
        <v>1245</v>
      </c>
      <c r="C20" s="5" t="s">
        <v>1246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/>
      <c r="K20" s="10" t="s">
        <v>1413</v>
      </c>
      <c r="L20" s="11">
        <f>SUM(41839/58367)</f>
        <v>0.71682628882759092</v>
      </c>
      <c r="M20" s="16"/>
    </row>
    <row r="21" spans="1:19" s="2" customFormat="1" ht="16.5" customHeight="1" thickBot="1">
      <c r="A21" s="6" t="s">
        <v>1342</v>
      </c>
      <c r="B21" s="25" t="s">
        <v>1247</v>
      </c>
      <c r="C21" s="36">
        <v>6971</v>
      </c>
      <c r="D21" s="8"/>
      <c r="E21" s="8"/>
      <c r="F21" s="8"/>
      <c r="G21" s="8"/>
      <c r="H21" s="8"/>
      <c r="I21" s="8"/>
      <c r="J21" s="33" t="s">
        <v>1271</v>
      </c>
      <c r="K21" s="21"/>
      <c r="L21" s="10" t="s">
        <v>1248</v>
      </c>
      <c r="M21" s="10" t="s">
        <v>1249</v>
      </c>
      <c r="N21" s="10" t="s">
        <v>1250</v>
      </c>
      <c r="S21" s="14"/>
    </row>
    <row r="22" spans="1:19" s="2" customFormat="1" ht="16.5" customHeight="1" thickBot="1">
      <c r="A22" s="6" t="s">
        <v>1341</v>
      </c>
      <c r="B22" s="25" t="s">
        <v>1247</v>
      </c>
      <c r="C22" s="36">
        <v>6709</v>
      </c>
      <c r="D22" s="8"/>
      <c r="E22" s="8"/>
      <c r="F22" s="8"/>
      <c r="G22" s="8"/>
      <c r="H22" s="8"/>
      <c r="I22" s="36"/>
      <c r="J22" s="33" t="s">
        <v>1362</v>
      </c>
      <c r="K22" s="19" t="s">
        <v>1247</v>
      </c>
      <c r="L22" s="16">
        <f>SUM(C22+C23+C21)</f>
        <v>18437</v>
      </c>
      <c r="M22" s="17">
        <f>SUM(L22/L27)</f>
        <v>0.44475804506199645</v>
      </c>
      <c r="N22" s="14">
        <v>3</v>
      </c>
    </row>
    <row r="23" spans="1:19" s="2" customFormat="1" ht="16.5" customHeight="1" thickBot="1">
      <c r="A23" s="6" t="s">
        <v>1346</v>
      </c>
      <c r="B23" s="25" t="s">
        <v>1247</v>
      </c>
      <c r="C23" s="8">
        <v>4757</v>
      </c>
      <c r="D23" s="8">
        <v>5600</v>
      </c>
      <c r="E23" s="36">
        <v>6217</v>
      </c>
      <c r="F23" s="8"/>
      <c r="G23" s="8"/>
      <c r="H23" s="8"/>
      <c r="I23" s="8"/>
      <c r="J23" s="33" t="s">
        <v>1252</v>
      </c>
      <c r="K23" s="18" t="s">
        <v>1257</v>
      </c>
      <c r="L23" s="16">
        <v>3686</v>
      </c>
      <c r="M23" s="17">
        <f>SUM(L23/L27)</f>
        <v>8.8917836638201381E-2</v>
      </c>
      <c r="N23" s="14"/>
    </row>
    <row r="24" spans="1:19" s="2" customFormat="1" ht="16.5" customHeight="1" thickBot="1">
      <c r="A24" s="6" t="s">
        <v>1343</v>
      </c>
      <c r="B24" s="28" t="s">
        <v>1258</v>
      </c>
      <c r="C24" s="8">
        <v>4625</v>
      </c>
      <c r="D24" s="8">
        <v>4625</v>
      </c>
      <c r="E24" s="8">
        <v>4625</v>
      </c>
      <c r="F24" s="8">
        <v>4691</v>
      </c>
      <c r="G24" s="8">
        <v>4698</v>
      </c>
      <c r="H24" s="36">
        <v>6208</v>
      </c>
      <c r="I24" s="8"/>
      <c r="J24" s="33" t="s">
        <v>1280</v>
      </c>
      <c r="K24" s="30" t="s">
        <v>1258</v>
      </c>
      <c r="L24" s="16">
        <f>SUM(C24+C25)</f>
        <v>8869</v>
      </c>
      <c r="M24" s="17">
        <f>SUM(L24/L27)</f>
        <v>0.21394799054373523</v>
      </c>
      <c r="N24" s="2">
        <v>2</v>
      </c>
    </row>
    <row r="25" spans="1:19" s="2" customFormat="1" ht="16.5" customHeight="1" thickBot="1">
      <c r="A25" s="6" t="s">
        <v>1347</v>
      </c>
      <c r="B25" s="28" t="s">
        <v>1258</v>
      </c>
      <c r="C25" s="8">
        <v>4244</v>
      </c>
      <c r="D25" s="8">
        <v>4244</v>
      </c>
      <c r="E25" s="8">
        <v>4245</v>
      </c>
      <c r="F25" s="8">
        <v>4286</v>
      </c>
      <c r="G25" s="8">
        <v>4308</v>
      </c>
      <c r="H25" s="8">
        <v>5543</v>
      </c>
      <c r="I25" s="36">
        <v>5543</v>
      </c>
      <c r="J25" s="33" t="s">
        <v>1253</v>
      </c>
      <c r="K25" s="15" t="s">
        <v>1261</v>
      </c>
      <c r="L25" s="21">
        <f>SUM(C29+C28+C30)</f>
        <v>6018</v>
      </c>
      <c r="M25" s="17">
        <f>SUM(L25/L27)</f>
        <v>0.14517296280214215</v>
      </c>
    </row>
    <row r="26" spans="1:19" s="2" customFormat="1" ht="16.5" customHeight="1" thickBot="1">
      <c r="A26" s="6" t="s">
        <v>1726</v>
      </c>
      <c r="B26" s="35" t="s">
        <v>1270</v>
      </c>
      <c r="C26" s="8">
        <v>3776</v>
      </c>
      <c r="D26" s="8">
        <v>3848</v>
      </c>
      <c r="E26" s="8">
        <v>3874</v>
      </c>
      <c r="F26" s="8">
        <v>4259</v>
      </c>
      <c r="G26" s="8">
        <v>4832</v>
      </c>
      <c r="H26" s="8">
        <v>5560</v>
      </c>
      <c r="I26" s="36">
        <v>5616</v>
      </c>
      <c r="J26" s="33" t="s">
        <v>1251</v>
      </c>
      <c r="K26" s="26" t="s">
        <v>1254</v>
      </c>
      <c r="L26" s="21">
        <f>SUM(C26+C31+C32)</f>
        <v>4444</v>
      </c>
      <c r="M26" s="11">
        <f>SUM(L26/L27)</f>
        <v>0.10720316495392483</v>
      </c>
      <c r="N26" s="2">
        <v>1</v>
      </c>
    </row>
    <row r="27" spans="1:19" s="2" customFormat="1" ht="16.5" customHeight="1" thickBot="1">
      <c r="A27" s="12" t="s">
        <v>1345</v>
      </c>
      <c r="B27" s="22" t="s">
        <v>1257</v>
      </c>
      <c r="C27" s="8">
        <v>3686</v>
      </c>
      <c r="D27" s="8">
        <v>3687</v>
      </c>
      <c r="E27" s="8">
        <v>3688</v>
      </c>
      <c r="F27" s="8">
        <v>3761</v>
      </c>
      <c r="G27" s="8">
        <v>3813</v>
      </c>
      <c r="H27" s="8" t="s">
        <v>1326</v>
      </c>
      <c r="L27" s="23">
        <f>SUM(C21:C32)</f>
        <v>41454</v>
      </c>
    </row>
    <row r="28" spans="1:19" s="2" customFormat="1" ht="16.5" customHeight="1" thickBot="1">
      <c r="A28" s="12" t="s">
        <v>1348</v>
      </c>
      <c r="B28" s="20" t="s">
        <v>1261</v>
      </c>
      <c r="C28" s="8">
        <v>2689</v>
      </c>
      <c r="D28" s="8">
        <v>2742</v>
      </c>
      <c r="E28" s="8">
        <v>2773</v>
      </c>
      <c r="F28" s="8">
        <v>3280</v>
      </c>
      <c r="G28" s="8">
        <v>4886</v>
      </c>
      <c r="H28" s="8">
        <v>5085</v>
      </c>
      <c r="I28" s="8">
        <v>5186</v>
      </c>
      <c r="J28" s="33"/>
    </row>
    <row r="29" spans="1:19" s="2" customFormat="1" ht="16.5" customHeight="1" thickBot="1">
      <c r="A29" s="12" t="s">
        <v>1344</v>
      </c>
      <c r="B29" s="20" t="s">
        <v>1261</v>
      </c>
      <c r="C29" s="8">
        <v>2272</v>
      </c>
      <c r="D29" s="8">
        <v>2291</v>
      </c>
      <c r="E29" s="8">
        <v>2328</v>
      </c>
      <c r="F29" s="8">
        <v>2701</v>
      </c>
      <c r="G29" s="8" t="s">
        <v>1326</v>
      </c>
    </row>
    <row r="30" spans="1:19" s="2" customFormat="1" ht="16.5" customHeight="1" thickBot="1">
      <c r="A30" s="12" t="s">
        <v>1349</v>
      </c>
      <c r="B30" s="20" t="s">
        <v>1261</v>
      </c>
      <c r="C30" s="8">
        <v>1057</v>
      </c>
      <c r="D30" s="8">
        <v>1099</v>
      </c>
      <c r="E30" s="8">
        <v>1106</v>
      </c>
      <c r="F30" s="8" t="s">
        <v>1326</v>
      </c>
    </row>
    <row r="31" spans="1:19" s="2" customFormat="1" ht="16.5" customHeight="1" thickBot="1">
      <c r="A31" s="12" t="s">
        <v>1350</v>
      </c>
      <c r="B31" s="41" t="s">
        <v>1338</v>
      </c>
      <c r="C31" s="8">
        <v>448</v>
      </c>
      <c r="D31" s="8">
        <v>455</v>
      </c>
      <c r="E31" s="8">
        <v>462</v>
      </c>
      <c r="F31" s="8" t="s">
        <v>1326</v>
      </c>
    </row>
    <row r="32" spans="1:19" s="2" customFormat="1" ht="16.5" customHeight="1" thickBot="1">
      <c r="A32" s="12" t="s">
        <v>1339</v>
      </c>
      <c r="B32" s="42" t="s">
        <v>1304</v>
      </c>
      <c r="C32" s="8">
        <v>220</v>
      </c>
      <c r="D32" s="8">
        <v>221</v>
      </c>
      <c r="E32" s="8">
        <v>222</v>
      </c>
      <c r="F32" s="8" t="s">
        <v>1326</v>
      </c>
    </row>
    <row r="33" spans="1:14" s="2" customFormat="1" ht="12" customHeight="1">
      <c r="A33" s="1"/>
    </row>
    <row r="34" spans="1:14" s="2" customFormat="1" ht="16.5" customHeight="1">
      <c r="A34" s="1" t="s">
        <v>1414</v>
      </c>
    </row>
    <row r="35" spans="1:14" s="2" customFormat="1" ht="9.75" customHeight="1" thickBot="1">
      <c r="A35" s="3"/>
    </row>
    <row r="36" spans="1:14" s="2" customFormat="1" ht="16.5" customHeight="1" thickBot="1">
      <c r="A36" s="4" t="s">
        <v>1244</v>
      </c>
      <c r="B36" s="5" t="s">
        <v>1245</v>
      </c>
      <c r="C36" s="5" t="s">
        <v>1246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/>
      <c r="K36" s="10" t="s">
        <v>1413</v>
      </c>
      <c r="L36" s="11">
        <f>SUM(44728/61223)</f>
        <v>0.73057511066102609</v>
      </c>
    </row>
    <row r="37" spans="1:14" s="2" customFormat="1" ht="16.5" customHeight="1" thickBot="1">
      <c r="A37" s="6" t="s">
        <v>1352</v>
      </c>
      <c r="B37" s="25" t="s">
        <v>1247</v>
      </c>
      <c r="C37" s="36">
        <v>8065</v>
      </c>
      <c r="D37" s="8"/>
      <c r="E37" s="8"/>
      <c r="F37" s="8"/>
      <c r="G37" s="43"/>
      <c r="H37" s="43"/>
      <c r="I37" s="36"/>
      <c r="J37" s="33" t="s">
        <v>1271</v>
      </c>
      <c r="K37" s="14"/>
      <c r="L37" s="10" t="s">
        <v>1248</v>
      </c>
      <c r="M37" s="10" t="s">
        <v>1249</v>
      </c>
      <c r="N37" s="10" t="s">
        <v>1250</v>
      </c>
    </row>
    <row r="38" spans="1:14" s="2" customFormat="1" ht="16.5" customHeight="1" thickBot="1">
      <c r="A38" s="6" t="s">
        <v>1355</v>
      </c>
      <c r="B38" s="28" t="s">
        <v>1258</v>
      </c>
      <c r="C38" s="36">
        <v>7608</v>
      </c>
      <c r="D38" s="8"/>
      <c r="E38" s="8"/>
      <c r="F38" s="8"/>
      <c r="G38" s="8"/>
      <c r="H38" s="8"/>
      <c r="I38" s="8"/>
      <c r="J38" s="33" t="s">
        <v>1362</v>
      </c>
      <c r="K38" s="19" t="s">
        <v>1247</v>
      </c>
      <c r="L38" s="16">
        <f>SUM(C37+C39+C40)</f>
        <v>21094</v>
      </c>
      <c r="M38" s="17">
        <f>SUM(L38/L44)</f>
        <v>0.47640987420105246</v>
      </c>
      <c r="N38" s="14">
        <v>3</v>
      </c>
    </row>
    <row r="39" spans="1:14" s="2" customFormat="1" ht="16.5" customHeight="1" thickBot="1">
      <c r="A39" s="6" t="s">
        <v>1351</v>
      </c>
      <c r="B39" s="25" t="s">
        <v>1247</v>
      </c>
      <c r="C39" s="36">
        <v>6597</v>
      </c>
      <c r="D39" s="8"/>
      <c r="E39" s="36"/>
      <c r="F39" s="8"/>
      <c r="G39" s="8"/>
      <c r="H39" s="8"/>
      <c r="I39" s="8"/>
      <c r="J39" s="33" t="s">
        <v>1252</v>
      </c>
      <c r="K39" s="18" t="s">
        <v>1257</v>
      </c>
      <c r="L39" s="16">
        <v>4781</v>
      </c>
      <c r="M39" s="17">
        <f>SUM(L39/L44)</f>
        <v>0.10797931205817919</v>
      </c>
      <c r="N39" s="14">
        <v>1</v>
      </c>
    </row>
    <row r="40" spans="1:14" s="2" customFormat="1" ht="16.5" customHeight="1" thickBot="1">
      <c r="A40" s="6" t="s">
        <v>1527</v>
      </c>
      <c r="B40" s="25" t="s">
        <v>1247</v>
      </c>
      <c r="C40" s="36">
        <v>6432</v>
      </c>
      <c r="D40" s="8"/>
      <c r="E40" s="8"/>
      <c r="F40" s="8"/>
      <c r="G40" s="8"/>
      <c r="H40" s="8"/>
      <c r="I40" s="8"/>
      <c r="J40" s="33" t="s">
        <v>1280</v>
      </c>
      <c r="K40" s="30" t="s">
        <v>1258</v>
      </c>
      <c r="L40" s="16">
        <f>SUM(C38+C45)</f>
        <v>8629</v>
      </c>
      <c r="M40" s="17">
        <f>SUM(L40/L44)</f>
        <v>0.19488673577703999</v>
      </c>
      <c r="N40" s="2">
        <v>1</v>
      </c>
    </row>
    <row r="41" spans="1:14" s="2" customFormat="1" ht="16.5" customHeight="1" thickBot="1">
      <c r="A41" s="6" t="s">
        <v>1354</v>
      </c>
      <c r="B41" s="7" t="s">
        <v>1261</v>
      </c>
      <c r="C41" s="8">
        <v>4976</v>
      </c>
      <c r="D41" s="8">
        <v>6176</v>
      </c>
      <c r="E41" s="8">
        <v>6176</v>
      </c>
      <c r="F41" s="8">
        <v>6264</v>
      </c>
      <c r="G41" s="36">
        <v>6430</v>
      </c>
      <c r="H41" s="8"/>
      <c r="I41" s="43"/>
      <c r="J41" s="33" t="s">
        <v>1251</v>
      </c>
      <c r="K41" s="15" t="s">
        <v>1261</v>
      </c>
      <c r="L41" s="21">
        <f>SUM(C41+C43)</f>
        <v>7735</v>
      </c>
      <c r="M41" s="17">
        <f>SUM(L41/L44)</f>
        <v>0.17469566592135871</v>
      </c>
      <c r="N41" s="2">
        <v>1</v>
      </c>
    </row>
    <row r="42" spans="1:14" s="2" customFormat="1" ht="16.5" customHeight="1" thickBot="1">
      <c r="A42" s="6" t="s">
        <v>1353</v>
      </c>
      <c r="B42" s="9" t="s">
        <v>1257</v>
      </c>
      <c r="C42" s="8">
        <v>4781</v>
      </c>
      <c r="D42" s="8">
        <v>4788</v>
      </c>
      <c r="E42" s="8">
        <v>4940</v>
      </c>
      <c r="F42" s="8">
        <v>4940</v>
      </c>
      <c r="G42" s="8">
        <v>5037</v>
      </c>
      <c r="H42" s="8">
        <v>5573</v>
      </c>
      <c r="I42" s="44">
        <v>6355</v>
      </c>
      <c r="J42" s="33" t="s">
        <v>1253</v>
      </c>
      <c r="K42" s="31" t="s">
        <v>1269</v>
      </c>
      <c r="L42" s="21">
        <v>221</v>
      </c>
      <c r="M42" s="17">
        <f>SUM(L42/L44)</f>
        <v>4.9913047406102487E-3</v>
      </c>
    </row>
    <row r="43" spans="1:14" s="2" customFormat="1" ht="16.5" customHeight="1" thickBot="1">
      <c r="A43" s="12" t="s">
        <v>1356</v>
      </c>
      <c r="B43" s="20" t="s">
        <v>1261</v>
      </c>
      <c r="C43" s="8">
        <v>2759</v>
      </c>
      <c r="D43" s="8">
        <v>3118</v>
      </c>
      <c r="E43" s="8">
        <v>3120</v>
      </c>
      <c r="F43" s="8">
        <v>3267</v>
      </c>
      <c r="G43" s="8">
        <v>3469</v>
      </c>
      <c r="H43" s="8">
        <v>3497</v>
      </c>
      <c r="I43" s="43">
        <v>3531</v>
      </c>
      <c r="J43" s="33"/>
      <c r="K43" s="26" t="s">
        <v>1254</v>
      </c>
      <c r="L43" s="21">
        <f>SUM(C44+C46+C48)</f>
        <v>1817</v>
      </c>
      <c r="M43" s="11">
        <f>SUM(L43/L44)</f>
        <v>4.1037107301759378E-2</v>
      </c>
    </row>
    <row r="44" spans="1:14" s="2" customFormat="1" ht="16.5" customHeight="1" thickBot="1">
      <c r="A44" s="12" t="s">
        <v>1357</v>
      </c>
      <c r="B44" s="38" t="s">
        <v>1270</v>
      </c>
      <c r="C44" s="8">
        <v>1210</v>
      </c>
      <c r="D44" s="8">
        <v>1216</v>
      </c>
      <c r="E44" s="8">
        <v>1257</v>
      </c>
      <c r="F44" s="8">
        <v>1258</v>
      </c>
      <c r="G44" s="8">
        <v>1299</v>
      </c>
      <c r="H44" s="8" t="s">
        <v>1326</v>
      </c>
      <c r="L44" s="23">
        <f>SUM(C37:C48)</f>
        <v>44277</v>
      </c>
    </row>
    <row r="45" spans="1:14" s="2" customFormat="1" ht="16.5" customHeight="1" thickBot="1">
      <c r="A45" s="12" t="s">
        <v>1358</v>
      </c>
      <c r="B45" s="27" t="s">
        <v>1258</v>
      </c>
      <c r="C45" s="8">
        <v>1021</v>
      </c>
      <c r="D45" s="8">
        <v>1023</v>
      </c>
      <c r="E45" s="8">
        <v>2026</v>
      </c>
      <c r="F45" s="8">
        <v>2026</v>
      </c>
      <c r="G45" s="8">
        <v>2068</v>
      </c>
      <c r="H45" s="8">
        <v>2625</v>
      </c>
      <c r="I45" s="43" t="s">
        <v>1326</v>
      </c>
    </row>
    <row r="46" spans="1:14" s="2" customFormat="1" ht="16.5" customHeight="1" thickBot="1">
      <c r="A46" s="12" t="s">
        <v>1359</v>
      </c>
      <c r="B46" s="41" t="s">
        <v>1338</v>
      </c>
      <c r="C46" s="8">
        <v>437</v>
      </c>
      <c r="D46" s="8">
        <v>527</v>
      </c>
      <c r="E46" s="8">
        <v>527</v>
      </c>
      <c r="F46" s="8">
        <v>544</v>
      </c>
      <c r="G46" s="8" t="s">
        <v>1326</v>
      </c>
    </row>
    <row r="47" spans="1:14" s="2" customFormat="1" ht="16.5" customHeight="1" thickBot="1">
      <c r="A47" s="12" t="s">
        <v>1360</v>
      </c>
      <c r="B47" s="32" t="s">
        <v>1269</v>
      </c>
      <c r="C47" s="8">
        <v>221</v>
      </c>
      <c r="D47" s="8">
        <v>229</v>
      </c>
      <c r="E47" s="8">
        <v>230</v>
      </c>
      <c r="F47" s="8">
        <v>231</v>
      </c>
      <c r="G47" s="8" t="s">
        <v>1326</v>
      </c>
      <c r="I47" s="17"/>
      <c r="M47" s="17"/>
    </row>
    <row r="48" spans="1:14" s="2" customFormat="1" ht="16.5" customHeight="1" thickBot="1">
      <c r="A48" s="12" t="s">
        <v>1361</v>
      </c>
      <c r="B48" s="38" t="s">
        <v>1270</v>
      </c>
      <c r="C48" s="8">
        <v>170</v>
      </c>
      <c r="D48" s="8">
        <v>197</v>
      </c>
      <c r="E48" s="8">
        <v>205</v>
      </c>
      <c r="F48" s="8">
        <v>208</v>
      </c>
      <c r="G48" s="8" t="s">
        <v>1326</v>
      </c>
      <c r="L48" s="21"/>
    </row>
    <row r="49" spans="1:17" s="2" customFormat="1" ht="12" customHeight="1">
      <c r="A49" s="1"/>
    </row>
    <row r="50" spans="1:17" s="2" customFormat="1" ht="16.5" customHeight="1">
      <c r="A50" s="1" t="s">
        <v>1415</v>
      </c>
    </row>
    <row r="51" spans="1:17" s="2" customFormat="1" ht="9.75" customHeight="1" thickBot="1">
      <c r="A51" s="3"/>
    </row>
    <row r="52" spans="1:17" s="2" customFormat="1" ht="16.5" customHeight="1" thickBot="1">
      <c r="A52" s="4" t="s">
        <v>1244</v>
      </c>
      <c r="B52" s="5" t="s">
        <v>1245</v>
      </c>
      <c r="C52" s="5" t="s">
        <v>1246</v>
      </c>
      <c r="D52" s="5">
        <v>2</v>
      </c>
      <c r="E52" s="5">
        <v>3</v>
      </c>
      <c r="F52" s="5">
        <v>4</v>
      </c>
      <c r="G52" s="5">
        <v>5</v>
      </c>
      <c r="H52" s="5">
        <v>6</v>
      </c>
      <c r="I52" s="5">
        <v>7</v>
      </c>
      <c r="J52" s="5">
        <v>8</v>
      </c>
      <c r="K52" s="5">
        <v>9</v>
      </c>
      <c r="L52" s="5">
        <v>10</v>
      </c>
      <c r="M52" s="5"/>
      <c r="N52" s="10" t="s">
        <v>1413</v>
      </c>
      <c r="O52" s="11">
        <f>SUM(41455/64889)</f>
        <v>0.63886020743115168</v>
      </c>
    </row>
    <row r="53" spans="1:17" s="2" customFormat="1" ht="16.5" customHeight="1" thickBot="1">
      <c r="A53" s="6" t="s">
        <v>1364</v>
      </c>
      <c r="B53" s="28" t="s">
        <v>1258</v>
      </c>
      <c r="C53" s="36">
        <v>6960</v>
      </c>
      <c r="D53" s="8"/>
      <c r="E53" s="8"/>
      <c r="F53" s="8"/>
      <c r="G53" s="8"/>
      <c r="H53" s="8"/>
      <c r="I53" s="8"/>
      <c r="J53" s="8"/>
      <c r="K53" s="8"/>
      <c r="L53" s="8"/>
      <c r="M53" s="33" t="s">
        <v>1271</v>
      </c>
      <c r="N53" s="14"/>
      <c r="O53" s="10" t="s">
        <v>1248</v>
      </c>
      <c r="P53" s="10" t="s">
        <v>1249</v>
      </c>
      <c r="Q53" s="10" t="s">
        <v>1250</v>
      </c>
    </row>
    <row r="54" spans="1:17" s="2" customFormat="1" ht="16.5" customHeight="1" thickBot="1">
      <c r="A54" s="6" t="s">
        <v>1363</v>
      </c>
      <c r="B54" s="7" t="s">
        <v>1261</v>
      </c>
      <c r="C54" s="36">
        <v>6401</v>
      </c>
      <c r="D54" s="8"/>
      <c r="E54" s="8"/>
      <c r="F54" s="8"/>
      <c r="G54" s="8"/>
      <c r="H54" s="8"/>
      <c r="I54" s="8"/>
      <c r="J54" s="8"/>
      <c r="K54" s="8"/>
      <c r="L54" s="33"/>
      <c r="M54" s="33" t="s">
        <v>1362</v>
      </c>
      <c r="N54" s="19" t="s">
        <v>1247</v>
      </c>
      <c r="O54" s="16">
        <f>SUM(C55+C56+C58)</f>
        <v>12649</v>
      </c>
      <c r="P54" s="17">
        <f>SUM(O54/O60)</f>
        <v>0.30824154401013742</v>
      </c>
      <c r="Q54" s="14">
        <v>2</v>
      </c>
    </row>
    <row r="55" spans="1:17" s="2" customFormat="1" ht="16.5" customHeight="1" thickBot="1">
      <c r="A55" s="6" t="s">
        <v>1367</v>
      </c>
      <c r="B55" s="25" t="s">
        <v>1247</v>
      </c>
      <c r="C55" s="8">
        <v>5414</v>
      </c>
      <c r="D55" s="8">
        <v>5415</v>
      </c>
      <c r="E55" s="8">
        <v>5449</v>
      </c>
      <c r="F55" s="8">
        <v>5462</v>
      </c>
      <c r="G55" s="8">
        <v>5611</v>
      </c>
      <c r="H55" s="36">
        <v>5972</v>
      </c>
      <c r="I55" s="8"/>
      <c r="J55" s="8"/>
      <c r="K55" s="8"/>
      <c r="L55" s="8"/>
      <c r="M55" s="33" t="s">
        <v>1252</v>
      </c>
      <c r="N55" s="18" t="s">
        <v>1257</v>
      </c>
      <c r="O55" s="16">
        <v>1755</v>
      </c>
      <c r="P55" s="17">
        <f>SUM(O55/O60)</f>
        <v>4.2767326250121841E-2</v>
      </c>
      <c r="Q55" s="14"/>
    </row>
    <row r="56" spans="1:17" s="2" customFormat="1" ht="16.5" customHeight="1" thickBot="1">
      <c r="A56" s="6" t="s">
        <v>1368</v>
      </c>
      <c r="B56" s="25" t="s">
        <v>1247</v>
      </c>
      <c r="C56" s="8">
        <v>4321</v>
      </c>
      <c r="D56" s="8">
        <v>4325</v>
      </c>
      <c r="E56" s="8">
        <v>4341</v>
      </c>
      <c r="F56" s="8">
        <v>4359</v>
      </c>
      <c r="G56" s="8">
        <v>4565</v>
      </c>
      <c r="H56" s="8">
        <v>4871</v>
      </c>
      <c r="I56" s="8">
        <v>4883</v>
      </c>
      <c r="J56" s="36">
        <v>7275</v>
      </c>
      <c r="K56" s="8"/>
      <c r="L56" s="8"/>
      <c r="M56" s="33" t="s">
        <v>1280</v>
      </c>
      <c r="N56" s="30" t="s">
        <v>1258</v>
      </c>
      <c r="O56" s="16">
        <v>6960</v>
      </c>
      <c r="P56" s="17">
        <f>SUM(O56/O60)</f>
        <v>0.1696071741885174</v>
      </c>
      <c r="Q56" s="2">
        <v>1</v>
      </c>
    </row>
    <row r="57" spans="1:17" s="2" customFormat="1" ht="16.5" customHeight="1" thickBot="1">
      <c r="A57" s="6" t="s">
        <v>1366</v>
      </c>
      <c r="B57" s="7" t="s">
        <v>1261</v>
      </c>
      <c r="C57" s="8">
        <v>3242</v>
      </c>
      <c r="D57" s="8">
        <v>3279</v>
      </c>
      <c r="E57" s="8">
        <v>3356</v>
      </c>
      <c r="F57" s="8">
        <v>3458</v>
      </c>
      <c r="G57" s="8">
        <v>3617</v>
      </c>
      <c r="H57" s="8">
        <v>4019</v>
      </c>
      <c r="I57" s="8">
        <v>4826</v>
      </c>
      <c r="J57" s="8">
        <v>5050</v>
      </c>
      <c r="K57" s="8">
        <v>5368</v>
      </c>
      <c r="L57" s="36">
        <v>5396</v>
      </c>
      <c r="M57" s="33" t="s">
        <v>1251</v>
      </c>
      <c r="N57" s="15" t="s">
        <v>1261</v>
      </c>
      <c r="O57" s="21">
        <f>SUM(C54+C59+C57+C60)</f>
        <v>15182</v>
      </c>
      <c r="P57" s="17">
        <f>SUM(O57/O60)</f>
        <v>0.36996783312213666</v>
      </c>
      <c r="Q57" s="2">
        <v>3</v>
      </c>
    </row>
    <row r="58" spans="1:17" s="2" customFormat="1" ht="16.5" customHeight="1" thickBot="1">
      <c r="A58" s="12" t="s">
        <v>1369</v>
      </c>
      <c r="B58" s="13" t="s">
        <v>1247</v>
      </c>
      <c r="C58" s="8">
        <v>2914</v>
      </c>
      <c r="D58" s="8">
        <v>2915</v>
      </c>
      <c r="E58" s="8">
        <v>2938</v>
      </c>
      <c r="F58" s="8">
        <v>2951</v>
      </c>
      <c r="G58" s="8">
        <v>3036</v>
      </c>
      <c r="H58" s="8">
        <v>3231</v>
      </c>
      <c r="I58" s="8">
        <v>3240</v>
      </c>
      <c r="J58" s="8" t="s">
        <v>1326</v>
      </c>
      <c r="N58" s="31" t="s">
        <v>1269</v>
      </c>
      <c r="O58" s="21">
        <v>224</v>
      </c>
      <c r="P58" s="17">
        <f>SUM(O58/O60)</f>
        <v>5.4586216980212496E-3</v>
      </c>
    </row>
    <row r="59" spans="1:17" s="2" customFormat="1" ht="16.5" customHeight="1" thickBot="1">
      <c r="A59" s="6" t="s">
        <v>1365</v>
      </c>
      <c r="B59" s="7" t="s">
        <v>1261</v>
      </c>
      <c r="C59" s="8">
        <v>2891</v>
      </c>
      <c r="D59" s="8">
        <v>2901</v>
      </c>
      <c r="E59" s="8">
        <v>2984</v>
      </c>
      <c r="F59" s="8">
        <v>3102</v>
      </c>
      <c r="G59" s="8">
        <v>3223</v>
      </c>
      <c r="H59" s="8">
        <v>3583</v>
      </c>
      <c r="I59" s="8">
        <v>3921</v>
      </c>
      <c r="J59" s="8">
        <v>4089</v>
      </c>
      <c r="K59" s="8">
        <v>4376</v>
      </c>
      <c r="L59" s="36">
        <v>4419</v>
      </c>
      <c r="M59" s="33" t="s">
        <v>1253</v>
      </c>
      <c r="N59" s="26" t="s">
        <v>1254</v>
      </c>
      <c r="O59" s="21">
        <f>SUM(C61+C62+C64+C66)</f>
        <v>4266</v>
      </c>
      <c r="P59" s="11">
        <f>SUM(O59/O60)</f>
        <v>0.10395750073106541</v>
      </c>
    </row>
    <row r="60" spans="1:17" s="2" customFormat="1" ht="16.5" customHeight="1" thickBot="1">
      <c r="A60" s="12" t="s">
        <v>1373</v>
      </c>
      <c r="B60" s="20" t="s">
        <v>1261</v>
      </c>
      <c r="C60" s="8">
        <v>2648</v>
      </c>
      <c r="D60" s="8">
        <v>2661</v>
      </c>
      <c r="E60" s="8">
        <v>2752</v>
      </c>
      <c r="F60" s="8">
        <v>2963</v>
      </c>
      <c r="G60" s="8">
        <v>3154</v>
      </c>
      <c r="H60" s="8">
        <v>3520</v>
      </c>
      <c r="I60" s="8">
        <v>3949</v>
      </c>
      <c r="J60" s="8">
        <v>4073</v>
      </c>
      <c r="K60" s="8">
        <v>4278</v>
      </c>
      <c r="L60" s="8">
        <v>4314</v>
      </c>
      <c r="M60" s="33"/>
      <c r="O60" s="23">
        <f>SUM(C53:C66)</f>
        <v>41036</v>
      </c>
    </row>
    <row r="61" spans="1:17" s="2" customFormat="1" ht="16.5" customHeight="1" thickBot="1">
      <c r="A61" s="12" t="s">
        <v>1292</v>
      </c>
      <c r="B61" s="38" t="s">
        <v>1293</v>
      </c>
      <c r="C61" s="8">
        <v>2045</v>
      </c>
      <c r="D61" s="8">
        <v>2053</v>
      </c>
      <c r="E61" s="8">
        <v>2168</v>
      </c>
      <c r="F61" s="8">
        <v>2187</v>
      </c>
      <c r="G61" s="8">
        <v>2775</v>
      </c>
      <c r="H61" s="8" t="s">
        <v>1326</v>
      </c>
    </row>
    <row r="62" spans="1:17" s="2" customFormat="1" ht="16.5" customHeight="1" thickBot="1">
      <c r="A62" s="12" t="s">
        <v>1370</v>
      </c>
      <c r="B62" s="41" t="s">
        <v>1338</v>
      </c>
      <c r="C62" s="8">
        <v>1789</v>
      </c>
      <c r="D62" s="8">
        <v>1789</v>
      </c>
      <c r="E62" s="8">
        <v>1808</v>
      </c>
      <c r="F62" s="8">
        <v>1812</v>
      </c>
      <c r="G62" s="8" t="s">
        <v>1326</v>
      </c>
    </row>
    <row r="63" spans="1:17" s="2" customFormat="1" ht="16.5" customHeight="1" thickBot="1">
      <c r="A63" s="12" t="s">
        <v>1371</v>
      </c>
      <c r="B63" s="22" t="s">
        <v>1257</v>
      </c>
      <c r="C63" s="8">
        <v>1755</v>
      </c>
      <c r="D63" s="8">
        <v>2691</v>
      </c>
      <c r="E63" s="8">
        <v>2853</v>
      </c>
      <c r="F63" s="8">
        <v>2862</v>
      </c>
      <c r="G63" s="8">
        <v>2863</v>
      </c>
      <c r="H63" s="8">
        <v>2921</v>
      </c>
      <c r="I63" s="8" t="s">
        <v>1326</v>
      </c>
      <c r="O63" s="17"/>
    </row>
    <row r="64" spans="1:17" s="2" customFormat="1" ht="16.5" customHeight="1" thickBot="1">
      <c r="A64" s="12" t="s">
        <v>1372</v>
      </c>
      <c r="B64" s="38" t="s">
        <v>1270</v>
      </c>
      <c r="C64" s="8">
        <v>359</v>
      </c>
      <c r="D64" s="43">
        <v>366</v>
      </c>
      <c r="E64" s="43" t="s">
        <v>1326</v>
      </c>
    </row>
    <row r="65" spans="1:16" s="2" customFormat="1" ht="16.5" customHeight="1" thickBot="1">
      <c r="A65" s="12" t="s">
        <v>1305</v>
      </c>
      <c r="B65" s="32" t="s">
        <v>1269</v>
      </c>
      <c r="C65" s="8">
        <v>224</v>
      </c>
      <c r="D65" s="8">
        <v>232</v>
      </c>
      <c r="E65" s="8" t="s">
        <v>1326</v>
      </c>
    </row>
    <row r="66" spans="1:16" s="2" customFormat="1" ht="16.5" customHeight="1" thickBot="1">
      <c r="A66" s="12" t="s">
        <v>1310</v>
      </c>
      <c r="B66" s="38" t="s">
        <v>1270</v>
      </c>
      <c r="C66" s="8">
        <v>73</v>
      </c>
      <c r="D66" s="43">
        <v>100</v>
      </c>
      <c r="E66" s="43" t="s">
        <v>1326</v>
      </c>
    </row>
    <row r="67" spans="1:16" s="2" customFormat="1" ht="12" customHeight="1">
      <c r="A67" s="1"/>
    </row>
    <row r="68" spans="1:16" s="2" customFormat="1" ht="16.5" customHeight="1">
      <c r="A68" s="1" t="s">
        <v>1416</v>
      </c>
    </row>
    <row r="69" spans="1:16" s="2" customFormat="1" ht="9.75" customHeight="1" thickBot="1">
      <c r="A69" s="3"/>
    </row>
    <row r="70" spans="1:16" s="2" customFormat="1" ht="16.5" customHeight="1" thickBot="1">
      <c r="A70" s="4" t="s">
        <v>1244</v>
      </c>
      <c r="B70" s="5" t="s">
        <v>1245</v>
      </c>
      <c r="C70" s="5" t="s">
        <v>1246</v>
      </c>
      <c r="D70" s="5">
        <v>2</v>
      </c>
      <c r="E70" s="5">
        <v>3</v>
      </c>
      <c r="F70" s="5">
        <v>4</v>
      </c>
      <c r="G70" s="5">
        <v>5</v>
      </c>
      <c r="H70" s="5">
        <v>6</v>
      </c>
      <c r="I70" s="5">
        <v>7</v>
      </c>
      <c r="J70" s="5">
        <v>8</v>
      </c>
      <c r="K70" s="5">
        <v>9</v>
      </c>
      <c r="L70" s="5"/>
      <c r="M70" s="10" t="s">
        <v>1413</v>
      </c>
      <c r="N70" s="11">
        <f>SUM(34180/56104)</f>
        <v>0.60922572365606731</v>
      </c>
    </row>
    <row r="71" spans="1:16" s="2" customFormat="1" ht="16.5" customHeight="1" thickBot="1">
      <c r="A71" s="6" t="s">
        <v>1374</v>
      </c>
      <c r="B71" s="28" t="s">
        <v>1258</v>
      </c>
      <c r="C71" s="36">
        <v>6845</v>
      </c>
      <c r="D71" s="8"/>
      <c r="E71" s="8"/>
      <c r="F71" s="8"/>
      <c r="G71" s="8"/>
      <c r="H71" s="8"/>
      <c r="I71" s="8"/>
      <c r="J71" s="8"/>
      <c r="K71" s="8"/>
      <c r="L71" s="33" t="s">
        <v>1271</v>
      </c>
      <c r="M71" s="14"/>
      <c r="N71" s="10" t="s">
        <v>1248</v>
      </c>
      <c r="O71" s="10" t="s">
        <v>1249</v>
      </c>
      <c r="P71" s="10" t="s">
        <v>1250</v>
      </c>
    </row>
    <row r="72" spans="1:16" s="2" customFormat="1" ht="16.5" customHeight="1" thickBot="1">
      <c r="A72" s="6" t="s">
        <v>1376</v>
      </c>
      <c r="B72" s="25" t="s">
        <v>1247</v>
      </c>
      <c r="C72" s="8">
        <v>4476</v>
      </c>
      <c r="D72" s="8">
        <v>4477</v>
      </c>
      <c r="E72" s="8">
        <v>4692</v>
      </c>
      <c r="F72" s="8">
        <v>4710</v>
      </c>
      <c r="G72" s="8">
        <v>4710</v>
      </c>
      <c r="H72" s="8">
        <v>4728</v>
      </c>
      <c r="I72" s="36">
        <v>5003</v>
      </c>
      <c r="J72" s="8"/>
      <c r="K72" s="8"/>
      <c r="L72" s="33" t="s">
        <v>1252</v>
      </c>
      <c r="M72" s="19" t="s">
        <v>1247</v>
      </c>
      <c r="N72" s="16">
        <f>SUM(C72+C77)</f>
        <v>6797</v>
      </c>
      <c r="O72" s="17">
        <f>SUM(N72/N78)</f>
        <v>0.20037144036318613</v>
      </c>
      <c r="P72" s="14">
        <v>1</v>
      </c>
    </row>
    <row r="73" spans="1:16" s="2" customFormat="1" ht="16.5" customHeight="1" thickBot="1">
      <c r="A73" s="6" t="s">
        <v>1379</v>
      </c>
      <c r="B73" s="28" t="s">
        <v>1258</v>
      </c>
      <c r="C73" s="8">
        <v>3991</v>
      </c>
      <c r="D73" s="8">
        <v>4437</v>
      </c>
      <c r="E73" s="8">
        <v>4448</v>
      </c>
      <c r="F73" s="8">
        <v>4632</v>
      </c>
      <c r="G73" s="36">
        <v>4870</v>
      </c>
      <c r="H73" s="8"/>
      <c r="I73" s="8"/>
      <c r="J73" s="8"/>
      <c r="K73" s="8"/>
      <c r="L73" s="33" t="s">
        <v>1362</v>
      </c>
      <c r="M73" s="18" t="s">
        <v>1257</v>
      </c>
      <c r="N73" s="16">
        <f>SUM(C74+C78+C81)</f>
        <v>6267</v>
      </c>
      <c r="O73" s="17">
        <f>SUM(N73/N78)</f>
        <v>0.18474736159424562</v>
      </c>
      <c r="P73" s="14">
        <v>1</v>
      </c>
    </row>
    <row r="74" spans="1:16" s="2" customFormat="1" ht="16.5" customHeight="1" thickBot="1">
      <c r="A74" s="6" t="s">
        <v>1375</v>
      </c>
      <c r="B74" s="9" t="s">
        <v>1257</v>
      </c>
      <c r="C74" s="8">
        <v>2875</v>
      </c>
      <c r="D74" s="8">
        <v>3037</v>
      </c>
      <c r="E74" s="8">
        <v>3048</v>
      </c>
      <c r="F74" s="8">
        <v>3156</v>
      </c>
      <c r="G74" s="8">
        <v>3764</v>
      </c>
      <c r="H74" s="8">
        <v>4206</v>
      </c>
      <c r="I74" s="8">
        <v>4238</v>
      </c>
      <c r="J74" s="8">
        <v>4279</v>
      </c>
      <c r="K74" s="36">
        <v>4409</v>
      </c>
      <c r="L74" s="33" t="s">
        <v>1251</v>
      </c>
      <c r="M74" s="30" t="s">
        <v>1258</v>
      </c>
      <c r="N74" s="16">
        <f>SUM(C71+C73+C75)</f>
        <v>13486</v>
      </c>
      <c r="O74" s="17">
        <f>SUM(N74/N78)</f>
        <v>0.39755910618477686</v>
      </c>
      <c r="P74" s="2">
        <v>3</v>
      </c>
    </row>
    <row r="75" spans="1:16" s="2" customFormat="1" ht="16.5" customHeight="1" thickBot="1">
      <c r="A75" s="6" t="s">
        <v>1380</v>
      </c>
      <c r="B75" s="28" t="s">
        <v>1258</v>
      </c>
      <c r="C75" s="8">
        <v>2650</v>
      </c>
      <c r="D75" s="8">
        <v>3780</v>
      </c>
      <c r="E75" s="8">
        <v>3787</v>
      </c>
      <c r="F75" s="8">
        <v>3932</v>
      </c>
      <c r="G75" s="8">
        <v>3975</v>
      </c>
      <c r="H75" s="8">
        <v>4042</v>
      </c>
      <c r="I75" s="8">
        <v>4047</v>
      </c>
      <c r="J75" s="8">
        <v>4054</v>
      </c>
      <c r="K75" s="36">
        <v>4074</v>
      </c>
      <c r="L75" s="33" t="s">
        <v>1253</v>
      </c>
      <c r="M75" s="15" t="s">
        <v>1261</v>
      </c>
      <c r="N75" s="21">
        <f>SUM(C76+C79)</f>
        <v>4335</v>
      </c>
      <c r="O75" s="17">
        <f>SUM(N75/N78)</f>
        <v>0.12779317257237191</v>
      </c>
      <c r="P75" s="2">
        <v>1</v>
      </c>
    </row>
    <row r="76" spans="1:16" s="2" customFormat="1" ht="16.5" customHeight="1" thickBot="1">
      <c r="A76" s="6" t="s">
        <v>1378</v>
      </c>
      <c r="B76" s="7" t="s">
        <v>1261</v>
      </c>
      <c r="C76" s="8">
        <v>2538</v>
      </c>
      <c r="D76" s="8">
        <v>2548</v>
      </c>
      <c r="E76" s="8">
        <v>2591</v>
      </c>
      <c r="F76" s="8">
        <v>2750</v>
      </c>
      <c r="G76" s="8">
        <v>2756</v>
      </c>
      <c r="H76" s="8">
        <v>3144</v>
      </c>
      <c r="I76" s="8">
        <v>4733</v>
      </c>
      <c r="J76" s="36">
        <v>6380</v>
      </c>
      <c r="K76" s="8"/>
      <c r="L76" s="33" t="s">
        <v>1280</v>
      </c>
      <c r="M76" s="31" t="s">
        <v>1269</v>
      </c>
      <c r="N76" s="21">
        <v>1401</v>
      </c>
      <c r="O76" s="17">
        <f>SUM(N76/N78)</f>
        <v>4.130063085902954E-2</v>
      </c>
    </row>
    <row r="77" spans="1:16" s="2" customFormat="1" ht="16.5" customHeight="1" thickBot="1">
      <c r="A77" s="12" t="s">
        <v>1382</v>
      </c>
      <c r="B77" s="13" t="s">
        <v>1247</v>
      </c>
      <c r="C77" s="8">
        <v>2321</v>
      </c>
      <c r="D77" s="8">
        <v>2323</v>
      </c>
      <c r="E77" s="8">
        <v>2339</v>
      </c>
      <c r="F77" s="8">
        <v>2364</v>
      </c>
      <c r="G77" s="8">
        <v>2366</v>
      </c>
      <c r="H77" s="8">
        <v>2402</v>
      </c>
      <c r="I77" s="8">
        <v>2457</v>
      </c>
      <c r="J77" s="8" t="s">
        <v>1326</v>
      </c>
      <c r="M77" s="26" t="s">
        <v>1254</v>
      </c>
      <c r="N77" s="21">
        <f>SUM(C82+C83+C85+C84)</f>
        <v>1636</v>
      </c>
      <c r="O77" s="11">
        <f>SUM(N77/N78)</f>
        <v>4.8228288426389952E-2</v>
      </c>
    </row>
    <row r="78" spans="1:16" s="2" customFormat="1" ht="16.5" customHeight="1" thickBot="1">
      <c r="A78" s="12" t="s">
        <v>1377</v>
      </c>
      <c r="B78" s="22" t="s">
        <v>1257</v>
      </c>
      <c r="C78" s="8">
        <v>2054</v>
      </c>
      <c r="D78" s="8">
        <v>2173</v>
      </c>
      <c r="E78" s="8">
        <v>2177</v>
      </c>
      <c r="F78" s="8">
        <v>2299</v>
      </c>
      <c r="G78" s="8">
        <v>2798</v>
      </c>
      <c r="H78" s="8">
        <v>3102</v>
      </c>
      <c r="I78" s="8">
        <v>3119</v>
      </c>
      <c r="J78" s="8">
        <v>3140</v>
      </c>
      <c r="K78" s="8">
        <v>3195</v>
      </c>
      <c r="L78" s="33"/>
      <c r="N78" s="23">
        <f>SUM(C71:C85)</f>
        <v>33922</v>
      </c>
    </row>
    <row r="79" spans="1:16" s="2" customFormat="1" ht="16.5" customHeight="1" thickBot="1">
      <c r="A79" s="12" t="s">
        <v>1381</v>
      </c>
      <c r="B79" s="20" t="s">
        <v>1261</v>
      </c>
      <c r="C79" s="8">
        <v>1797</v>
      </c>
      <c r="D79" s="8">
        <v>1801</v>
      </c>
      <c r="E79" s="8">
        <v>1837</v>
      </c>
      <c r="F79" s="8">
        <v>1898</v>
      </c>
      <c r="G79" s="8">
        <v>1916</v>
      </c>
      <c r="H79" s="8">
        <v>2098</v>
      </c>
      <c r="I79" s="8" t="s">
        <v>1326</v>
      </c>
    </row>
    <row r="80" spans="1:16" s="2" customFormat="1" ht="16.5" customHeight="1" thickBot="1">
      <c r="A80" s="12" t="s">
        <v>1383</v>
      </c>
      <c r="B80" s="32" t="s">
        <v>1269</v>
      </c>
      <c r="C80" s="8">
        <v>1401</v>
      </c>
      <c r="D80" s="8">
        <v>1422</v>
      </c>
      <c r="E80" s="8">
        <v>1430</v>
      </c>
      <c r="F80" s="8">
        <v>1652</v>
      </c>
      <c r="G80" s="8">
        <v>1671</v>
      </c>
      <c r="H80" s="8" t="s">
        <v>1326</v>
      </c>
    </row>
    <row r="81" spans="1:15" s="2" customFormat="1" ht="16.5" customHeight="1" thickBot="1">
      <c r="A81" s="12" t="s">
        <v>1303</v>
      </c>
      <c r="B81" s="22" t="s">
        <v>1257</v>
      </c>
      <c r="C81" s="8">
        <v>1338</v>
      </c>
      <c r="D81" s="8">
        <v>1357</v>
      </c>
      <c r="E81" s="8">
        <v>1361</v>
      </c>
      <c r="F81" s="8">
        <v>1456</v>
      </c>
      <c r="G81" s="8" t="s">
        <v>1326</v>
      </c>
      <c r="O81" s="17"/>
    </row>
    <row r="82" spans="1:15" s="2" customFormat="1" ht="16.5" customHeight="1" thickBot="1">
      <c r="A82" s="12" t="s">
        <v>1387</v>
      </c>
      <c r="B82" s="42" t="s">
        <v>1304</v>
      </c>
      <c r="C82" s="8">
        <v>649</v>
      </c>
      <c r="D82" s="43">
        <v>695</v>
      </c>
      <c r="E82" s="43">
        <v>701</v>
      </c>
      <c r="F82" s="43" t="s">
        <v>1326</v>
      </c>
    </row>
    <row r="83" spans="1:15" s="2" customFormat="1" ht="16.5" customHeight="1" thickBot="1">
      <c r="A83" s="12" t="s">
        <v>1386</v>
      </c>
      <c r="B83" s="39" t="s">
        <v>1320</v>
      </c>
      <c r="C83" s="8">
        <v>521</v>
      </c>
      <c r="D83" s="8">
        <v>530</v>
      </c>
      <c r="E83" s="8">
        <v>564</v>
      </c>
      <c r="F83" s="43" t="s">
        <v>1326</v>
      </c>
      <c r="O83" s="17"/>
    </row>
    <row r="84" spans="1:15" s="2" customFormat="1" ht="16.5" customHeight="1" thickBot="1">
      <c r="A84" s="12" t="s">
        <v>1384</v>
      </c>
      <c r="B84" s="41" t="s">
        <v>1338</v>
      </c>
      <c r="C84" s="8">
        <v>393</v>
      </c>
      <c r="D84" s="8">
        <v>395</v>
      </c>
      <c r="E84" s="8" t="s">
        <v>1326</v>
      </c>
      <c r="O84" s="17"/>
    </row>
    <row r="85" spans="1:15" s="2" customFormat="1" ht="16.5" customHeight="1" thickBot="1">
      <c r="A85" s="12" t="s">
        <v>1385</v>
      </c>
      <c r="B85" s="38" t="s">
        <v>1270</v>
      </c>
      <c r="C85" s="8">
        <v>73</v>
      </c>
      <c r="D85" s="43">
        <v>77</v>
      </c>
      <c r="E85" s="43" t="s">
        <v>1326</v>
      </c>
      <c r="O85" s="17"/>
    </row>
    <row r="86" spans="1:15" s="2" customFormat="1" ht="12" customHeight="1">
      <c r="A86" s="1"/>
    </row>
    <row r="87" spans="1:15" s="2" customFormat="1" ht="16.5" customHeight="1">
      <c r="A87" s="1" t="s">
        <v>1417</v>
      </c>
    </row>
    <row r="88" spans="1:15" s="2" customFormat="1" ht="9.75" customHeight="1" thickBot="1">
      <c r="A88" s="3"/>
    </row>
    <row r="89" spans="1:15" s="2" customFormat="1" ht="16.5" customHeight="1" thickBot="1">
      <c r="A89" s="4" t="s">
        <v>1244</v>
      </c>
      <c r="B89" s="5" t="s">
        <v>1245</v>
      </c>
      <c r="C89" s="5" t="s">
        <v>1246</v>
      </c>
      <c r="D89" s="5">
        <v>2</v>
      </c>
      <c r="E89" s="5">
        <v>3</v>
      </c>
      <c r="F89" s="5">
        <v>4</v>
      </c>
      <c r="G89" s="5">
        <v>5</v>
      </c>
      <c r="H89" s="5">
        <v>6</v>
      </c>
      <c r="I89" s="5">
        <v>7</v>
      </c>
      <c r="J89" s="5"/>
      <c r="K89" s="10" t="s">
        <v>1413</v>
      </c>
      <c r="L89" s="11">
        <f>SUM(50165/70823)</f>
        <v>0.70831509537861992</v>
      </c>
    </row>
    <row r="90" spans="1:15" s="2" customFormat="1" ht="16.5" customHeight="1" thickBot="1">
      <c r="A90" s="6" t="s">
        <v>1388</v>
      </c>
      <c r="B90" s="25" t="s">
        <v>1247</v>
      </c>
      <c r="C90" s="36">
        <v>7437</v>
      </c>
      <c r="D90" s="8"/>
      <c r="E90" s="8"/>
      <c r="F90" s="8"/>
      <c r="G90" s="8"/>
      <c r="H90" s="8"/>
      <c r="I90" s="8"/>
      <c r="J90" s="33" t="s">
        <v>1271</v>
      </c>
      <c r="K90" s="14"/>
      <c r="L90" s="10" t="s">
        <v>1248</v>
      </c>
      <c r="M90" s="10" t="s">
        <v>1249</v>
      </c>
      <c r="N90" s="10" t="s">
        <v>1250</v>
      </c>
    </row>
    <row r="91" spans="1:15" s="2" customFormat="1" ht="16.5" customHeight="1" thickBot="1">
      <c r="A91" s="6" t="s">
        <v>1391</v>
      </c>
      <c r="B91" s="25" t="s">
        <v>1247</v>
      </c>
      <c r="C91" s="36">
        <v>7105</v>
      </c>
      <c r="D91" s="8"/>
      <c r="E91" s="8"/>
      <c r="F91" s="8"/>
      <c r="G91" s="8"/>
      <c r="H91" s="8"/>
      <c r="I91" s="8"/>
      <c r="J91" s="33" t="s">
        <v>1362</v>
      </c>
      <c r="K91" s="19" t="s">
        <v>1247</v>
      </c>
      <c r="L91" s="16">
        <f>SUM(C90+C91+C94)</f>
        <v>20879</v>
      </c>
      <c r="M91" s="17">
        <f>SUM(L91/L97)</f>
        <v>0.42078639230939763</v>
      </c>
      <c r="N91" s="14">
        <v>3</v>
      </c>
    </row>
    <row r="92" spans="1:15" s="2" customFormat="1" ht="16.5" customHeight="1" thickBot="1">
      <c r="A92" s="6" t="s">
        <v>1389</v>
      </c>
      <c r="B92" s="9" t="s">
        <v>1257</v>
      </c>
      <c r="C92" s="8">
        <v>6517</v>
      </c>
      <c r="D92" s="8">
        <v>6813</v>
      </c>
      <c r="E92" s="8">
        <v>6813</v>
      </c>
      <c r="F92" s="8">
        <v>6833</v>
      </c>
      <c r="G92" s="36">
        <v>7653</v>
      </c>
      <c r="H92" s="8"/>
      <c r="I92" s="8"/>
      <c r="J92" s="33" t="s">
        <v>1251</v>
      </c>
      <c r="K92" s="18" t="s">
        <v>1257</v>
      </c>
      <c r="L92" s="16">
        <v>6517</v>
      </c>
      <c r="M92" s="17">
        <f>SUM(L92/L97)</f>
        <v>0.13134081702573611</v>
      </c>
      <c r="N92" s="14">
        <v>1</v>
      </c>
    </row>
    <row r="93" spans="1:15" s="2" customFormat="1" ht="16.5" customHeight="1" thickBot="1">
      <c r="A93" s="6" t="s">
        <v>1393</v>
      </c>
      <c r="B93" s="28" t="s">
        <v>1258</v>
      </c>
      <c r="C93" s="8">
        <v>6418</v>
      </c>
      <c r="D93" s="8">
        <v>6672</v>
      </c>
      <c r="E93" s="8">
        <v>6672</v>
      </c>
      <c r="F93" s="8">
        <v>6674</v>
      </c>
      <c r="G93" s="36">
        <v>8008</v>
      </c>
      <c r="H93" s="8"/>
      <c r="I93" s="8"/>
      <c r="J93" s="33" t="s">
        <v>1280</v>
      </c>
      <c r="K93" s="30" t="s">
        <v>1258</v>
      </c>
      <c r="L93" s="16">
        <v>6418</v>
      </c>
      <c r="M93" s="17">
        <f>SUM(L93/L97)</f>
        <v>0.12934561357544488</v>
      </c>
      <c r="N93" s="2">
        <v>1</v>
      </c>
    </row>
    <row r="94" spans="1:15" s="2" customFormat="1" ht="16.5" customHeight="1" thickBot="1">
      <c r="A94" s="6" t="s">
        <v>1392</v>
      </c>
      <c r="B94" s="25" t="s">
        <v>1247</v>
      </c>
      <c r="C94" s="8">
        <v>6337</v>
      </c>
      <c r="D94" s="8">
        <v>6455</v>
      </c>
      <c r="E94" s="8">
        <v>6706</v>
      </c>
      <c r="F94" s="36">
        <v>7514</v>
      </c>
      <c r="G94" s="8"/>
      <c r="H94" s="8"/>
      <c r="I94" s="8"/>
      <c r="J94" s="33" t="s">
        <v>1252</v>
      </c>
      <c r="K94" s="15" t="s">
        <v>1261</v>
      </c>
      <c r="L94" s="21">
        <f>SUM(C96+C95)</f>
        <v>9818</v>
      </c>
      <c r="M94" s="17">
        <f>SUM(L94/L97)</f>
        <v>0.19786775227231504</v>
      </c>
      <c r="N94" s="2">
        <v>1</v>
      </c>
    </row>
    <row r="95" spans="1:15" s="2" customFormat="1" ht="16.5" customHeight="1" thickBot="1">
      <c r="A95" s="6" t="s">
        <v>1390</v>
      </c>
      <c r="B95" s="7" t="s">
        <v>1261</v>
      </c>
      <c r="C95" s="8">
        <v>5318</v>
      </c>
      <c r="D95" s="8">
        <v>5530</v>
      </c>
      <c r="E95" s="8">
        <v>5552</v>
      </c>
      <c r="F95" s="8">
        <v>5974</v>
      </c>
      <c r="G95" s="8">
        <v>6026</v>
      </c>
      <c r="H95" s="8">
        <v>6170</v>
      </c>
      <c r="I95" s="36">
        <v>6311</v>
      </c>
      <c r="J95" s="33" t="s">
        <v>1253</v>
      </c>
      <c r="K95" s="31" t="s">
        <v>1269</v>
      </c>
      <c r="L95" s="21">
        <v>278</v>
      </c>
      <c r="M95" s="17">
        <f>SUM(L95/L97)</f>
        <v>5.6026925169793832E-3</v>
      </c>
    </row>
    <row r="96" spans="1:15" s="2" customFormat="1" ht="16.5" customHeight="1" thickBot="1">
      <c r="A96" s="12" t="s">
        <v>1394</v>
      </c>
      <c r="B96" s="20" t="s">
        <v>1261</v>
      </c>
      <c r="C96" s="8">
        <v>4500</v>
      </c>
      <c r="D96" s="8">
        <v>4709</v>
      </c>
      <c r="E96" s="8">
        <v>4722</v>
      </c>
      <c r="F96" s="8">
        <v>5001</v>
      </c>
      <c r="G96" s="8">
        <v>5068</v>
      </c>
      <c r="H96" s="8">
        <v>5229</v>
      </c>
      <c r="I96" s="8">
        <v>5368</v>
      </c>
      <c r="J96" s="33"/>
      <c r="K96" s="26" t="s">
        <v>1254</v>
      </c>
      <c r="L96" s="21">
        <f>SUM(C97+C98+C99+C100)</f>
        <v>5709</v>
      </c>
      <c r="M96" s="11">
        <f>SUM(L96/L97)</f>
        <v>0.11505673230012697</v>
      </c>
    </row>
    <row r="97" spans="1:18" s="2" customFormat="1" ht="16.5" customHeight="1" thickBot="1">
      <c r="A97" s="12" t="s">
        <v>1395</v>
      </c>
      <c r="B97" s="38" t="s">
        <v>1270</v>
      </c>
      <c r="C97" s="8">
        <v>2317</v>
      </c>
      <c r="D97" s="8">
        <v>2512</v>
      </c>
      <c r="E97" s="8">
        <v>2512</v>
      </c>
      <c r="F97" s="8">
        <v>2526</v>
      </c>
      <c r="G97" s="8" t="s">
        <v>1326</v>
      </c>
      <c r="L97" s="23">
        <f>SUM(C90:C101)</f>
        <v>49619</v>
      </c>
    </row>
    <row r="98" spans="1:18" s="2" customFormat="1" ht="16.5" customHeight="1" thickBot="1">
      <c r="A98" s="12" t="s">
        <v>1396</v>
      </c>
      <c r="B98" s="38" t="s">
        <v>1270</v>
      </c>
      <c r="C98" s="8">
        <v>2188</v>
      </c>
      <c r="D98" s="8">
        <v>2260</v>
      </c>
      <c r="E98" s="8">
        <v>2268</v>
      </c>
      <c r="F98" s="8" t="s">
        <v>1326</v>
      </c>
    </row>
    <row r="99" spans="1:18" s="2" customFormat="1" ht="16.5" customHeight="1" thickBot="1">
      <c r="A99" s="12" t="s">
        <v>1310</v>
      </c>
      <c r="B99" s="38" t="s">
        <v>1270</v>
      </c>
      <c r="C99" s="8">
        <v>605</v>
      </c>
      <c r="D99" s="8" t="s">
        <v>1326</v>
      </c>
    </row>
    <row r="100" spans="1:18" s="2" customFormat="1" ht="16.5" customHeight="1" thickBot="1">
      <c r="A100" s="12" t="s">
        <v>1398</v>
      </c>
      <c r="B100" s="39" t="s">
        <v>1320</v>
      </c>
      <c r="C100" s="8">
        <v>599</v>
      </c>
      <c r="D100" s="8" t="s">
        <v>1326</v>
      </c>
      <c r="H100" s="17"/>
    </row>
    <row r="101" spans="1:18" s="2" customFormat="1" ht="16.5" customHeight="1" thickBot="1">
      <c r="A101" s="12" t="s">
        <v>1397</v>
      </c>
      <c r="B101" s="32" t="s">
        <v>1269</v>
      </c>
      <c r="C101" s="8">
        <v>278</v>
      </c>
      <c r="D101" s="8" t="s">
        <v>1326</v>
      </c>
      <c r="H101" s="17"/>
    </row>
    <row r="102" spans="1:18" s="2" customFormat="1" ht="12" customHeight="1">
      <c r="A102" s="1"/>
    </row>
    <row r="103" spans="1:18" s="2" customFormat="1" ht="16.5" customHeight="1">
      <c r="A103" s="1" t="s">
        <v>1418</v>
      </c>
    </row>
    <row r="104" spans="1:18" s="2" customFormat="1" ht="9.75" customHeight="1" thickBot="1">
      <c r="A104" s="3"/>
    </row>
    <row r="105" spans="1:18" s="2" customFormat="1" ht="16.5" customHeight="1" thickBot="1">
      <c r="A105" s="4" t="s">
        <v>1244</v>
      </c>
      <c r="B105" s="5" t="s">
        <v>1245</v>
      </c>
      <c r="C105" s="5" t="s">
        <v>1246</v>
      </c>
      <c r="D105" s="5">
        <v>2</v>
      </c>
      <c r="E105" s="5">
        <v>3</v>
      </c>
      <c r="F105" s="5">
        <v>4</v>
      </c>
      <c r="G105" s="5">
        <v>5</v>
      </c>
      <c r="H105" s="5">
        <v>6</v>
      </c>
      <c r="I105" s="5">
        <v>7</v>
      </c>
      <c r="J105" s="5">
        <v>8</v>
      </c>
      <c r="K105" s="5">
        <v>9</v>
      </c>
      <c r="L105" s="5">
        <v>10</v>
      </c>
      <c r="M105" s="5">
        <v>11</v>
      </c>
      <c r="N105" s="5"/>
      <c r="O105" s="10" t="s">
        <v>1413</v>
      </c>
      <c r="P105" s="11">
        <f>SUM(44728/61223)</f>
        <v>0.73057511066102609</v>
      </c>
    </row>
    <row r="106" spans="1:18" s="2" customFormat="1" ht="16.5" customHeight="1" thickBot="1">
      <c r="A106" s="6" t="s">
        <v>1401</v>
      </c>
      <c r="B106" s="25" t="s">
        <v>1247</v>
      </c>
      <c r="C106" s="8">
        <v>6334</v>
      </c>
      <c r="D106" s="8">
        <v>6336</v>
      </c>
      <c r="E106" s="8">
        <v>6337</v>
      </c>
      <c r="F106" s="8">
        <v>6337</v>
      </c>
      <c r="G106" s="8">
        <v>6428</v>
      </c>
      <c r="H106" s="8">
        <v>6450</v>
      </c>
      <c r="I106" s="36">
        <v>6676</v>
      </c>
      <c r="J106" s="8"/>
      <c r="K106" s="8"/>
      <c r="L106" s="8"/>
      <c r="M106" s="8"/>
      <c r="N106" s="33" t="s">
        <v>1271</v>
      </c>
      <c r="O106" s="14"/>
      <c r="P106" s="10" t="s">
        <v>1248</v>
      </c>
      <c r="Q106" s="10" t="s">
        <v>1249</v>
      </c>
      <c r="R106" s="10" t="s">
        <v>1250</v>
      </c>
    </row>
    <row r="107" spans="1:18" s="2" customFormat="1" ht="16.5" customHeight="1" thickBot="1">
      <c r="A107" s="6" t="s">
        <v>1403</v>
      </c>
      <c r="B107" s="7" t="s">
        <v>1261</v>
      </c>
      <c r="C107" s="8">
        <v>5838</v>
      </c>
      <c r="D107" s="8">
        <v>5870</v>
      </c>
      <c r="E107" s="8">
        <v>5887</v>
      </c>
      <c r="F107" s="8">
        <v>5892</v>
      </c>
      <c r="G107" s="8">
        <v>6026</v>
      </c>
      <c r="H107" s="8">
        <v>6055</v>
      </c>
      <c r="I107" s="8">
        <v>6429</v>
      </c>
      <c r="J107" s="36">
        <v>6945</v>
      </c>
      <c r="K107" s="8"/>
      <c r="L107" s="8"/>
      <c r="M107" s="8"/>
      <c r="N107" s="33" t="s">
        <v>1252</v>
      </c>
      <c r="O107" s="19" t="s">
        <v>1247</v>
      </c>
      <c r="P107" s="16">
        <f>SUM(C106+C110+C113)</f>
        <v>14134</v>
      </c>
      <c r="Q107" s="17">
        <f>SUM(P107/P113)</f>
        <v>0.30652786814140098</v>
      </c>
      <c r="R107" s="14">
        <v>2</v>
      </c>
    </row>
    <row r="108" spans="1:18" s="2" customFormat="1" ht="16.5" customHeight="1" thickBot="1">
      <c r="A108" s="6" t="s">
        <v>1400</v>
      </c>
      <c r="B108" s="7" t="s">
        <v>1261</v>
      </c>
      <c r="C108" s="8">
        <v>5652</v>
      </c>
      <c r="D108" s="8">
        <v>5662</v>
      </c>
      <c r="E108" s="8">
        <v>5682</v>
      </c>
      <c r="F108" s="8">
        <v>5684</v>
      </c>
      <c r="G108" s="8">
        <v>5772</v>
      </c>
      <c r="H108" s="8">
        <v>5829</v>
      </c>
      <c r="I108" s="8">
        <v>6190</v>
      </c>
      <c r="J108" s="8">
        <v>6286</v>
      </c>
      <c r="K108" s="36">
        <v>6650</v>
      </c>
      <c r="L108" s="8"/>
      <c r="M108" s="8"/>
      <c r="N108" s="33" t="s">
        <v>1280</v>
      </c>
      <c r="O108" s="18" t="s">
        <v>1257</v>
      </c>
      <c r="P108" s="16">
        <v>4447</v>
      </c>
      <c r="Q108" s="17">
        <f>SUM(P108/P113)</f>
        <v>9.6443287790067236E-2</v>
      </c>
      <c r="R108" s="14">
        <v>1</v>
      </c>
    </row>
    <row r="109" spans="1:18" s="2" customFormat="1" ht="16.5" customHeight="1" thickBot="1">
      <c r="A109" s="6" t="s">
        <v>1399</v>
      </c>
      <c r="B109" s="28" t="s">
        <v>1258</v>
      </c>
      <c r="C109" s="8">
        <v>5542</v>
      </c>
      <c r="D109" s="8">
        <v>5546</v>
      </c>
      <c r="E109" s="8">
        <v>5605</v>
      </c>
      <c r="F109" s="8">
        <v>5763</v>
      </c>
      <c r="G109" s="8">
        <v>5792</v>
      </c>
      <c r="H109" s="8">
        <v>6188</v>
      </c>
      <c r="I109" s="8">
        <v>6240</v>
      </c>
      <c r="J109" s="8">
        <v>6248</v>
      </c>
      <c r="K109" s="8">
        <v>6251</v>
      </c>
      <c r="L109" s="36">
        <v>8463</v>
      </c>
      <c r="M109" s="8"/>
      <c r="N109" s="33" t="s">
        <v>1251</v>
      </c>
      <c r="O109" s="30" t="s">
        <v>1258</v>
      </c>
      <c r="P109" s="16">
        <f>(C109+C114)</f>
        <v>8153</v>
      </c>
      <c r="Q109" s="17">
        <f>SUM(P109/P113)</f>
        <v>0.17681630882671873</v>
      </c>
      <c r="R109" s="2">
        <v>1</v>
      </c>
    </row>
    <row r="110" spans="1:18" s="2" customFormat="1" ht="16.5" customHeight="1" thickBot="1">
      <c r="A110" s="6" t="s">
        <v>1402</v>
      </c>
      <c r="B110" s="25" t="s">
        <v>1247</v>
      </c>
      <c r="C110" s="8">
        <v>5138</v>
      </c>
      <c r="D110" s="8">
        <v>5145</v>
      </c>
      <c r="E110" s="8">
        <v>5152</v>
      </c>
      <c r="F110" s="8">
        <v>5154</v>
      </c>
      <c r="G110" s="8">
        <v>5259</v>
      </c>
      <c r="H110" s="8">
        <v>5273</v>
      </c>
      <c r="I110" s="8">
        <v>5412</v>
      </c>
      <c r="J110" s="36">
        <v>7382</v>
      </c>
      <c r="K110" s="8"/>
      <c r="L110" s="8"/>
      <c r="M110" s="8"/>
      <c r="N110" s="33" t="s">
        <v>1362</v>
      </c>
      <c r="O110" s="15" t="s">
        <v>1261</v>
      </c>
      <c r="P110" s="21">
        <f>SUM(C108+C107+C112)</f>
        <v>14462</v>
      </c>
      <c r="Q110" s="17">
        <f>SUM(P110/P113)</f>
        <v>0.31364129256126655</v>
      </c>
      <c r="R110" s="2">
        <v>2</v>
      </c>
    </row>
    <row r="111" spans="1:18" s="2" customFormat="1" ht="16.5" customHeight="1" thickBot="1">
      <c r="A111" s="6" t="s">
        <v>1404</v>
      </c>
      <c r="B111" s="9" t="s">
        <v>1257</v>
      </c>
      <c r="C111" s="8">
        <v>4447</v>
      </c>
      <c r="D111" s="8">
        <v>4448</v>
      </c>
      <c r="E111" s="8">
        <v>4553</v>
      </c>
      <c r="F111" s="8">
        <v>4637</v>
      </c>
      <c r="G111" s="8">
        <v>4819</v>
      </c>
      <c r="H111" s="8">
        <v>5230</v>
      </c>
      <c r="I111" s="8">
        <v>5370</v>
      </c>
      <c r="J111" s="8">
        <v>5377</v>
      </c>
      <c r="K111" s="8">
        <v>5385</v>
      </c>
      <c r="L111" s="8">
        <v>6047</v>
      </c>
      <c r="M111" s="36">
        <v>7721</v>
      </c>
      <c r="N111" s="33" t="s">
        <v>1253</v>
      </c>
      <c r="O111" s="31" t="s">
        <v>1269</v>
      </c>
      <c r="P111" s="21">
        <v>691</v>
      </c>
      <c r="Q111" s="17">
        <f>SUM(P111/P113)</f>
        <v>1.4985903274777706E-2</v>
      </c>
    </row>
    <row r="112" spans="1:18" s="2" customFormat="1" ht="16.5" customHeight="1" thickBot="1">
      <c r="A112" s="12" t="s">
        <v>1405</v>
      </c>
      <c r="B112" s="20" t="s">
        <v>1261</v>
      </c>
      <c r="C112" s="8">
        <v>2972</v>
      </c>
      <c r="D112" s="8">
        <v>2976</v>
      </c>
      <c r="E112" s="8">
        <v>2986</v>
      </c>
      <c r="F112" s="8">
        <v>2989</v>
      </c>
      <c r="G112" s="8">
        <v>3062</v>
      </c>
      <c r="H112" s="8">
        <v>3093</v>
      </c>
      <c r="I112" s="8">
        <v>3354</v>
      </c>
      <c r="J112" s="8">
        <v>3422</v>
      </c>
      <c r="K112" s="8">
        <v>3831</v>
      </c>
      <c r="L112" s="8">
        <v>3854</v>
      </c>
      <c r="M112" s="8">
        <v>3883</v>
      </c>
      <c r="N112" s="33"/>
      <c r="O112" s="26" t="s">
        <v>1254</v>
      </c>
      <c r="P112" s="21">
        <f>SUM(C115+C116+C120+C118+C121+C119)</f>
        <v>4223</v>
      </c>
      <c r="Q112" s="11">
        <f>SUM(P112/P113)</f>
        <v>9.1585339405768809E-2</v>
      </c>
    </row>
    <row r="113" spans="1:19" s="2" customFormat="1" ht="16.5" customHeight="1" thickBot="1">
      <c r="A113" s="12" t="s">
        <v>1317</v>
      </c>
      <c r="B113" s="13" t="s">
        <v>1247</v>
      </c>
      <c r="C113" s="8">
        <v>2662</v>
      </c>
      <c r="D113" s="8">
        <v>2678</v>
      </c>
      <c r="E113" s="8">
        <v>2679</v>
      </c>
      <c r="F113" s="8">
        <v>2679</v>
      </c>
      <c r="G113" s="8">
        <v>2703</v>
      </c>
      <c r="H113" s="8">
        <v>2703</v>
      </c>
      <c r="I113" s="8">
        <v>2778</v>
      </c>
      <c r="J113" s="8" t="s">
        <v>1326</v>
      </c>
      <c r="P113" s="23">
        <f>SUM(C106:C121)</f>
        <v>46110</v>
      </c>
    </row>
    <row r="114" spans="1:19" s="2" customFormat="1" ht="16.5" customHeight="1" thickBot="1">
      <c r="A114" s="12" t="s">
        <v>1412</v>
      </c>
      <c r="B114" s="27" t="s">
        <v>1258</v>
      </c>
      <c r="C114" s="8">
        <v>2611</v>
      </c>
      <c r="D114" s="8">
        <v>2613</v>
      </c>
      <c r="E114" s="8">
        <v>2667</v>
      </c>
      <c r="F114" s="8">
        <v>2721</v>
      </c>
      <c r="G114" s="8">
        <v>2741</v>
      </c>
      <c r="H114" s="8">
        <v>3040</v>
      </c>
      <c r="I114" s="8">
        <v>3061</v>
      </c>
      <c r="J114" s="8">
        <v>3062</v>
      </c>
      <c r="K114" s="8">
        <v>3065</v>
      </c>
      <c r="L114" s="8" t="s">
        <v>1326</v>
      </c>
    </row>
    <row r="115" spans="1:19" s="2" customFormat="1" ht="16.5" customHeight="1" thickBot="1">
      <c r="A115" s="12" t="s">
        <v>1410</v>
      </c>
      <c r="B115" s="39" t="s">
        <v>1320</v>
      </c>
      <c r="C115" s="8">
        <v>1622</v>
      </c>
      <c r="D115" s="8">
        <v>1646</v>
      </c>
      <c r="E115" s="8">
        <v>1675</v>
      </c>
      <c r="F115" s="8">
        <v>1685</v>
      </c>
      <c r="G115" s="8">
        <v>2008</v>
      </c>
      <c r="H115" s="8">
        <v>2043</v>
      </c>
      <c r="I115" s="8" t="s">
        <v>1326</v>
      </c>
      <c r="O115" s="17"/>
    </row>
    <row r="116" spans="1:19" s="2" customFormat="1" ht="16.5" customHeight="1" thickBot="1">
      <c r="A116" s="12" t="s">
        <v>1411</v>
      </c>
      <c r="B116" s="38" t="s">
        <v>1270</v>
      </c>
      <c r="C116" s="8">
        <v>1229</v>
      </c>
      <c r="D116" s="43">
        <v>1229</v>
      </c>
      <c r="E116" s="43">
        <v>1239</v>
      </c>
      <c r="F116" s="43">
        <v>1326</v>
      </c>
      <c r="G116" s="8">
        <v>1354</v>
      </c>
      <c r="H116" s="8" t="s">
        <v>1326</v>
      </c>
      <c r="O116" s="17"/>
    </row>
    <row r="117" spans="1:19" s="2" customFormat="1" ht="16.5" customHeight="1" thickBot="1">
      <c r="A117" s="12" t="s">
        <v>1406</v>
      </c>
      <c r="B117" s="32" t="s">
        <v>1269</v>
      </c>
      <c r="C117" s="8">
        <v>691</v>
      </c>
      <c r="D117" s="8">
        <v>700</v>
      </c>
      <c r="E117" s="8">
        <v>743</v>
      </c>
      <c r="F117" s="43">
        <v>755</v>
      </c>
      <c r="G117" s="8" t="s">
        <v>1326</v>
      </c>
      <c r="O117" s="17"/>
    </row>
    <row r="118" spans="1:19" s="2" customFormat="1" ht="16.5" customHeight="1" thickBot="1">
      <c r="A118" s="12" t="s">
        <v>1409</v>
      </c>
      <c r="B118" s="38" t="s">
        <v>1270</v>
      </c>
      <c r="C118" s="8">
        <v>434</v>
      </c>
      <c r="D118" s="8">
        <v>441</v>
      </c>
      <c r="E118" s="8">
        <v>448</v>
      </c>
      <c r="F118" s="8">
        <v>448</v>
      </c>
      <c r="G118" s="8" t="s">
        <v>1326</v>
      </c>
    </row>
    <row r="119" spans="1:19" s="2" customFormat="1" ht="16.5" customHeight="1" thickBot="1">
      <c r="A119" s="12" t="s">
        <v>1419</v>
      </c>
      <c r="B119" s="42" t="s">
        <v>1304</v>
      </c>
      <c r="C119" s="8">
        <v>424</v>
      </c>
      <c r="D119" s="8">
        <v>424</v>
      </c>
      <c r="E119" s="8">
        <v>443</v>
      </c>
      <c r="F119" s="8" t="s">
        <v>1326</v>
      </c>
    </row>
    <row r="120" spans="1:19" s="2" customFormat="1" ht="16.5" customHeight="1" thickBot="1">
      <c r="A120" s="12" t="s">
        <v>1407</v>
      </c>
      <c r="B120" s="38" t="s">
        <v>1408</v>
      </c>
      <c r="C120" s="8">
        <v>391</v>
      </c>
      <c r="D120" s="43">
        <v>391</v>
      </c>
      <c r="E120" s="43" t="s">
        <v>1326</v>
      </c>
    </row>
    <row r="121" spans="1:19" s="2" customFormat="1" ht="16.5" customHeight="1" thickBot="1">
      <c r="A121" s="12" t="s">
        <v>1324</v>
      </c>
      <c r="B121" s="38" t="s">
        <v>1270</v>
      </c>
      <c r="C121" s="8">
        <v>123</v>
      </c>
      <c r="D121" s="34" t="s">
        <v>1326</v>
      </c>
      <c r="G121" s="17"/>
      <c r="M121" s="21"/>
    </row>
    <row r="122" spans="1:19" s="2" customFormat="1" ht="12" customHeight="1">
      <c r="A122" s="1"/>
    </row>
    <row r="123" spans="1:19" s="2" customFormat="1" ht="16.5" customHeight="1">
      <c r="A123" s="1" t="s">
        <v>1420</v>
      </c>
    </row>
    <row r="124" spans="1:19" s="2" customFormat="1" ht="9.75" customHeight="1" thickBot="1">
      <c r="A124" s="3"/>
    </row>
    <row r="125" spans="1:19" s="2" customFormat="1" ht="16.5" customHeight="1" thickBot="1">
      <c r="A125" s="4" t="s">
        <v>1244</v>
      </c>
      <c r="B125" s="5" t="s">
        <v>1245</v>
      </c>
      <c r="C125" s="5" t="s">
        <v>1246</v>
      </c>
      <c r="D125" s="5">
        <v>2</v>
      </c>
      <c r="E125" s="5">
        <v>3</v>
      </c>
      <c r="F125" s="5">
        <v>4</v>
      </c>
      <c r="G125" s="5">
        <v>5</v>
      </c>
      <c r="H125" s="5">
        <v>6</v>
      </c>
      <c r="I125" s="5">
        <v>7</v>
      </c>
      <c r="J125" s="5">
        <v>8</v>
      </c>
      <c r="K125" s="5">
        <v>9</v>
      </c>
      <c r="L125" s="5">
        <v>10</v>
      </c>
      <c r="M125" s="5">
        <v>11</v>
      </c>
      <c r="N125" s="5">
        <v>12</v>
      </c>
      <c r="O125" s="5"/>
      <c r="P125" s="10" t="s">
        <v>1413</v>
      </c>
      <c r="Q125" s="11">
        <f>SUM(43235/70716)</f>
        <v>0.61138921884721986</v>
      </c>
    </row>
    <row r="126" spans="1:19" s="2" customFormat="1" ht="16.5" customHeight="1" thickBot="1">
      <c r="A126" s="6" t="s">
        <v>1421</v>
      </c>
      <c r="B126" s="25" t="s">
        <v>1247</v>
      </c>
      <c r="C126" s="36">
        <v>7733</v>
      </c>
      <c r="D126" s="8"/>
      <c r="E126" s="8"/>
      <c r="F126" s="8"/>
      <c r="G126" s="8"/>
      <c r="H126" s="8"/>
      <c r="I126" s="36"/>
      <c r="J126" s="8"/>
      <c r="K126" s="8"/>
      <c r="L126" s="8"/>
      <c r="M126" s="8"/>
      <c r="N126" s="8"/>
      <c r="O126" s="33" t="s">
        <v>1271</v>
      </c>
      <c r="P126" s="14"/>
      <c r="Q126" s="10" t="s">
        <v>1248</v>
      </c>
      <c r="R126" s="10" t="s">
        <v>1249</v>
      </c>
      <c r="S126" s="10" t="s">
        <v>1250</v>
      </c>
    </row>
    <row r="127" spans="1:19" s="2" customFormat="1" ht="16.5" customHeight="1" thickBot="1">
      <c r="A127" s="6" t="s">
        <v>1422</v>
      </c>
      <c r="B127" s="28" t="s">
        <v>1258</v>
      </c>
      <c r="C127" s="36">
        <v>6828</v>
      </c>
      <c r="D127" s="8"/>
      <c r="E127" s="8"/>
      <c r="F127" s="8"/>
      <c r="G127" s="8"/>
      <c r="H127" s="8"/>
      <c r="I127" s="8"/>
      <c r="J127" s="36"/>
      <c r="K127" s="8"/>
      <c r="L127" s="8"/>
      <c r="M127" s="8"/>
      <c r="N127" s="8"/>
      <c r="O127" s="33" t="s">
        <v>1362</v>
      </c>
      <c r="P127" s="19" t="s">
        <v>1247</v>
      </c>
      <c r="Q127" s="16">
        <f>SUM(C126+C131)</f>
        <v>10851</v>
      </c>
      <c r="R127" s="17">
        <f>SUM(Q127/Q133)</f>
        <v>0.25304323492374425</v>
      </c>
      <c r="S127" s="14">
        <v>2</v>
      </c>
    </row>
    <row r="128" spans="1:19" s="2" customFormat="1" ht="16.5" customHeight="1" thickBot="1">
      <c r="A128" s="6" t="s">
        <v>1424</v>
      </c>
      <c r="B128" s="9" t="s">
        <v>1257</v>
      </c>
      <c r="C128" s="8">
        <v>5135</v>
      </c>
      <c r="D128" s="8">
        <v>5137</v>
      </c>
      <c r="E128" s="8">
        <v>5161</v>
      </c>
      <c r="F128" s="8">
        <v>5221</v>
      </c>
      <c r="G128" s="8">
        <v>5230</v>
      </c>
      <c r="H128" s="8">
        <v>5342</v>
      </c>
      <c r="I128" s="8">
        <v>5751</v>
      </c>
      <c r="J128" s="8">
        <v>6030</v>
      </c>
      <c r="K128" s="36">
        <v>7265</v>
      </c>
      <c r="L128" s="8"/>
      <c r="M128" s="8"/>
      <c r="N128" s="8"/>
      <c r="O128" s="33" t="s">
        <v>1280</v>
      </c>
      <c r="P128" s="18" t="s">
        <v>1257</v>
      </c>
      <c r="Q128" s="16">
        <f>SUM(C128+C133+C134)</f>
        <v>9117</v>
      </c>
      <c r="R128" s="17">
        <f>SUM(Q128/Q133)</f>
        <v>0.2126066881208899</v>
      </c>
      <c r="S128" s="14">
        <v>1</v>
      </c>
    </row>
    <row r="129" spans="1:19" s="2" customFormat="1" ht="16.5" customHeight="1" thickBot="1">
      <c r="A129" s="6" t="s">
        <v>1425</v>
      </c>
      <c r="B129" s="7" t="s">
        <v>1261</v>
      </c>
      <c r="C129" s="8">
        <v>4689</v>
      </c>
      <c r="D129" s="8">
        <v>4939</v>
      </c>
      <c r="E129" s="8">
        <v>4940</v>
      </c>
      <c r="F129" s="8">
        <v>5007</v>
      </c>
      <c r="G129" s="8">
        <v>5559</v>
      </c>
      <c r="H129" s="8">
        <v>5789</v>
      </c>
      <c r="I129" s="8">
        <v>5804</v>
      </c>
      <c r="J129" s="36">
        <v>6191</v>
      </c>
      <c r="K129" s="8"/>
      <c r="L129" s="36"/>
      <c r="M129" s="8"/>
      <c r="N129" s="8"/>
      <c r="O129" s="33" t="s">
        <v>1252</v>
      </c>
      <c r="P129" s="30" t="s">
        <v>1258</v>
      </c>
      <c r="Q129" s="16">
        <f>SUM(C127+C130+C132)</f>
        <v>13466</v>
      </c>
      <c r="R129" s="17">
        <f>SUM(Q129/Q133)</f>
        <v>0.31402453243785272</v>
      </c>
      <c r="S129" s="2">
        <v>2</v>
      </c>
    </row>
    <row r="130" spans="1:19" s="2" customFormat="1" ht="16.5" customHeight="1" thickBot="1">
      <c r="A130" s="6" t="s">
        <v>1426</v>
      </c>
      <c r="B130" s="28" t="s">
        <v>1258</v>
      </c>
      <c r="C130" s="8">
        <v>3663</v>
      </c>
      <c r="D130" s="8">
        <v>3663</v>
      </c>
      <c r="E130" s="8">
        <v>4137</v>
      </c>
      <c r="F130" s="8">
        <v>4171</v>
      </c>
      <c r="G130" s="8">
        <v>4171</v>
      </c>
      <c r="H130" s="8">
        <v>4184</v>
      </c>
      <c r="I130" s="8">
        <v>4556</v>
      </c>
      <c r="J130" s="8">
        <v>4621</v>
      </c>
      <c r="K130" s="8">
        <v>4692</v>
      </c>
      <c r="L130" s="8">
        <v>4732</v>
      </c>
      <c r="M130" s="36">
        <v>7550</v>
      </c>
      <c r="N130" s="8"/>
      <c r="O130" s="33" t="s">
        <v>1251</v>
      </c>
      <c r="P130" s="15" t="s">
        <v>1261</v>
      </c>
      <c r="Q130" s="21">
        <f>SUM(C129+C138)</f>
        <v>5450</v>
      </c>
      <c r="R130" s="17">
        <f>SUM(Q130/Q133)</f>
        <v>0.12709295275406932</v>
      </c>
      <c r="S130" s="2">
        <v>1</v>
      </c>
    </row>
    <row r="131" spans="1:19" s="2" customFormat="1" ht="16.5" customHeight="1" thickBot="1">
      <c r="A131" s="12" t="s">
        <v>1427</v>
      </c>
      <c r="B131" s="13" t="s">
        <v>1247</v>
      </c>
      <c r="C131" s="8">
        <v>3118</v>
      </c>
      <c r="D131" s="8">
        <v>4313</v>
      </c>
      <c r="E131" s="8">
        <v>4313</v>
      </c>
      <c r="F131" s="8">
        <v>4452</v>
      </c>
      <c r="G131" s="8">
        <v>4527</v>
      </c>
      <c r="H131" s="8">
        <v>4556</v>
      </c>
      <c r="I131" s="8">
        <v>4559</v>
      </c>
      <c r="J131" s="8">
        <v>4709</v>
      </c>
      <c r="K131" s="8">
        <v>4717</v>
      </c>
      <c r="L131" s="8">
        <v>4718</v>
      </c>
      <c r="M131" s="8">
        <v>4724</v>
      </c>
      <c r="N131" s="8">
        <v>4732</v>
      </c>
      <c r="O131" s="33"/>
      <c r="P131" s="31" t="s">
        <v>1269</v>
      </c>
      <c r="Q131" s="21">
        <v>798</v>
      </c>
      <c r="R131" s="17">
        <f>SUM(Q131/Q133)</f>
        <v>1.8609206660137122E-2</v>
      </c>
    </row>
    <row r="132" spans="1:19" s="2" customFormat="1" ht="16.5" customHeight="1" thickBot="1">
      <c r="A132" s="12" t="s">
        <v>1428</v>
      </c>
      <c r="B132" s="27" t="s">
        <v>1258</v>
      </c>
      <c r="C132" s="8">
        <v>2975</v>
      </c>
      <c r="D132" s="8">
        <v>2975</v>
      </c>
      <c r="E132" s="8">
        <v>3086</v>
      </c>
      <c r="F132" s="8">
        <v>3105</v>
      </c>
      <c r="G132" s="8">
        <v>3113</v>
      </c>
      <c r="H132" s="8">
        <v>3127</v>
      </c>
      <c r="I132" s="8">
        <v>3301</v>
      </c>
      <c r="J132" s="8">
        <v>3375</v>
      </c>
      <c r="K132" s="8">
        <v>3438</v>
      </c>
      <c r="L132" s="8">
        <v>3469</v>
      </c>
      <c r="M132" s="8" t="s">
        <v>1326</v>
      </c>
      <c r="P132" s="26" t="s">
        <v>1254</v>
      </c>
      <c r="Q132" s="21">
        <f>SUM(C135+C136+C139+C140+C141)</f>
        <v>3200</v>
      </c>
      <c r="R132" s="11">
        <f>SUM(Q132/Q133)</f>
        <v>7.4623385103306752E-2</v>
      </c>
    </row>
    <row r="133" spans="1:19" s="2" customFormat="1" ht="16.5" customHeight="1" thickBot="1">
      <c r="A133" s="6" t="s">
        <v>1429</v>
      </c>
      <c r="B133" s="9" t="s">
        <v>1257</v>
      </c>
      <c r="C133" s="8">
        <v>2167</v>
      </c>
      <c r="D133" s="8">
        <v>2168</v>
      </c>
      <c r="E133" s="8">
        <v>2194</v>
      </c>
      <c r="F133" s="8">
        <v>2218</v>
      </c>
      <c r="G133" s="8">
        <v>2224</v>
      </c>
      <c r="H133" s="8">
        <v>2302</v>
      </c>
      <c r="I133" s="8">
        <v>2384</v>
      </c>
      <c r="J133" s="8">
        <v>2500</v>
      </c>
      <c r="K133" s="8">
        <v>3143</v>
      </c>
      <c r="L133" s="8">
        <v>4207</v>
      </c>
      <c r="M133" s="8">
        <v>4584</v>
      </c>
      <c r="N133" s="36">
        <v>5998</v>
      </c>
      <c r="O133" s="33" t="s">
        <v>1253</v>
      </c>
      <c r="Q133" s="23">
        <f>SUM(C126:C141)</f>
        <v>42882</v>
      </c>
    </row>
    <row r="134" spans="1:19" s="2" customFormat="1" ht="16.5" customHeight="1" thickBot="1">
      <c r="A134" s="12" t="s">
        <v>1430</v>
      </c>
      <c r="B134" s="22" t="s">
        <v>1257</v>
      </c>
      <c r="C134" s="8">
        <v>1815</v>
      </c>
      <c r="D134" s="8">
        <v>1816</v>
      </c>
      <c r="E134" s="8">
        <v>1837</v>
      </c>
      <c r="F134" s="8">
        <v>1859</v>
      </c>
      <c r="G134" s="8">
        <v>1864</v>
      </c>
      <c r="H134" s="8">
        <v>1917</v>
      </c>
      <c r="I134" s="8">
        <v>2015</v>
      </c>
      <c r="J134" s="8">
        <v>2143</v>
      </c>
      <c r="K134" s="8" t="s">
        <v>1326</v>
      </c>
    </row>
    <row r="135" spans="1:19" s="2" customFormat="1" ht="16.5" customHeight="1" thickBot="1">
      <c r="A135" s="12" t="s">
        <v>1431</v>
      </c>
      <c r="B135" s="38" t="s">
        <v>1423</v>
      </c>
      <c r="C135" s="8">
        <v>1332</v>
      </c>
      <c r="D135" s="8">
        <v>1332</v>
      </c>
      <c r="E135" s="8">
        <v>1347</v>
      </c>
      <c r="F135" s="8">
        <v>1395</v>
      </c>
      <c r="G135" s="8">
        <v>1396</v>
      </c>
      <c r="H135" s="8">
        <v>1409</v>
      </c>
      <c r="I135" s="8" t="s">
        <v>1326</v>
      </c>
      <c r="O135" s="17"/>
    </row>
    <row r="136" spans="1:19" s="2" customFormat="1" ht="16.5" customHeight="1" thickBot="1">
      <c r="A136" s="12" t="s">
        <v>1432</v>
      </c>
      <c r="B136" s="39" t="s">
        <v>1320</v>
      </c>
      <c r="C136" s="8">
        <v>1156</v>
      </c>
      <c r="D136" s="43">
        <v>1176</v>
      </c>
      <c r="E136" s="43">
        <v>1179</v>
      </c>
      <c r="F136" s="43">
        <v>1289</v>
      </c>
      <c r="G136" s="8">
        <v>1322</v>
      </c>
      <c r="H136" s="8">
        <v>1682</v>
      </c>
      <c r="I136" s="8">
        <v>1758</v>
      </c>
      <c r="J136" s="8" t="s">
        <v>1326</v>
      </c>
      <c r="O136" s="17"/>
    </row>
    <row r="137" spans="1:19" s="2" customFormat="1" ht="16.5" customHeight="1" thickBot="1">
      <c r="A137" s="12" t="s">
        <v>1433</v>
      </c>
      <c r="B137" s="32" t="s">
        <v>1269</v>
      </c>
      <c r="C137" s="8">
        <v>798</v>
      </c>
      <c r="D137" s="8">
        <v>802</v>
      </c>
      <c r="E137" s="8">
        <v>804</v>
      </c>
      <c r="F137" s="8">
        <v>841</v>
      </c>
      <c r="G137" s="8">
        <v>947</v>
      </c>
      <c r="H137" s="8" t="s">
        <v>1326</v>
      </c>
      <c r="O137" s="17"/>
    </row>
    <row r="138" spans="1:19" s="2" customFormat="1" ht="16.5" customHeight="1" thickBot="1">
      <c r="A138" s="12" t="s">
        <v>1434</v>
      </c>
      <c r="B138" s="20" t="s">
        <v>1261</v>
      </c>
      <c r="C138" s="8">
        <v>761</v>
      </c>
      <c r="D138" s="8">
        <v>787</v>
      </c>
      <c r="E138" s="8">
        <v>788</v>
      </c>
      <c r="F138" s="8">
        <v>805</v>
      </c>
      <c r="G138" s="8" t="s">
        <v>1326</v>
      </c>
    </row>
    <row r="139" spans="1:19" s="2" customFormat="1" ht="16.5" customHeight="1" thickBot="1">
      <c r="A139" s="12" t="s">
        <v>1435</v>
      </c>
      <c r="B139" s="41" t="s">
        <v>1338</v>
      </c>
      <c r="C139" s="8">
        <v>386</v>
      </c>
      <c r="D139" s="8">
        <v>419</v>
      </c>
      <c r="E139" s="8">
        <v>419</v>
      </c>
      <c r="F139" s="43" t="s">
        <v>1326</v>
      </c>
    </row>
    <row r="140" spans="1:19" s="2" customFormat="1" ht="16.5" customHeight="1" thickBot="1">
      <c r="A140" s="12" t="s">
        <v>1436</v>
      </c>
      <c r="B140" s="38" t="s">
        <v>1408</v>
      </c>
      <c r="C140" s="8">
        <v>248</v>
      </c>
      <c r="D140" s="8">
        <v>248</v>
      </c>
      <c r="E140" s="8">
        <v>249</v>
      </c>
      <c r="F140" s="8" t="s">
        <v>1326</v>
      </c>
    </row>
    <row r="141" spans="1:19" s="2" customFormat="1" ht="16.5" customHeight="1" thickBot="1">
      <c r="A141" s="12" t="s">
        <v>1437</v>
      </c>
      <c r="B141" s="38" t="s">
        <v>1423</v>
      </c>
      <c r="C141" s="8">
        <v>78</v>
      </c>
      <c r="D141" s="8">
        <v>80</v>
      </c>
      <c r="E141" s="8">
        <v>82</v>
      </c>
      <c r="F141" s="8" t="s">
        <v>1326</v>
      </c>
      <c r="G141" s="17"/>
      <c r="M141" s="21"/>
    </row>
    <row r="142" spans="1:19" s="2" customFormat="1" ht="12" customHeight="1">
      <c r="A142" s="1"/>
    </row>
    <row r="143" spans="1:19" s="2" customFormat="1" ht="16.5" customHeight="1">
      <c r="A143" s="1" t="s">
        <v>1438</v>
      </c>
    </row>
    <row r="144" spans="1:19" s="2" customFormat="1" ht="9.75" customHeight="1" thickBot="1">
      <c r="A144" s="3"/>
    </row>
    <row r="145" spans="1:16" s="2" customFormat="1" ht="16.5" customHeight="1" thickBot="1">
      <c r="A145" s="4" t="s">
        <v>1244</v>
      </c>
      <c r="B145" s="5" t="s">
        <v>1245</v>
      </c>
      <c r="C145" s="5" t="s">
        <v>1246</v>
      </c>
      <c r="D145" s="5">
        <v>2</v>
      </c>
      <c r="E145" s="5">
        <v>3</v>
      </c>
      <c r="F145" s="5">
        <v>4</v>
      </c>
      <c r="G145" s="5">
        <v>5</v>
      </c>
      <c r="H145" s="5">
        <v>6</v>
      </c>
      <c r="I145" s="5">
        <v>7</v>
      </c>
      <c r="J145" s="5">
        <v>8</v>
      </c>
      <c r="K145" s="5">
        <v>9</v>
      </c>
      <c r="L145" s="5"/>
      <c r="M145" s="10" t="s">
        <v>1413</v>
      </c>
      <c r="N145" s="11">
        <f>SUM(42058/70101)</f>
        <v>0.59996291065747998</v>
      </c>
    </row>
    <row r="146" spans="1:16" s="2" customFormat="1" ht="16.5" customHeight="1" thickBot="1">
      <c r="A146" s="6" t="s">
        <v>1440</v>
      </c>
      <c r="B146" s="28" t="s">
        <v>1258</v>
      </c>
      <c r="C146" s="36">
        <v>9793</v>
      </c>
      <c r="D146" s="8"/>
      <c r="E146" s="8"/>
      <c r="F146" s="8"/>
      <c r="G146" s="8"/>
      <c r="H146" s="8"/>
      <c r="I146" s="36"/>
      <c r="J146" s="8"/>
      <c r="K146" s="8"/>
      <c r="L146" s="33" t="s">
        <v>1271</v>
      </c>
      <c r="M146" s="14"/>
      <c r="N146" s="10" t="s">
        <v>1248</v>
      </c>
      <c r="O146" s="10" t="s">
        <v>1249</v>
      </c>
      <c r="P146" s="10" t="s">
        <v>1250</v>
      </c>
    </row>
    <row r="147" spans="1:16" s="2" customFormat="1" ht="16.5" customHeight="1" thickBot="1">
      <c r="A147" s="6" t="s">
        <v>1439</v>
      </c>
      <c r="B147" s="25" t="s">
        <v>1247</v>
      </c>
      <c r="C147" s="8">
        <v>5098</v>
      </c>
      <c r="D147" s="8">
        <v>5102</v>
      </c>
      <c r="E147" s="8">
        <v>5114</v>
      </c>
      <c r="F147" s="8">
        <v>5116</v>
      </c>
      <c r="G147" s="8">
        <v>5174</v>
      </c>
      <c r="H147" s="36">
        <v>6387</v>
      </c>
      <c r="I147" s="8"/>
      <c r="J147" s="36"/>
      <c r="K147" s="8"/>
      <c r="L147" s="33" t="s">
        <v>1362</v>
      </c>
      <c r="M147" s="19" t="s">
        <v>1247</v>
      </c>
      <c r="N147" s="16">
        <v>5098</v>
      </c>
      <c r="O147" s="17">
        <f>SUM(N147/N153)</f>
        <v>0.12189756587442016</v>
      </c>
      <c r="P147" s="14">
        <v>1</v>
      </c>
    </row>
    <row r="148" spans="1:16" s="2" customFormat="1" ht="16.5" customHeight="1" thickBot="1">
      <c r="A148" s="6" t="s">
        <v>1441</v>
      </c>
      <c r="B148" s="9" t="s">
        <v>1257</v>
      </c>
      <c r="C148" s="8">
        <v>4031</v>
      </c>
      <c r="D148" s="8">
        <v>4229</v>
      </c>
      <c r="E148" s="8">
        <v>4291</v>
      </c>
      <c r="F148" s="8">
        <v>4441</v>
      </c>
      <c r="G148" s="8">
        <v>4847</v>
      </c>
      <c r="H148" s="8">
        <v>4937</v>
      </c>
      <c r="I148" s="36">
        <v>6712</v>
      </c>
      <c r="J148" s="8"/>
      <c r="K148" s="36"/>
      <c r="L148" s="33" t="s">
        <v>1252</v>
      </c>
      <c r="M148" s="18" t="s">
        <v>1257</v>
      </c>
      <c r="N148" s="16">
        <f>SUM(C148+C154+C155)</f>
        <v>7777</v>
      </c>
      <c r="O148" s="17">
        <f>SUM(N148/N153)</f>
        <v>0.18595476065228828</v>
      </c>
      <c r="P148" s="14">
        <v>1</v>
      </c>
    </row>
    <row r="149" spans="1:16" s="2" customFormat="1" ht="16.5" customHeight="1" thickBot="1">
      <c r="A149" s="6" t="s">
        <v>1442</v>
      </c>
      <c r="B149" s="45" t="s">
        <v>1269</v>
      </c>
      <c r="C149" s="8">
        <v>3765</v>
      </c>
      <c r="D149" s="8">
        <v>3832</v>
      </c>
      <c r="E149" s="8">
        <v>3961</v>
      </c>
      <c r="F149" s="8">
        <v>4028</v>
      </c>
      <c r="G149" s="8">
        <v>4582</v>
      </c>
      <c r="H149" s="8">
        <v>5959</v>
      </c>
      <c r="I149" s="36">
        <v>6264</v>
      </c>
      <c r="J149" s="36"/>
      <c r="K149" s="8"/>
      <c r="L149" s="33" t="s">
        <v>1280</v>
      </c>
      <c r="M149" s="30" t="s">
        <v>1258</v>
      </c>
      <c r="N149" s="16">
        <f>SUM(C146+C150+C151+C152)</f>
        <v>20098</v>
      </c>
      <c r="O149" s="17">
        <f>SUM(N149/N153)</f>
        <v>0.48056047056573098</v>
      </c>
      <c r="P149" s="2">
        <v>3</v>
      </c>
    </row>
    <row r="150" spans="1:16" s="2" customFormat="1" ht="16.5" customHeight="1" thickBot="1">
      <c r="A150" s="6" t="s">
        <v>1444</v>
      </c>
      <c r="B150" s="28" t="s">
        <v>1258</v>
      </c>
      <c r="C150" s="8">
        <v>3471</v>
      </c>
      <c r="D150" s="8">
        <v>4895</v>
      </c>
      <c r="E150" s="8">
        <v>4922</v>
      </c>
      <c r="F150" s="8">
        <v>5082</v>
      </c>
      <c r="G150" s="8">
        <v>5182</v>
      </c>
      <c r="H150" s="8">
        <v>5200</v>
      </c>
      <c r="I150" s="8">
        <v>5784</v>
      </c>
      <c r="J150" s="36">
        <v>6147</v>
      </c>
      <c r="K150" s="8"/>
      <c r="L150" s="33" t="s">
        <v>1251</v>
      </c>
      <c r="M150" s="15" t="s">
        <v>1261</v>
      </c>
      <c r="N150" s="21">
        <v>2839</v>
      </c>
      <c r="O150" s="17">
        <f>SUM(N150/N153)</f>
        <v>6.7882932427908757E-2</v>
      </c>
    </row>
    <row r="151" spans="1:16" s="2" customFormat="1" ht="16.5" customHeight="1" thickBot="1">
      <c r="A151" s="6" t="s">
        <v>1443</v>
      </c>
      <c r="B151" s="28" t="s">
        <v>1258</v>
      </c>
      <c r="C151" s="8">
        <v>3457</v>
      </c>
      <c r="D151" s="8">
        <v>4460</v>
      </c>
      <c r="E151" s="8">
        <v>4492</v>
      </c>
      <c r="F151" s="8">
        <v>4667</v>
      </c>
      <c r="G151" s="8">
        <v>4768</v>
      </c>
      <c r="H151" s="8">
        <v>4786</v>
      </c>
      <c r="I151" s="8">
        <v>5068</v>
      </c>
      <c r="J151" s="8">
        <v>5323</v>
      </c>
      <c r="K151" s="36">
        <v>5386</v>
      </c>
      <c r="L151" s="33" t="s">
        <v>1253</v>
      </c>
      <c r="M151" s="31" t="s">
        <v>1269</v>
      </c>
      <c r="N151" s="21">
        <v>3765</v>
      </c>
      <c r="O151" s="17">
        <f>SUM(N151/N153)</f>
        <v>9.0024389077519015E-2</v>
      </c>
      <c r="P151" s="2">
        <v>1</v>
      </c>
    </row>
    <row r="152" spans="1:16" s="2" customFormat="1" ht="16.5" customHeight="1" thickBot="1">
      <c r="A152" s="12" t="s">
        <v>1445</v>
      </c>
      <c r="B152" s="27" t="s">
        <v>1258</v>
      </c>
      <c r="C152" s="8">
        <v>3377</v>
      </c>
      <c r="D152" s="8">
        <v>4079</v>
      </c>
      <c r="E152" s="8">
        <v>4108</v>
      </c>
      <c r="F152" s="8">
        <v>4232</v>
      </c>
      <c r="G152" s="8">
        <v>4310</v>
      </c>
      <c r="H152" s="8">
        <v>4327</v>
      </c>
      <c r="I152" s="8">
        <v>4566</v>
      </c>
      <c r="J152" s="8">
        <v>4681</v>
      </c>
      <c r="K152" s="8">
        <v>4729</v>
      </c>
      <c r="L152" s="33"/>
      <c r="M152" s="26" t="s">
        <v>1254</v>
      </c>
      <c r="N152" s="21">
        <f>SUM(C158+C156+C157+C159)</f>
        <v>2245</v>
      </c>
      <c r="O152" s="11">
        <f>SUM(N152/N153)</f>
        <v>5.3679881402132847E-2</v>
      </c>
    </row>
    <row r="153" spans="1:16" s="2" customFormat="1" ht="16.5" customHeight="1" thickBot="1">
      <c r="A153" s="12" t="s">
        <v>1446</v>
      </c>
      <c r="B153" s="20" t="s">
        <v>1261</v>
      </c>
      <c r="C153" s="8">
        <v>2839</v>
      </c>
      <c r="D153" s="8">
        <v>2855</v>
      </c>
      <c r="E153" s="8">
        <v>2886</v>
      </c>
      <c r="F153" s="8">
        <v>2898</v>
      </c>
      <c r="G153" s="8">
        <v>3062</v>
      </c>
      <c r="H153" s="8" t="s">
        <v>1326</v>
      </c>
      <c r="N153" s="23">
        <f>SUM(C146:C159)</f>
        <v>41822</v>
      </c>
    </row>
    <row r="154" spans="1:16" s="2" customFormat="1" ht="16.5" customHeight="1" thickBot="1">
      <c r="A154" s="12" t="s">
        <v>1447</v>
      </c>
      <c r="B154" s="22" t="s">
        <v>1257</v>
      </c>
      <c r="C154" s="8">
        <v>2599</v>
      </c>
      <c r="D154" s="8">
        <v>2750</v>
      </c>
      <c r="E154" s="8">
        <v>2787</v>
      </c>
      <c r="F154" s="8">
        <v>2880</v>
      </c>
      <c r="G154" s="8">
        <v>3654</v>
      </c>
      <c r="H154" s="8">
        <v>3739</v>
      </c>
      <c r="I154" s="8" t="s">
        <v>1326</v>
      </c>
    </row>
    <row r="155" spans="1:16" s="2" customFormat="1" ht="16.5" customHeight="1" thickBot="1">
      <c r="A155" s="12" t="s">
        <v>1448</v>
      </c>
      <c r="B155" s="22" t="s">
        <v>1257</v>
      </c>
      <c r="C155" s="8">
        <v>1147</v>
      </c>
      <c r="D155" s="8">
        <v>1250</v>
      </c>
      <c r="E155" s="8">
        <v>1276</v>
      </c>
      <c r="F155" s="8">
        <v>1336</v>
      </c>
      <c r="G155" s="8" t="s">
        <v>1326</v>
      </c>
      <c r="L155" s="17"/>
    </row>
    <row r="156" spans="1:16" s="2" customFormat="1" ht="16.5" customHeight="1" thickBot="1">
      <c r="A156" s="12" t="s">
        <v>1449</v>
      </c>
      <c r="B156" s="39" t="s">
        <v>1320</v>
      </c>
      <c r="C156" s="8">
        <v>922</v>
      </c>
      <c r="D156" s="43">
        <v>939</v>
      </c>
      <c r="E156" s="43">
        <v>989</v>
      </c>
      <c r="F156" s="8">
        <v>1023</v>
      </c>
      <c r="G156" s="8" t="s">
        <v>1326</v>
      </c>
      <c r="L156" s="17"/>
    </row>
    <row r="157" spans="1:16" s="2" customFormat="1" ht="16.5" customHeight="1" thickBot="1">
      <c r="A157" s="12" t="s">
        <v>1339</v>
      </c>
      <c r="B157" s="42" t="s">
        <v>1304</v>
      </c>
      <c r="C157" s="8">
        <v>853</v>
      </c>
      <c r="D157" s="8">
        <v>949</v>
      </c>
      <c r="E157" s="8">
        <v>988</v>
      </c>
      <c r="F157" s="8" t="s">
        <v>1326</v>
      </c>
      <c r="L157" s="17"/>
    </row>
    <row r="158" spans="1:16" s="2" customFormat="1" ht="16.5" customHeight="1" thickBot="1">
      <c r="A158" s="12" t="s">
        <v>1450</v>
      </c>
      <c r="B158" s="38" t="s">
        <v>1408</v>
      </c>
      <c r="C158" s="8">
        <v>387</v>
      </c>
      <c r="D158" s="8">
        <v>419</v>
      </c>
      <c r="E158" s="8" t="s">
        <v>1326</v>
      </c>
    </row>
    <row r="159" spans="1:16" s="2" customFormat="1" ht="16.5" customHeight="1" thickBot="1">
      <c r="A159" s="12" t="s">
        <v>1451</v>
      </c>
      <c r="B159" s="37" t="s">
        <v>1286</v>
      </c>
      <c r="C159" s="8">
        <v>83</v>
      </c>
      <c r="D159" s="8">
        <v>85</v>
      </c>
      <c r="E159" s="43" t="s">
        <v>1326</v>
      </c>
    </row>
    <row r="160" spans="1:16" s="2" customFormat="1" ht="12" customHeight="1">
      <c r="A160" s="1"/>
    </row>
    <row r="161" spans="1:15" s="2" customFormat="1" ht="16.5" customHeight="1">
      <c r="A161" s="1" t="s">
        <v>1522</v>
      </c>
    </row>
    <row r="162" spans="1:15" s="2" customFormat="1" ht="9.75" customHeight="1" thickBot="1">
      <c r="A162" s="3"/>
    </row>
    <row r="163" spans="1:15" s="2" customFormat="1" ht="16.5" customHeight="1" thickBot="1">
      <c r="A163" s="4" t="s">
        <v>1244</v>
      </c>
      <c r="B163" s="5" t="s">
        <v>1245</v>
      </c>
      <c r="C163" s="5" t="s">
        <v>1246</v>
      </c>
      <c r="D163" s="5">
        <v>2</v>
      </c>
      <c r="E163" s="5">
        <v>3</v>
      </c>
      <c r="F163" s="5">
        <v>4</v>
      </c>
      <c r="G163" s="5">
        <v>5</v>
      </c>
      <c r="H163" s="5">
        <v>6</v>
      </c>
      <c r="I163" s="5">
        <v>7</v>
      </c>
      <c r="J163" s="5">
        <v>8</v>
      </c>
      <c r="K163" s="5"/>
      <c r="L163" s="10" t="s">
        <v>1413</v>
      </c>
      <c r="M163" s="11">
        <f>(38481/63654)</f>
        <v>0.60453388632293337</v>
      </c>
    </row>
    <row r="164" spans="1:15" s="2" customFormat="1" ht="16.5" customHeight="1" thickBot="1">
      <c r="A164" s="6" t="s">
        <v>1452</v>
      </c>
      <c r="B164" s="25" t="s">
        <v>1247</v>
      </c>
      <c r="C164" s="36">
        <v>6313</v>
      </c>
      <c r="D164" s="8"/>
      <c r="E164" s="8"/>
      <c r="F164" s="8"/>
      <c r="G164" s="8"/>
      <c r="H164" s="8"/>
      <c r="I164" s="36"/>
      <c r="J164" s="8"/>
      <c r="K164" s="33" t="s">
        <v>1271</v>
      </c>
      <c r="L164" s="14"/>
      <c r="M164" s="10" t="s">
        <v>1248</v>
      </c>
      <c r="N164" s="10" t="s">
        <v>1249</v>
      </c>
      <c r="O164" s="10" t="s">
        <v>1250</v>
      </c>
    </row>
    <row r="165" spans="1:15" s="2" customFormat="1" ht="16.5" customHeight="1" thickBot="1">
      <c r="A165" s="6" t="s">
        <v>1453</v>
      </c>
      <c r="B165" s="28" t="s">
        <v>1258</v>
      </c>
      <c r="C165" s="36">
        <v>6023</v>
      </c>
      <c r="D165" s="8"/>
      <c r="E165" s="8"/>
      <c r="F165" s="8"/>
      <c r="G165" s="8"/>
      <c r="H165" s="36"/>
      <c r="I165" s="8"/>
      <c r="J165" s="36"/>
      <c r="K165" s="33" t="s">
        <v>1362</v>
      </c>
      <c r="L165" s="19" t="s">
        <v>1247</v>
      </c>
      <c r="M165" s="16">
        <v>6313</v>
      </c>
      <c r="N165" s="17">
        <f>SUM(M165/M171)</f>
        <v>0.16537000654878847</v>
      </c>
      <c r="O165" s="14">
        <v>1</v>
      </c>
    </row>
    <row r="166" spans="1:15" s="2" customFormat="1" ht="16.5" customHeight="1" thickBot="1">
      <c r="A166" s="6" t="s">
        <v>1454</v>
      </c>
      <c r="B166" s="45" t="s">
        <v>1269</v>
      </c>
      <c r="C166" s="8">
        <v>5007</v>
      </c>
      <c r="D166" s="8">
        <v>5037</v>
      </c>
      <c r="E166" s="8">
        <v>5048</v>
      </c>
      <c r="F166" s="8">
        <v>5322</v>
      </c>
      <c r="G166" s="36">
        <v>5495</v>
      </c>
      <c r="H166" s="8"/>
      <c r="I166" s="36"/>
      <c r="J166" s="8"/>
      <c r="K166" s="33" t="s">
        <v>1252</v>
      </c>
      <c r="L166" s="18" t="s">
        <v>1257</v>
      </c>
      <c r="M166" s="16">
        <f>SUM(C167+C171+C173)</f>
        <v>7825</v>
      </c>
      <c r="N166" s="17">
        <f>SUM(M166/M171)</f>
        <v>0.20497707924034053</v>
      </c>
      <c r="O166" s="14">
        <v>1</v>
      </c>
    </row>
    <row r="167" spans="1:15" s="2" customFormat="1" ht="16.5" customHeight="1" thickBot="1">
      <c r="A167" s="6" t="s">
        <v>1455</v>
      </c>
      <c r="B167" s="9" t="s">
        <v>1257</v>
      </c>
      <c r="C167" s="8">
        <v>4507</v>
      </c>
      <c r="D167" s="8">
        <v>4508</v>
      </c>
      <c r="E167" s="8">
        <v>4539</v>
      </c>
      <c r="F167" s="8">
        <v>4587</v>
      </c>
      <c r="G167" s="8">
        <v>5109</v>
      </c>
      <c r="H167" s="8">
        <v>5134</v>
      </c>
      <c r="I167" s="36">
        <v>6926</v>
      </c>
      <c r="J167" s="36"/>
      <c r="K167" s="33" t="s">
        <v>1280</v>
      </c>
      <c r="L167" s="30" t="s">
        <v>1258</v>
      </c>
      <c r="M167" s="16">
        <f>SUM(C165+C168+C169)</f>
        <v>13165</v>
      </c>
      <c r="N167" s="17">
        <f>SUM(M167/M171)</f>
        <v>0.34485920104780615</v>
      </c>
      <c r="O167" s="2">
        <v>2</v>
      </c>
    </row>
    <row r="168" spans="1:15" s="2" customFormat="1" ht="16.5" customHeight="1" thickBot="1">
      <c r="A168" s="6" t="s">
        <v>1456</v>
      </c>
      <c r="B168" s="28" t="s">
        <v>1258</v>
      </c>
      <c r="C168" s="8">
        <v>4302</v>
      </c>
      <c r="D168" s="8">
        <v>4303</v>
      </c>
      <c r="E168" s="8">
        <v>4497</v>
      </c>
      <c r="F168" s="8">
        <v>4527</v>
      </c>
      <c r="G168" s="8">
        <v>4762</v>
      </c>
      <c r="H168" s="8">
        <v>4768</v>
      </c>
      <c r="I168" s="8">
        <v>5088</v>
      </c>
      <c r="J168" s="36">
        <v>5544</v>
      </c>
      <c r="K168" s="33" t="s">
        <v>1251</v>
      </c>
      <c r="L168" s="15" t="s">
        <v>1261</v>
      </c>
      <c r="M168" s="21">
        <f>SUM(C170+C172)</f>
        <v>4247</v>
      </c>
      <c r="N168" s="17">
        <f>SUM(M168/M171)</f>
        <v>0.11125081859855927</v>
      </c>
      <c r="O168" s="2">
        <v>1</v>
      </c>
    </row>
    <row r="169" spans="1:15" s="2" customFormat="1" ht="16.5" customHeight="1" thickBot="1">
      <c r="A169" s="12" t="s">
        <v>1457</v>
      </c>
      <c r="B169" s="27" t="s">
        <v>1258</v>
      </c>
      <c r="C169" s="8">
        <v>2840</v>
      </c>
      <c r="D169" s="8">
        <v>2840</v>
      </c>
      <c r="E169" s="8">
        <v>3118</v>
      </c>
      <c r="F169" s="8">
        <v>3143</v>
      </c>
      <c r="G169" s="8">
        <v>3351</v>
      </c>
      <c r="H169" s="8">
        <v>3361</v>
      </c>
      <c r="I169" s="8">
        <v>3806</v>
      </c>
      <c r="J169" s="8">
        <v>4229</v>
      </c>
      <c r="K169" s="33"/>
      <c r="L169" s="31" t="s">
        <v>1269</v>
      </c>
      <c r="M169" s="21">
        <v>5007</v>
      </c>
      <c r="N169" s="17">
        <f>SUM(M169/M171)</f>
        <v>0.13115913555992142</v>
      </c>
      <c r="O169" s="2">
        <v>1</v>
      </c>
    </row>
    <row r="170" spans="1:15" s="2" customFormat="1" ht="16.5" customHeight="1" thickBot="1">
      <c r="A170" s="6" t="s">
        <v>1458</v>
      </c>
      <c r="B170" s="7" t="s">
        <v>1261</v>
      </c>
      <c r="C170" s="8">
        <v>2721</v>
      </c>
      <c r="D170" s="8">
        <v>3081</v>
      </c>
      <c r="E170" s="8">
        <v>3081</v>
      </c>
      <c r="F170" s="8">
        <v>3188</v>
      </c>
      <c r="G170" s="8">
        <v>3207</v>
      </c>
      <c r="H170" s="8">
        <v>4966</v>
      </c>
      <c r="I170" s="8">
        <v>5134</v>
      </c>
      <c r="J170" s="36">
        <v>5396</v>
      </c>
      <c r="K170" s="33" t="s">
        <v>1253</v>
      </c>
      <c r="L170" s="26" t="s">
        <v>1254</v>
      </c>
      <c r="M170" s="21">
        <f>SUM(C174:C177)</f>
        <v>1618</v>
      </c>
      <c r="N170" s="11">
        <f>SUM(M170/M171)</f>
        <v>4.2383759004584153E-2</v>
      </c>
    </row>
    <row r="171" spans="1:15" s="2" customFormat="1" ht="16.5" customHeight="1" thickBot="1">
      <c r="A171" s="12" t="s">
        <v>1459</v>
      </c>
      <c r="B171" s="22" t="s">
        <v>1257</v>
      </c>
      <c r="C171" s="8">
        <v>2391</v>
      </c>
      <c r="D171" s="8">
        <v>2393</v>
      </c>
      <c r="E171" s="8">
        <v>2400</v>
      </c>
      <c r="F171" s="8">
        <v>2451</v>
      </c>
      <c r="G171" s="8">
        <v>3107</v>
      </c>
      <c r="H171" s="8">
        <v>3130</v>
      </c>
      <c r="I171" s="8" t="s">
        <v>1326</v>
      </c>
      <c r="M171" s="23">
        <f>SUM(C164:C177)</f>
        <v>38175</v>
      </c>
    </row>
    <row r="172" spans="1:15" s="2" customFormat="1" ht="16.5" customHeight="1" thickBot="1">
      <c r="A172" s="12" t="s">
        <v>1460</v>
      </c>
      <c r="B172" s="20" t="s">
        <v>1261</v>
      </c>
      <c r="C172" s="8">
        <v>1526</v>
      </c>
      <c r="D172" s="8">
        <v>1898</v>
      </c>
      <c r="E172" s="8">
        <v>1898</v>
      </c>
      <c r="F172" s="8">
        <v>2012</v>
      </c>
      <c r="G172" s="8">
        <v>2026</v>
      </c>
      <c r="H172" s="8" t="s">
        <v>1326</v>
      </c>
    </row>
    <row r="173" spans="1:15" s="2" customFormat="1" ht="16.5" customHeight="1" thickBot="1">
      <c r="A173" s="12" t="s">
        <v>1461</v>
      </c>
      <c r="B173" s="22" t="s">
        <v>1257</v>
      </c>
      <c r="C173" s="8">
        <v>927</v>
      </c>
      <c r="D173" s="8">
        <v>928</v>
      </c>
      <c r="E173" s="8">
        <v>933</v>
      </c>
      <c r="F173" s="8">
        <v>970</v>
      </c>
      <c r="G173" s="8" t="s">
        <v>1326</v>
      </c>
      <c r="L173" s="17"/>
    </row>
    <row r="174" spans="1:15" s="2" customFormat="1" ht="16.5" customHeight="1" thickBot="1">
      <c r="A174" s="12" t="s">
        <v>1339</v>
      </c>
      <c r="B174" s="42" t="s">
        <v>1304</v>
      </c>
      <c r="C174" s="8">
        <v>893</v>
      </c>
      <c r="D174" s="43">
        <v>893</v>
      </c>
      <c r="E174" s="43">
        <v>902</v>
      </c>
      <c r="F174" s="8">
        <v>932</v>
      </c>
      <c r="G174" s="8" t="s">
        <v>1326</v>
      </c>
      <c r="L174" s="17"/>
    </row>
    <row r="175" spans="1:15" s="2" customFormat="1" ht="16.5" customHeight="1" thickBot="1">
      <c r="A175" s="12" t="s">
        <v>1312</v>
      </c>
      <c r="B175" s="39" t="s">
        <v>1320</v>
      </c>
      <c r="C175" s="8">
        <v>507</v>
      </c>
      <c r="D175" s="8">
        <v>560</v>
      </c>
      <c r="E175" s="8">
        <v>561</v>
      </c>
      <c r="F175" s="8" t="s">
        <v>1326</v>
      </c>
      <c r="L175" s="17"/>
    </row>
    <row r="176" spans="1:15" s="2" customFormat="1" ht="16.5" customHeight="1" thickBot="1">
      <c r="A176" s="12" t="s">
        <v>1462</v>
      </c>
      <c r="B176" s="38" t="s">
        <v>1408</v>
      </c>
      <c r="C176" s="8">
        <v>129</v>
      </c>
      <c r="D176" s="8">
        <v>132</v>
      </c>
      <c r="E176" s="8">
        <v>132</v>
      </c>
      <c r="F176" s="8" t="s">
        <v>1326</v>
      </c>
    </row>
    <row r="177" spans="1:17" s="2" customFormat="1" ht="16.5" customHeight="1" thickBot="1">
      <c r="A177" s="12" t="s">
        <v>1463</v>
      </c>
      <c r="B177" s="37" t="s">
        <v>1286</v>
      </c>
      <c r="C177" s="8">
        <v>89</v>
      </c>
      <c r="D177" s="8">
        <v>101</v>
      </c>
      <c r="E177" s="43">
        <v>101</v>
      </c>
      <c r="F177" s="43" t="s">
        <v>1326</v>
      </c>
    </row>
    <row r="178" spans="1:17" s="2" customFormat="1" ht="12" customHeight="1">
      <c r="A178" s="1"/>
    </row>
    <row r="179" spans="1:17" s="2" customFormat="1" ht="16.5" customHeight="1">
      <c r="A179" s="1" t="s">
        <v>1523</v>
      </c>
    </row>
    <row r="180" spans="1:17" s="2" customFormat="1" ht="9.75" customHeight="1" thickBot="1">
      <c r="A180" s="3"/>
    </row>
    <row r="181" spans="1:17" s="2" customFormat="1" ht="16.5" customHeight="1" thickBot="1">
      <c r="A181" s="4" t="s">
        <v>1244</v>
      </c>
      <c r="B181" s="5" t="s">
        <v>1245</v>
      </c>
      <c r="C181" s="5" t="s">
        <v>1246</v>
      </c>
      <c r="D181" s="5">
        <v>2</v>
      </c>
      <c r="E181" s="5">
        <v>3</v>
      </c>
      <c r="F181" s="5">
        <v>4</v>
      </c>
      <c r="G181" s="5">
        <v>5</v>
      </c>
      <c r="H181" s="5">
        <v>6</v>
      </c>
      <c r="I181" s="5">
        <v>7</v>
      </c>
      <c r="J181" s="5">
        <v>8</v>
      </c>
      <c r="K181" s="5">
        <v>9</v>
      </c>
      <c r="L181" s="5">
        <v>10</v>
      </c>
      <c r="M181" s="5"/>
      <c r="N181" s="10" t="s">
        <v>1413</v>
      </c>
      <c r="O181" s="11">
        <f>(44655/72814)</f>
        <v>0.61327491965830749</v>
      </c>
    </row>
    <row r="182" spans="1:17" s="2" customFormat="1" ht="16.5" customHeight="1" thickBot="1">
      <c r="A182" s="6" t="s">
        <v>1464</v>
      </c>
      <c r="B182" s="28" t="s">
        <v>1258</v>
      </c>
      <c r="C182" s="36">
        <v>7716</v>
      </c>
      <c r="D182" s="8"/>
      <c r="E182" s="8"/>
      <c r="F182" s="8"/>
      <c r="G182" s="8"/>
      <c r="H182" s="8"/>
      <c r="I182" s="36"/>
      <c r="J182" s="8"/>
      <c r="K182" s="36"/>
      <c r="L182" s="8"/>
      <c r="M182" s="33" t="s">
        <v>1271</v>
      </c>
      <c r="N182" s="14"/>
      <c r="O182" s="10" t="s">
        <v>1248</v>
      </c>
      <c r="P182" s="10" t="s">
        <v>1249</v>
      </c>
      <c r="Q182" s="10" t="s">
        <v>1250</v>
      </c>
    </row>
    <row r="183" spans="1:17" s="2" customFormat="1" ht="16.5" customHeight="1" thickBot="1">
      <c r="A183" s="6" t="s">
        <v>1465</v>
      </c>
      <c r="B183" s="25" t="s">
        <v>1247</v>
      </c>
      <c r="C183" s="36">
        <v>7065</v>
      </c>
      <c r="D183" s="8"/>
      <c r="E183" s="8"/>
      <c r="F183" s="8"/>
      <c r="G183" s="8"/>
      <c r="H183" s="36"/>
      <c r="I183" s="8"/>
      <c r="J183" s="36"/>
      <c r="K183" s="8"/>
      <c r="L183" s="36"/>
      <c r="M183" s="33" t="s">
        <v>1362</v>
      </c>
      <c r="N183" s="19" t="s">
        <v>1247</v>
      </c>
      <c r="O183" s="16">
        <v>7065</v>
      </c>
      <c r="P183" s="17">
        <f>SUM(O183/O189)</f>
        <v>0.15936929011301346</v>
      </c>
      <c r="Q183" s="14">
        <v>1</v>
      </c>
    </row>
    <row r="184" spans="1:17" s="2" customFormat="1" ht="16.5" customHeight="1" thickBot="1">
      <c r="A184" s="6" t="s">
        <v>1466</v>
      </c>
      <c r="B184" s="28" t="s">
        <v>1258</v>
      </c>
      <c r="C184" s="8">
        <v>6106</v>
      </c>
      <c r="D184" s="36">
        <v>7264</v>
      </c>
      <c r="E184" s="8"/>
      <c r="F184" s="8"/>
      <c r="G184" s="36"/>
      <c r="H184" s="8"/>
      <c r="I184" s="36"/>
      <c r="J184" s="8"/>
      <c r="K184" s="36"/>
      <c r="L184" s="8"/>
      <c r="M184" s="33" t="s">
        <v>1252</v>
      </c>
      <c r="N184" s="18" t="s">
        <v>1257</v>
      </c>
      <c r="O184" s="16">
        <f>SUM(C186+C191)</f>
        <v>6328</v>
      </c>
      <c r="P184" s="17">
        <f>SUM(O184/O189)</f>
        <v>0.14274435496605084</v>
      </c>
      <c r="Q184" s="14">
        <v>1</v>
      </c>
    </row>
    <row r="185" spans="1:17" s="2" customFormat="1" ht="16.5" customHeight="1" thickBot="1">
      <c r="A185" s="6" t="s">
        <v>1467</v>
      </c>
      <c r="B185" s="28" t="s">
        <v>1258</v>
      </c>
      <c r="C185" s="8">
        <v>5171</v>
      </c>
      <c r="D185" s="8">
        <v>5251</v>
      </c>
      <c r="E185" s="8">
        <v>5947</v>
      </c>
      <c r="F185" s="8">
        <v>5947</v>
      </c>
      <c r="G185" s="8">
        <v>6024</v>
      </c>
      <c r="H185" s="8">
        <v>6071</v>
      </c>
      <c r="I185" s="8">
        <v>6187</v>
      </c>
      <c r="J185" s="36">
        <v>6924</v>
      </c>
      <c r="K185" s="36"/>
      <c r="L185" s="36"/>
      <c r="M185" s="33" t="s">
        <v>1251</v>
      </c>
      <c r="N185" s="30" t="s">
        <v>1258</v>
      </c>
      <c r="O185" s="16">
        <f>SUM(C182+C184+C185+C188)</f>
        <v>21733</v>
      </c>
      <c r="P185" s="17">
        <f>SUM(O185/O189)</f>
        <v>0.49024384742054095</v>
      </c>
      <c r="Q185" s="2">
        <v>3</v>
      </c>
    </row>
    <row r="186" spans="1:17" s="2" customFormat="1" ht="16.5" customHeight="1" thickBot="1">
      <c r="A186" s="6" t="s">
        <v>1468</v>
      </c>
      <c r="B186" s="9" t="s">
        <v>1257</v>
      </c>
      <c r="C186" s="8">
        <v>5047</v>
      </c>
      <c r="D186" s="8">
        <v>5066</v>
      </c>
      <c r="E186" s="8">
        <v>5088</v>
      </c>
      <c r="F186" s="8">
        <v>5090</v>
      </c>
      <c r="G186" s="8">
        <v>5134</v>
      </c>
      <c r="H186" s="8">
        <v>5543</v>
      </c>
      <c r="I186" s="36">
        <v>6579</v>
      </c>
      <c r="J186" s="36"/>
      <c r="K186" s="8"/>
      <c r="L186" s="36"/>
      <c r="M186" s="33" t="s">
        <v>1280</v>
      </c>
      <c r="N186" s="15" t="s">
        <v>1261</v>
      </c>
      <c r="O186" s="21">
        <f>SUM(C187+C189)</f>
        <v>5410</v>
      </c>
      <c r="P186" s="17">
        <f>SUM(O186/O189)</f>
        <v>0.12203649816155737</v>
      </c>
      <c r="Q186" s="2">
        <v>1</v>
      </c>
    </row>
    <row r="187" spans="1:17" s="2" customFormat="1" ht="16.5" customHeight="1" thickBot="1">
      <c r="A187" s="6" t="s">
        <v>1469</v>
      </c>
      <c r="B187" s="7" t="s">
        <v>1261</v>
      </c>
      <c r="C187" s="8">
        <v>3281</v>
      </c>
      <c r="D187" s="8">
        <v>3282</v>
      </c>
      <c r="E187" s="8">
        <v>3283</v>
      </c>
      <c r="F187" s="8">
        <v>3583</v>
      </c>
      <c r="G187" s="8">
        <v>3755</v>
      </c>
      <c r="H187" s="8">
        <v>3956</v>
      </c>
      <c r="I187" s="8">
        <v>4001</v>
      </c>
      <c r="J187" s="8">
        <v>4061</v>
      </c>
      <c r="K187" s="8">
        <v>4072</v>
      </c>
      <c r="L187" s="36">
        <v>6498</v>
      </c>
      <c r="M187" s="33" t="s">
        <v>1253</v>
      </c>
      <c r="N187" s="31" t="s">
        <v>1269</v>
      </c>
      <c r="O187" s="21">
        <v>1254</v>
      </c>
      <c r="P187" s="17">
        <f>SUM(O187/O189)</f>
        <v>2.8287203085876702E-2</v>
      </c>
    </row>
    <row r="188" spans="1:17" s="2" customFormat="1" ht="16.5" customHeight="1" thickBot="1">
      <c r="A188" s="12" t="s">
        <v>1470</v>
      </c>
      <c r="B188" s="27" t="s">
        <v>1258</v>
      </c>
      <c r="C188" s="8">
        <v>2740</v>
      </c>
      <c r="D188" s="8">
        <v>2763</v>
      </c>
      <c r="E188" s="8">
        <v>2892</v>
      </c>
      <c r="F188" s="8">
        <v>2894</v>
      </c>
      <c r="G188" s="8">
        <v>2953</v>
      </c>
      <c r="H188" s="8">
        <v>2987</v>
      </c>
      <c r="I188" s="8">
        <v>3043</v>
      </c>
      <c r="J188" s="8">
        <v>3535</v>
      </c>
      <c r="K188" s="8">
        <v>4045</v>
      </c>
      <c r="L188" s="8">
        <v>4092</v>
      </c>
      <c r="M188" s="33"/>
      <c r="N188" s="26" t="s">
        <v>1254</v>
      </c>
      <c r="O188" s="21">
        <f>SUM(C193+C194+C190)</f>
        <v>2541</v>
      </c>
      <c r="P188" s="11">
        <f>SUM(O188/O189)</f>
        <v>5.731880625296068E-2</v>
      </c>
    </row>
    <row r="189" spans="1:17" s="2" customFormat="1" ht="16.5" customHeight="1" thickBot="1">
      <c r="A189" s="12" t="s">
        <v>1471</v>
      </c>
      <c r="B189" s="20" t="s">
        <v>1261</v>
      </c>
      <c r="C189" s="8">
        <v>2129</v>
      </c>
      <c r="D189" s="8">
        <v>2130</v>
      </c>
      <c r="E189" s="8">
        <v>2131</v>
      </c>
      <c r="F189" s="8">
        <v>2411</v>
      </c>
      <c r="G189" s="8">
        <v>2537</v>
      </c>
      <c r="H189" s="8">
        <v>2765</v>
      </c>
      <c r="I189" s="8">
        <v>2803</v>
      </c>
      <c r="J189" s="8">
        <v>2839</v>
      </c>
      <c r="K189" s="8">
        <v>2845</v>
      </c>
      <c r="L189" s="8" t="s">
        <v>1326</v>
      </c>
      <c r="O189" s="23">
        <f>SUM(C182:C194)</f>
        <v>44331</v>
      </c>
    </row>
    <row r="190" spans="1:17" s="2" customFormat="1" ht="16.5" customHeight="1" thickBot="1">
      <c r="A190" s="12" t="s">
        <v>1472</v>
      </c>
      <c r="B190" s="38" t="s">
        <v>1270</v>
      </c>
      <c r="C190" s="8">
        <v>1848</v>
      </c>
      <c r="D190" s="8">
        <v>1859</v>
      </c>
      <c r="E190" s="8">
        <v>1875</v>
      </c>
      <c r="F190" s="8">
        <v>1875</v>
      </c>
      <c r="G190" s="8">
        <v>1971</v>
      </c>
      <c r="H190" s="8">
        <v>2052</v>
      </c>
      <c r="I190" s="8">
        <v>2149</v>
      </c>
      <c r="J190" s="8" t="s">
        <v>1326</v>
      </c>
    </row>
    <row r="191" spans="1:17" s="2" customFormat="1" ht="16.5" customHeight="1" thickBot="1">
      <c r="A191" s="12" t="s">
        <v>1473</v>
      </c>
      <c r="B191" s="22" t="s">
        <v>1257</v>
      </c>
      <c r="C191" s="8">
        <v>1281</v>
      </c>
      <c r="D191" s="8">
        <v>1290</v>
      </c>
      <c r="E191" s="8">
        <v>1298</v>
      </c>
      <c r="F191" s="8">
        <v>1299</v>
      </c>
      <c r="G191" s="8">
        <v>1312</v>
      </c>
      <c r="H191" s="8">
        <v>1466</v>
      </c>
      <c r="I191" s="8" t="s">
        <v>1326</v>
      </c>
      <c r="L191" s="17"/>
    </row>
    <row r="192" spans="1:17" s="2" customFormat="1" ht="16.5" customHeight="1" thickBot="1">
      <c r="A192" s="12" t="s">
        <v>1474</v>
      </c>
      <c r="B192" s="32" t="s">
        <v>1269</v>
      </c>
      <c r="C192" s="8">
        <v>1254</v>
      </c>
      <c r="D192" s="43">
        <v>1255</v>
      </c>
      <c r="E192" s="43">
        <v>1257</v>
      </c>
      <c r="F192" s="8">
        <v>1268</v>
      </c>
      <c r="G192" s="8">
        <v>1298</v>
      </c>
      <c r="H192" s="8" t="s">
        <v>1326</v>
      </c>
      <c r="L192" s="17"/>
    </row>
    <row r="193" spans="1:20" s="2" customFormat="1" ht="16.5" customHeight="1" thickBot="1">
      <c r="A193" s="12" t="s">
        <v>1475</v>
      </c>
      <c r="B193" s="38" t="s">
        <v>1270</v>
      </c>
      <c r="C193" s="8">
        <v>383</v>
      </c>
      <c r="D193" s="8">
        <v>383</v>
      </c>
      <c r="E193" s="8">
        <v>383</v>
      </c>
      <c r="F193" s="8">
        <v>482</v>
      </c>
      <c r="G193" s="8" t="s">
        <v>1326</v>
      </c>
    </row>
    <row r="194" spans="1:20" s="2" customFormat="1" ht="16.5" customHeight="1" thickBot="1">
      <c r="A194" s="12" t="s">
        <v>1476</v>
      </c>
      <c r="B194" s="38" t="s">
        <v>1270</v>
      </c>
      <c r="C194" s="8">
        <v>310</v>
      </c>
      <c r="D194" s="8">
        <v>313</v>
      </c>
      <c r="E194" s="43">
        <v>319</v>
      </c>
      <c r="F194" s="43">
        <v>320</v>
      </c>
      <c r="G194" s="43" t="s">
        <v>1326</v>
      </c>
    </row>
    <row r="195" spans="1:20" s="2" customFormat="1" ht="12" customHeight="1">
      <c r="A195" s="1"/>
    </row>
    <row r="196" spans="1:20" s="2" customFormat="1" ht="16.5" customHeight="1">
      <c r="A196" s="1" t="s">
        <v>1524</v>
      </c>
    </row>
    <row r="197" spans="1:20" s="2" customFormat="1" ht="9.75" customHeight="1" thickBot="1">
      <c r="A197" s="3"/>
    </row>
    <row r="198" spans="1:20" s="2" customFormat="1" ht="16.5" customHeight="1" thickBot="1">
      <c r="A198" s="4" t="s">
        <v>1244</v>
      </c>
      <c r="B198" s="5" t="s">
        <v>1245</v>
      </c>
      <c r="C198" s="5" t="s">
        <v>1246</v>
      </c>
      <c r="D198" s="5">
        <v>2</v>
      </c>
      <c r="E198" s="5">
        <v>3</v>
      </c>
      <c r="F198" s="5">
        <v>4</v>
      </c>
      <c r="G198" s="5">
        <v>5</v>
      </c>
      <c r="H198" s="5">
        <v>6</v>
      </c>
      <c r="I198" s="5">
        <v>7</v>
      </c>
      <c r="J198" s="5">
        <v>8</v>
      </c>
      <c r="K198" s="5">
        <v>9</v>
      </c>
      <c r="L198" s="5">
        <v>10</v>
      </c>
      <c r="M198" s="5">
        <v>11</v>
      </c>
      <c r="N198" s="5">
        <v>12</v>
      </c>
      <c r="O198" s="5">
        <v>13</v>
      </c>
      <c r="P198" s="5"/>
      <c r="Q198" s="10" t="s">
        <v>1413</v>
      </c>
      <c r="R198" s="11">
        <f>(30293/56666)</f>
        <v>0.53458864221932023</v>
      </c>
    </row>
    <row r="199" spans="1:20" s="2" customFormat="1" ht="16.5" customHeight="1" thickBot="1">
      <c r="A199" s="6" t="s">
        <v>1477</v>
      </c>
      <c r="B199" s="28" t="s">
        <v>1258</v>
      </c>
      <c r="C199" s="36">
        <v>6755</v>
      </c>
      <c r="D199" s="8"/>
      <c r="E199" s="8"/>
      <c r="F199" s="8"/>
      <c r="G199" s="8"/>
      <c r="H199" s="8"/>
      <c r="I199" s="36"/>
      <c r="J199" s="8"/>
      <c r="K199" s="36"/>
      <c r="L199" s="8"/>
      <c r="M199" s="8"/>
      <c r="N199" s="36"/>
      <c r="O199" s="8"/>
      <c r="P199" s="33" t="s">
        <v>1271</v>
      </c>
      <c r="Q199" s="14"/>
      <c r="R199" s="10" t="s">
        <v>1248</v>
      </c>
      <c r="S199" s="10" t="s">
        <v>1249</v>
      </c>
      <c r="T199" s="10" t="s">
        <v>1250</v>
      </c>
    </row>
    <row r="200" spans="1:20" s="2" customFormat="1" ht="16.5" customHeight="1" thickBot="1">
      <c r="A200" s="6" t="s">
        <v>1478</v>
      </c>
      <c r="B200" s="28" t="s">
        <v>1258</v>
      </c>
      <c r="C200" s="8">
        <v>4167</v>
      </c>
      <c r="D200" s="36">
        <v>4778</v>
      </c>
      <c r="E200" s="8"/>
      <c r="F200" s="8"/>
      <c r="G200" s="8"/>
      <c r="H200" s="36"/>
      <c r="I200" s="8"/>
      <c r="J200" s="36"/>
      <c r="K200" s="8"/>
      <c r="L200" s="36"/>
      <c r="M200" s="36"/>
      <c r="N200" s="8"/>
      <c r="O200" s="36"/>
      <c r="P200" s="33" t="s">
        <v>1362</v>
      </c>
      <c r="Q200" s="19" t="s">
        <v>1247</v>
      </c>
      <c r="R200" s="16">
        <v>1168</v>
      </c>
      <c r="S200" s="17">
        <f>SUM(R200/R206)</f>
        <v>3.8882785711907855E-2</v>
      </c>
      <c r="T200" s="14"/>
    </row>
    <row r="201" spans="1:20" s="2" customFormat="1" ht="16.5" customHeight="1" thickBot="1">
      <c r="A201" s="6" t="s">
        <v>1479</v>
      </c>
      <c r="B201" s="45" t="s">
        <v>1269</v>
      </c>
      <c r="C201" s="8">
        <v>3114</v>
      </c>
      <c r="D201" s="8">
        <v>3172</v>
      </c>
      <c r="E201" s="8">
        <v>3177</v>
      </c>
      <c r="F201" s="8">
        <v>3194</v>
      </c>
      <c r="G201" s="8">
        <v>3253</v>
      </c>
      <c r="H201" s="8">
        <v>3321</v>
      </c>
      <c r="I201" s="8">
        <v>3530</v>
      </c>
      <c r="J201" s="8">
        <v>3603</v>
      </c>
      <c r="K201" s="8">
        <v>3756</v>
      </c>
      <c r="L201" s="36">
        <v>5191</v>
      </c>
      <c r="M201" s="8"/>
      <c r="N201" s="36"/>
      <c r="O201" s="8"/>
      <c r="P201" s="33" t="s">
        <v>1280</v>
      </c>
      <c r="Q201" s="18" t="s">
        <v>1257</v>
      </c>
      <c r="R201" s="16">
        <f>SUM(C202+C204+C207)</f>
        <v>6574</v>
      </c>
      <c r="S201" s="17">
        <f>SUM(R201/R206)</f>
        <v>0.21884882985452245</v>
      </c>
      <c r="T201" s="14">
        <v>2</v>
      </c>
    </row>
    <row r="202" spans="1:20" s="2" customFormat="1" ht="16.5" customHeight="1" thickBot="1">
      <c r="A202" s="6" t="s">
        <v>1480</v>
      </c>
      <c r="B202" s="9" t="s">
        <v>1257</v>
      </c>
      <c r="C202" s="8">
        <v>3076</v>
      </c>
      <c r="D202" s="8">
        <v>3165</v>
      </c>
      <c r="E202" s="8">
        <v>3183</v>
      </c>
      <c r="F202" s="8">
        <v>3276</v>
      </c>
      <c r="G202" s="8">
        <v>3304</v>
      </c>
      <c r="H202" s="8">
        <v>3361</v>
      </c>
      <c r="I202" s="8">
        <v>3438</v>
      </c>
      <c r="J202" s="8">
        <v>3624</v>
      </c>
      <c r="K202" s="8">
        <v>3632</v>
      </c>
      <c r="L202" s="8">
        <v>3753</v>
      </c>
      <c r="M202" s="8">
        <v>4040</v>
      </c>
      <c r="N202" s="36">
        <v>5115</v>
      </c>
      <c r="O202" s="36"/>
      <c r="P202" s="33" t="s">
        <v>1251</v>
      </c>
      <c r="Q202" s="30" t="s">
        <v>1258</v>
      </c>
      <c r="R202" s="16">
        <f>SUM(C199+C200+C203)</f>
        <v>13654</v>
      </c>
      <c r="S202" s="17">
        <f>SUM(R202/R206)</f>
        <v>0.45454242817670359</v>
      </c>
      <c r="T202" s="2">
        <v>3</v>
      </c>
    </row>
    <row r="203" spans="1:20" s="2" customFormat="1" ht="16.5" customHeight="1" thickBot="1">
      <c r="A203" s="6" t="s">
        <v>1481</v>
      </c>
      <c r="B203" s="28" t="s">
        <v>1258</v>
      </c>
      <c r="C203" s="8">
        <v>2732</v>
      </c>
      <c r="D203" s="8">
        <v>4165</v>
      </c>
      <c r="E203" s="36">
        <v>4587</v>
      </c>
      <c r="F203" s="8"/>
      <c r="G203" s="8"/>
      <c r="H203" s="8"/>
      <c r="I203" s="36"/>
      <c r="J203" s="36"/>
      <c r="K203" s="8"/>
      <c r="L203" s="36"/>
      <c r="M203" s="36"/>
      <c r="N203" s="8"/>
      <c r="O203" s="36"/>
      <c r="P203" s="33" t="s">
        <v>1252</v>
      </c>
      <c r="Q203" s="15" t="s">
        <v>1261</v>
      </c>
      <c r="R203" s="21">
        <v>1769</v>
      </c>
      <c r="S203" s="17">
        <f>SUM(R203/R206)</f>
        <v>5.8890109524285097E-2</v>
      </c>
    </row>
    <row r="204" spans="1:20" s="2" customFormat="1" ht="16.5" customHeight="1" thickBot="1">
      <c r="A204" s="6" t="s">
        <v>1482</v>
      </c>
      <c r="B204" s="9" t="s">
        <v>1257</v>
      </c>
      <c r="C204" s="8">
        <v>1881</v>
      </c>
      <c r="D204" s="8">
        <v>1956</v>
      </c>
      <c r="E204" s="8">
        <v>1962</v>
      </c>
      <c r="F204" s="8">
        <v>2022</v>
      </c>
      <c r="G204" s="8">
        <v>2036</v>
      </c>
      <c r="H204" s="8">
        <v>2103</v>
      </c>
      <c r="I204" s="8">
        <v>2135</v>
      </c>
      <c r="J204" s="8">
        <v>2345</v>
      </c>
      <c r="K204" s="8">
        <v>2351</v>
      </c>
      <c r="L204" s="8">
        <v>2447</v>
      </c>
      <c r="M204" s="8">
        <v>2720</v>
      </c>
      <c r="N204" s="8">
        <v>3412</v>
      </c>
      <c r="O204" s="36">
        <v>4195</v>
      </c>
      <c r="P204" s="33" t="s">
        <v>1253</v>
      </c>
      <c r="Q204" s="31" t="s">
        <v>1269</v>
      </c>
      <c r="R204" s="21">
        <f>SUM(C201+C206)</f>
        <v>4738</v>
      </c>
      <c r="S204" s="17">
        <f>SUM(R204/R206)</f>
        <v>0.15772828656080429</v>
      </c>
      <c r="T204" s="2">
        <v>1</v>
      </c>
    </row>
    <row r="205" spans="1:20" s="2" customFormat="1" ht="16.5" customHeight="1" thickBot="1">
      <c r="A205" s="12" t="s">
        <v>1483</v>
      </c>
      <c r="B205" s="20" t="s">
        <v>1261</v>
      </c>
      <c r="C205" s="8">
        <v>1769</v>
      </c>
      <c r="D205" s="8">
        <v>1775</v>
      </c>
      <c r="E205" s="8">
        <v>1775</v>
      </c>
      <c r="F205" s="8">
        <v>1778</v>
      </c>
      <c r="G205" s="8">
        <v>1806</v>
      </c>
      <c r="H205" s="8">
        <v>1822</v>
      </c>
      <c r="I205" s="8">
        <v>1882</v>
      </c>
      <c r="J205" s="8">
        <v>1893</v>
      </c>
      <c r="K205" s="8">
        <v>2774</v>
      </c>
      <c r="L205" s="8">
        <v>2887</v>
      </c>
      <c r="M205" s="8">
        <v>3152</v>
      </c>
      <c r="N205" s="8">
        <v>3268</v>
      </c>
      <c r="O205" s="8">
        <v>3298</v>
      </c>
      <c r="P205" s="33"/>
      <c r="Q205" s="26" t="s">
        <v>1254</v>
      </c>
      <c r="R205" s="21">
        <f>SUM(C209:C212)</f>
        <v>2136</v>
      </c>
      <c r="S205" s="11">
        <f>SUM(R205/R206)</f>
        <v>7.110756017177669E-2</v>
      </c>
    </row>
    <row r="206" spans="1:20" s="2" customFormat="1" ht="16.5" customHeight="1" thickBot="1">
      <c r="A206" s="12" t="s">
        <v>1484</v>
      </c>
      <c r="B206" s="32" t="s">
        <v>1269</v>
      </c>
      <c r="C206" s="8">
        <v>1624</v>
      </c>
      <c r="D206" s="8">
        <v>1637</v>
      </c>
      <c r="E206" s="8">
        <v>1638</v>
      </c>
      <c r="F206" s="8">
        <v>1643</v>
      </c>
      <c r="G206" s="8">
        <v>1684</v>
      </c>
      <c r="H206" s="8">
        <v>1723</v>
      </c>
      <c r="I206" s="8">
        <v>1919</v>
      </c>
      <c r="J206" s="8">
        <v>1960</v>
      </c>
      <c r="K206" s="8">
        <v>1984</v>
      </c>
      <c r="L206" s="8" t="s">
        <v>1326</v>
      </c>
      <c r="R206" s="23">
        <f>SUM(C199:C212)</f>
        <v>30039</v>
      </c>
    </row>
    <row r="207" spans="1:20" s="2" customFormat="1" ht="16.5" customHeight="1" thickBot="1">
      <c r="A207" s="12" t="s">
        <v>1485</v>
      </c>
      <c r="B207" s="22" t="s">
        <v>1257</v>
      </c>
      <c r="C207" s="8">
        <v>1617</v>
      </c>
      <c r="D207" s="8">
        <v>1690</v>
      </c>
      <c r="E207" s="8">
        <v>1699</v>
      </c>
      <c r="F207" s="8">
        <v>1747</v>
      </c>
      <c r="G207" s="8">
        <v>1791</v>
      </c>
      <c r="H207" s="8">
        <v>1824</v>
      </c>
      <c r="I207" s="8">
        <v>1865</v>
      </c>
      <c r="J207" s="8">
        <v>2053</v>
      </c>
      <c r="K207" s="8">
        <v>2061</v>
      </c>
      <c r="L207" s="8">
        <v>2103</v>
      </c>
      <c r="M207" s="8">
        <v>2176</v>
      </c>
      <c r="N207" s="8" t="s">
        <v>1326</v>
      </c>
    </row>
    <row r="208" spans="1:20" s="2" customFormat="1" ht="16.5" customHeight="1" thickBot="1">
      <c r="A208" s="12" t="s">
        <v>1486</v>
      </c>
      <c r="B208" s="13" t="s">
        <v>1247</v>
      </c>
      <c r="C208" s="8">
        <v>1168</v>
      </c>
      <c r="D208" s="8">
        <v>1168</v>
      </c>
      <c r="E208" s="8">
        <v>1168</v>
      </c>
      <c r="F208" s="8">
        <v>1168</v>
      </c>
      <c r="G208" s="8">
        <v>1176</v>
      </c>
      <c r="H208" s="8">
        <v>1179</v>
      </c>
      <c r="I208" s="8">
        <v>1203</v>
      </c>
      <c r="J208" s="8">
        <v>1206</v>
      </c>
      <c r="K208" s="8" t="s">
        <v>1326</v>
      </c>
      <c r="L208" s="17"/>
    </row>
    <row r="209" spans="1:20" s="2" customFormat="1" ht="16.5" customHeight="1" thickBot="1">
      <c r="A209" s="12" t="s">
        <v>1487</v>
      </c>
      <c r="B209" s="42" t="s">
        <v>1304</v>
      </c>
      <c r="C209" s="8">
        <v>731</v>
      </c>
      <c r="D209" s="43">
        <v>771</v>
      </c>
      <c r="E209" s="43">
        <v>775</v>
      </c>
      <c r="F209" s="8">
        <v>815</v>
      </c>
      <c r="G209" s="8">
        <v>842</v>
      </c>
      <c r="H209" s="8">
        <v>902</v>
      </c>
      <c r="I209" s="8">
        <v>938</v>
      </c>
      <c r="J209" s="8" t="s">
        <v>1326</v>
      </c>
      <c r="L209" s="17"/>
    </row>
    <row r="210" spans="1:20" s="2" customFormat="1" ht="16.5" customHeight="1" thickBot="1">
      <c r="A210" s="12" t="s">
        <v>1488</v>
      </c>
      <c r="B210" s="39" t="s">
        <v>1320</v>
      </c>
      <c r="C210" s="8">
        <v>612</v>
      </c>
      <c r="D210" s="8">
        <v>621</v>
      </c>
      <c r="E210" s="8">
        <v>623</v>
      </c>
      <c r="F210" s="8">
        <v>628</v>
      </c>
      <c r="G210" s="8">
        <v>726</v>
      </c>
      <c r="H210" s="8">
        <v>793</v>
      </c>
      <c r="I210" s="8" t="s">
        <v>1326</v>
      </c>
    </row>
    <row r="211" spans="1:20" s="2" customFormat="1" ht="16.5" customHeight="1" thickBot="1">
      <c r="A211" s="12" t="s">
        <v>1489</v>
      </c>
      <c r="B211" s="38" t="s">
        <v>1270</v>
      </c>
      <c r="C211" s="8">
        <v>398</v>
      </c>
      <c r="D211" s="8">
        <v>408</v>
      </c>
      <c r="E211" s="8">
        <v>410</v>
      </c>
      <c r="F211" s="8">
        <v>417</v>
      </c>
      <c r="G211" s="8" t="s">
        <v>1326</v>
      </c>
    </row>
    <row r="212" spans="1:20" s="2" customFormat="1" ht="16.5" customHeight="1" thickBot="1">
      <c r="A212" s="12" t="s">
        <v>1490</v>
      </c>
      <c r="B212" s="38" t="s">
        <v>1408</v>
      </c>
      <c r="C212" s="8">
        <v>395</v>
      </c>
      <c r="D212" s="8">
        <v>406</v>
      </c>
      <c r="E212" s="43">
        <v>409</v>
      </c>
      <c r="F212" s="43">
        <v>419</v>
      </c>
      <c r="G212" s="43">
        <v>453</v>
      </c>
      <c r="H212" s="43" t="s">
        <v>1326</v>
      </c>
    </row>
    <row r="213" spans="1:20" s="2" customFormat="1" ht="12" customHeight="1">
      <c r="A213" s="1"/>
    </row>
    <row r="214" spans="1:20" s="2" customFormat="1" ht="16.5" customHeight="1">
      <c r="A214" s="1" t="s">
        <v>1525</v>
      </c>
    </row>
    <row r="215" spans="1:20" s="2" customFormat="1" ht="9.75" customHeight="1" thickBot="1">
      <c r="A215" s="3"/>
    </row>
    <row r="216" spans="1:20" s="2" customFormat="1" ht="16.5" customHeight="1" thickBot="1">
      <c r="A216" s="4" t="s">
        <v>1244</v>
      </c>
      <c r="B216" s="5" t="s">
        <v>1245</v>
      </c>
      <c r="C216" s="5" t="s">
        <v>1246</v>
      </c>
      <c r="D216" s="5">
        <v>2</v>
      </c>
      <c r="E216" s="5">
        <v>3</v>
      </c>
      <c r="F216" s="5">
        <v>4</v>
      </c>
      <c r="G216" s="5">
        <v>5</v>
      </c>
      <c r="H216" s="5">
        <v>6</v>
      </c>
      <c r="I216" s="5">
        <v>7</v>
      </c>
      <c r="J216" s="5">
        <v>8</v>
      </c>
      <c r="K216" s="5">
        <v>9</v>
      </c>
      <c r="L216" s="5">
        <v>10</v>
      </c>
      <c r="M216" s="5">
        <v>11</v>
      </c>
      <c r="N216" s="5">
        <v>12</v>
      </c>
      <c r="O216" s="5">
        <v>13</v>
      </c>
      <c r="P216" s="5"/>
      <c r="Q216" s="10" t="s">
        <v>1413</v>
      </c>
      <c r="R216" s="11">
        <f>(36340/66648)</f>
        <v>0.54525267074780936</v>
      </c>
    </row>
    <row r="217" spans="1:20" s="2" customFormat="1" ht="16.5" customHeight="1" thickBot="1">
      <c r="A217" s="6" t="s">
        <v>1491</v>
      </c>
      <c r="B217" s="28" t="s">
        <v>1258</v>
      </c>
      <c r="C217" s="36">
        <v>5917</v>
      </c>
      <c r="D217" s="8"/>
      <c r="E217" s="8"/>
      <c r="F217" s="8"/>
      <c r="G217" s="8"/>
      <c r="H217" s="8"/>
      <c r="I217" s="36"/>
      <c r="J217" s="8"/>
      <c r="K217" s="36"/>
      <c r="L217" s="8"/>
      <c r="M217" s="8"/>
      <c r="N217" s="36"/>
      <c r="O217" s="8"/>
      <c r="P217" s="33" t="s">
        <v>1271</v>
      </c>
      <c r="Q217" s="14"/>
      <c r="R217" s="10" t="s">
        <v>1248</v>
      </c>
      <c r="S217" s="10" t="s">
        <v>1249</v>
      </c>
      <c r="T217" s="10" t="s">
        <v>1250</v>
      </c>
    </row>
    <row r="218" spans="1:20" s="2" customFormat="1" ht="16.5" customHeight="1" thickBot="1">
      <c r="A218" s="6" t="s">
        <v>1492</v>
      </c>
      <c r="B218" s="28" t="s">
        <v>1258</v>
      </c>
      <c r="C218" s="8">
        <v>4788</v>
      </c>
      <c r="D218" s="8">
        <v>5014</v>
      </c>
      <c r="E218" s="8">
        <v>5085</v>
      </c>
      <c r="F218" s="8">
        <v>5120</v>
      </c>
      <c r="G218" s="8">
        <v>5138</v>
      </c>
      <c r="H218" s="36">
        <v>5178</v>
      </c>
      <c r="I218" s="8"/>
      <c r="J218" s="36"/>
      <c r="K218" s="8"/>
      <c r="L218" s="36"/>
      <c r="M218" s="36"/>
      <c r="N218" s="8"/>
      <c r="O218" s="36"/>
      <c r="P218" s="33" t="s">
        <v>1362</v>
      </c>
      <c r="Q218" s="19" t="s">
        <v>1247</v>
      </c>
      <c r="R218" s="16">
        <v>1089</v>
      </c>
      <c r="S218" s="17">
        <f>SUM(R218/R224)</f>
        <v>3.0234043143896275E-2</v>
      </c>
      <c r="T218" s="14"/>
    </row>
    <row r="219" spans="1:20" s="2" customFormat="1" ht="16.5" customHeight="1" thickBot="1">
      <c r="A219" s="6" t="s">
        <v>1493</v>
      </c>
      <c r="B219" s="45" t="s">
        <v>1269</v>
      </c>
      <c r="C219" s="8">
        <v>4085</v>
      </c>
      <c r="D219" s="8">
        <v>4096</v>
      </c>
      <c r="E219" s="8">
        <v>4110</v>
      </c>
      <c r="F219" s="8">
        <v>4207</v>
      </c>
      <c r="G219" s="8">
        <v>4255</v>
      </c>
      <c r="H219" s="8">
        <v>4418</v>
      </c>
      <c r="I219" s="8">
        <v>4541</v>
      </c>
      <c r="J219" s="8">
        <v>4690</v>
      </c>
      <c r="K219" s="36">
        <v>5207</v>
      </c>
      <c r="L219" s="36"/>
      <c r="M219" s="8"/>
      <c r="N219" s="36"/>
      <c r="O219" s="8"/>
      <c r="P219" s="33" t="s">
        <v>1252</v>
      </c>
      <c r="Q219" s="18" t="s">
        <v>1257</v>
      </c>
      <c r="R219" s="16">
        <f>SUM(C221+C224+C228)</f>
        <v>6512</v>
      </c>
      <c r="S219" s="17">
        <f>SUM(R219/R224)</f>
        <v>0.18079347011299593</v>
      </c>
      <c r="T219" s="14">
        <v>1</v>
      </c>
    </row>
    <row r="220" spans="1:20" s="2" customFormat="1" ht="16.5" customHeight="1" thickBot="1">
      <c r="A220" s="6" t="s">
        <v>1494</v>
      </c>
      <c r="B220" s="28" t="s">
        <v>1258</v>
      </c>
      <c r="C220" s="8">
        <v>3889</v>
      </c>
      <c r="D220" s="8">
        <v>3960</v>
      </c>
      <c r="E220" s="8">
        <v>3976</v>
      </c>
      <c r="F220" s="8">
        <v>4002</v>
      </c>
      <c r="G220" s="8">
        <v>4026</v>
      </c>
      <c r="H220" s="8">
        <v>4059</v>
      </c>
      <c r="I220" s="8">
        <v>4285</v>
      </c>
      <c r="J220" s="8">
        <v>4287</v>
      </c>
      <c r="K220" s="8">
        <v>4360</v>
      </c>
      <c r="L220" s="8">
        <v>4664</v>
      </c>
      <c r="M220" s="8">
        <v>4983</v>
      </c>
      <c r="N220" s="8">
        <v>4987</v>
      </c>
      <c r="O220" s="36">
        <v>4998</v>
      </c>
      <c r="P220" s="33" t="s">
        <v>1251</v>
      </c>
      <c r="Q220" s="30" t="s">
        <v>1258</v>
      </c>
      <c r="R220" s="16">
        <f>SUM(C217+C218+C220+C222)</f>
        <v>18062</v>
      </c>
      <c r="S220" s="17">
        <f>SUM(R220/R224)</f>
        <v>0.50145756406341102</v>
      </c>
      <c r="T220" s="2">
        <v>4</v>
      </c>
    </row>
    <row r="221" spans="1:20" s="2" customFormat="1" ht="16.5" customHeight="1" thickBot="1">
      <c r="A221" s="6" t="s">
        <v>1495</v>
      </c>
      <c r="B221" s="9" t="s">
        <v>1257</v>
      </c>
      <c r="C221" s="8">
        <v>3709</v>
      </c>
      <c r="D221" s="8">
        <v>3737</v>
      </c>
      <c r="E221" s="8">
        <v>3754</v>
      </c>
      <c r="F221" s="8">
        <v>3842</v>
      </c>
      <c r="G221" s="8">
        <v>4111</v>
      </c>
      <c r="H221" s="8">
        <v>4204</v>
      </c>
      <c r="I221" s="8">
        <v>4357</v>
      </c>
      <c r="J221" s="8">
        <v>4361</v>
      </c>
      <c r="K221" s="8">
        <v>4469</v>
      </c>
      <c r="L221" s="36">
        <v>6036</v>
      </c>
      <c r="M221" s="36"/>
      <c r="N221" s="8"/>
      <c r="O221" s="36"/>
      <c r="P221" s="33" t="s">
        <v>1280</v>
      </c>
      <c r="Q221" s="15" t="s">
        <v>1261</v>
      </c>
      <c r="R221" s="21">
        <v>3068</v>
      </c>
      <c r="S221" s="17">
        <f>SUM(R221/R224)</f>
        <v>8.5177267553235791E-2</v>
      </c>
    </row>
    <row r="222" spans="1:20" s="2" customFormat="1" ht="16.5" customHeight="1" thickBot="1">
      <c r="A222" s="6" t="s">
        <v>1496</v>
      </c>
      <c r="B222" s="28" t="s">
        <v>1258</v>
      </c>
      <c r="C222" s="8">
        <v>3468</v>
      </c>
      <c r="D222" s="8">
        <v>3859</v>
      </c>
      <c r="E222" s="8">
        <v>3888</v>
      </c>
      <c r="F222" s="8">
        <v>3904</v>
      </c>
      <c r="G222" s="8">
        <v>3933</v>
      </c>
      <c r="H222" s="8">
        <v>4002</v>
      </c>
      <c r="I222" s="8">
        <v>4148</v>
      </c>
      <c r="J222" s="8">
        <v>4149</v>
      </c>
      <c r="K222" s="8">
        <v>4215</v>
      </c>
      <c r="L222" s="8">
        <v>4377</v>
      </c>
      <c r="M222" s="8">
        <v>4560</v>
      </c>
      <c r="N222" s="8">
        <v>4568</v>
      </c>
      <c r="O222" s="36">
        <v>4579</v>
      </c>
      <c r="P222" s="33" t="s">
        <v>1253</v>
      </c>
      <c r="Q222" s="31" t="s">
        <v>1269</v>
      </c>
      <c r="R222" s="21">
        <v>4085</v>
      </c>
      <c r="S222" s="17">
        <f>SUM(R222/R224)</f>
        <v>0.11341236569588273</v>
      </c>
      <c r="T222" s="2">
        <v>1</v>
      </c>
    </row>
    <row r="223" spans="1:20" s="2" customFormat="1" ht="16.5" customHeight="1" thickBot="1">
      <c r="A223" s="12" t="s">
        <v>1497</v>
      </c>
      <c r="B223" s="20" t="s">
        <v>1261</v>
      </c>
      <c r="C223" s="8">
        <v>3068</v>
      </c>
      <c r="D223" s="8">
        <v>3069</v>
      </c>
      <c r="E223" s="8">
        <v>3072</v>
      </c>
      <c r="F223" s="8">
        <v>3083</v>
      </c>
      <c r="G223" s="8">
        <v>3096</v>
      </c>
      <c r="H223" s="8">
        <v>3122</v>
      </c>
      <c r="I223" s="8">
        <v>3132</v>
      </c>
      <c r="J223" s="8">
        <v>3937</v>
      </c>
      <c r="K223" s="8">
        <v>4089</v>
      </c>
      <c r="L223" s="8">
        <v>4294</v>
      </c>
      <c r="M223" s="8">
        <v>4512</v>
      </c>
      <c r="N223" s="8">
        <v>4547</v>
      </c>
      <c r="O223" s="8">
        <v>4548</v>
      </c>
      <c r="P223" s="33"/>
      <c r="Q223" s="26" t="s">
        <v>1254</v>
      </c>
      <c r="R223" s="21">
        <f>SUM(C230+C231+C229+C227+C226)</f>
        <v>3203</v>
      </c>
      <c r="S223" s="11">
        <f>SUM(R223/R224)</f>
        <v>8.89252894305783E-2</v>
      </c>
    </row>
    <row r="224" spans="1:20" s="2" customFormat="1" ht="16.5" customHeight="1" thickBot="1">
      <c r="A224" s="12" t="s">
        <v>1498</v>
      </c>
      <c r="B224" s="22" t="s">
        <v>1257</v>
      </c>
      <c r="C224" s="8">
        <v>2128</v>
      </c>
      <c r="D224" s="8">
        <v>2138</v>
      </c>
      <c r="E224" s="8">
        <v>2158</v>
      </c>
      <c r="F224" s="8">
        <v>2208</v>
      </c>
      <c r="G224" s="8">
        <v>2487</v>
      </c>
      <c r="H224" s="8">
        <v>2572</v>
      </c>
      <c r="I224" s="8">
        <v>2723</v>
      </c>
      <c r="J224" s="8">
        <v>2733</v>
      </c>
      <c r="K224" s="8">
        <v>2819</v>
      </c>
      <c r="L224" s="8" t="s">
        <v>1326</v>
      </c>
      <c r="R224" s="23">
        <f>SUM(C217:C231)</f>
        <v>36019</v>
      </c>
    </row>
    <row r="225" spans="1:17" s="2" customFormat="1" ht="16.5" customHeight="1" thickBot="1">
      <c r="A225" s="12" t="s">
        <v>1499</v>
      </c>
      <c r="B225" s="13" t="s">
        <v>1247</v>
      </c>
      <c r="C225" s="8">
        <v>1089</v>
      </c>
      <c r="D225" s="8">
        <v>1089</v>
      </c>
      <c r="E225" s="8">
        <v>1089</v>
      </c>
      <c r="F225" s="8">
        <v>1090</v>
      </c>
      <c r="G225" s="8">
        <v>1095</v>
      </c>
      <c r="H225" s="8">
        <v>1099</v>
      </c>
      <c r="I225" s="8">
        <v>1099</v>
      </c>
      <c r="J225" s="8" t="s">
        <v>1326</v>
      </c>
    </row>
    <row r="226" spans="1:17" s="2" customFormat="1" ht="16.5" customHeight="1" thickBot="1">
      <c r="A226" s="12" t="s">
        <v>1500</v>
      </c>
      <c r="B226" s="42" t="s">
        <v>1304</v>
      </c>
      <c r="C226" s="8">
        <v>872</v>
      </c>
      <c r="D226" s="8">
        <v>876</v>
      </c>
      <c r="E226" s="8">
        <v>954</v>
      </c>
      <c r="F226" s="8">
        <v>988</v>
      </c>
      <c r="G226" s="8">
        <v>998</v>
      </c>
      <c r="H226" s="8">
        <v>1039</v>
      </c>
      <c r="I226" s="8" t="s">
        <v>1326</v>
      </c>
      <c r="L226" s="17"/>
    </row>
    <row r="227" spans="1:17" s="2" customFormat="1" ht="16.5" customHeight="1" thickBot="1">
      <c r="A227" s="12" t="s">
        <v>1501</v>
      </c>
      <c r="B227" s="39" t="s">
        <v>1320</v>
      </c>
      <c r="C227" s="8">
        <v>868</v>
      </c>
      <c r="D227" s="43">
        <v>872</v>
      </c>
      <c r="E227" s="43">
        <v>888</v>
      </c>
      <c r="F227" s="8">
        <v>942</v>
      </c>
      <c r="G227" s="8">
        <v>951</v>
      </c>
      <c r="H227" s="8">
        <v>1093</v>
      </c>
      <c r="I227" s="8">
        <v>1167</v>
      </c>
      <c r="J227" s="8">
        <v>1252</v>
      </c>
      <c r="K227" s="8" t="s">
        <v>1326</v>
      </c>
      <c r="L227" s="17"/>
    </row>
    <row r="228" spans="1:17" s="2" customFormat="1" ht="16.5" customHeight="1" thickBot="1">
      <c r="A228" s="12" t="s">
        <v>1502</v>
      </c>
      <c r="B228" s="22" t="s">
        <v>1257</v>
      </c>
      <c r="C228" s="8">
        <v>675</v>
      </c>
      <c r="D228" s="8">
        <v>683</v>
      </c>
      <c r="E228" s="8">
        <v>687</v>
      </c>
      <c r="F228" s="8">
        <v>720</v>
      </c>
      <c r="G228" s="8" t="s">
        <v>1326</v>
      </c>
    </row>
    <row r="229" spans="1:17" s="2" customFormat="1" ht="16.5" customHeight="1" thickBot="1">
      <c r="A229" s="12" t="s">
        <v>1505</v>
      </c>
      <c r="B229" s="38" t="s">
        <v>1270</v>
      </c>
      <c r="C229" s="8">
        <v>650</v>
      </c>
      <c r="D229" s="8">
        <v>657</v>
      </c>
      <c r="E229" s="8">
        <v>676</v>
      </c>
      <c r="F229" s="8">
        <v>724</v>
      </c>
      <c r="G229" s="8">
        <v>733</v>
      </c>
      <c r="H229" s="43" t="s">
        <v>1326</v>
      </c>
    </row>
    <row r="230" spans="1:17" s="2" customFormat="1" ht="16.5" customHeight="1" thickBot="1">
      <c r="A230" s="12" t="s">
        <v>1503</v>
      </c>
      <c r="B230" s="38" t="s">
        <v>1408</v>
      </c>
      <c r="C230" s="8">
        <v>508</v>
      </c>
      <c r="D230" s="8">
        <v>510</v>
      </c>
      <c r="E230" s="8">
        <v>518</v>
      </c>
      <c r="F230" s="8" t="s">
        <v>1326</v>
      </c>
    </row>
    <row r="231" spans="1:17" s="2" customFormat="1" ht="16.5" customHeight="1" thickBot="1">
      <c r="A231" s="12" t="s">
        <v>1504</v>
      </c>
      <c r="B231" s="38" t="s">
        <v>1423</v>
      </c>
      <c r="C231" s="8">
        <v>305</v>
      </c>
      <c r="D231" s="43">
        <v>309</v>
      </c>
      <c r="E231" s="43" t="s">
        <v>1326</v>
      </c>
    </row>
    <row r="232" spans="1:17" s="2" customFormat="1" ht="12" customHeight="1">
      <c r="A232" s="1"/>
    </row>
    <row r="233" spans="1:17" s="2" customFormat="1" ht="16.5" customHeight="1">
      <c r="A233" s="1" t="s">
        <v>1526</v>
      </c>
    </row>
    <row r="234" spans="1:17" s="2" customFormat="1" ht="9.75" customHeight="1" thickBot="1">
      <c r="A234" s="3"/>
    </row>
    <row r="235" spans="1:17" s="2" customFormat="1" ht="16.5" customHeight="1" thickBot="1">
      <c r="A235" s="4" t="s">
        <v>1244</v>
      </c>
      <c r="B235" s="5" t="s">
        <v>1245</v>
      </c>
      <c r="C235" s="5" t="s">
        <v>1246</v>
      </c>
      <c r="D235" s="5">
        <v>2</v>
      </c>
      <c r="E235" s="5">
        <v>3</v>
      </c>
      <c r="F235" s="5">
        <v>4</v>
      </c>
      <c r="G235" s="5">
        <v>5</v>
      </c>
      <c r="H235" s="5">
        <v>6</v>
      </c>
      <c r="I235" s="5">
        <v>7</v>
      </c>
      <c r="J235" s="5">
        <v>8</v>
      </c>
      <c r="K235" s="5">
        <v>9</v>
      </c>
      <c r="L235" s="5">
        <v>10</v>
      </c>
      <c r="M235" s="5"/>
      <c r="N235" s="10" t="s">
        <v>1413</v>
      </c>
      <c r="O235" s="11">
        <f>(30930/57525)</f>
        <v>0.53767926988265968</v>
      </c>
    </row>
    <row r="236" spans="1:17" s="2" customFormat="1" ht="16.5" customHeight="1" thickBot="1">
      <c r="A236" s="6" t="s">
        <v>1507</v>
      </c>
      <c r="B236" s="28" t="s">
        <v>1258</v>
      </c>
      <c r="C236" s="36">
        <v>4946</v>
      </c>
      <c r="D236" s="8"/>
      <c r="E236" s="8"/>
      <c r="F236" s="8"/>
      <c r="G236" s="8"/>
      <c r="H236" s="8"/>
      <c r="I236" s="36"/>
      <c r="J236" s="8"/>
      <c r="K236" s="8"/>
      <c r="L236" s="8"/>
      <c r="M236" s="33" t="s">
        <v>1271</v>
      </c>
      <c r="N236" s="14"/>
      <c r="O236" s="10" t="s">
        <v>1248</v>
      </c>
      <c r="P236" s="10" t="s">
        <v>1249</v>
      </c>
      <c r="Q236" s="10" t="s">
        <v>1250</v>
      </c>
    </row>
    <row r="237" spans="1:17" s="2" customFormat="1" ht="16.5" customHeight="1" thickBot="1">
      <c r="A237" s="6" t="s">
        <v>1508</v>
      </c>
      <c r="B237" s="28" t="s">
        <v>1258</v>
      </c>
      <c r="C237" s="8">
        <v>3376</v>
      </c>
      <c r="D237" s="8">
        <v>3507</v>
      </c>
      <c r="E237" s="8">
        <v>3513</v>
      </c>
      <c r="F237" s="8">
        <v>3566</v>
      </c>
      <c r="G237" s="8">
        <v>3615</v>
      </c>
      <c r="H237" s="8">
        <v>3688</v>
      </c>
      <c r="I237" s="8">
        <v>3749</v>
      </c>
      <c r="J237" s="8">
        <v>3755</v>
      </c>
      <c r="K237" s="8">
        <v>4231</v>
      </c>
      <c r="L237" s="36">
        <v>4380</v>
      </c>
      <c r="M237" s="33" t="s">
        <v>1251</v>
      </c>
      <c r="N237" s="19" t="s">
        <v>1247</v>
      </c>
      <c r="O237" s="16">
        <v>390</v>
      </c>
      <c r="P237" s="17">
        <f>SUM(O237/O243)</f>
        <v>1.2700687139740124E-2</v>
      </c>
      <c r="Q237" s="14"/>
    </row>
    <row r="238" spans="1:17" s="2" customFormat="1" ht="16.5" customHeight="1" thickBot="1">
      <c r="A238" s="6" t="s">
        <v>1509</v>
      </c>
      <c r="B238" s="45" t="s">
        <v>1269</v>
      </c>
      <c r="C238" s="8">
        <v>3131</v>
      </c>
      <c r="D238" s="8">
        <v>3135</v>
      </c>
      <c r="E238" s="8">
        <v>3144</v>
      </c>
      <c r="F238" s="8">
        <v>3202</v>
      </c>
      <c r="G238" s="8">
        <v>3337</v>
      </c>
      <c r="H238" s="8">
        <v>3511</v>
      </c>
      <c r="I238" s="8">
        <v>3875</v>
      </c>
      <c r="J238" s="36">
        <v>4466</v>
      </c>
      <c r="K238" s="36"/>
      <c r="L238" s="36"/>
      <c r="M238" s="33" t="s">
        <v>1362</v>
      </c>
      <c r="N238" s="18" t="s">
        <v>1257</v>
      </c>
      <c r="O238" s="16">
        <f>SUM(C239+C241+C243)</f>
        <v>7280</v>
      </c>
      <c r="P238" s="17">
        <f>SUM(O238/O243)</f>
        <v>0.23707949327514899</v>
      </c>
      <c r="Q238" s="14">
        <v>2</v>
      </c>
    </row>
    <row r="239" spans="1:17" s="2" customFormat="1" ht="16.5" customHeight="1" thickBot="1">
      <c r="A239" s="6" t="s">
        <v>1510</v>
      </c>
      <c r="B239" s="9" t="s">
        <v>1257</v>
      </c>
      <c r="C239" s="8">
        <v>2937</v>
      </c>
      <c r="D239" s="8">
        <v>2953</v>
      </c>
      <c r="E239" s="8">
        <v>2966</v>
      </c>
      <c r="F239" s="8">
        <v>3017</v>
      </c>
      <c r="G239" s="8">
        <v>3112</v>
      </c>
      <c r="H239" s="8">
        <v>3393</v>
      </c>
      <c r="I239" s="8">
        <v>3466</v>
      </c>
      <c r="J239" s="8">
        <v>3531</v>
      </c>
      <c r="K239" s="8">
        <v>3789</v>
      </c>
      <c r="L239" s="36">
        <v>4687</v>
      </c>
      <c r="M239" s="33" t="s">
        <v>1252</v>
      </c>
      <c r="N239" s="30" t="s">
        <v>1258</v>
      </c>
      <c r="O239" s="16">
        <f>SUM(C236+C237+C242)</f>
        <v>10469</v>
      </c>
      <c r="P239" s="17">
        <f>SUM(O239/O243)</f>
        <v>0.34093203504087016</v>
      </c>
      <c r="Q239" s="2">
        <v>2</v>
      </c>
    </row>
    <row r="240" spans="1:17" s="2" customFormat="1" ht="16.5" customHeight="1" thickBot="1">
      <c r="A240" s="6" t="s">
        <v>1511</v>
      </c>
      <c r="B240" s="46" t="s">
        <v>1320</v>
      </c>
      <c r="C240" s="8">
        <v>2839</v>
      </c>
      <c r="D240" s="8">
        <v>2843</v>
      </c>
      <c r="E240" s="8">
        <v>2855</v>
      </c>
      <c r="F240" s="8">
        <v>2929</v>
      </c>
      <c r="G240" s="8">
        <v>3059</v>
      </c>
      <c r="H240" s="8">
        <v>3209</v>
      </c>
      <c r="I240" s="8">
        <v>3472</v>
      </c>
      <c r="J240" s="8">
        <v>4113</v>
      </c>
      <c r="K240" s="8">
        <v>4334</v>
      </c>
      <c r="L240" s="36">
        <v>4572</v>
      </c>
      <c r="M240" s="33" t="s">
        <v>1280</v>
      </c>
      <c r="N240" s="15" t="s">
        <v>1261</v>
      </c>
      <c r="O240" s="21">
        <v>1115</v>
      </c>
      <c r="P240" s="17">
        <f>SUM(O240/O243)</f>
        <v>3.6310938873872406E-2</v>
      </c>
    </row>
    <row r="241" spans="1:19" s="2" customFormat="1" ht="16.5" customHeight="1" thickBot="1">
      <c r="A241" s="6" t="s">
        <v>1512</v>
      </c>
      <c r="B241" s="9" t="s">
        <v>1257</v>
      </c>
      <c r="C241" s="8">
        <v>2245</v>
      </c>
      <c r="D241" s="8">
        <v>2251</v>
      </c>
      <c r="E241" s="8">
        <v>2253</v>
      </c>
      <c r="F241" s="8">
        <v>2283</v>
      </c>
      <c r="G241" s="8">
        <v>2402</v>
      </c>
      <c r="H241" s="8">
        <v>2481</v>
      </c>
      <c r="I241" s="8">
        <v>2579</v>
      </c>
      <c r="J241" s="8">
        <v>2641</v>
      </c>
      <c r="K241" s="8">
        <v>2941</v>
      </c>
      <c r="L241" s="36">
        <v>3986</v>
      </c>
      <c r="M241" s="33" t="s">
        <v>1253</v>
      </c>
      <c r="N241" s="31" t="s">
        <v>1269</v>
      </c>
      <c r="O241" s="21">
        <v>3131</v>
      </c>
      <c r="P241" s="17">
        <f>SUM(O241/O243)</f>
        <v>0.10196372162699059</v>
      </c>
      <c r="Q241" s="2">
        <v>1</v>
      </c>
    </row>
    <row r="242" spans="1:19" s="2" customFormat="1" ht="16.5" customHeight="1" thickBot="1">
      <c r="A242" s="12" t="s">
        <v>1513</v>
      </c>
      <c r="B242" s="27" t="s">
        <v>1258</v>
      </c>
      <c r="C242" s="8">
        <v>2147</v>
      </c>
      <c r="D242" s="8">
        <v>2501</v>
      </c>
      <c r="E242" s="8">
        <v>2509</v>
      </c>
      <c r="F242" s="8">
        <v>2560</v>
      </c>
      <c r="G242" s="8">
        <v>2595</v>
      </c>
      <c r="H242" s="8">
        <v>2701</v>
      </c>
      <c r="I242" s="8">
        <v>2737</v>
      </c>
      <c r="J242" s="8">
        <v>2746</v>
      </c>
      <c r="K242" s="8">
        <v>3185</v>
      </c>
      <c r="L242" s="8">
        <v>3255</v>
      </c>
      <c r="M242" s="33"/>
      <c r="N242" s="26" t="s">
        <v>1254</v>
      </c>
      <c r="O242" s="21">
        <f>SUM(C245+C240+C244+C251+C246+C248+C250)</f>
        <v>8322</v>
      </c>
      <c r="P242" s="11">
        <f>SUM(O242/O243)</f>
        <v>0.27101312404337774</v>
      </c>
      <c r="Q242" s="2">
        <v>1</v>
      </c>
    </row>
    <row r="243" spans="1:19" s="2" customFormat="1" ht="16.5" customHeight="1" thickBot="1">
      <c r="A243" s="12" t="s">
        <v>1514</v>
      </c>
      <c r="B243" s="22" t="s">
        <v>1257</v>
      </c>
      <c r="C243" s="8">
        <v>2098</v>
      </c>
      <c r="D243" s="8">
        <v>2103</v>
      </c>
      <c r="E243" s="8">
        <v>2107</v>
      </c>
      <c r="F243" s="8">
        <v>2163</v>
      </c>
      <c r="G243" s="8">
        <v>2234</v>
      </c>
      <c r="H243" s="8">
        <v>2331</v>
      </c>
      <c r="I243" s="8">
        <v>2398</v>
      </c>
      <c r="J243" s="8">
        <v>2457</v>
      </c>
      <c r="K243" s="8">
        <v>2641</v>
      </c>
      <c r="L243" s="8" t="s">
        <v>1326</v>
      </c>
      <c r="O243" s="23">
        <f>SUM(C236:C251)</f>
        <v>30707</v>
      </c>
    </row>
    <row r="244" spans="1:19" s="2" customFormat="1" ht="16.5" customHeight="1" thickBot="1">
      <c r="A244" s="12" t="s">
        <v>1506</v>
      </c>
      <c r="B244" s="42" t="s">
        <v>1304</v>
      </c>
      <c r="C244" s="8">
        <v>1806</v>
      </c>
      <c r="D244" s="8">
        <v>1816</v>
      </c>
      <c r="E244" s="8">
        <v>1824</v>
      </c>
      <c r="F244" s="8">
        <v>1862</v>
      </c>
      <c r="G244" s="8">
        <v>1950</v>
      </c>
      <c r="H244" s="8">
        <v>2044</v>
      </c>
      <c r="I244" s="8">
        <v>2099</v>
      </c>
      <c r="J244" s="8">
        <v>2119</v>
      </c>
      <c r="K244" s="8" t="s">
        <v>1326</v>
      </c>
    </row>
    <row r="245" spans="1:19" s="2" customFormat="1" ht="16.5" customHeight="1" thickBot="1">
      <c r="A245" s="12" t="s">
        <v>1515</v>
      </c>
      <c r="B245" s="38" t="s">
        <v>1270</v>
      </c>
      <c r="C245" s="8">
        <v>1194</v>
      </c>
      <c r="D245" s="8">
        <v>1195</v>
      </c>
      <c r="E245" s="8">
        <v>1202</v>
      </c>
      <c r="F245" s="8">
        <v>1241</v>
      </c>
      <c r="G245" s="8">
        <v>1290</v>
      </c>
      <c r="H245" s="8">
        <v>1376</v>
      </c>
      <c r="I245" s="8" t="s">
        <v>1326</v>
      </c>
      <c r="L245" s="17"/>
    </row>
    <row r="246" spans="1:19" s="2" customFormat="1" ht="16.5" customHeight="1" thickBot="1">
      <c r="A246" s="12" t="s">
        <v>1516</v>
      </c>
      <c r="B246" s="38" t="s">
        <v>1423</v>
      </c>
      <c r="C246" s="8">
        <v>1129</v>
      </c>
      <c r="D246" s="43">
        <v>1133</v>
      </c>
      <c r="E246" s="43">
        <v>1172</v>
      </c>
      <c r="F246" s="8">
        <v>1190</v>
      </c>
      <c r="G246" s="8">
        <v>1257</v>
      </c>
      <c r="H246" s="8" t="s">
        <v>1326</v>
      </c>
      <c r="L246" s="17"/>
    </row>
    <row r="247" spans="1:19" s="2" customFormat="1" ht="16.5" customHeight="1" thickBot="1">
      <c r="A247" s="12" t="s">
        <v>1517</v>
      </c>
      <c r="B247" s="20" t="s">
        <v>1261</v>
      </c>
      <c r="C247" s="8">
        <v>1115</v>
      </c>
      <c r="D247" s="8">
        <v>1116</v>
      </c>
      <c r="E247" s="8">
        <v>1118</v>
      </c>
      <c r="F247" s="8">
        <v>1382</v>
      </c>
      <c r="G247" s="8">
        <v>1399</v>
      </c>
      <c r="H247" s="8">
        <v>1427</v>
      </c>
      <c r="I247" s="8">
        <v>1674</v>
      </c>
      <c r="J247" s="8" t="s">
        <v>1326</v>
      </c>
      <c r="L247" s="17"/>
    </row>
    <row r="248" spans="1:19" s="2" customFormat="1" ht="16.5" customHeight="1" thickBot="1">
      <c r="A248" s="12" t="s">
        <v>1518</v>
      </c>
      <c r="B248" s="38" t="s">
        <v>1408</v>
      </c>
      <c r="C248" s="8">
        <v>864</v>
      </c>
      <c r="D248" s="8">
        <v>866</v>
      </c>
      <c r="E248" s="8">
        <v>872</v>
      </c>
      <c r="F248" s="8">
        <v>888</v>
      </c>
      <c r="G248" s="8" t="s">
        <v>1326</v>
      </c>
    </row>
    <row r="249" spans="1:19" s="2" customFormat="1" ht="16.5" customHeight="1" thickBot="1">
      <c r="A249" s="12" t="s">
        <v>1519</v>
      </c>
      <c r="B249" s="13" t="s">
        <v>1247</v>
      </c>
      <c r="C249" s="8">
        <v>390</v>
      </c>
      <c r="D249" s="8">
        <v>390</v>
      </c>
      <c r="E249" s="8">
        <v>391</v>
      </c>
      <c r="F249" s="8" t="s">
        <v>1326</v>
      </c>
      <c r="L249" s="17"/>
    </row>
    <row r="250" spans="1:19" s="2" customFormat="1" ht="16.5" customHeight="1" thickBot="1">
      <c r="A250" s="12" t="s">
        <v>1520</v>
      </c>
      <c r="B250" s="63" t="s">
        <v>1276</v>
      </c>
      <c r="C250" s="8">
        <v>367</v>
      </c>
      <c r="D250" s="43">
        <v>371</v>
      </c>
      <c r="E250" s="8">
        <v>376</v>
      </c>
      <c r="F250" s="8" t="s">
        <v>1326</v>
      </c>
      <c r="L250" s="17"/>
    </row>
    <row r="251" spans="1:19" s="2" customFormat="1" ht="16.5" customHeight="1" thickBot="1">
      <c r="A251" s="12" t="s">
        <v>1521</v>
      </c>
      <c r="B251" s="38" t="s">
        <v>1270</v>
      </c>
      <c r="C251" s="8">
        <v>123</v>
      </c>
      <c r="D251" s="8">
        <v>124</v>
      </c>
      <c r="E251" s="8" t="s">
        <v>1326</v>
      </c>
    </row>
    <row r="252" spans="1:19" s="2" customFormat="1" ht="12" customHeight="1">
      <c r="A252" s="1"/>
      <c r="L252"/>
      <c r="S252"/>
    </row>
    <row r="253" spans="1:19" s="2" customFormat="1" ht="16.5" customHeight="1">
      <c r="A253" s="1" t="s">
        <v>1694</v>
      </c>
    </row>
    <row r="254" spans="1:19" s="2" customFormat="1" ht="9.75" customHeight="1" thickBot="1">
      <c r="A254" s="3"/>
    </row>
    <row r="255" spans="1:19" s="2" customFormat="1" ht="16.5" customHeight="1" thickBot="1">
      <c r="A255" s="4" t="s">
        <v>1244</v>
      </c>
      <c r="B255" s="5" t="s">
        <v>1245</v>
      </c>
      <c r="C255" s="5" t="s">
        <v>1246</v>
      </c>
      <c r="D255" s="5">
        <v>2</v>
      </c>
      <c r="E255" s="5">
        <v>3</v>
      </c>
      <c r="F255" s="5">
        <v>4</v>
      </c>
      <c r="G255" s="5">
        <v>5</v>
      </c>
      <c r="H255" s="5">
        <v>6</v>
      </c>
      <c r="I255" s="5">
        <v>7</v>
      </c>
      <c r="J255" s="5">
        <v>8</v>
      </c>
      <c r="K255" s="5">
        <v>9</v>
      </c>
      <c r="L255" s="5">
        <v>10</v>
      </c>
      <c r="M255" s="5"/>
      <c r="N255" s="10" t="s">
        <v>1413</v>
      </c>
      <c r="O255" s="11">
        <f>(30067/49372)</f>
        <v>0.60898890059142829</v>
      </c>
    </row>
    <row r="256" spans="1:19" s="2" customFormat="1" ht="16.5" customHeight="1" thickBot="1">
      <c r="A256" s="6" t="s">
        <v>1695</v>
      </c>
      <c r="B256" s="28" t="s">
        <v>1258</v>
      </c>
      <c r="C256" s="36">
        <v>6973</v>
      </c>
      <c r="D256" s="8"/>
      <c r="E256" s="8"/>
      <c r="F256" s="8"/>
      <c r="G256" s="8"/>
      <c r="H256" s="8"/>
      <c r="I256" s="36"/>
      <c r="J256" s="8"/>
      <c r="K256" s="8"/>
      <c r="L256" s="8"/>
      <c r="M256" s="33" t="s">
        <v>1271</v>
      </c>
      <c r="N256" s="14"/>
      <c r="O256" s="10" t="s">
        <v>1248</v>
      </c>
      <c r="P256" s="10" t="s">
        <v>1249</v>
      </c>
      <c r="Q256" s="10" t="s">
        <v>1250</v>
      </c>
    </row>
    <row r="257" spans="1:22" s="2" customFormat="1" ht="16.5" customHeight="1" thickBot="1">
      <c r="A257" s="6" t="s">
        <v>1700</v>
      </c>
      <c r="B257" s="25" t="s">
        <v>1247</v>
      </c>
      <c r="C257" s="36">
        <v>5414</v>
      </c>
      <c r="D257" s="8"/>
      <c r="E257" s="8"/>
      <c r="F257" s="8"/>
      <c r="G257" s="8"/>
      <c r="H257" s="8"/>
      <c r="I257" s="8"/>
      <c r="J257" s="8"/>
      <c r="K257" s="8"/>
      <c r="L257" s="36"/>
      <c r="M257" s="33" t="s">
        <v>1362</v>
      </c>
      <c r="N257" s="19" t="s">
        <v>1247</v>
      </c>
      <c r="O257" s="16">
        <f>(C257+C258)</f>
        <v>9094</v>
      </c>
      <c r="P257" s="17">
        <f>SUM(O257/O263)</f>
        <v>0.30604072017499578</v>
      </c>
      <c r="Q257" s="14">
        <v>2</v>
      </c>
    </row>
    <row r="258" spans="1:22" s="2" customFormat="1" ht="16.5" customHeight="1" thickBot="1">
      <c r="A258" s="6" t="s">
        <v>1701</v>
      </c>
      <c r="B258" s="25" t="s">
        <v>1247</v>
      </c>
      <c r="C258" s="8">
        <v>3680</v>
      </c>
      <c r="D258" s="8">
        <v>3680</v>
      </c>
      <c r="E258" s="36">
        <v>4587</v>
      </c>
      <c r="F258" s="8"/>
      <c r="G258" s="8"/>
      <c r="H258" s="8"/>
      <c r="I258" s="8"/>
      <c r="J258" s="36"/>
      <c r="K258" s="36"/>
      <c r="L258" s="36"/>
      <c r="M258" s="33" t="s">
        <v>1252</v>
      </c>
      <c r="N258" s="18" t="s">
        <v>1257</v>
      </c>
      <c r="O258" s="16">
        <v>2498</v>
      </c>
      <c r="P258" s="17">
        <f>SUM(O258/O263)</f>
        <v>8.4065286892142016E-2</v>
      </c>
      <c r="Q258" s="14">
        <v>1</v>
      </c>
    </row>
    <row r="259" spans="1:22" s="2" customFormat="1" ht="16.5" customHeight="1" thickBot="1">
      <c r="A259" s="6" t="s">
        <v>1697</v>
      </c>
      <c r="B259" s="9" t="s">
        <v>1257</v>
      </c>
      <c r="C259" s="8">
        <v>2498</v>
      </c>
      <c r="D259" s="8">
        <v>2767</v>
      </c>
      <c r="E259" s="8">
        <v>2768</v>
      </c>
      <c r="F259" s="8">
        <v>2770</v>
      </c>
      <c r="G259" s="8">
        <v>2778</v>
      </c>
      <c r="H259" s="8">
        <v>2889</v>
      </c>
      <c r="I259" s="8">
        <v>3079</v>
      </c>
      <c r="J259" s="8">
        <v>3415</v>
      </c>
      <c r="K259" s="8">
        <v>3574</v>
      </c>
      <c r="L259" s="36">
        <v>3967</v>
      </c>
      <c r="M259" s="33" t="s">
        <v>1251</v>
      </c>
      <c r="N259" s="30" t="s">
        <v>1258</v>
      </c>
      <c r="O259" s="16">
        <f>(C256+C260+C263)</f>
        <v>11108</v>
      </c>
      <c r="P259" s="17">
        <f>SUM(O259/O263)</f>
        <v>0.37381793706882044</v>
      </c>
      <c r="Q259" s="2">
        <v>2</v>
      </c>
    </row>
    <row r="260" spans="1:22" s="2" customFormat="1" ht="16.5" customHeight="1" thickBot="1">
      <c r="A260" s="6" t="s">
        <v>1698</v>
      </c>
      <c r="B260" s="28" t="s">
        <v>1258</v>
      </c>
      <c r="C260" s="8">
        <v>2462</v>
      </c>
      <c r="D260" s="8">
        <v>3412</v>
      </c>
      <c r="E260" s="8">
        <v>3413</v>
      </c>
      <c r="F260" s="8">
        <v>3413</v>
      </c>
      <c r="G260" s="8">
        <v>3414</v>
      </c>
      <c r="H260" s="8">
        <v>3516</v>
      </c>
      <c r="I260" s="8">
        <v>3560</v>
      </c>
      <c r="J260" s="8">
        <v>3764</v>
      </c>
      <c r="K260" s="8">
        <v>3783</v>
      </c>
      <c r="L260" s="36">
        <v>3818</v>
      </c>
      <c r="M260" s="33" t="s">
        <v>1253</v>
      </c>
      <c r="N260" s="15" t="s">
        <v>1261</v>
      </c>
      <c r="O260" s="21">
        <f>(C261+C262)</f>
        <v>4080</v>
      </c>
      <c r="P260" s="17">
        <f>SUM(O260/O263)</f>
        <v>0.13730439172135286</v>
      </c>
      <c r="Q260" s="2">
        <v>1</v>
      </c>
    </row>
    <row r="261" spans="1:22" s="2" customFormat="1" ht="16.5" customHeight="1" thickBot="1">
      <c r="A261" s="6" t="s">
        <v>1702</v>
      </c>
      <c r="B261" s="7" t="s">
        <v>1261</v>
      </c>
      <c r="C261" s="8">
        <v>2212</v>
      </c>
      <c r="D261" s="8">
        <v>2223</v>
      </c>
      <c r="E261" s="8">
        <v>2341</v>
      </c>
      <c r="F261" s="8">
        <v>2482</v>
      </c>
      <c r="G261" s="8">
        <v>2530</v>
      </c>
      <c r="H261" s="8">
        <v>2531</v>
      </c>
      <c r="I261" s="8">
        <v>2806</v>
      </c>
      <c r="J261" s="8">
        <v>3099</v>
      </c>
      <c r="K261" s="36">
        <v>4830</v>
      </c>
      <c r="L261" s="36"/>
      <c r="M261" s="33" t="s">
        <v>1280</v>
      </c>
      <c r="N261" s="31" t="s">
        <v>1269</v>
      </c>
      <c r="O261" s="21">
        <v>486</v>
      </c>
      <c r="P261" s="17">
        <f>SUM(O261/O263)</f>
        <v>1.635537607269056E-2</v>
      </c>
    </row>
    <row r="262" spans="1:22" s="2" customFormat="1" ht="16.5" customHeight="1" thickBot="1">
      <c r="A262" s="12" t="s">
        <v>1703</v>
      </c>
      <c r="B262" s="20" t="s">
        <v>1261</v>
      </c>
      <c r="C262" s="8">
        <v>1868</v>
      </c>
      <c r="D262" s="8">
        <v>1873</v>
      </c>
      <c r="E262" s="8">
        <v>1929</v>
      </c>
      <c r="F262" s="8">
        <v>2011</v>
      </c>
      <c r="G262" s="8">
        <v>2029</v>
      </c>
      <c r="H262" s="8">
        <v>2031</v>
      </c>
      <c r="I262" s="8">
        <v>2267</v>
      </c>
      <c r="J262" s="8">
        <v>2485</v>
      </c>
      <c r="K262" s="8" t="s">
        <v>1326</v>
      </c>
      <c r="N262" s="26" t="s">
        <v>1254</v>
      </c>
      <c r="O262" s="21">
        <f>(C264+C265+C267+C268+C269)</f>
        <v>2449</v>
      </c>
      <c r="P262" s="11">
        <f>SUM(O262/O263)</f>
        <v>8.2416288069998317E-2</v>
      </c>
    </row>
    <row r="263" spans="1:22" s="2" customFormat="1" ht="16.5" customHeight="1" thickBot="1">
      <c r="A263" s="12" t="s">
        <v>1699</v>
      </c>
      <c r="B263" s="27" t="s">
        <v>1258</v>
      </c>
      <c r="C263" s="8">
        <v>1673</v>
      </c>
      <c r="D263" s="8">
        <v>2996</v>
      </c>
      <c r="E263" s="8">
        <v>2997</v>
      </c>
      <c r="F263" s="8">
        <v>2997</v>
      </c>
      <c r="G263" s="8">
        <v>2999</v>
      </c>
      <c r="H263" s="8">
        <v>3086</v>
      </c>
      <c r="I263" s="8">
        <v>3124</v>
      </c>
      <c r="J263" s="8">
        <v>3287</v>
      </c>
      <c r="K263" s="8">
        <v>3303</v>
      </c>
      <c r="L263" s="8">
        <v>3327</v>
      </c>
      <c r="M263" s="33"/>
      <c r="O263" s="23">
        <v>29715</v>
      </c>
    </row>
    <row r="264" spans="1:22" s="2" customFormat="1" ht="16.5" customHeight="1" thickBot="1">
      <c r="A264" s="12" t="s">
        <v>1706</v>
      </c>
      <c r="B264" s="38" t="s">
        <v>1270</v>
      </c>
      <c r="C264" s="8">
        <v>1320</v>
      </c>
      <c r="D264" s="8">
        <v>1388</v>
      </c>
      <c r="E264" s="8">
        <v>1411</v>
      </c>
      <c r="F264" s="8">
        <v>1462</v>
      </c>
      <c r="G264" s="8">
        <v>1488</v>
      </c>
      <c r="H264" s="8">
        <v>1539</v>
      </c>
      <c r="I264" s="8">
        <v>1745</v>
      </c>
      <c r="J264" s="8" t="s">
        <v>1326</v>
      </c>
    </row>
    <row r="265" spans="1:22" s="2" customFormat="1" ht="16.5" customHeight="1" thickBot="1">
      <c r="A265" s="12" t="s">
        <v>1704</v>
      </c>
      <c r="B265" s="39" t="s">
        <v>1320</v>
      </c>
      <c r="C265" s="8">
        <v>590</v>
      </c>
      <c r="D265" s="8">
        <v>606</v>
      </c>
      <c r="E265" s="8">
        <v>615</v>
      </c>
      <c r="F265" s="8">
        <v>643</v>
      </c>
      <c r="G265" s="8">
        <v>702</v>
      </c>
      <c r="H265" s="8">
        <v>721</v>
      </c>
      <c r="I265" s="8" t="s">
        <v>1326</v>
      </c>
    </row>
    <row r="266" spans="1:22" s="2" customFormat="1" ht="16.5" customHeight="1" thickBot="1">
      <c r="A266" s="12" t="s">
        <v>1696</v>
      </c>
      <c r="B266" s="32" t="s">
        <v>1269</v>
      </c>
      <c r="C266" s="8">
        <v>486</v>
      </c>
      <c r="D266" s="43">
        <v>494</v>
      </c>
      <c r="E266" s="43">
        <v>497</v>
      </c>
      <c r="F266" s="8">
        <v>500</v>
      </c>
      <c r="G266" s="8">
        <v>512</v>
      </c>
      <c r="H266" s="8">
        <v>525</v>
      </c>
      <c r="I266" s="8" t="s">
        <v>1326</v>
      </c>
      <c r="L266" s="17"/>
      <c r="Q266" s="17"/>
    </row>
    <row r="267" spans="1:22" s="2" customFormat="1" ht="16.5" customHeight="1" thickBot="1">
      <c r="A267" s="12" t="s">
        <v>1339</v>
      </c>
      <c r="B267" s="42" t="s">
        <v>1304</v>
      </c>
      <c r="C267" s="8">
        <v>360</v>
      </c>
      <c r="D267" s="8">
        <v>414</v>
      </c>
      <c r="E267" s="8">
        <v>414</v>
      </c>
      <c r="F267" s="8">
        <v>414</v>
      </c>
      <c r="G267" s="8">
        <v>416</v>
      </c>
      <c r="H267" s="8" t="s">
        <v>1326</v>
      </c>
      <c r="Q267" s="17"/>
      <c r="V267" s="17"/>
    </row>
    <row r="268" spans="1:22" s="2" customFormat="1" ht="16.5" customHeight="1" thickBot="1">
      <c r="A268" s="12" t="s">
        <v>1705</v>
      </c>
      <c r="B268" s="37" t="s">
        <v>1286</v>
      </c>
      <c r="C268" s="8">
        <v>139</v>
      </c>
      <c r="D268" s="8">
        <v>141</v>
      </c>
      <c r="E268" s="8">
        <v>152</v>
      </c>
      <c r="F268" s="8">
        <v>158</v>
      </c>
      <c r="G268" s="8" t="s">
        <v>1326</v>
      </c>
      <c r="L268" s="17"/>
    </row>
    <row r="269" spans="1:22" s="2" customFormat="1" ht="16.5" customHeight="1" thickBot="1">
      <c r="A269" s="12" t="s">
        <v>1675</v>
      </c>
      <c r="B269" s="38" t="s">
        <v>1270</v>
      </c>
      <c r="C269" s="8">
        <v>40</v>
      </c>
      <c r="D269" s="8">
        <v>41</v>
      </c>
      <c r="E269" s="8">
        <v>42</v>
      </c>
      <c r="F269" s="8">
        <v>44</v>
      </c>
      <c r="G269" s="8" t="s">
        <v>1326</v>
      </c>
      <c r="L269" s="14"/>
    </row>
    <row r="270" spans="1:22" s="2" customFormat="1" ht="12" customHeight="1">
      <c r="A270" s="1"/>
    </row>
    <row r="271" spans="1:22" s="2" customFormat="1" ht="16.5" customHeight="1">
      <c r="A271" s="1" t="s">
        <v>1707</v>
      </c>
    </row>
    <row r="272" spans="1:22" s="2" customFormat="1" ht="9.75" customHeight="1" thickBot="1">
      <c r="A272" s="3"/>
    </row>
    <row r="273" spans="1:18" s="2" customFormat="1" ht="16.5" customHeight="1" thickBot="1">
      <c r="A273" s="4" t="s">
        <v>1244</v>
      </c>
      <c r="B273" s="5" t="s">
        <v>1245</v>
      </c>
      <c r="C273" s="5" t="s">
        <v>1246</v>
      </c>
      <c r="D273" s="5">
        <v>2</v>
      </c>
      <c r="E273" s="5">
        <v>3</v>
      </c>
      <c r="F273" s="5">
        <v>4</v>
      </c>
      <c r="G273" s="5">
        <v>5</v>
      </c>
      <c r="H273" s="5">
        <v>6</v>
      </c>
      <c r="I273" s="5"/>
      <c r="J273" s="10" t="s">
        <v>1413</v>
      </c>
      <c r="K273" s="11">
        <f>(34238/50792)</f>
        <v>0.67408253268231222</v>
      </c>
    </row>
    <row r="274" spans="1:18" s="2" customFormat="1" ht="16.5" customHeight="1" thickBot="1">
      <c r="A274" s="6" t="s">
        <v>1709</v>
      </c>
      <c r="B274" s="25" t="s">
        <v>1247</v>
      </c>
      <c r="C274" s="36">
        <v>6029</v>
      </c>
      <c r="D274" s="8"/>
      <c r="E274" s="8"/>
      <c r="F274" s="8"/>
      <c r="G274" s="8"/>
      <c r="H274" s="8"/>
      <c r="I274" s="33" t="s">
        <v>1271</v>
      </c>
      <c r="J274" s="14"/>
      <c r="K274" s="10" t="s">
        <v>1248</v>
      </c>
      <c r="L274" s="10" t="s">
        <v>1249</v>
      </c>
      <c r="M274" s="10" t="s">
        <v>1250</v>
      </c>
    </row>
    <row r="275" spans="1:18" s="2" customFormat="1" ht="16.5" customHeight="1" thickBot="1">
      <c r="A275" s="6" t="s">
        <v>1710</v>
      </c>
      <c r="B275" s="25" t="s">
        <v>1247</v>
      </c>
      <c r="C275" s="8">
        <v>4715</v>
      </c>
      <c r="D275" s="36">
        <v>5267</v>
      </c>
      <c r="E275" s="8"/>
      <c r="F275" s="8"/>
      <c r="G275" s="8"/>
      <c r="H275" s="8"/>
      <c r="I275" s="33" t="s">
        <v>1362</v>
      </c>
      <c r="J275" s="19" t="s">
        <v>1247</v>
      </c>
      <c r="K275" s="16">
        <f>(C274+C275+C276+C277+C278)</f>
        <v>23631</v>
      </c>
      <c r="L275" s="17">
        <f>SUM(K275/K281)</f>
        <v>0.69934891979875702</v>
      </c>
      <c r="M275" s="14">
        <v>5</v>
      </c>
    </row>
    <row r="276" spans="1:18" s="2" customFormat="1" ht="16.5" customHeight="1" thickBot="1">
      <c r="A276" s="6" t="s">
        <v>1712</v>
      </c>
      <c r="B276" s="25" t="s">
        <v>1247</v>
      </c>
      <c r="C276" s="8">
        <v>4368</v>
      </c>
      <c r="D276" s="8">
        <v>4759</v>
      </c>
      <c r="E276" s="8">
        <v>4774</v>
      </c>
      <c r="F276" s="8">
        <v>4784</v>
      </c>
      <c r="G276" s="8">
        <v>4828</v>
      </c>
      <c r="H276" s="36">
        <v>5075</v>
      </c>
      <c r="I276" s="33" t="s">
        <v>1252</v>
      </c>
      <c r="J276" s="18" t="s">
        <v>1257</v>
      </c>
      <c r="K276" s="16">
        <v>558</v>
      </c>
      <c r="L276" s="17">
        <f>SUM(K276/K281)</f>
        <v>1.6513761467889909E-2</v>
      </c>
      <c r="M276" s="14"/>
    </row>
    <row r="277" spans="1:18" s="2" customFormat="1" ht="16.5" customHeight="1" thickBot="1">
      <c r="A277" s="6" t="s">
        <v>1715</v>
      </c>
      <c r="B277" s="25" t="s">
        <v>1247</v>
      </c>
      <c r="C277" s="8">
        <v>4265</v>
      </c>
      <c r="D277" s="8">
        <v>4295</v>
      </c>
      <c r="E277" s="8">
        <v>4666</v>
      </c>
      <c r="F277" s="8">
        <v>4668</v>
      </c>
      <c r="G277" s="8">
        <v>4694</v>
      </c>
      <c r="H277" s="36">
        <v>4849</v>
      </c>
      <c r="I277" s="33" t="s">
        <v>1280</v>
      </c>
      <c r="J277" s="30" t="s">
        <v>1258</v>
      </c>
      <c r="K277" s="16">
        <v>3661</v>
      </c>
      <c r="L277" s="17">
        <f>SUM(K277/K281)</f>
        <v>0.10834566439775081</v>
      </c>
    </row>
    <row r="278" spans="1:18" s="2" customFormat="1" ht="16.5" customHeight="1" thickBot="1">
      <c r="A278" s="6" t="s">
        <v>1718</v>
      </c>
      <c r="B278" s="25" t="s">
        <v>1247</v>
      </c>
      <c r="C278" s="8">
        <v>4254</v>
      </c>
      <c r="D278" s="8">
        <v>4324</v>
      </c>
      <c r="E278" s="8">
        <v>4345</v>
      </c>
      <c r="F278" s="8">
        <v>4354</v>
      </c>
      <c r="G278" s="8">
        <v>4378</v>
      </c>
      <c r="H278" s="36">
        <v>4647</v>
      </c>
      <c r="I278" s="33" t="s">
        <v>1253</v>
      </c>
      <c r="J278" s="15" t="s">
        <v>1261</v>
      </c>
      <c r="K278" s="21">
        <f>(C280+C281)</f>
        <v>4110</v>
      </c>
      <c r="L278" s="17">
        <f>SUM(K278/K281)</f>
        <v>0.12163361941402782</v>
      </c>
      <c r="M278" s="2">
        <v>1</v>
      </c>
    </row>
    <row r="279" spans="1:18" s="2" customFormat="1" ht="16.5" customHeight="1" thickBot="1">
      <c r="A279" s="12" t="s">
        <v>1708</v>
      </c>
      <c r="B279" s="27" t="s">
        <v>1258</v>
      </c>
      <c r="C279" s="8">
        <v>3661</v>
      </c>
      <c r="D279" s="8">
        <v>3661</v>
      </c>
      <c r="E279" s="8">
        <v>3661</v>
      </c>
      <c r="F279" s="8">
        <v>3671</v>
      </c>
      <c r="G279" s="8">
        <v>3677</v>
      </c>
      <c r="H279" s="8">
        <v>4166</v>
      </c>
      <c r="I279" s="33"/>
      <c r="J279" s="31" t="s">
        <v>1269</v>
      </c>
      <c r="K279" s="21">
        <v>127</v>
      </c>
      <c r="L279" s="17">
        <f>SUM(K279/K281)</f>
        <v>3.7585084344480615E-3</v>
      </c>
    </row>
    <row r="280" spans="1:18" s="2" customFormat="1" ht="16.5" customHeight="1" thickBot="1">
      <c r="A280" s="6" t="s">
        <v>1713</v>
      </c>
      <c r="B280" s="7" t="s">
        <v>1261</v>
      </c>
      <c r="C280" s="8">
        <v>3036</v>
      </c>
      <c r="D280" s="8">
        <v>3149</v>
      </c>
      <c r="E280" s="8">
        <v>3150</v>
      </c>
      <c r="F280" s="8">
        <v>3197</v>
      </c>
      <c r="G280" s="8">
        <v>3235</v>
      </c>
      <c r="H280" s="36">
        <v>4779</v>
      </c>
      <c r="I280" s="33" t="s">
        <v>1251</v>
      </c>
      <c r="J280" s="26" t="s">
        <v>1254</v>
      </c>
      <c r="K280" s="21">
        <f>(C282+C284+C285+C287)</f>
        <v>1703</v>
      </c>
      <c r="L280" s="11">
        <f>SUM(K280/K281)</f>
        <v>5.0399526487126367E-2</v>
      </c>
    </row>
    <row r="281" spans="1:18" s="2" customFormat="1" ht="16.5" customHeight="1" thickBot="1">
      <c r="A281" s="12" t="s">
        <v>1714</v>
      </c>
      <c r="B281" s="20" t="s">
        <v>1261</v>
      </c>
      <c r="C281" s="8">
        <v>1074</v>
      </c>
      <c r="D281" s="8">
        <v>1086</v>
      </c>
      <c r="E281" s="8">
        <v>1087</v>
      </c>
      <c r="F281" s="8">
        <v>1110</v>
      </c>
      <c r="G281" s="8">
        <v>1157</v>
      </c>
      <c r="H281" s="8" t="s">
        <v>1326</v>
      </c>
      <c r="K281" s="23">
        <v>33790</v>
      </c>
    </row>
    <row r="282" spans="1:18" s="2" customFormat="1" ht="16.5" customHeight="1" thickBot="1">
      <c r="A282" s="12" t="s">
        <v>1716</v>
      </c>
      <c r="B282" s="38" t="s">
        <v>1717</v>
      </c>
      <c r="C282" s="8">
        <v>774</v>
      </c>
      <c r="D282" s="8">
        <v>789</v>
      </c>
      <c r="E282" s="8">
        <v>790</v>
      </c>
      <c r="F282" s="8">
        <v>830</v>
      </c>
      <c r="G282" s="8">
        <v>969</v>
      </c>
      <c r="H282" s="8" t="s">
        <v>1326</v>
      </c>
    </row>
    <row r="283" spans="1:18" s="2" customFormat="1" ht="16.5" customHeight="1" thickBot="1">
      <c r="A283" s="12" t="s">
        <v>1711</v>
      </c>
      <c r="B283" s="22" t="s">
        <v>1257</v>
      </c>
      <c r="C283" s="8">
        <v>558</v>
      </c>
      <c r="D283" s="8">
        <v>559</v>
      </c>
      <c r="E283" s="8">
        <v>559</v>
      </c>
      <c r="F283" s="8">
        <v>580</v>
      </c>
      <c r="G283" s="8">
        <v>582</v>
      </c>
      <c r="H283" s="8" t="s">
        <v>1326</v>
      </c>
    </row>
    <row r="284" spans="1:18" s="2" customFormat="1" ht="16.5" customHeight="1" thickBot="1">
      <c r="A284" s="12" t="s">
        <v>1720</v>
      </c>
      <c r="B284" s="37" t="s">
        <v>1286</v>
      </c>
      <c r="C284" s="8">
        <v>434</v>
      </c>
      <c r="D284" s="43">
        <v>440</v>
      </c>
      <c r="E284" s="43">
        <v>440</v>
      </c>
      <c r="F284" s="8">
        <v>453</v>
      </c>
      <c r="G284" s="8">
        <v>453</v>
      </c>
      <c r="H284" s="8" t="s">
        <v>1326</v>
      </c>
      <c r="M284" s="17"/>
    </row>
    <row r="285" spans="1:18" s="2" customFormat="1" ht="16.5" customHeight="1" thickBot="1">
      <c r="A285" s="12" t="s">
        <v>1721</v>
      </c>
      <c r="B285" s="41" t="s">
        <v>1338</v>
      </c>
      <c r="C285" s="8">
        <v>427</v>
      </c>
      <c r="D285" s="8">
        <v>429</v>
      </c>
      <c r="E285" s="8">
        <v>429</v>
      </c>
      <c r="F285" s="8">
        <v>437</v>
      </c>
      <c r="G285" s="8" t="s">
        <v>1326</v>
      </c>
      <c r="M285" s="17"/>
      <c r="R285" s="17"/>
    </row>
    <row r="286" spans="1:18" s="2" customFormat="1" ht="16.5" customHeight="1" thickBot="1">
      <c r="A286" s="12" t="s">
        <v>1719</v>
      </c>
      <c r="B286" s="32" t="s">
        <v>1269</v>
      </c>
      <c r="C286" s="8">
        <v>127</v>
      </c>
      <c r="D286" s="8">
        <v>132</v>
      </c>
      <c r="E286" s="8">
        <v>133</v>
      </c>
      <c r="F286" s="8" t="s">
        <v>1326</v>
      </c>
    </row>
    <row r="287" spans="1:18" s="2" customFormat="1" ht="16.5" customHeight="1" thickBot="1">
      <c r="A287" s="12" t="s">
        <v>1675</v>
      </c>
      <c r="B287" s="38" t="s">
        <v>1270</v>
      </c>
      <c r="C287" s="8">
        <v>68</v>
      </c>
      <c r="D287" s="8">
        <v>69</v>
      </c>
      <c r="E287" s="8">
        <v>69</v>
      </c>
      <c r="F287" s="8" t="s">
        <v>1326</v>
      </c>
      <c r="L287" s="14"/>
    </row>
    <row r="288" spans="1:18" s="2" customFormat="1" ht="12" customHeight="1">
      <c r="A288" s="1"/>
    </row>
    <row r="289" spans="1:29" s="2" customFormat="1" ht="16.5" customHeight="1">
      <c r="A289" s="1" t="s">
        <v>1676</v>
      </c>
    </row>
    <row r="290" spans="1:29" s="2" customFormat="1" ht="9.75" customHeight="1" thickBot="1">
      <c r="A290" s="3"/>
    </row>
    <row r="291" spans="1:29" s="2" customFormat="1" ht="16.5" customHeight="1" thickBot="1">
      <c r="A291" s="4" t="s">
        <v>1244</v>
      </c>
      <c r="B291" s="5" t="s">
        <v>1245</v>
      </c>
      <c r="C291" s="5" t="s">
        <v>1246</v>
      </c>
      <c r="D291" s="5">
        <v>2</v>
      </c>
      <c r="E291" s="5">
        <v>3</v>
      </c>
      <c r="F291" s="5">
        <v>4</v>
      </c>
      <c r="G291" s="5">
        <v>5</v>
      </c>
      <c r="H291" s="5">
        <v>6</v>
      </c>
      <c r="I291" s="5">
        <v>7</v>
      </c>
      <c r="J291" s="5">
        <v>8</v>
      </c>
      <c r="K291" s="5">
        <v>9</v>
      </c>
      <c r="L291" s="5">
        <v>10</v>
      </c>
      <c r="M291" s="5"/>
      <c r="N291" s="10" t="s">
        <v>1413</v>
      </c>
      <c r="O291" s="11">
        <f>(30533/48923)</f>
        <v>0.62410318255217379</v>
      </c>
    </row>
    <row r="292" spans="1:29" s="2" customFormat="1" ht="16.5" customHeight="1" thickBot="1">
      <c r="A292" s="6" t="s">
        <v>1677</v>
      </c>
      <c r="B292" s="28" t="s">
        <v>1258</v>
      </c>
      <c r="C292" s="36">
        <v>4762</v>
      </c>
      <c r="D292" s="8"/>
      <c r="E292" s="8"/>
      <c r="F292" s="8"/>
      <c r="G292" s="8"/>
      <c r="H292" s="8"/>
      <c r="I292" s="36"/>
      <c r="J292" s="8"/>
      <c r="K292" s="8"/>
      <c r="L292" s="8"/>
      <c r="M292" s="33" t="s">
        <v>1271</v>
      </c>
      <c r="N292" s="14"/>
      <c r="O292" s="10" t="s">
        <v>1248</v>
      </c>
      <c r="P292" s="10" t="s">
        <v>1249</v>
      </c>
      <c r="Q292" s="10" t="s">
        <v>1250</v>
      </c>
    </row>
    <row r="293" spans="1:29" s="2" customFormat="1" ht="16.5" customHeight="1" thickBot="1">
      <c r="A293" s="6" t="s">
        <v>1685</v>
      </c>
      <c r="B293" s="7" t="s">
        <v>1261</v>
      </c>
      <c r="C293" s="36">
        <v>4379</v>
      </c>
      <c r="D293" s="8"/>
      <c r="E293" s="8"/>
      <c r="F293" s="8"/>
      <c r="G293" s="8"/>
      <c r="H293" s="8"/>
      <c r="I293" s="8"/>
      <c r="J293" s="8"/>
      <c r="K293" s="8"/>
      <c r="L293" s="36"/>
      <c r="M293" s="33" t="s">
        <v>1362</v>
      </c>
      <c r="N293" s="19" t="s">
        <v>1247</v>
      </c>
      <c r="O293" s="16">
        <v>3996</v>
      </c>
      <c r="P293" s="17">
        <f>SUM(O293/O299)</f>
        <v>0.13168995518059584</v>
      </c>
      <c r="Q293" s="14">
        <v>1</v>
      </c>
    </row>
    <row r="294" spans="1:29" s="2" customFormat="1" ht="16.5" customHeight="1" thickBot="1">
      <c r="A294" s="6" t="s">
        <v>1683</v>
      </c>
      <c r="B294" s="25" t="s">
        <v>1247</v>
      </c>
      <c r="C294" s="8">
        <v>3996</v>
      </c>
      <c r="D294" s="8">
        <v>3996</v>
      </c>
      <c r="E294" s="8">
        <v>4002</v>
      </c>
      <c r="F294" s="8">
        <v>4004</v>
      </c>
      <c r="G294" s="8">
        <v>4022</v>
      </c>
      <c r="H294" s="8">
        <v>4052</v>
      </c>
      <c r="I294" s="8">
        <v>4065</v>
      </c>
      <c r="J294" s="8">
        <v>4153</v>
      </c>
      <c r="K294" s="8">
        <v>4162</v>
      </c>
      <c r="L294" s="36">
        <v>4167</v>
      </c>
      <c r="M294" s="33" t="s">
        <v>1253</v>
      </c>
      <c r="N294" s="18" t="s">
        <v>1257</v>
      </c>
      <c r="O294" s="16">
        <f>(C297+C299+C300)</f>
        <v>5573</v>
      </c>
      <c r="P294" s="17">
        <f>SUM(O294/O299)</f>
        <v>0.18366069074611127</v>
      </c>
      <c r="Q294" s="14">
        <v>1</v>
      </c>
    </row>
    <row r="295" spans="1:29" s="2" customFormat="1" ht="16.5" customHeight="1" thickBot="1">
      <c r="A295" s="6" t="s">
        <v>1678</v>
      </c>
      <c r="B295" s="45" t="s">
        <v>1269</v>
      </c>
      <c r="C295" s="8">
        <v>3829</v>
      </c>
      <c r="D295" s="8">
        <v>3831</v>
      </c>
      <c r="E295" s="8">
        <v>3834</v>
      </c>
      <c r="F295" s="8">
        <v>3853</v>
      </c>
      <c r="G295" s="8">
        <v>3908</v>
      </c>
      <c r="H295" s="8">
        <v>3956</v>
      </c>
      <c r="I295" s="8">
        <v>4046</v>
      </c>
      <c r="J295" s="36">
        <v>4415</v>
      </c>
      <c r="K295" s="8"/>
      <c r="L295" s="36"/>
      <c r="M295" s="33" t="s">
        <v>1252</v>
      </c>
      <c r="N295" s="30" t="s">
        <v>1258</v>
      </c>
      <c r="O295" s="16">
        <f>(C292+C298)</f>
        <v>6797</v>
      </c>
      <c r="P295" s="17">
        <f>SUM(O295/O299)</f>
        <v>0.22399815449512259</v>
      </c>
      <c r="Q295" s="2">
        <v>1</v>
      </c>
    </row>
    <row r="296" spans="1:29" s="2" customFormat="1" ht="16.5" customHeight="1" thickBot="1">
      <c r="A296" s="6" t="s">
        <v>1686</v>
      </c>
      <c r="B296" s="7" t="s">
        <v>1261</v>
      </c>
      <c r="C296" s="8">
        <v>3748</v>
      </c>
      <c r="D296" s="8">
        <v>3749</v>
      </c>
      <c r="E296" s="8">
        <v>3780</v>
      </c>
      <c r="F296" s="8">
        <v>3786</v>
      </c>
      <c r="G296" s="8">
        <v>3815</v>
      </c>
      <c r="H296" s="8">
        <v>3849</v>
      </c>
      <c r="I296" s="8">
        <v>3856</v>
      </c>
      <c r="J296" s="8">
        <v>4063</v>
      </c>
      <c r="K296" s="8">
        <v>4077</v>
      </c>
      <c r="L296" s="36">
        <v>4262</v>
      </c>
      <c r="M296" s="33" t="s">
        <v>1251</v>
      </c>
      <c r="N296" s="15" t="s">
        <v>1261</v>
      </c>
      <c r="O296" s="21">
        <f>(C293+C296)</f>
        <v>8127</v>
      </c>
      <c r="P296" s="17">
        <f>SUM(O296/O299)</f>
        <v>0.26782889533350912</v>
      </c>
      <c r="Q296" s="2">
        <v>2</v>
      </c>
    </row>
    <row r="297" spans="1:29" s="2" customFormat="1" ht="16.5" customHeight="1" thickBot="1">
      <c r="A297" s="6" t="s">
        <v>1679</v>
      </c>
      <c r="B297" s="9" t="s">
        <v>1257</v>
      </c>
      <c r="C297" s="8">
        <v>2647</v>
      </c>
      <c r="D297" s="8">
        <v>2656</v>
      </c>
      <c r="E297" s="8">
        <v>2657</v>
      </c>
      <c r="F297" s="8">
        <v>2663</v>
      </c>
      <c r="G297" s="8">
        <v>2686</v>
      </c>
      <c r="H297" s="8">
        <v>2691</v>
      </c>
      <c r="I297" s="8">
        <v>2802</v>
      </c>
      <c r="J297" s="8">
        <v>2837</v>
      </c>
      <c r="K297" s="8">
        <v>3472</v>
      </c>
      <c r="L297" s="36">
        <v>4927</v>
      </c>
      <c r="M297" s="33" t="s">
        <v>1280</v>
      </c>
      <c r="N297" s="31" t="s">
        <v>1269</v>
      </c>
      <c r="O297" s="21">
        <v>3829</v>
      </c>
      <c r="P297" s="17">
        <f>SUM(O297/O299)</f>
        <v>0.12618639599261797</v>
      </c>
      <c r="Q297" s="2">
        <v>1</v>
      </c>
    </row>
    <row r="298" spans="1:29" s="2" customFormat="1" ht="16.5" customHeight="1" thickBot="1">
      <c r="A298" s="12" t="s">
        <v>1680</v>
      </c>
      <c r="B298" s="27" t="s">
        <v>1258</v>
      </c>
      <c r="C298" s="8">
        <v>2035</v>
      </c>
      <c r="D298" s="8">
        <v>2387</v>
      </c>
      <c r="E298" s="8">
        <v>2388</v>
      </c>
      <c r="F298" s="8">
        <v>2398</v>
      </c>
      <c r="G298" s="8">
        <v>2410</v>
      </c>
      <c r="H298" s="8">
        <v>2421</v>
      </c>
      <c r="I298" s="8">
        <v>2656</v>
      </c>
      <c r="J298" s="8">
        <v>2684</v>
      </c>
      <c r="K298" s="8">
        <v>2932</v>
      </c>
      <c r="L298" s="8">
        <v>3275</v>
      </c>
      <c r="M298" s="33"/>
      <c r="N298" s="26" t="s">
        <v>1254</v>
      </c>
      <c r="O298" s="21">
        <f>SUM(C301:C309)</f>
        <v>2022</v>
      </c>
      <c r="P298" s="11">
        <f>SUM(O298/O299)</f>
        <v>6.6635908252043241E-2</v>
      </c>
    </row>
    <row r="299" spans="1:29" s="2" customFormat="1" ht="16.5" customHeight="1" thickBot="1">
      <c r="A299" s="12" t="s">
        <v>1682</v>
      </c>
      <c r="B299" s="22" t="s">
        <v>1257</v>
      </c>
      <c r="C299" s="8">
        <v>1804</v>
      </c>
      <c r="D299" s="8">
        <v>1807</v>
      </c>
      <c r="E299" s="8">
        <v>1807</v>
      </c>
      <c r="F299" s="8">
        <v>1807</v>
      </c>
      <c r="G299" s="8">
        <v>1827</v>
      </c>
      <c r="H299" s="8">
        <v>1838</v>
      </c>
      <c r="I299" s="8">
        <v>1920</v>
      </c>
      <c r="J299" s="8">
        <v>1958</v>
      </c>
      <c r="K299" s="8">
        <v>2252</v>
      </c>
      <c r="L299" s="8" t="s">
        <v>1326</v>
      </c>
      <c r="O299" s="23">
        <v>30344</v>
      </c>
    </row>
    <row r="300" spans="1:29" s="2" customFormat="1" ht="16.5" customHeight="1" thickBot="1">
      <c r="A300" s="12" t="s">
        <v>1684</v>
      </c>
      <c r="B300" s="22" t="s">
        <v>1257</v>
      </c>
      <c r="C300" s="8">
        <v>1122</v>
      </c>
      <c r="D300" s="8">
        <v>1131</v>
      </c>
      <c r="E300" s="8">
        <v>1132</v>
      </c>
      <c r="F300" s="8">
        <v>1135</v>
      </c>
      <c r="G300" s="8">
        <v>1138</v>
      </c>
      <c r="H300" s="8">
        <v>1143</v>
      </c>
      <c r="I300" s="8">
        <v>1254</v>
      </c>
      <c r="J300" s="8">
        <v>1268</v>
      </c>
      <c r="K300" s="8" t="s">
        <v>1326</v>
      </c>
    </row>
    <row r="301" spans="1:29" s="2" customFormat="1" ht="16.5" customHeight="1" thickBot="1">
      <c r="A301" s="12" t="s">
        <v>1693</v>
      </c>
      <c r="B301" s="39" t="s">
        <v>1320</v>
      </c>
      <c r="C301" s="8">
        <v>737</v>
      </c>
      <c r="D301" s="8">
        <v>737</v>
      </c>
      <c r="E301" s="8">
        <v>737</v>
      </c>
      <c r="F301" s="8">
        <v>763</v>
      </c>
      <c r="G301" s="8">
        <v>787</v>
      </c>
      <c r="H301" s="8">
        <v>876</v>
      </c>
      <c r="I301" s="8">
        <v>907</v>
      </c>
      <c r="J301" s="8" t="s">
        <v>1326</v>
      </c>
    </row>
    <row r="302" spans="1:29" s="2" customFormat="1" ht="16.5" customHeight="1" thickBot="1">
      <c r="A302" s="12" t="s">
        <v>1681</v>
      </c>
      <c r="B302" s="63" t="s">
        <v>1276</v>
      </c>
      <c r="C302" s="8">
        <v>410</v>
      </c>
      <c r="D302" s="43">
        <v>412</v>
      </c>
      <c r="E302" s="43">
        <v>413</v>
      </c>
      <c r="F302" s="8">
        <v>416</v>
      </c>
      <c r="G302" s="8">
        <v>425</v>
      </c>
      <c r="H302" s="8">
        <v>436</v>
      </c>
      <c r="I302" s="8" t="s">
        <v>1326</v>
      </c>
      <c r="L302" s="17"/>
      <c r="Q302" s="17"/>
    </row>
    <row r="303" spans="1:29" s="2" customFormat="1" ht="16.5" customHeight="1" thickBot="1">
      <c r="A303" s="12" t="s">
        <v>1690</v>
      </c>
      <c r="B303" s="42" t="s">
        <v>1304</v>
      </c>
      <c r="C303" s="8">
        <v>298</v>
      </c>
      <c r="D303" s="8">
        <v>299</v>
      </c>
      <c r="E303" s="8">
        <v>299</v>
      </c>
      <c r="F303" s="8">
        <v>302</v>
      </c>
      <c r="G303" s="8">
        <v>309</v>
      </c>
      <c r="H303" s="8">
        <v>322</v>
      </c>
      <c r="I303" s="8" t="s">
        <v>1326</v>
      </c>
      <c r="L303" s="17"/>
      <c r="Q303" s="17"/>
      <c r="V303"/>
      <c r="AC303"/>
    </row>
    <row r="304" spans="1:29" s="2" customFormat="1" ht="16.5" customHeight="1" thickBot="1">
      <c r="A304" s="12" t="s">
        <v>1688</v>
      </c>
      <c r="B304" s="38" t="s">
        <v>1673</v>
      </c>
      <c r="C304" s="8">
        <v>248</v>
      </c>
      <c r="D304" s="8">
        <v>248</v>
      </c>
      <c r="E304" s="8">
        <v>248</v>
      </c>
      <c r="F304" s="8">
        <v>252</v>
      </c>
      <c r="G304" s="8">
        <v>277</v>
      </c>
      <c r="H304" s="8" t="s">
        <v>1326</v>
      </c>
      <c r="Q304" s="17"/>
      <c r="V304" s="17"/>
    </row>
    <row r="305" spans="1:29" s="2" customFormat="1" ht="16.5" customHeight="1" thickBot="1">
      <c r="A305" s="12" t="s">
        <v>1689</v>
      </c>
      <c r="B305" s="37" t="s">
        <v>1286</v>
      </c>
      <c r="C305" s="8">
        <v>123</v>
      </c>
      <c r="D305" s="8">
        <v>123</v>
      </c>
      <c r="E305" s="8">
        <v>123</v>
      </c>
      <c r="F305" s="8">
        <v>126</v>
      </c>
      <c r="G305" s="8" t="s">
        <v>1326</v>
      </c>
      <c r="L305" s="17"/>
    </row>
    <row r="306" spans="1:29" s="2" customFormat="1" ht="16.5" customHeight="1" thickBot="1">
      <c r="A306" s="12" t="s">
        <v>1687</v>
      </c>
      <c r="B306" s="38" t="s">
        <v>1408</v>
      </c>
      <c r="C306" s="8">
        <v>108</v>
      </c>
      <c r="D306" s="8">
        <v>108</v>
      </c>
      <c r="E306" s="8">
        <v>108</v>
      </c>
      <c r="F306" s="8">
        <v>108</v>
      </c>
      <c r="G306" s="8" t="s">
        <v>1326</v>
      </c>
      <c r="L306" s="14"/>
    </row>
    <row r="307" spans="1:29" s="2" customFormat="1" ht="16.5" customHeight="1" thickBot="1">
      <c r="A307" s="12" t="s">
        <v>1675</v>
      </c>
      <c r="B307" s="38" t="s">
        <v>1270</v>
      </c>
      <c r="C307" s="8">
        <v>66</v>
      </c>
      <c r="D307" s="8">
        <v>66</v>
      </c>
      <c r="E307" s="8">
        <v>66</v>
      </c>
      <c r="F307" s="8" t="s">
        <v>1326</v>
      </c>
      <c r="L307" s="17"/>
      <c r="Q307" s="17"/>
      <c r="V307"/>
      <c r="AC307"/>
    </row>
    <row r="308" spans="1:29" s="2" customFormat="1" ht="16.5" customHeight="1" thickBot="1">
      <c r="A308" s="12" t="s">
        <v>1691</v>
      </c>
      <c r="B308" s="38" t="s">
        <v>1270</v>
      </c>
      <c r="C308" s="8">
        <v>22</v>
      </c>
      <c r="D308" s="8">
        <v>22</v>
      </c>
      <c r="E308" s="8">
        <v>22</v>
      </c>
      <c r="F308" s="8" t="s">
        <v>1326</v>
      </c>
      <c r="Q308" s="17"/>
      <c r="V308" s="17"/>
    </row>
    <row r="309" spans="1:29" s="2" customFormat="1" ht="16.5" customHeight="1" thickBot="1">
      <c r="A309" s="12" t="s">
        <v>1692</v>
      </c>
      <c r="B309" s="38" t="s">
        <v>1270</v>
      </c>
      <c r="C309" s="8">
        <v>10</v>
      </c>
      <c r="D309" s="8">
        <v>10</v>
      </c>
      <c r="E309" s="8">
        <v>10</v>
      </c>
      <c r="F309" s="8" t="s">
        <v>1326</v>
      </c>
      <c r="L309" s="14"/>
    </row>
    <row r="310" spans="1:29" s="2" customFormat="1" ht="12" customHeight="1">
      <c r="A310" s="1"/>
    </row>
    <row r="311" spans="1:29" s="2" customFormat="1" ht="16.5" customHeight="1">
      <c r="A311" s="1" t="s">
        <v>1659</v>
      </c>
    </row>
    <row r="312" spans="1:29" s="2" customFormat="1" ht="9.75" customHeight="1" thickBot="1">
      <c r="A312" s="3"/>
    </row>
    <row r="313" spans="1:29" s="2" customFormat="1" ht="16.5" customHeight="1" thickBot="1">
      <c r="A313" s="4" t="s">
        <v>1244</v>
      </c>
      <c r="B313" s="5" t="s">
        <v>1245</v>
      </c>
      <c r="C313" s="5" t="s">
        <v>1246</v>
      </c>
      <c r="D313" s="5">
        <v>2</v>
      </c>
      <c r="E313" s="5">
        <v>3</v>
      </c>
      <c r="F313" s="5">
        <v>4</v>
      </c>
      <c r="G313" s="5">
        <v>5</v>
      </c>
      <c r="H313" s="5">
        <v>6</v>
      </c>
      <c r="I313" s="5">
        <v>7</v>
      </c>
      <c r="J313" s="5">
        <v>8</v>
      </c>
      <c r="K313" s="5">
        <v>9</v>
      </c>
      <c r="L313" s="5">
        <v>10</v>
      </c>
      <c r="M313" s="5"/>
      <c r="N313" s="10" t="s">
        <v>1413</v>
      </c>
      <c r="O313" s="11">
        <f>(29873/49757)</f>
        <v>0.60037783628434194</v>
      </c>
    </row>
    <row r="314" spans="1:29" s="2" customFormat="1" ht="16.5" customHeight="1" thickBot="1">
      <c r="A314" s="6" t="s">
        <v>1660</v>
      </c>
      <c r="B314" s="28" t="s">
        <v>1258</v>
      </c>
      <c r="C314" s="36">
        <v>5635</v>
      </c>
      <c r="D314" s="8"/>
      <c r="E314" s="8"/>
      <c r="F314" s="8"/>
      <c r="G314" s="8"/>
      <c r="H314" s="8"/>
      <c r="I314" s="36"/>
      <c r="J314" s="8"/>
      <c r="K314" s="8"/>
      <c r="L314" s="8"/>
      <c r="M314" s="33" t="s">
        <v>1271</v>
      </c>
      <c r="N314" s="14"/>
      <c r="O314" s="10" t="s">
        <v>1248</v>
      </c>
      <c r="P314" s="10" t="s">
        <v>1249</v>
      </c>
      <c r="Q314" s="10" t="s">
        <v>1250</v>
      </c>
    </row>
    <row r="315" spans="1:29" s="2" customFormat="1" ht="16.5" customHeight="1" thickBot="1">
      <c r="A315" s="6" t="s">
        <v>1661</v>
      </c>
      <c r="B315" s="45" t="s">
        <v>1269</v>
      </c>
      <c r="C315" s="36">
        <v>5585</v>
      </c>
      <c r="D315" s="8"/>
      <c r="E315" s="8"/>
      <c r="F315" s="8"/>
      <c r="G315" s="8"/>
      <c r="H315" s="8"/>
      <c r="I315" s="8"/>
      <c r="J315" s="8"/>
      <c r="K315" s="8"/>
      <c r="L315" s="36"/>
      <c r="M315" s="33" t="s">
        <v>1362</v>
      </c>
      <c r="N315" s="19" t="s">
        <v>1247</v>
      </c>
      <c r="O315" s="16">
        <v>1055</v>
      </c>
      <c r="P315" s="17">
        <f>SUM(O315/O321)</f>
        <v>3.5604603287097969E-2</v>
      </c>
      <c r="Q315" s="14"/>
    </row>
    <row r="316" spans="1:29" s="2" customFormat="1" ht="16.5" customHeight="1" thickBot="1">
      <c r="A316" s="6" t="s">
        <v>1662</v>
      </c>
      <c r="B316" s="9" t="s">
        <v>1257</v>
      </c>
      <c r="C316" s="8">
        <v>4139</v>
      </c>
      <c r="D316" s="8">
        <v>4231</v>
      </c>
      <c r="E316" s="36">
        <v>4620</v>
      </c>
      <c r="F316" s="8"/>
      <c r="G316" s="8"/>
      <c r="H316" s="8"/>
      <c r="I316" s="8"/>
      <c r="J316" s="36"/>
      <c r="K316" s="36"/>
      <c r="L316" s="36"/>
      <c r="M316" s="33" t="s">
        <v>1252</v>
      </c>
      <c r="N316" s="18" t="s">
        <v>1257</v>
      </c>
      <c r="O316" s="16">
        <f>(C316+C320+C322)</f>
        <v>6516</v>
      </c>
      <c r="P316" s="17">
        <f>SUM(O316/O321)</f>
        <v>0.21990482940164016</v>
      </c>
      <c r="Q316" s="14">
        <v>1</v>
      </c>
    </row>
    <row r="317" spans="1:29" s="2" customFormat="1" ht="16.5" customHeight="1" thickBot="1">
      <c r="A317" s="6" t="s">
        <v>1663</v>
      </c>
      <c r="B317" s="28" t="s">
        <v>1258</v>
      </c>
      <c r="C317" s="8">
        <v>3185</v>
      </c>
      <c r="D317" s="8">
        <v>3417</v>
      </c>
      <c r="E317" s="8">
        <v>3453</v>
      </c>
      <c r="F317" s="8">
        <v>3462</v>
      </c>
      <c r="G317" s="8">
        <v>3488</v>
      </c>
      <c r="H317" s="8">
        <v>3542</v>
      </c>
      <c r="I317" s="8">
        <v>3608</v>
      </c>
      <c r="J317" s="8">
        <v>3609</v>
      </c>
      <c r="K317" s="8">
        <v>3709</v>
      </c>
      <c r="L317" s="36">
        <v>3734</v>
      </c>
      <c r="M317" s="33" t="s">
        <v>1280</v>
      </c>
      <c r="N317" s="30" t="s">
        <v>1258</v>
      </c>
      <c r="O317" s="16">
        <f>(C314+C317+C319)</f>
        <v>11155</v>
      </c>
      <c r="P317" s="17">
        <f>SUM(O317/O321)</f>
        <v>0.37646383854746718</v>
      </c>
      <c r="Q317" s="2">
        <v>3</v>
      </c>
    </row>
    <row r="318" spans="1:29" s="2" customFormat="1" ht="16.5" customHeight="1" thickBot="1">
      <c r="A318" s="6" t="s">
        <v>1664</v>
      </c>
      <c r="B318" s="62" t="s">
        <v>1276</v>
      </c>
      <c r="C318" s="8">
        <v>3045</v>
      </c>
      <c r="D318" s="8">
        <v>3114</v>
      </c>
      <c r="E318" s="8">
        <v>3308</v>
      </c>
      <c r="F318" s="8">
        <v>3336</v>
      </c>
      <c r="G318" s="8">
        <v>3403</v>
      </c>
      <c r="H318" s="8">
        <v>3456</v>
      </c>
      <c r="I318" s="8">
        <v>3611</v>
      </c>
      <c r="J318" s="8">
        <v>3654</v>
      </c>
      <c r="K318" s="8">
        <v>3843</v>
      </c>
      <c r="L318" s="36">
        <v>4208</v>
      </c>
      <c r="M318" s="33" t="s">
        <v>1251</v>
      </c>
      <c r="N318" s="15" t="s">
        <v>1261</v>
      </c>
      <c r="O318" s="21">
        <v>816</v>
      </c>
      <c r="P318" s="17">
        <f>SUM(O318/O321)</f>
        <v>2.7538726333907058E-2</v>
      </c>
    </row>
    <row r="319" spans="1:29" s="2" customFormat="1" ht="16.5" customHeight="1" thickBot="1">
      <c r="A319" s="6" t="s">
        <v>1665</v>
      </c>
      <c r="B319" s="28" t="s">
        <v>1258</v>
      </c>
      <c r="C319" s="8">
        <v>2335</v>
      </c>
      <c r="D319" s="8">
        <v>3203</v>
      </c>
      <c r="E319" s="8">
        <v>3241</v>
      </c>
      <c r="F319" s="8">
        <v>3250</v>
      </c>
      <c r="G319" s="8">
        <v>3270</v>
      </c>
      <c r="H319" s="8">
        <v>3316</v>
      </c>
      <c r="I319" s="8">
        <v>3356</v>
      </c>
      <c r="J319" s="8">
        <v>3360</v>
      </c>
      <c r="K319" s="8">
        <v>3497</v>
      </c>
      <c r="L319" s="36">
        <v>3517</v>
      </c>
      <c r="M319" s="33" t="s">
        <v>1253</v>
      </c>
      <c r="N319" s="31" t="s">
        <v>1269</v>
      </c>
      <c r="O319" s="21">
        <v>5585</v>
      </c>
      <c r="P319" s="17">
        <f>SUM(O319/O321)</f>
        <v>0.18848503256724378</v>
      </c>
      <c r="Q319" s="2">
        <v>1</v>
      </c>
    </row>
    <row r="320" spans="1:29" s="2" customFormat="1" ht="16.5" customHeight="1" thickBot="1">
      <c r="A320" s="12" t="s">
        <v>1666</v>
      </c>
      <c r="B320" s="22" t="s">
        <v>1257</v>
      </c>
      <c r="C320" s="8">
        <v>1557</v>
      </c>
      <c r="D320" s="8">
        <v>1567</v>
      </c>
      <c r="E320" s="8">
        <v>1655</v>
      </c>
      <c r="F320" s="8">
        <v>1817</v>
      </c>
      <c r="G320" s="8">
        <v>1835</v>
      </c>
      <c r="H320" s="8">
        <v>1951</v>
      </c>
      <c r="I320" s="8">
        <v>2068</v>
      </c>
      <c r="J320" s="8">
        <v>2074</v>
      </c>
      <c r="K320" s="8">
        <v>2743</v>
      </c>
      <c r="L320" s="8">
        <v>2999</v>
      </c>
      <c r="M320" s="33"/>
      <c r="N320" s="26" t="s">
        <v>1254</v>
      </c>
      <c r="O320" s="21">
        <f>(C318+C324+C325+C326+C327+C328)</f>
        <v>4504</v>
      </c>
      <c r="P320" s="11">
        <f>SUM(O320/O321)</f>
        <v>0.15200296986264386</v>
      </c>
      <c r="Q320" s="2">
        <v>1</v>
      </c>
    </row>
    <row r="321" spans="1:29" s="2" customFormat="1" ht="16.5" customHeight="1" thickBot="1">
      <c r="A321" s="12" t="s">
        <v>1667</v>
      </c>
      <c r="B321" s="13" t="s">
        <v>1247</v>
      </c>
      <c r="C321" s="8">
        <v>1055</v>
      </c>
      <c r="D321" s="8">
        <v>1056</v>
      </c>
      <c r="E321" s="8">
        <v>1072</v>
      </c>
      <c r="F321" s="8">
        <v>1072</v>
      </c>
      <c r="G321" s="8">
        <v>1088</v>
      </c>
      <c r="H321" s="8">
        <v>1088</v>
      </c>
      <c r="I321" s="8">
        <v>1124</v>
      </c>
      <c r="J321" s="8" t="s">
        <v>1326</v>
      </c>
      <c r="O321" s="23">
        <f>SUM(C314:C328)</f>
        <v>29631</v>
      </c>
    </row>
    <row r="322" spans="1:29" s="2" customFormat="1" ht="16.5" customHeight="1" thickBot="1">
      <c r="A322" s="12" t="s">
        <v>1668</v>
      </c>
      <c r="B322" s="22" t="s">
        <v>1257</v>
      </c>
      <c r="C322" s="8">
        <v>820</v>
      </c>
      <c r="D322" s="8">
        <v>884</v>
      </c>
      <c r="E322" s="8">
        <v>971</v>
      </c>
      <c r="F322" s="8">
        <v>1078</v>
      </c>
      <c r="G322" s="8">
        <v>1105</v>
      </c>
      <c r="H322" s="8">
        <v>1191</v>
      </c>
      <c r="I322" s="8">
        <v>1281</v>
      </c>
      <c r="J322" s="8">
        <v>1284</v>
      </c>
      <c r="K322" s="8" t="s">
        <v>1326</v>
      </c>
    </row>
    <row r="323" spans="1:29" s="2" customFormat="1" ht="16.5" customHeight="1" thickBot="1">
      <c r="A323" s="12" t="s">
        <v>1669</v>
      </c>
      <c r="B323" s="20" t="s">
        <v>1261</v>
      </c>
      <c r="C323" s="8">
        <v>816</v>
      </c>
      <c r="D323" s="8">
        <v>817</v>
      </c>
      <c r="E323" s="8">
        <v>1021</v>
      </c>
      <c r="F323" s="8">
        <v>1039</v>
      </c>
      <c r="G323" s="8">
        <v>1098</v>
      </c>
      <c r="H323" s="8">
        <v>1115</v>
      </c>
      <c r="I323" s="8">
        <v>1307</v>
      </c>
      <c r="J323" s="8">
        <v>1903</v>
      </c>
      <c r="K323" s="8">
        <v>1934</v>
      </c>
      <c r="L323" s="8" t="s">
        <v>1326</v>
      </c>
    </row>
    <row r="324" spans="1:29" s="2" customFormat="1" ht="16.5" customHeight="1" thickBot="1">
      <c r="A324" s="12" t="s">
        <v>1670</v>
      </c>
      <c r="B324" s="39" t="s">
        <v>1320</v>
      </c>
      <c r="C324" s="8">
        <v>653</v>
      </c>
      <c r="D324" s="43">
        <v>658</v>
      </c>
      <c r="E324" s="43">
        <v>852</v>
      </c>
      <c r="F324" s="8">
        <v>870</v>
      </c>
      <c r="G324" s="8">
        <v>984</v>
      </c>
      <c r="H324" s="8">
        <v>1064</v>
      </c>
      <c r="I324" s="8" t="s">
        <v>1326</v>
      </c>
      <c r="L324" s="17"/>
      <c r="Q324" s="17"/>
    </row>
    <row r="325" spans="1:29" s="2" customFormat="1" ht="16.5" customHeight="1" thickBot="1">
      <c r="A325" s="12" t="s">
        <v>1671</v>
      </c>
      <c r="B325" s="38" t="s">
        <v>1408</v>
      </c>
      <c r="C325" s="8">
        <v>427</v>
      </c>
      <c r="D325" s="8">
        <v>430</v>
      </c>
      <c r="E325" s="8">
        <v>483</v>
      </c>
      <c r="F325" s="8">
        <v>494</v>
      </c>
      <c r="G325" s="8">
        <v>516</v>
      </c>
      <c r="H325" s="8" t="s">
        <v>1326</v>
      </c>
      <c r="L325" s="17"/>
      <c r="Q325" s="17"/>
      <c r="V325"/>
      <c r="AC325"/>
    </row>
    <row r="326" spans="1:29" s="2" customFormat="1" ht="16.5" customHeight="1" thickBot="1">
      <c r="A326" s="12" t="s">
        <v>1672</v>
      </c>
      <c r="B326" s="38" t="s">
        <v>1673</v>
      </c>
      <c r="C326" s="8">
        <v>225</v>
      </c>
      <c r="D326" s="8">
        <v>228</v>
      </c>
      <c r="E326" s="8">
        <v>247</v>
      </c>
      <c r="F326" s="8">
        <v>248</v>
      </c>
      <c r="G326" s="8" t="s">
        <v>1326</v>
      </c>
      <c r="Q326" s="17"/>
      <c r="V326" s="17"/>
    </row>
    <row r="327" spans="1:29" s="2" customFormat="1" ht="16.5" customHeight="1" thickBot="1">
      <c r="A327" s="12" t="s">
        <v>1674</v>
      </c>
      <c r="B327" s="37" t="s">
        <v>1286</v>
      </c>
      <c r="C327" s="8">
        <v>107</v>
      </c>
      <c r="D327" s="8">
        <v>108</v>
      </c>
      <c r="E327" s="8">
        <v>118</v>
      </c>
      <c r="F327" s="8">
        <v>119</v>
      </c>
      <c r="G327" s="8" t="s">
        <v>1326</v>
      </c>
      <c r="L327" s="17"/>
    </row>
    <row r="328" spans="1:29" s="2" customFormat="1" ht="16.5" customHeight="1" thickBot="1">
      <c r="A328" s="12" t="s">
        <v>1675</v>
      </c>
      <c r="B328" s="38" t="s">
        <v>1270</v>
      </c>
      <c r="C328" s="8">
        <v>47</v>
      </c>
      <c r="D328" s="8">
        <v>47</v>
      </c>
      <c r="E328" s="8">
        <v>52</v>
      </c>
      <c r="F328" s="8">
        <v>53</v>
      </c>
      <c r="G328" s="8" t="s">
        <v>1326</v>
      </c>
      <c r="L328" s="14"/>
    </row>
    <row r="329" spans="1:29">
      <c r="C329" s="24"/>
    </row>
    <row r="330" spans="1:29" s="64" customFormat="1" ht="14.25" customHeight="1">
      <c r="B330" s="52" t="s">
        <v>1255</v>
      </c>
      <c r="C330" s="65" t="s">
        <v>1247</v>
      </c>
      <c r="D330" s="50" t="s">
        <v>1258</v>
      </c>
      <c r="E330" s="48" t="s">
        <v>1261</v>
      </c>
      <c r="F330" s="49" t="s">
        <v>1257</v>
      </c>
      <c r="G330" s="66" t="s">
        <v>1269</v>
      </c>
      <c r="H330" s="67" t="s">
        <v>1254</v>
      </c>
      <c r="J330" s="67"/>
      <c r="K330" s="68"/>
    </row>
    <row r="331" spans="1:29" s="64" customFormat="1" ht="14.25" customHeight="1">
      <c r="A331" s="64" t="s">
        <v>1248</v>
      </c>
      <c r="B331" s="69">
        <f>SUM(P113+L97+N78+O60+L44+L27+M11+O321+O299+K281+O263+O243+R224+R206+O189+M171+N153+Q133)</f>
        <v>690315</v>
      </c>
      <c r="C331" s="68">
        <f>SUM(P107+L91+N72+O54+L38+L22+M5+O315+K275+O293+O257+O237+R218+R200+O183+M165+N147+Q127)</f>
        <v>180573</v>
      </c>
      <c r="D331" s="68">
        <f>SUM(P109+L93+N74+O56+L40+L24+M7+O317+O295+K277+O259+O239+R220+R202+O185+M167+N149+Q129)</f>
        <v>207721</v>
      </c>
      <c r="E331" s="68">
        <f>SUM(P110+L94+N75+O57+L41+L25+M8+O318+O296+K278+O260+O240+R221+R203+O186+M168+N150+Q130)</f>
        <v>105064</v>
      </c>
      <c r="F331" s="68">
        <f>SUM(P108+L92+N73+O55+L39+L23+M6+O316+O294+K276+O258+O238+R219+R201+O184+M166+N148+Q128)</f>
        <v>103145</v>
      </c>
      <c r="G331" s="68">
        <f>SUM(P111+L95+N76+O58+L42+M9+O319+O297+K279+O261+O241+R222+R204+O187+M169+N151+Q131)</f>
        <v>36141</v>
      </c>
      <c r="H331" s="68">
        <f>SUM(P112+L96+N77+O59+L43+L26+M10+O320+O298+K280+O262+O242+R223+R205+O188+M170+N152+Q132)</f>
        <v>57671</v>
      </c>
      <c r="J331" s="69"/>
      <c r="K331" s="69"/>
    </row>
    <row r="332" spans="1:29" s="64" customFormat="1" ht="14.25" customHeight="1">
      <c r="A332" s="64" t="s">
        <v>1249</v>
      </c>
      <c r="B332" s="60">
        <v>1</v>
      </c>
      <c r="C332" s="70">
        <f t="shared" ref="C332:H332" si="0">SUM(C331/$B$331)</f>
        <v>0.26158058277742768</v>
      </c>
      <c r="D332" s="70">
        <f t="shared" si="0"/>
        <v>0.30090755669513192</v>
      </c>
      <c r="E332" s="70">
        <f t="shared" si="0"/>
        <v>0.15219718534292315</v>
      </c>
      <c r="F332" s="70">
        <f t="shared" si="0"/>
        <v>0.14941729500300588</v>
      </c>
      <c r="G332" s="70">
        <f t="shared" si="0"/>
        <v>5.235435996610243E-2</v>
      </c>
      <c r="H332" s="70">
        <f t="shared" si="0"/>
        <v>8.3543020215408909E-2</v>
      </c>
    </row>
    <row r="333" spans="1:29" s="64" customFormat="1" ht="14.25" customHeight="1">
      <c r="A333" s="64" t="s">
        <v>1250</v>
      </c>
      <c r="B333" s="52">
        <v>108</v>
      </c>
      <c r="C333" s="64">
        <v>28</v>
      </c>
      <c r="D333" s="64">
        <v>36</v>
      </c>
      <c r="E333" s="64">
        <v>16</v>
      </c>
      <c r="F333" s="64">
        <v>18</v>
      </c>
      <c r="G333" s="64">
        <v>7</v>
      </c>
      <c r="H333" s="64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9"/>
  <dimension ref="A1:AC332"/>
  <sheetViews>
    <sheetView workbookViewId="0">
      <selection activeCell="N1" sqref="N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4" max="6" width="8.7109375" customWidth="1"/>
    <col min="7" max="7" width="8.85546875" customWidth="1"/>
    <col min="15" max="15" width="9.42578125" bestFit="1" customWidth="1"/>
  </cols>
  <sheetData>
    <row r="1" spans="1:15" s="2" customFormat="1" ht="16.5" customHeight="1">
      <c r="A1" s="1" t="s">
        <v>820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1244</v>
      </c>
      <c r="B3" s="5" t="s">
        <v>1245</v>
      </c>
      <c r="C3" s="5" t="s">
        <v>1246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/>
      <c r="L3" s="10" t="s">
        <v>1413</v>
      </c>
      <c r="M3" s="11">
        <f>(46873/64336)</f>
        <v>0.72856565530962447</v>
      </c>
    </row>
    <row r="4" spans="1:15" s="2" customFormat="1" ht="16.5" customHeight="1" thickBot="1">
      <c r="A4" s="6" t="s">
        <v>1328</v>
      </c>
      <c r="B4" s="25" t="s">
        <v>1247</v>
      </c>
      <c r="C4" s="8">
        <v>6489</v>
      </c>
      <c r="D4" s="8">
        <v>6562</v>
      </c>
      <c r="E4" s="8">
        <v>6565</v>
      </c>
      <c r="F4" s="8">
        <v>6565</v>
      </c>
      <c r="G4" s="36">
        <v>6719</v>
      </c>
      <c r="H4" s="8"/>
      <c r="I4" s="8"/>
      <c r="J4" s="8"/>
      <c r="K4" s="33" t="s">
        <v>1252</v>
      </c>
      <c r="L4" s="14"/>
      <c r="M4" s="10" t="s">
        <v>1248</v>
      </c>
      <c r="N4" s="10" t="s">
        <v>1249</v>
      </c>
      <c r="O4" s="10" t="s">
        <v>1250</v>
      </c>
    </row>
    <row r="5" spans="1:15" s="2" customFormat="1" ht="16.5" customHeight="1" thickBot="1">
      <c r="A5" s="6" t="s">
        <v>1256</v>
      </c>
      <c r="B5" s="9" t="s">
        <v>1257</v>
      </c>
      <c r="C5" s="8">
        <v>6181</v>
      </c>
      <c r="D5" s="8">
        <v>6284</v>
      </c>
      <c r="E5" s="36">
        <v>7372</v>
      </c>
      <c r="F5" s="8"/>
      <c r="G5" s="8"/>
      <c r="H5" s="8"/>
      <c r="I5" s="36"/>
      <c r="J5" s="8"/>
      <c r="K5" s="33" t="s">
        <v>1271</v>
      </c>
      <c r="L5" s="19" t="s">
        <v>1247</v>
      </c>
      <c r="M5" s="16">
        <f>(C4+C7+C10)</f>
        <v>15901</v>
      </c>
      <c r="N5" s="17">
        <f>SUM(M5/M11)</f>
        <v>0.34447573656845754</v>
      </c>
      <c r="O5" s="14">
        <v>2</v>
      </c>
    </row>
    <row r="6" spans="1:15" s="2" customFormat="1" ht="16.5" customHeight="1" thickBot="1">
      <c r="A6" s="6" t="s">
        <v>1332</v>
      </c>
      <c r="B6" s="28" t="s">
        <v>1258</v>
      </c>
      <c r="C6" s="8">
        <v>5536</v>
      </c>
      <c r="D6" s="8">
        <v>5546</v>
      </c>
      <c r="E6" s="8">
        <v>5670</v>
      </c>
      <c r="F6" s="8">
        <v>5684</v>
      </c>
      <c r="G6" s="8">
        <v>5689</v>
      </c>
      <c r="H6" s="36">
        <v>8669</v>
      </c>
      <c r="I6" s="8"/>
      <c r="J6" s="8"/>
      <c r="K6" s="33" t="s">
        <v>1251</v>
      </c>
      <c r="L6" s="18" t="s">
        <v>1257</v>
      </c>
      <c r="M6" s="16">
        <f>(C5+C8+C13)</f>
        <v>13229</v>
      </c>
      <c r="N6" s="17">
        <f>SUM(M6/M11)</f>
        <v>0.28659012131715772</v>
      </c>
      <c r="O6" s="14">
        <v>2</v>
      </c>
    </row>
    <row r="7" spans="1:15" s="2" customFormat="1" ht="16.5" customHeight="1" thickBot="1">
      <c r="A7" s="6" t="s">
        <v>1259</v>
      </c>
      <c r="B7" s="25" t="s">
        <v>1247</v>
      </c>
      <c r="C7" s="8">
        <v>5019</v>
      </c>
      <c r="D7" s="8">
        <v>5049</v>
      </c>
      <c r="E7" s="8">
        <v>5051</v>
      </c>
      <c r="F7" s="8">
        <v>5051</v>
      </c>
      <c r="G7" s="8">
        <v>5143</v>
      </c>
      <c r="H7" s="8">
        <v>5152</v>
      </c>
      <c r="I7" s="8">
        <v>5240</v>
      </c>
      <c r="J7" s="36">
        <v>5473</v>
      </c>
      <c r="K7" s="33" t="s">
        <v>1253</v>
      </c>
      <c r="L7" s="30" t="s">
        <v>1258</v>
      </c>
      <c r="M7" s="16">
        <f>(C6+C11)</f>
        <v>8630</v>
      </c>
      <c r="N7" s="17">
        <f>SUM(M7/M11)</f>
        <v>0.18695840554592721</v>
      </c>
      <c r="O7" s="2">
        <v>1</v>
      </c>
    </row>
    <row r="8" spans="1:15" s="2" customFormat="1" ht="16.5" customHeight="1" thickBot="1">
      <c r="A8" s="6" t="s">
        <v>1260</v>
      </c>
      <c r="B8" s="9" t="s">
        <v>1257</v>
      </c>
      <c r="C8" s="8">
        <v>4938</v>
      </c>
      <c r="D8" s="8">
        <v>5004</v>
      </c>
      <c r="E8" s="8">
        <v>5868</v>
      </c>
      <c r="F8" s="8">
        <v>6564</v>
      </c>
      <c r="G8" s="36">
        <v>6599</v>
      </c>
      <c r="H8" s="8"/>
      <c r="I8" s="8"/>
      <c r="J8" s="8"/>
      <c r="K8" s="33" t="s">
        <v>1280</v>
      </c>
      <c r="L8" s="15" t="s">
        <v>1261</v>
      </c>
      <c r="M8" s="21">
        <f>(C9+C12)</f>
        <v>7507</v>
      </c>
      <c r="N8" s="17">
        <f>SUM(M8/M11)</f>
        <v>0.16262998266897746</v>
      </c>
      <c r="O8" s="2">
        <v>1</v>
      </c>
    </row>
    <row r="9" spans="1:15" s="2" customFormat="1" ht="16.5" customHeight="1" thickBot="1">
      <c r="A9" s="6" t="s">
        <v>1330</v>
      </c>
      <c r="B9" s="7" t="s">
        <v>1261</v>
      </c>
      <c r="C9" s="8">
        <v>4735</v>
      </c>
      <c r="D9" s="8">
        <v>4984</v>
      </c>
      <c r="E9" s="8">
        <v>5003</v>
      </c>
      <c r="F9" s="8">
        <v>5034</v>
      </c>
      <c r="G9" s="36">
        <v>7359</v>
      </c>
      <c r="H9" s="8"/>
      <c r="I9" s="8"/>
      <c r="J9" s="36"/>
      <c r="K9" s="33" t="s">
        <v>1362</v>
      </c>
      <c r="L9" s="31" t="s">
        <v>1269</v>
      </c>
      <c r="M9" s="21">
        <v>243</v>
      </c>
      <c r="N9" s="17">
        <f>SUM(M9/M11)</f>
        <v>5.264298093587522E-3</v>
      </c>
    </row>
    <row r="10" spans="1:15" s="2" customFormat="1" ht="16.5" customHeight="1" thickBot="1">
      <c r="A10" s="12" t="s">
        <v>1722</v>
      </c>
      <c r="B10" s="13" t="s">
        <v>1247</v>
      </c>
      <c r="C10" s="8">
        <v>4393</v>
      </c>
      <c r="D10" s="8">
        <v>4432</v>
      </c>
      <c r="E10" s="8">
        <v>4436</v>
      </c>
      <c r="F10" s="8">
        <v>4436</v>
      </c>
      <c r="G10" s="8">
        <v>4594</v>
      </c>
      <c r="H10" s="8">
        <v>4602</v>
      </c>
      <c r="I10" s="8">
        <v>4691</v>
      </c>
      <c r="J10" s="8">
        <v>5211</v>
      </c>
      <c r="K10" s="33"/>
      <c r="L10" s="26" t="s">
        <v>1254</v>
      </c>
      <c r="M10" s="21">
        <v>650</v>
      </c>
      <c r="N10" s="11">
        <f>SUM(M10/M11)</f>
        <v>1.4081455805892547E-2</v>
      </c>
    </row>
    <row r="11" spans="1:15" s="2" customFormat="1" ht="16.5" customHeight="1" thickBot="1">
      <c r="A11" s="12" t="s">
        <v>1263</v>
      </c>
      <c r="B11" s="27" t="s">
        <v>1258</v>
      </c>
      <c r="C11" s="8">
        <v>3094</v>
      </c>
      <c r="D11" s="8">
        <v>3113</v>
      </c>
      <c r="E11" s="8">
        <v>3133</v>
      </c>
      <c r="F11" s="8">
        <v>3139</v>
      </c>
      <c r="G11" s="8">
        <v>3162</v>
      </c>
      <c r="H11" s="8" t="s">
        <v>1326</v>
      </c>
      <c r="M11" s="23">
        <v>46160</v>
      </c>
    </row>
    <row r="12" spans="1:15" s="2" customFormat="1" ht="16.5" customHeight="1" thickBot="1">
      <c r="A12" s="12" t="s">
        <v>1264</v>
      </c>
      <c r="B12" s="20" t="s">
        <v>1261</v>
      </c>
      <c r="C12" s="8">
        <v>2772</v>
      </c>
      <c r="D12" s="8">
        <v>2978</v>
      </c>
      <c r="E12" s="8">
        <v>2994</v>
      </c>
      <c r="F12" s="8">
        <v>3011</v>
      </c>
      <c r="G12" s="8" t="s">
        <v>1326</v>
      </c>
    </row>
    <row r="13" spans="1:15" s="2" customFormat="1" ht="16.5" customHeight="1" thickBot="1">
      <c r="A13" s="12" t="s">
        <v>1265</v>
      </c>
      <c r="B13" s="22" t="s">
        <v>1257</v>
      </c>
      <c r="C13" s="8">
        <v>2110</v>
      </c>
      <c r="D13" s="8">
        <v>2149</v>
      </c>
      <c r="E13" s="8" t="s">
        <v>1326</v>
      </c>
    </row>
    <row r="14" spans="1:15" s="2" customFormat="1" ht="16.5" customHeight="1" thickBot="1">
      <c r="A14" s="12" t="s">
        <v>1266</v>
      </c>
      <c r="B14" s="29" t="s">
        <v>1267</v>
      </c>
      <c r="C14" s="8">
        <v>650</v>
      </c>
      <c r="D14" s="8" t="s">
        <v>1326</v>
      </c>
      <c r="L14" s="17"/>
    </row>
    <row r="15" spans="1:15" s="2" customFormat="1" ht="16.5" customHeight="1" thickBot="1">
      <c r="A15" s="12" t="s">
        <v>1268</v>
      </c>
      <c r="B15" s="32" t="s">
        <v>1269</v>
      </c>
      <c r="C15" s="8">
        <v>243</v>
      </c>
      <c r="D15" s="8" t="s">
        <v>1326</v>
      </c>
    </row>
    <row r="16" spans="1:15" s="2" customFormat="1" ht="12" customHeight="1">
      <c r="A16" s="1"/>
      <c r="E16"/>
      <c r="I16" s="30"/>
      <c r="J16" s="21"/>
      <c r="K16" s="11"/>
    </row>
    <row r="17" spans="1:20" s="2" customFormat="1" ht="16.5" customHeight="1">
      <c r="A17" s="1" t="s">
        <v>1723</v>
      </c>
      <c r="E17"/>
      <c r="I17" s="10"/>
      <c r="J17" s="21"/>
      <c r="K17" s="11"/>
    </row>
    <row r="18" spans="1:20" s="2" customFormat="1" ht="9.75" customHeight="1" thickBot="1">
      <c r="A18" s="3"/>
      <c r="J18" s="23"/>
    </row>
    <row r="19" spans="1:20" s="2" customFormat="1" ht="16.5" customHeight="1" thickBot="1">
      <c r="A19" s="4" t="s">
        <v>1244</v>
      </c>
      <c r="B19" s="5" t="s">
        <v>1245</v>
      </c>
      <c r="C19" s="5" t="s">
        <v>1246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5">
        <v>7</v>
      </c>
      <c r="J19" s="5">
        <v>8</v>
      </c>
      <c r="K19" s="5"/>
      <c r="L19" s="10" t="s">
        <v>1413</v>
      </c>
      <c r="M19" s="11">
        <f>(42328/57795)</f>
        <v>0.73238169391815899</v>
      </c>
      <c r="N19" s="16"/>
    </row>
    <row r="20" spans="1:20" s="2" customFormat="1" ht="16.5" customHeight="1" thickBot="1">
      <c r="A20" s="6" t="s">
        <v>1725</v>
      </c>
      <c r="B20" s="35" t="s">
        <v>1270</v>
      </c>
      <c r="C20" s="36">
        <v>6158</v>
      </c>
      <c r="D20" s="8"/>
      <c r="E20" s="8"/>
      <c r="F20" s="8"/>
      <c r="G20" s="8"/>
      <c r="H20" s="8"/>
      <c r="I20" s="8"/>
      <c r="J20" s="8"/>
      <c r="K20" s="33" t="s">
        <v>1271</v>
      </c>
      <c r="L20" s="21"/>
      <c r="M20" s="10" t="s">
        <v>1248</v>
      </c>
      <c r="N20" s="10" t="s">
        <v>1249</v>
      </c>
      <c r="O20" s="10" t="s">
        <v>1250</v>
      </c>
      <c r="T20" s="14"/>
    </row>
    <row r="21" spans="1:20" s="2" customFormat="1" ht="16.5" customHeight="1" thickBot="1">
      <c r="A21" s="6" t="s">
        <v>1341</v>
      </c>
      <c r="B21" s="25" t="s">
        <v>1247</v>
      </c>
      <c r="C21" s="36">
        <v>6019</v>
      </c>
      <c r="D21" s="8"/>
      <c r="E21" s="8"/>
      <c r="F21" s="8"/>
      <c r="G21" s="8"/>
      <c r="H21" s="8"/>
      <c r="I21" s="36"/>
      <c r="J21" s="36"/>
      <c r="K21" s="33" t="s">
        <v>1362</v>
      </c>
      <c r="L21" s="19" t="s">
        <v>1247</v>
      </c>
      <c r="M21" s="16">
        <f>(C21+C22+C24)</f>
        <v>16111</v>
      </c>
      <c r="N21" s="17">
        <f>SUM(M21/M27)</f>
        <v>0.38608641472357352</v>
      </c>
      <c r="O21" s="14">
        <v>2</v>
      </c>
    </row>
    <row r="22" spans="1:20" s="2" customFormat="1" ht="16.5" customHeight="1" thickBot="1">
      <c r="A22" s="6" t="s">
        <v>1342</v>
      </c>
      <c r="B22" s="25" t="s">
        <v>1247</v>
      </c>
      <c r="C22" s="8">
        <v>5642</v>
      </c>
      <c r="D22" s="8">
        <v>5689</v>
      </c>
      <c r="E22" s="8">
        <v>5693</v>
      </c>
      <c r="F22" s="8">
        <v>5722</v>
      </c>
      <c r="G22" s="8">
        <v>5725</v>
      </c>
      <c r="H22" s="8">
        <v>5725</v>
      </c>
      <c r="I22" s="8">
        <v>5725</v>
      </c>
      <c r="J22" s="36">
        <v>6097</v>
      </c>
      <c r="K22" s="33" t="s">
        <v>1251</v>
      </c>
      <c r="L22" s="18" t="s">
        <v>1257</v>
      </c>
      <c r="M22" s="16">
        <f>(C25+C29)</f>
        <v>5667</v>
      </c>
      <c r="N22" s="17">
        <f>SUM(M22/M27)</f>
        <v>0.13580483596539578</v>
      </c>
      <c r="O22" s="14">
        <v>1</v>
      </c>
    </row>
    <row r="23" spans="1:20" s="2" customFormat="1" ht="16.5" customHeight="1" thickBot="1">
      <c r="A23" s="6" t="s">
        <v>1272</v>
      </c>
      <c r="B23" s="28" t="s">
        <v>1258</v>
      </c>
      <c r="C23" s="8">
        <v>4739</v>
      </c>
      <c r="D23" s="8">
        <v>4743</v>
      </c>
      <c r="E23" s="8">
        <v>4977</v>
      </c>
      <c r="F23" s="8">
        <v>4977</v>
      </c>
      <c r="G23" s="36">
        <v>7222</v>
      </c>
      <c r="H23" s="36"/>
      <c r="I23" s="8"/>
      <c r="J23" s="8"/>
      <c r="K23" s="33" t="s">
        <v>1252</v>
      </c>
      <c r="L23" s="30" t="s">
        <v>1258</v>
      </c>
      <c r="M23" s="16">
        <f>(C23+C28)</f>
        <v>7286</v>
      </c>
      <c r="N23" s="17">
        <f>SUM(M23/M27)</f>
        <v>0.17460279421984712</v>
      </c>
      <c r="O23" s="2">
        <v>1</v>
      </c>
    </row>
    <row r="24" spans="1:20" s="2" customFormat="1" ht="16.5" customHeight="1" thickBot="1">
      <c r="A24" s="12" t="s">
        <v>1273</v>
      </c>
      <c r="B24" s="13" t="s">
        <v>1247</v>
      </c>
      <c r="C24" s="8">
        <v>4450</v>
      </c>
      <c r="D24" s="8">
        <v>4456</v>
      </c>
      <c r="E24" s="8">
        <v>4464</v>
      </c>
      <c r="F24" s="8">
        <v>4483</v>
      </c>
      <c r="G24" s="8">
        <v>4484</v>
      </c>
      <c r="H24" s="8">
        <v>4484</v>
      </c>
      <c r="I24" s="8">
        <v>4484</v>
      </c>
      <c r="J24" s="8">
        <v>4558</v>
      </c>
      <c r="K24" s="33"/>
      <c r="L24" s="15" t="s">
        <v>1261</v>
      </c>
      <c r="M24" s="21">
        <f>(C26+C27)</f>
        <v>6110</v>
      </c>
      <c r="N24" s="17">
        <f>SUM(M24/M27)</f>
        <v>0.14642095425243834</v>
      </c>
      <c r="O24" s="2">
        <v>1</v>
      </c>
    </row>
    <row r="25" spans="1:20" s="2" customFormat="1" ht="16.5" customHeight="1" thickBot="1">
      <c r="A25" s="6" t="s">
        <v>1345</v>
      </c>
      <c r="B25" s="9" t="s">
        <v>1257</v>
      </c>
      <c r="C25" s="8">
        <v>3733</v>
      </c>
      <c r="D25" s="8">
        <v>3742</v>
      </c>
      <c r="E25" s="8">
        <v>5477</v>
      </c>
      <c r="F25" s="8">
        <v>5477</v>
      </c>
      <c r="G25" s="8">
        <v>5902</v>
      </c>
      <c r="H25" s="36">
        <v>7138</v>
      </c>
      <c r="I25" s="36"/>
      <c r="J25" s="36"/>
      <c r="K25" s="33" t="s">
        <v>1280</v>
      </c>
      <c r="L25" s="31" t="s">
        <v>1269</v>
      </c>
      <c r="M25" s="21">
        <v>164</v>
      </c>
      <c r="N25" s="17">
        <f>SUM(M25/M27)</f>
        <v>3.9301205396726499E-3</v>
      </c>
    </row>
    <row r="26" spans="1:20" s="2" customFormat="1" ht="16.5" customHeight="1" thickBot="1">
      <c r="A26" s="6" t="s">
        <v>1344</v>
      </c>
      <c r="B26" s="7" t="s">
        <v>1261</v>
      </c>
      <c r="C26" s="8">
        <v>3465</v>
      </c>
      <c r="D26" s="8">
        <v>3479</v>
      </c>
      <c r="E26" s="8">
        <v>3517</v>
      </c>
      <c r="F26" s="8">
        <v>3518</v>
      </c>
      <c r="G26" s="8">
        <v>3533</v>
      </c>
      <c r="H26" s="8">
        <v>3545</v>
      </c>
      <c r="I26" s="8">
        <v>3692</v>
      </c>
      <c r="J26" s="36">
        <v>5975</v>
      </c>
      <c r="K26" s="33" t="s">
        <v>1253</v>
      </c>
      <c r="L26" s="26" t="s">
        <v>1254</v>
      </c>
      <c r="M26" s="21">
        <f>(C20+C30)</f>
        <v>6391</v>
      </c>
      <c r="N26" s="11">
        <f>SUM(M26/M27)</f>
        <v>0.15315488029907259</v>
      </c>
      <c r="O26" s="2">
        <v>1</v>
      </c>
    </row>
    <row r="27" spans="1:20" s="2" customFormat="1" ht="16.5" customHeight="1" thickBot="1">
      <c r="A27" s="12" t="s">
        <v>1724</v>
      </c>
      <c r="B27" s="20" t="s">
        <v>1261</v>
      </c>
      <c r="C27" s="8">
        <v>2645</v>
      </c>
      <c r="D27" s="8">
        <v>2718</v>
      </c>
      <c r="E27" s="8">
        <v>2774</v>
      </c>
      <c r="F27" s="8">
        <v>2777</v>
      </c>
      <c r="G27" s="8">
        <v>2790</v>
      </c>
      <c r="H27" s="8">
        <v>2802</v>
      </c>
      <c r="I27" s="8">
        <v>2991</v>
      </c>
      <c r="J27" s="8" t="s">
        <v>1326</v>
      </c>
      <c r="M27" s="23">
        <v>41729</v>
      </c>
    </row>
    <row r="28" spans="1:20" s="2" customFormat="1" ht="16.5" customHeight="1" thickBot="1">
      <c r="A28" s="12" t="s">
        <v>1274</v>
      </c>
      <c r="B28" s="27" t="s">
        <v>1258</v>
      </c>
      <c r="C28" s="8">
        <v>2547</v>
      </c>
      <c r="D28" s="8">
        <v>2549</v>
      </c>
      <c r="E28" s="8">
        <v>2774</v>
      </c>
      <c r="F28" s="8">
        <v>2774</v>
      </c>
      <c r="G28" s="8" t="s">
        <v>1326</v>
      </c>
    </row>
    <row r="29" spans="1:20" s="2" customFormat="1" ht="16.5" customHeight="1" thickBot="1">
      <c r="A29" s="12" t="s">
        <v>1275</v>
      </c>
      <c r="B29" s="22" t="s">
        <v>1257</v>
      </c>
      <c r="C29" s="8">
        <v>1934</v>
      </c>
      <c r="D29" s="8">
        <v>1940</v>
      </c>
      <c r="E29" s="8" t="s">
        <v>1326</v>
      </c>
    </row>
    <row r="30" spans="1:20" s="2" customFormat="1" ht="16.5" customHeight="1" thickBot="1">
      <c r="A30" s="12" t="s">
        <v>1277</v>
      </c>
      <c r="B30" s="63" t="s">
        <v>1276</v>
      </c>
      <c r="C30" s="8">
        <v>233</v>
      </c>
      <c r="D30" s="8">
        <v>233</v>
      </c>
      <c r="E30" s="8" t="s">
        <v>1326</v>
      </c>
    </row>
    <row r="31" spans="1:20" s="2" customFormat="1" ht="16.5" customHeight="1" thickBot="1">
      <c r="A31" s="12" t="s">
        <v>1278</v>
      </c>
      <c r="B31" s="32" t="s">
        <v>1269</v>
      </c>
      <c r="C31" s="8">
        <v>164</v>
      </c>
      <c r="D31" s="8">
        <v>171</v>
      </c>
      <c r="E31" s="8" t="s">
        <v>1326</v>
      </c>
    </row>
    <row r="32" spans="1:20" s="2" customFormat="1" ht="12" customHeight="1">
      <c r="A32" s="1"/>
    </row>
    <row r="33" spans="1:15" s="2" customFormat="1" ht="16.5" customHeight="1">
      <c r="A33" s="1" t="s">
        <v>1727</v>
      </c>
    </row>
    <row r="34" spans="1:15" s="2" customFormat="1" ht="9.75" customHeight="1" thickBot="1">
      <c r="A34" s="3"/>
    </row>
    <row r="35" spans="1:15" s="2" customFormat="1" ht="16.5" customHeight="1" thickBot="1">
      <c r="A35" s="4" t="s">
        <v>1244</v>
      </c>
      <c r="B35" s="5" t="s">
        <v>1245</v>
      </c>
      <c r="C35" s="5" t="s">
        <v>1246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/>
      <c r="L35" s="10" t="s">
        <v>1413</v>
      </c>
      <c r="M35" s="11">
        <f>(45023/60095)</f>
        <v>0.74919710458440802</v>
      </c>
    </row>
    <row r="36" spans="1:15" s="2" customFormat="1" ht="16.5" customHeight="1" thickBot="1">
      <c r="A36" s="6" t="s">
        <v>1453</v>
      </c>
      <c r="B36" s="28" t="s">
        <v>1258</v>
      </c>
      <c r="C36" s="36">
        <v>8211</v>
      </c>
      <c r="D36" s="8"/>
      <c r="E36" s="8"/>
      <c r="F36" s="8"/>
      <c r="G36" s="43"/>
      <c r="H36" s="43"/>
      <c r="I36" s="36"/>
      <c r="J36" s="36"/>
      <c r="K36" s="33" t="s">
        <v>1271</v>
      </c>
      <c r="L36" s="14"/>
      <c r="M36" s="10" t="s">
        <v>1248</v>
      </c>
      <c r="N36" s="10" t="s">
        <v>1249</v>
      </c>
      <c r="O36" s="10" t="s">
        <v>1250</v>
      </c>
    </row>
    <row r="37" spans="1:15" s="2" customFormat="1" ht="16.5" customHeight="1" thickBot="1">
      <c r="A37" s="6" t="s">
        <v>1352</v>
      </c>
      <c r="B37" s="25" t="s">
        <v>1247</v>
      </c>
      <c r="C37" s="36">
        <v>8128</v>
      </c>
      <c r="D37" s="8"/>
      <c r="E37" s="8"/>
      <c r="F37" s="8"/>
      <c r="G37" s="8"/>
      <c r="H37" s="8"/>
      <c r="I37" s="8"/>
      <c r="J37" s="8"/>
      <c r="K37" s="33" t="s">
        <v>1362</v>
      </c>
      <c r="L37" s="19" t="s">
        <v>1247</v>
      </c>
      <c r="M37" s="16">
        <f>(C37+C38+C39+C45)</f>
        <v>20194</v>
      </c>
      <c r="N37" s="17">
        <f>SUM(M37/M43)</f>
        <v>0.45520941346197197</v>
      </c>
      <c r="O37" s="14">
        <v>3</v>
      </c>
    </row>
    <row r="38" spans="1:15" s="2" customFormat="1" ht="16.5" customHeight="1" thickBot="1">
      <c r="A38" s="6" t="s">
        <v>1279</v>
      </c>
      <c r="B38" s="25" t="s">
        <v>1247</v>
      </c>
      <c r="C38" s="8">
        <v>5827</v>
      </c>
      <c r="D38" s="8">
        <v>5827</v>
      </c>
      <c r="E38" s="8">
        <v>5998</v>
      </c>
      <c r="F38" s="36">
        <v>6916</v>
      </c>
      <c r="G38" s="8"/>
      <c r="H38" s="8"/>
      <c r="I38" s="8"/>
      <c r="J38" s="8"/>
      <c r="K38" s="33" t="s">
        <v>1280</v>
      </c>
      <c r="L38" s="18" t="s">
        <v>1257</v>
      </c>
      <c r="M38" s="16">
        <f>(C40+C43)</f>
        <v>6394</v>
      </c>
      <c r="N38" s="17">
        <f>SUM(M38/M43)</f>
        <v>0.14413236553807313</v>
      </c>
      <c r="O38" s="14">
        <v>1</v>
      </c>
    </row>
    <row r="39" spans="1:15" s="2" customFormat="1" ht="16.5" customHeight="1" thickBot="1">
      <c r="A39" s="6" t="s">
        <v>1351</v>
      </c>
      <c r="B39" s="25" t="s">
        <v>1247</v>
      </c>
      <c r="C39" s="8">
        <v>5255</v>
      </c>
      <c r="D39" s="8">
        <v>5255</v>
      </c>
      <c r="E39" s="36">
        <v>6377</v>
      </c>
      <c r="F39" s="8"/>
      <c r="G39" s="8"/>
      <c r="H39" s="8"/>
      <c r="I39" s="8"/>
      <c r="J39" s="8"/>
      <c r="K39" s="33" t="s">
        <v>1252</v>
      </c>
      <c r="L39" s="30" t="s">
        <v>1258</v>
      </c>
      <c r="M39" s="16">
        <f>(C36+C44)</f>
        <v>9240</v>
      </c>
      <c r="N39" s="17">
        <f>SUM(M39/M43)</f>
        <v>0.20828637121861052</v>
      </c>
      <c r="O39" s="2">
        <v>1</v>
      </c>
    </row>
    <row r="40" spans="1:15" s="2" customFormat="1" ht="16.5" customHeight="1" thickBot="1">
      <c r="A40" s="6" t="s">
        <v>1353</v>
      </c>
      <c r="B40" s="9" t="s">
        <v>1257</v>
      </c>
      <c r="C40" s="8">
        <v>4323</v>
      </c>
      <c r="D40" s="8">
        <v>4461</v>
      </c>
      <c r="E40" s="8">
        <v>4461</v>
      </c>
      <c r="F40" s="8">
        <v>4509</v>
      </c>
      <c r="G40" s="8">
        <v>4514</v>
      </c>
      <c r="H40" s="8">
        <v>6165</v>
      </c>
      <c r="I40" s="44">
        <v>7048</v>
      </c>
      <c r="J40" s="43"/>
      <c r="K40" s="33" t="s">
        <v>1251</v>
      </c>
      <c r="L40" s="15" t="s">
        <v>1261</v>
      </c>
      <c r="M40" s="21">
        <f>(C41+C42)</f>
        <v>8138</v>
      </c>
      <c r="N40" s="17">
        <f>SUM(M40/M43)</f>
        <v>0.18344529101483251</v>
      </c>
      <c r="O40" s="2">
        <v>1</v>
      </c>
    </row>
    <row r="41" spans="1:15" s="2" customFormat="1" ht="16.5" customHeight="1" thickBot="1">
      <c r="A41" s="6" t="s">
        <v>1281</v>
      </c>
      <c r="B41" s="7" t="s">
        <v>1261</v>
      </c>
      <c r="C41" s="8">
        <v>4295</v>
      </c>
      <c r="D41" s="8">
        <v>4300</v>
      </c>
      <c r="E41" s="8">
        <v>4505</v>
      </c>
      <c r="F41" s="8">
        <v>4693</v>
      </c>
      <c r="G41" s="8">
        <v>4950</v>
      </c>
      <c r="H41" s="8">
        <v>4984</v>
      </c>
      <c r="I41" s="43">
        <v>5140</v>
      </c>
      <c r="J41" s="44">
        <v>5246</v>
      </c>
      <c r="K41" s="33" t="s">
        <v>1253</v>
      </c>
      <c r="L41" s="31" t="s">
        <v>1269</v>
      </c>
      <c r="M41" s="21">
        <v>166</v>
      </c>
      <c r="N41" s="17">
        <f>SUM(M41/M43)</f>
        <v>3.7419413011135659E-3</v>
      </c>
    </row>
    <row r="42" spans="1:15" s="2" customFormat="1" ht="16.5" customHeight="1" thickBot="1">
      <c r="A42" s="12" t="s">
        <v>1728</v>
      </c>
      <c r="B42" s="20" t="s">
        <v>1261</v>
      </c>
      <c r="C42" s="8">
        <v>3843</v>
      </c>
      <c r="D42" s="8">
        <v>3844</v>
      </c>
      <c r="E42" s="8">
        <v>3940</v>
      </c>
      <c r="F42" s="8">
        <v>4111</v>
      </c>
      <c r="G42" s="8">
        <v>4212</v>
      </c>
      <c r="H42" s="8">
        <v>4250</v>
      </c>
      <c r="I42" s="43">
        <v>4458</v>
      </c>
      <c r="J42" s="43">
        <v>4611</v>
      </c>
      <c r="K42" s="33"/>
      <c r="L42" s="26" t="s">
        <v>1254</v>
      </c>
      <c r="M42" s="21">
        <v>230</v>
      </c>
      <c r="N42" s="11">
        <f>SUM(M42/M43)</f>
        <v>5.1846174653983135E-3</v>
      </c>
    </row>
    <row r="43" spans="1:15" s="2" customFormat="1" ht="16.5" customHeight="1" thickBot="1">
      <c r="A43" s="12" t="s">
        <v>1282</v>
      </c>
      <c r="B43" s="22" t="s">
        <v>1257</v>
      </c>
      <c r="C43" s="8">
        <v>2071</v>
      </c>
      <c r="D43" s="8">
        <v>2182</v>
      </c>
      <c r="E43" s="8">
        <v>2183</v>
      </c>
      <c r="F43" s="8">
        <v>2228</v>
      </c>
      <c r="G43" s="8">
        <v>2233</v>
      </c>
      <c r="H43" s="8" t="s">
        <v>1326</v>
      </c>
      <c r="M43" s="23">
        <v>44362</v>
      </c>
    </row>
    <row r="44" spans="1:15" s="2" customFormat="1" ht="16.5" customHeight="1" thickBot="1">
      <c r="A44" s="12" t="s">
        <v>1283</v>
      </c>
      <c r="B44" s="27" t="s">
        <v>1258</v>
      </c>
      <c r="C44" s="8">
        <v>1029</v>
      </c>
      <c r="D44" s="8">
        <v>2565</v>
      </c>
      <c r="E44" s="8">
        <v>2571</v>
      </c>
      <c r="F44" s="8">
        <v>2580</v>
      </c>
      <c r="G44" s="8">
        <v>2581</v>
      </c>
      <c r="H44" s="8">
        <v>3035</v>
      </c>
      <c r="I44" s="43" t="s">
        <v>1326</v>
      </c>
    </row>
    <row r="45" spans="1:15" s="2" customFormat="1" ht="16.5" customHeight="1" thickBot="1">
      <c r="A45" s="12" t="s">
        <v>1284</v>
      </c>
      <c r="B45" s="13" t="s">
        <v>1247</v>
      </c>
      <c r="C45" s="8">
        <v>984</v>
      </c>
      <c r="D45" s="8">
        <v>984</v>
      </c>
      <c r="E45" s="8">
        <v>1144</v>
      </c>
      <c r="F45" s="8" t="s">
        <v>1326</v>
      </c>
    </row>
    <row r="46" spans="1:15" s="2" customFormat="1" ht="16.5" customHeight="1" thickBot="1">
      <c r="A46" s="12" t="s">
        <v>1285</v>
      </c>
      <c r="B46" s="37" t="s">
        <v>1286</v>
      </c>
      <c r="C46" s="8">
        <v>230</v>
      </c>
      <c r="D46" s="8">
        <v>230</v>
      </c>
      <c r="E46" s="8">
        <v>237</v>
      </c>
      <c r="F46" s="8" t="s">
        <v>1326</v>
      </c>
      <c r="I46" s="17"/>
      <c r="M46" s="17"/>
    </row>
    <row r="47" spans="1:15" s="2" customFormat="1" ht="16.5" customHeight="1" thickBot="1">
      <c r="A47" s="12" t="s">
        <v>1287</v>
      </c>
      <c r="B47" s="32" t="s">
        <v>1269</v>
      </c>
      <c r="C47" s="8">
        <v>166</v>
      </c>
      <c r="D47" s="8">
        <v>167</v>
      </c>
      <c r="E47" s="8">
        <v>168</v>
      </c>
      <c r="F47" s="8" t="s">
        <v>1326</v>
      </c>
      <c r="L47" s="21"/>
    </row>
    <row r="48" spans="1:15" s="2" customFormat="1" ht="12" customHeight="1">
      <c r="A48" s="1"/>
    </row>
    <row r="49" spans="1:16" s="2" customFormat="1" ht="16.5" customHeight="1">
      <c r="A49" s="1" t="s">
        <v>1731</v>
      </c>
    </row>
    <row r="50" spans="1:16" s="2" customFormat="1" ht="9.75" customHeight="1" thickBot="1">
      <c r="A50" s="3"/>
    </row>
    <row r="51" spans="1:16" s="2" customFormat="1" ht="16.5" customHeight="1" thickBot="1">
      <c r="A51" s="4" t="s">
        <v>1244</v>
      </c>
      <c r="B51" s="5" t="s">
        <v>1245</v>
      </c>
      <c r="C51" s="5" t="s">
        <v>1246</v>
      </c>
      <c r="D51" s="5">
        <v>2</v>
      </c>
      <c r="E51" s="5">
        <v>3</v>
      </c>
      <c r="F51" s="5">
        <v>4</v>
      </c>
      <c r="G51" s="5">
        <v>5</v>
      </c>
      <c r="H51" s="5">
        <v>6</v>
      </c>
      <c r="I51" s="5">
        <v>7</v>
      </c>
      <c r="J51" s="5">
        <v>8</v>
      </c>
      <c r="K51" s="5">
        <v>9</v>
      </c>
      <c r="L51" s="5"/>
      <c r="M51" s="10" t="s">
        <v>1413</v>
      </c>
      <c r="N51" s="11">
        <f>(41436/65303)</f>
        <v>0.63451908794389233</v>
      </c>
    </row>
    <row r="52" spans="1:16" s="2" customFormat="1" ht="16.5" customHeight="1" thickBot="1">
      <c r="A52" s="6" t="s">
        <v>1363</v>
      </c>
      <c r="B52" s="7" t="s">
        <v>1261</v>
      </c>
      <c r="C52" s="36">
        <v>6806</v>
      </c>
      <c r="D52" s="8"/>
      <c r="E52" s="8"/>
      <c r="F52" s="8"/>
      <c r="G52" s="8"/>
      <c r="H52" s="8"/>
      <c r="I52" s="8"/>
      <c r="J52" s="8"/>
      <c r="K52" s="8"/>
      <c r="L52" s="33" t="s">
        <v>1271</v>
      </c>
      <c r="M52" s="14"/>
      <c r="N52" s="10" t="s">
        <v>1248</v>
      </c>
      <c r="O52" s="10" t="s">
        <v>1249</v>
      </c>
      <c r="P52" s="10" t="s">
        <v>1250</v>
      </c>
    </row>
    <row r="53" spans="1:16" s="2" customFormat="1" ht="16.5" customHeight="1" thickBot="1">
      <c r="A53" s="6" t="s">
        <v>1364</v>
      </c>
      <c r="B53" s="28" t="s">
        <v>1258</v>
      </c>
      <c r="C53" s="36">
        <v>6101</v>
      </c>
      <c r="D53" s="8"/>
      <c r="E53" s="8"/>
      <c r="F53" s="8"/>
      <c r="G53" s="8"/>
      <c r="H53" s="8"/>
      <c r="I53" s="8"/>
      <c r="J53" s="8"/>
      <c r="K53" s="8"/>
      <c r="L53" s="33" t="s">
        <v>1362</v>
      </c>
      <c r="M53" s="19" t="s">
        <v>1247</v>
      </c>
      <c r="N53" s="16">
        <f>(C54+C55+C56)</f>
        <v>13214</v>
      </c>
      <c r="O53" s="17">
        <f>SUM(N53/N59)</f>
        <v>0.32382492770670979</v>
      </c>
      <c r="P53" s="14">
        <v>2</v>
      </c>
    </row>
    <row r="54" spans="1:16" s="2" customFormat="1" ht="16.5" customHeight="1" thickBot="1">
      <c r="A54" s="6" t="s">
        <v>1452</v>
      </c>
      <c r="B54" s="25" t="s">
        <v>1247</v>
      </c>
      <c r="C54" s="36">
        <v>6036</v>
      </c>
      <c r="D54" s="8"/>
      <c r="E54" s="8"/>
      <c r="F54" s="8"/>
      <c r="G54" s="8"/>
      <c r="H54" s="36"/>
      <c r="I54" s="8"/>
      <c r="J54" s="8"/>
      <c r="K54" s="8"/>
      <c r="L54" s="33" t="s">
        <v>1252</v>
      </c>
      <c r="M54" s="18" t="s">
        <v>1257</v>
      </c>
      <c r="N54" s="16">
        <v>3322</v>
      </c>
      <c r="O54" s="17">
        <f>SUM(N54/N59)</f>
        <v>8.1409596627946876E-2</v>
      </c>
      <c r="P54" s="14"/>
    </row>
    <row r="55" spans="1:16" s="2" customFormat="1" ht="16.5" customHeight="1" thickBot="1">
      <c r="A55" s="12" t="s">
        <v>1288</v>
      </c>
      <c r="B55" s="13" t="s">
        <v>1247</v>
      </c>
      <c r="C55" s="8">
        <v>3679</v>
      </c>
      <c r="D55" s="8">
        <v>3701</v>
      </c>
      <c r="E55" s="8">
        <v>3701</v>
      </c>
      <c r="F55" s="8">
        <v>3754</v>
      </c>
      <c r="G55" s="8">
        <v>3818</v>
      </c>
      <c r="H55" s="8">
        <v>3882</v>
      </c>
      <c r="I55" s="8">
        <v>4324</v>
      </c>
      <c r="J55" s="8">
        <v>4341</v>
      </c>
      <c r="K55" s="8">
        <v>4342</v>
      </c>
      <c r="L55" s="33"/>
      <c r="M55" s="30" t="s">
        <v>1258</v>
      </c>
      <c r="N55" s="16">
        <v>6101</v>
      </c>
      <c r="O55" s="17">
        <f>SUM(N55/N59)</f>
        <v>0.14951232661863451</v>
      </c>
      <c r="P55" s="2">
        <v>1</v>
      </c>
    </row>
    <row r="56" spans="1:16" s="2" customFormat="1" ht="16.5" customHeight="1" thickBot="1">
      <c r="A56" s="6" t="s">
        <v>1729</v>
      </c>
      <c r="B56" s="25" t="s">
        <v>1247</v>
      </c>
      <c r="C56" s="8">
        <v>3499</v>
      </c>
      <c r="D56" s="8">
        <v>3534</v>
      </c>
      <c r="E56" s="8">
        <v>3534</v>
      </c>
      <c r="F56" s="8">
        <v>3642</v>
      </c>
      <c r="G56" s="8">
        <v>3726</v>
      </c>
      <c r="H56" s="8">
        <v>3784</v>
      </c>
      <c r="I56" s="8">
        <v>4338</v>
      </c>
      <c r="J56" s="8">
        <v>4350</v>
      </c>
      <c r="K56" s="36">
        <v>4351</v>
      </c>
      <c r="L56" s="33" t="s">
        <v>1253</v>
      </c>
      <c r="M56" s="15" t="s">
        <v>1261</v>
      </c>
      <c r="N56" s="21">
        <f>(C52+C57+C59+C61)</f>
        <v>14746</v>
      </c>
      <c r="O56" s="17">
        <f>SUM(N56/N59)</f>
        <v>0.36136842621183157</v>
      </c>
      <c r="P56" s="2">
        <v>3</v>
      </c>
    </row>
    <row r="57" spans="1:16" s="2" customFormat="1" ht="16.5" customHeight="1" thickBot="1">
      <c r="A57" s="6" t="s">
        <v>1289</v>
      </c>
      <c r="B57" s="7" t="s">
        <v>1261</v>
      </c>
      <c r="C57" s="8">
        <v>3345</v>
      </c>
      <c r="D57" s="8">
        <v>3599</v>
      </c>
      <c r="E57" s="8">
        <v>3600</v>
      </c>
      <c r="F57" s="8">
        <v>3603</v>
      </c>
      <c r="G57" s="8">
        <v>3830</v>
      </c>
      <c r="H57" s="8">
        <v>4758</v>
      </c>
      <c r="I57" s="8">
        <v>5256</v>
      </c>
      <c r="J57" s="36">
        <v>5930</v>
      </c>
      <c r="K57" s="8"/>
      <c r="L57" s="33" t="s">
        <v>1280</v>
      </c>
      <c r="M57" s="31" t="s">
        <v>1269</v>
      </c>
      <c r="N57" s="21">
        <f>(C63+C64)</f>
        <v>364</v>
      </c>
      <c r="O57" s="17">
        <f>SUM(N57/N59)</f>
        <v>8.9202568249767186E-3</v>
      </c>
    </row>
    <row r="58" spans="1:16" s="2" customFormat="1" ht="16.5" customHeight="1" thickBot="1">
      <c r="A58" s="12" t="s">
        <v>1290</v>
      </c>
      <c r="B58" s="22" t="s">
        <v>1257</v>
      </c>
      <c r="C58" s="8">
        <v>3322</v>
      </c>
      <c r="D58" s="8">
        <v>3332</v>
      </c>
      <c r="E58" s="8">
        <v>3536</v>
      </c>
      <c r="F58" s="8">
        <v>3536</v>
      </c>
      <c r="G58" s="8">
        <v>3720</v>
      </c>
      <c r="H58" s="8">
        <v>3750</v>
      </c>
      <c r="I58" s="8">
        <v>3805</v>
      </c>
      <c r="J58" s="8" t="s">
        <v>1326</v>
      </c>
      <c r="M58" s="26" t="s">
        <v>1254</v>
      </c>
      <c r="N58" s="21">
        <f>(C60+C62)</f>
        <v>3059</v>
      </c>
      <c r="O58" s="11">
        <f>SUM(N58/N59)</f>
        <v>7.4964466009900504E-2</v>
      </c>
    </row>
    <row r="59" spans="1:16" s="2" customFormat="1" ht="16.5" customHeight="1" thickBot="1">
      <c r="A59" s="6" t="s">
        <v>1291</v>
      </c>
      <c r="B59" s="7" t="s">
        <v>1261</v>
      </c>
      <c r="C59" s="8">
        <v>2826</v>
      </c>
      <c r="D59" s="8">
        <v>3166</v>
      </c>
      <c r="E59" s="8">
        <v>3169</v>
      </c>
      <c r="F59" s="8">
        <v>3173</v>
      </c>
      <c r="G59" s="8">
        <v>3334</v>
      </c>
      <c r="H59" s="8">
        <v>4178</v>
      </c>
      <c r="I59" s="8">
        <v>4679</v>
      </c>
      <c r="J59" s="8">
        <v>5697</v>
      </c>
      <c r="K59" s="36">
        <v>5764</v>
      </c>
      <c r="L59" s="33" t="s">
        <v>1251</v>
      </c>
      <c r="N59" s="23">
        <v>40806</v>
      </c>
    </row>
    <row r="60" spans="1:16" s="2" customFormat="1" ht="16.5" customHeight="1" thickBot="1">
      <c r="A60" s="12" t="s">
        <v>1292</v>
      </c>
      <c r="B60" s="38" t="s">
        <v>1293</v>
      </c>
      <c r="C60" s="8">
        <v>2257</v>
      </c>
      <c r="D60" s="8">
        <v>2288</v>
      </c>
      <c r="E60" s="8">
        <v>2289</v>
      </c>
      <c r="F60" s="8">
        <v>2294</v>
      </c>
      <c r="G60" s="8">
        <v>2488</v>
      </c>
      <c r="H60" s="8">
        <v>2586</v>
      </c>
      <c r="I60" s="8" t="s">
        <v>1326</v>
      </c>
    </row>
    <row r="61" spans="1:16" s="2" customFormat="1" ht="16.5" customHeight="1" thickBot="1">
      <c r="A61" s="12" t="s">
        <v>1294</v>
      </c>
      <c r="B61" s="20" t="s">
        <v>1261</v>
      </c>
      <c r="C61" s="8">
        <v>1769</v>
      </c>
      <c r="D61" s="8">
        <v>1978</v>
      </c>
      <c r="E61" s="8">
        <v>1979</v>
      </c>
      <c r="F61" s="8">
        <v>1982</v>
      </c>
      <c r="G61" s="8">
        <v>2152</v>
      </c>
      <c r="H61" s="8" t="s">
        <v>1326</v>
      </c>
    </row>
    <row r="62" spans="1:16" s="2" customFormat="1" ht="16.5" customHeight="1" thickBot="1">
      <c r="A62" s="12" t="s">
        <v>1730</v>
      </c>
      <c r="B62" s="38" t="s">
        <v>1270</v>
      </c>
      <c r="C62" s="8">
        <v>802</v>
      </c>
      <c r="D62" s="8">
        <v>835</v>
      </c>
      <c r="E62" s="8">
        <v>843</v>
      </c>
      <c r="F62" s="8">
        <v>845</v>
      </c>
      <c r="G62" s="8" t="s">
        <v>1326</v>
      </c>
      <c r="N62" s="17"/>
    </row>
    <row r="63" spans="1:16" s="2" customFormat="1" ht="16.5" customHeight="1" thickBot="1">
      <c r="A63" s="12" t="s">
        <v>1295</v>
      </c>
      <c r="B63" s="32" t="s">
        <v>1269</v>
      </c>
      <c r="C63" s="8">
        <v>227</v>
      </c>
      <c r="D63" s="43">
        <v>231</v>
      </c>
      <c r="E63" s="43">
        <v>233</v>
      </c>
      <c r="F63" s="43">
        <v>233</v>
      </c>
      <c r="G63" s="43" t="s">
        <v>1326</v>
      </c>
    </row>
    <row r="64" spans="1:16" s="2" customFormat="1" ht="16.5" customHeight="1" thickBot="1">
      <c r="A64" s="12" t="s">
        <v>1296</v>
      </c>
      <c r="B64" s="32" t="s">
        <v>1269</v>
      </c>
      <c r="C64" s="8">
        <v>137</v>
      </c>
      <c r="D64" s="8">
        <v>140</v>
      </c>
      <c r="E64" s="8">
        <v>141</v>
      </c>
      <c r="F64" s="8">
        <v>141</v>
      </c>
      <c r="G64" s="8" t="s">
        <v>1326</v>
      </c>
    </row>
    <row r="65" spans="1:19" s="2" customFormat="1" ht="12" customHeight="1">
      <c r="A65" s="1"/>
    </row>
    <row r="66" spans="1:19" s="2" customFormat="1" ht="16.5" customHeight="1">
      <c r="A66" s="1" t="s">
        <v>1735</v>
      </c>
    </row>
    <row r="67" spans="1:19" s="2" customFormat="1" ht="9.75" customHeight="1" thickBot="1">
      <c r="A67" s="3"/>
    </row>
    <row r="68" spans="1:19" s="2" customFormat="1" ht="16.5" customHeight="1" thickBot="1">
      <c r="A68" s="4" t="s">
        <v>1244</v>
      </c>
      <c r="B68" s="5" t="s">
        <v>1245</v>
      </c>
      <c r="C68" s="5" t="s">
        <v>1246</v>
      </c>
      <c r="D68" s="5">
        <v>2</v>
      </c>
      <c r="E68" s="5">
        <v>3</v>
      </c>
      <c r="F68" s="5">
        <v>4</v>
      </c>
      <c r="G68" s="5">
        <v>5</v>
      </c>
      <c r="H68" s="5">
        <v>6</v>
      </c>
      <c r="I68" s="5">
        <v>7</v>
      </c>
      <c r="J68" s="5">
        <v>8</v>
      </c>
      <c r="K68" s="5">
        <v>9</v>
      </c>
      <c r="L68" s="5">
        <v>10</v>
      </c>
      <c r="M68" s="5">
        <v>11</v>
      </c>
      <c r="N68" s="5">
        <v>12</v>
      </c>
      <c r="O68" s="5"/>
      <c r="P68" s="10" t="s">
        <v>1413</v>
      </c>
      <c r="Q68" s="11">
        <f>(34703/56203)</f>
        <v>0.61745814280376488</v>
      </c>
    </row>
    <row r="69" spans="1:19" s="2" customFormat="1" ht="16.5" customHeight="1" thickBot="1">
      <c r="A69" s="6" t="s">
        <v>1374</v>
      </c>
      <c r="B69" s="28" t="s">
        <v>1258</v>
      </c>
      <c r="C69" s="8">
        <v>4789</v>
      </c>
      <c r="D69" s="8">
        <v>4803</v>
      </c>
      <c r="E69" s="36">
        <v>5023</v>
      </c>
      <c r="F69" s="36"/>
      <c r="G69" s="36"/>
      <c r="H69" s="8"/>
      <c r="I69" s="8"/>
      <c r="J69" s="8"/>
      <c r="K69" s="8"/>
      <c r="L69" s="8"/>
      <c r="M69" s="8"/>
      <c r="N69" s="8"/>
      <c r="O69" s="33" t="s">
        <v>1271</v>
      </c>
      <c r="P69" s="14"/>
      <c r="Q69" s="10" t="s">
        <v>1248</v>
      </c>
      <c r="R69" s="10" t="s">
        <v>1249</v>
      </c>
      <c r="S69" s="10" t="s">
        <v>1250</v>
      </c>
    </row>
    <row r="70" spans="1:19" s="2" customFormat="1" ht="16.5" customHeight="1" thickBot="1">
      <c r="A70" s="6" t="s">
        <v>1375</v>
      </c>
      <c r="B70" s="9" t="s">
        <v>1257</v>
      </c>
      <c r="C70" s="8">
        <v>4069</v>
      </c>
      <c r="D70" s="8">
        <v>4288</v>
      </c>
      <c r="E70" s="8">
        <v>4414</v>
      </c>
      <c r="F70" s="36">
        <v>5176</v>
      </c>
      <c r="G70" s="8"/>
      <c r="H70" s="8"/>
      <c r="I70" s="36"/>
      <c r="J70" s="8"/>
      <c r="K70" s="8"/>
      <c r="L70" s="8"/>
      <c r="M70" s="36"/>
      <c r="N70" s="8"/>
      <c r="O70" s="33" t="s">
        <v>1362</v>
      </c>
      <c r="P70" s="19" t="s">
        <v>1247</v>
      </c>
      <c r="Q70" s="16">
        <f>(C71+C77)</f>
        <v>6121</v>
      </c>
      <c r="R70" s="17">
        <f>SUM(Q70/Q76)</f>
        <v>0.17859539579260642</v>
      </c>
      <c r="S70" s="14">
        <v>1</v>
      </c>
    </row>
    <row r="71" spans="1:19" s="2" customFormat="1" ht="16.5" customHeight="1" thickBot="1">
      <c r="A71" s="6" t="s">
        <v>1297</v>
      </c>
      <c r="B71" s="25" t="s">
        <v>1247</v>
      </c>
      <c r="C71" s="8">
        <v>4019</v>
      </c>
      <c r="D71" s="8">
        <v>4051</v>
      </c>
      <c r="E71" s="8">
        <v>4056</v>
      </c>
      <c r="F71" s="8">
        <v>4056</v>
      </c>
      <c r="G71" s="8">
        <v>4056</v>
      </c>
      <c r="H71" s="8">
        <v>4056</v>
      </c>
      <c r="I71" s="36">
        <v>5895</v>
      </c>
      <c r="J71" s="8"/>
      <c r="K71" s="36"/>
      <c r="L71" s="8"/>
      <c r="M71" s="8"/>
      <c r="N71" s="8"/>
      <c r="O71" s="33" t="s">
        <v>1252</v>
      </c>
      <c r="P71" s="18" t="s">
        <v>1257</v>
      </c>
      <c r="Q71" s="16">
        <f>(C70+C76+C79)</f>
        <v>7769</v>
      </c>
      <c r="R71" s="17">
        <f>SUM(Q71/Q76)</f>
        <v>0.22667989379394859</v>
      </c>
      <c r="S71" s="14">
        <v>2</v>
      </c>
    </row>
    <row r="72" spans="1:19" s="2" customFormat="1" ht="16.5" customHeight="1" thickBot="1">
      <c r="A72" s="6" t="s">
        <v>1298</v>
      </c>
      <c r="B72" s="28" t="s">
        <v>1258</v>
      </c>
      <c r="C72" s="8">
        <v>3466</v>
      </c>
      <c r="D72" s="8">
        <v>3474</v>
      </c>
      <c r="E72" s="8">
        <v>3514</v>
      </c>
      <c r="F72" s="8">
        <v>3613</v>
      </c>
      <c r="G72" s="8">
        <v>3617</v>
      </c>
      <c r="H72" s="8">
        <v>3641</v>
      </c>
      <c r="I72" s="8">
        <v>3643</v>
      </c>
      <c r="J72" s="8">
        <v>3644</v>
      </c>
      <c r="K72" s="8">
        <v>4741</v>
      </c>
      <c r="L72" s="36">
        <v>7346</v>
      </c>
      <c r="M72" s="8"/>
      <c r="N72" s="8"/>
      <c r="O72" s="33" t="s">
        <v>1280</v>
      </c>
      <c r="P72" s="30" t="s">
        <v>1258</v>
      </c>
      <c r="Q72" s="16">
        <f>(C69+C72+C74)</f>
        <v>11091</v>
      </c>
      <c r="R72" s="17">
        <f>SUM(Q72/Q76)</f>
        <v>0.32360750444956671</v>
      </c>
      <c r="S72" s="2">
        <v>2</v>
      </c>
    </row>
    <row r="73" spans="1:19" s="2" customFormat="1" ht="16.5" customHeight="1" thickBot="1">
      <c r="A73" s="6" t="s">
        <v>1378</v>
      </c>
      <c r="B73" s="7" t="s">
        <v>1261</v>
      </c>
      <c r="C73" s="8">
        <v>3190</v>
      </c>
      <c r="D73" s="8">
        <v>3430</v>
      </c>
      <c r="E73" s="8">
        <v>3455</v>
      </c>
      <c r="F73" s="8">
        <v>3468</v>
      </c>
      <c r="G73" s="8">
        <v>3472</v>
      </c>
      <c r="H73" s="8">
        <v>3474</v>
      </c>
      <c r="I73" s="8">
        <v>3565</v>
      </c>
      <c r="J73" s="8">
        <v>3734</v>
      </c>
      <c r="K73" s="8">
        <v>3759</v>
      </c>
      <c r="L73" s="8">
        <v>3778</v>
      </c>
      <c r="M73" s="8">
        <v>3794</v>
      </c>
      <c r="N73" s="36">
        <v>3870</v>
      </c>
      <c r="O73" s="33" t="s">
        <v>1253</v>
      </c>
      <c r="P73" s="15" t="s">
        <v>1261</v>
      </c>
      <c r="Q73" s="21">
        <f>(C73+C75)</f>
        <v>5584</v>
      </c>
      <c r="R73" s="17">
        <f>SUM(Q73/Q76)</f>
        <v>0.16292708546085841</v>
      </c>
      <c r="S73" s="2">
        <v>1</v>
      </c>
    </row>
    <row r="74" spans="1:19" s="2" customFormat="1" ht="16.5" customHeight="1" thickBot="1">
      <c r="A74" s="12" t="s">
        <v>1299</v>
      </c>
      <c r="B74" s="27" t="s">
        <v>1258</v>
      </c>
      <c r="C74" s="8">
        <v>2836</v>
      </c>
      <c r="D74" s="8">
        <v>2848</v>
      </c>
      <c r="E74" s="8">
        <v>3035</v>
      </c>
      <c r="F74" s="8">
        <v>3040</v>
      </c>
      <c r="G74" s="8">
        <v>3043</v>
      </c>
      <c r="H74" s="8">
        <v>3091</v>
      </c>
      <c r="I74" s="8">
        <v>3095</v>
      </c>
      <c r="J74" s="8">
        <v>3096</v>
      </c>
      <c r="K74" s="8">
        <v>3373</v>
      </c>
      <c r="L74" s="8" t="s">
        <v>1326</v>
      </c>
      <c r="P74" s="31" t="s">
        <v>1269</v>
      </c>
      <c r="Q74" s="21">
        <v>762</v>
      </c>
      <c r="R74" s="17">
        <f>SUM(Q74/Q76)</f>
        <v>2.2233244828290491E-2</v>
      </c>
    </row>
    <row r="75" spans="1:19" s="2" customFormat="1" ht="16.5" customHeight="1" thickBot="1">
      <c r="A75" s="12" t="s">
        <v>1733</v>
      </c>
      <c r="B75" s="20" t="s">
        <v>1261</v>
      </c>
      <c r="C75" s="8">
        <v>2394</v>
      </c>
      <c r="D75" s="8">
        <v>2525</v>
      </c>
      <c r="E75" s="8">
        <v>2532</v>
      </c>
      <c r="F75" s="8">
        <v>2546</v>
      </c>
      <c r="G75" s="8">
        <v>2548</v>
      </c>
      <c r="H75" s="8">
        <v>2548</v>
      </c>
      <c r="I75" s="8">
        <v>2700</v>
      </c>
      <c r="J75" s="8">
        <v>3514</v>
      </c>
      <c r="K75" s="8">
        <v>3526</v>
      </c>
      <c r="L75" s="8">
        <v>3534</v>
      </c>
      <c r="M75" s="8">
        <v>3545</v>
      </c>
      <c r="N75" s="8">
        <v>3652</v>
      </c>
      <c r="O75" s="33"/>
      <c r="P75" s="26" t="s">
        <v>1254</v>
      </c>
      <c r="Q75" s="21">
        <f>(C78+C80+C82)</f>
        <v>2946</v>
      </c>
      <c r="R75" s="11">
        <f>SUM(Q75/Q76)</f>
        <v>8.5956875674729386E-2</v>
      </c>
    </row>
    <row r="76" spans="1:19" s="2" customFormat="1" ht="16.5" customHeight="1" thickBot="1">
      <c r="A76" s="6" t="s">
        <v>1300</v>
      </c>
      <c r="B76" s="9" t="s">
        <v>1257</v>
      </c>
      <c r="C76" s="8">
        <v>2292</v>
      </c>
      <c r="D76" s="8">
        <v>2377</v>
      </c>
      <c r="E76" s="8">
        <v>2527</v>
      </c>
      <c r="F76" s="8">
        <v>2959</v>
      </c>
      <c r="G76" s="8">
        <v>3199</v>
      </c>
      <c r="H76" s="8">
        <v>3220</v>
      </c>
      <c r="I76" s="8">
        <v>3222</v>
      </c>
      <c r="J76" s="8">
        <v>3223</v>
      </c>
      <c r="K76" s="8">
        <v>3883</v>
      </c>
      <c r="L76" s="8">
        <v>4319</v>
      </c>
      <c r="M76" s="36">
        <v>5346</v>
      </c>
      <c r="N76" s="36"/>
      <c r="O76" s="33" t="s">
        <v>1251</v>
      </c>
      <c r="Q76" s="23">
        <v>34273</v>
      </c>
    </row>
    <row r="77" spans="1:19" s="2" customFormat="1" ht="16.5" customHeight="1" thickBot="1">
      <c r="A77" s="12" t="s">
        <v>1301</v>
      </c>
      <c r="B77" s="13" t="s">
        <v>1247</v>
      </c>
      <c r="C77" s="8">
        <v>2102</v>
      </c>
      <c r="D77" s="8">
        <v>2110</v>
      </c>
      <c r="E77" s="8">
        <v>2111</v>
      </c>
      <c r="F77" s="8">
        <v>2114</v>
      </c>
      <c r="G77" s="8">
        <v>2114</v>
      </c>
      <c r="H77" s="8">
        <v>2114</v>
      </c>
      <c r="I77" s="8" t="s">
        <v>1326</v>
      </c>
    </row>
    <row r="78" spans="1:19" s="2" customFormat="1" ht="16.5" customHeight="1" thickBot="1">
      <c r="A78" s="12" t="s">
        <v>1732</v>
      </c>
      <c r="B78" s="38" t="s">
        <v>1302</v>
      </c>
      <c r="C78" s="8">
        <v>1903</v>
      </c>
      <c r="D78" s="8">
        <v>1923</v>
      </c>
      <c r="E78" s="8">
        <v>2049</v>
      </c>
      <c r="F78" s="8">
        <v>2171</v>
      </c>
      <c r="G78" s="8">
        <v>2190</v>
      </c>
      <c r="H78" s="8">
        <v>2219</v>
      </c>
      <c r="I78" s="8">
        <v>2220</v>
      </c>
      <c r="J78" s="8">
        <v>2221</v>
      </c>
      <c r="K78" s="8" t="s">
        <v>1326</v>
      </c>
    </row>
    <row r="79" spans="1:19" s="2" customFormat="1" ht="16.5" customHeight="1" thickBot="1">
      <c r="A79" s="12" t="s">
        <v>1303</v>
      </c>
      <c r="B79" s="22" t="s">
        <v>1257</v>
      </c>
      <c r="C79" s="8">
        <v>1408</v>
      </c>
      <c r="D79" s="8">
        <v>1443</v>
      </c>
      <c r="E79" s="8">
        <v>1466</v>
      </c>
      <c r="F79" s="8" t="s">
        <v>1326</v>
      </c>
      <c r="O79" s="17"/>
    </row>
    <row r="80" spans="1:19" s="2" customFormat="1" ht="16.5" customHeight="1" thickBot="1">
      <c r="A80" s="12" t="s">
        <v>1734</v>
      </c>
      <c r="B80" s="42" t="s">
        <v>1304</v>
      </c>
      <c r="C80" s="8">
        <v>906</v>
      </c>
      <c r="D80" s="43">
        <v>937</v>
      </c>
      <c r="E80" s="8" t="s">
        <v>1326</v>
      </c>
    </row>
    <row r="81" spans="1:15" s="2" customFormat="1" ht="16.5" customHeight="1" thickBot="1">
      <c r="A81" s="12" t="s">
        <v>1305</v>
      </c>
      <c r="B81" s="32" t="s">
        <v>1269</v>
      </c>
      <c r="C81" s="8">
        <v>762</v>
      </c>
      <c r="D81" s="8" t="s">
        <v>1326</v>
      </c>
      <c r="O81" s="17"/>
    </row>
    <row r="82" spans="1:15" s="2" customFormat="1" ht="16.5" customHeight="1" thickBot="1">
      <c r="A82" s="12" t="s">
        <v>1306</v>
      </c>
      <c r="B82" s="38" t="s">
        <v>1293</v>
      </c>
      <c r="C82" s="8">
        <v>137</v>
      </c>
      <c r="D82" s="8" t="s">
        <v>1326</v>
      </c>
      <c r="O82" s="17"/>
    </row>
    <row r="83" spans="1:15" s="2" customFormat="1" ht="12" customHeight="1">
      <c r="A83" s="1"/>
    </row>
    <row r="84" spans="1:15" s="2" customFormat="1" ht="16.5" customHeight="1">
      <c r="A84" s="1" t="s">
        <v>1736</v>
      </c>
    </row>
    <row r="85" spans="1:15" s="2" customFormat="1" ht="9.75" customHeight="1" thickBot="1">
      <c r="A85" s="3"/>
    </row>
    <row r="86" spans="1:15" s="2" customFormat="1" ht="16.5" customHeight="1" thickBot="1">
      <c r="A86" s="4" t="s">
        <v>1244</v>
      </c>
      <c r="B86" s="5" t="s">
        <v>1245</v>
      </c>
      <c r="C86" s="5" t="s">
        <v>1246</v>
      </c>
      <c r="D86" s="5">
        <v>2</v>
      </c>
      <c r="E86" s="5">
        <v>3</v>
      </c>
      <c r="F86" s="5">
        <v>4</v>
      </c>
      <c r="G86" s="5">
        <v>5</v>
      </c>
      <c r="H86" s="5"/>
      <c r="I86" s="10" t="s">
        <v>1413</v>
      </c>
      <c r="J86" s="11">
        <f>(48233/68731)</f>
        <v>0.70176485137710787</v>
      </c>
    </row>
    <row r="87" spans="1:15" s="2" customFormat="1" ht="16.5" customHeight="1" thickBot="1">
      <c r="A87" s="6" t="s">
        <v>1395</v>
      </c>
      <c r="B87" s="28" t="s">
        <v>1258</v>
      </c>
      <c r="C87" s="36">
        <v>8125</v>
      </c>
      <c r="D87" s="8"/>
      <c r="E87" s="8"/>
      <c r="F87" s="8"/>
      <c r="G87" s="8"/>
      <c r="H87" s="33" t="s">
        <v>1271</v>
      </c>
      <c r="I87" s="14"/>
      <c r="J87" s="10" t="s">
        <v>1248</v>
      </c>
      <c r="K87" s="10" t="s">
        <v>1249</v>
      </c>
      <c r="L87" s="10" t="s">
        <v>1250</v>
      </c>
    </row>
    <row r="88" spans="1:15" s="2" customFormat="1" ht="16.5" customHeight="1" thickBot="1">
      <c r="A88" s="6" t="s">
        <v>1388</v>
      </c>
      <c r="B88" s="25" t="s">
        <v>1247</v>
      </c>
      <c r="C88" s="36">
        <v>7595</v>
      </c>
      <c r="D88" s="8"/>
      <c r="E88" s="8"/>
      <c r="F88" s="8"/>
      <c r="G88" s="8"/>
      <c r="H88" s="33" t="s">
        <v>1362</v>
      </c>
      <c r="I88" s="19" t="s">
        <v>1247</v>
      </c>
      <c r="J88" s="16">
        <f>(C88+C90+C91)</f>
        <v>18852</v>
      </c>
      <c r="K88" s="17">
        <f>SUM(J88/J94)</f>
        <v>0.39790620119042591</v>
      </c>
      <c r="L88" s="14">
        <v>3</v>
      </c>
    </row>
    <row r="89" spans="1:15" s="2" customFormat="1" ht="16.5" customHeight="1" thickBot="1">
      <c r="A89" s="6" t="s">
        <v>1389</v>
      </c>
      <c r="B89" s="9" t="s">
        <v>1257</v>
      </c>
      <c r="C89" s="36">
        <v>7347</v>
      </c>
      <c r="D89" s="8"/>
      <c r="E89" s="8"/>
      <c r="F89" s="8"/>
      <c r="G89" s="36"/>
      <c r="H89" s="33" t="s">
        <v>1252</v>
      </c>
      <c r="I89" s="18" t="s">
        <v>1257</v>
      </c>
      <c r="J89" s="16">
        <v>7347</v>
      </c>
      <c r="K89" s="17">
        <f>SUM(J89/J94)</f>
        <v>0.1550719743340791</v>
      </c>
      <c r="L89" s="14">
        <v>1</v>
      </c>
    </row>
    <row r="90" spans="1:15" s="2" customFormat="1" ht="16.5" customHeight="1" thickBot="1">
      <c r="A90" s="6" t="s">
        <v>1307</v>
      </c>
      <c r="B90" s="25" t="s">
        <v>1247</v>
      </c>
      <c r="C90" s="8">
        <v>5779</v>
      </c>
      <c r="D90" s="8">
        <v>5779</v>
      </c>
      <c r="E90" s="8">
        <v>6347</v>
      </c>
      <c r="F90" s="8">
        <v>6367</v>
      </c>
      <c r="G90" s="36">
        <v>6633</v>
      </c>
      <c r="H90" s="33" t="s">
        <v>1251</v>
      </c>
      <c r="I90" s="30" t="s">
        <v>1258</v>
      </c>
      <c r="J90" s="16">
        <f>(C96+C87)</f>
        <v>8599</v>
      </c>
      <c r="K90" s="17">
        <f>SUM(J90/J94)</f>
        <v>0.18149774156781628</v>
      </c>
      <c r="L90" s="2">
        <v>1</v>
      </c>
    </row>
    <row r="91" spans="1:15" s="2" customFormat="1" ht="16.5" customHeight="1" thickBot="1">
      <c r="A91" s="6" t="s">
        <v>1738</v>
      </c>
      <c r="B91" s="25" t="s">
        <v>1247</v>
      </c>
      <c r="C91" s="8">
        <v>5478</v>
      </c>
      <c r="D91" s="8">
        <v>5478</v>
      </c>
      <c r="E91" s="8">
        <v>5590</v>
      </c>
      <c r="F91" s="8">
        <v>5603</v>
      </c>
      <c r="G91" s="36">
        <v>5712</v>
      </c>
      <c r="H91" s="33" t="s">
        <v>1253</v>
      </c>
      <c r="I91" s="15" t="s">
        <v>1261</v>
      </c>
      <c r="J91" s="21">
        <f>(C92+C93+C94)</f>
        <v>11637</v>
      </c>
      <c r="K91" s="17">
        <f>SUM(J91/J94)</f>
        <v>0.24562033011102199</v>
      </c>
      <c r="L91" s="2">
        <v>1</v>
      </c>
    </row>
    <row r="92" spans="1:15" s="2" customFormat="1" ht="16.5" customHeight="1" thickBot="1">
      <c r="A92" s="12" t="s">
        <v>1308</v>
      </c>
      <c r="B92" s="20" t="s">
        <v>1261</v>
      </c>
      <c r="C92" s="8">
        <v>4116</v>
      </c>
      <c r="D92" s="8">
        <v>4118</v>
      </c>
      <c r="E92" s="8">
        <v>4125</v>
      </c>
      <c r="F92" s="8">
        <v>4390</v>
      </c>
      <c r="G92" s="8">
        <v>5112</v>
      </c>
      <c r="H92" s="33"/>
      <c r="I92" s="31" t="s">
        <v>1269</v>
      </c>
      <c r="J92" s="21">
        <v>311</v>
      </c>
      <c r="K92" s="17">
        <f>SUM(J92/J94)</f>
        <v>6.5642281227573981E-3</v>
      </c>
    </row>
    <row r="93" spans="1:15" s="2" customFormat="1" ht="16.5" customHeight="1" thickBot="1">
      <c r="A93" s="6" t="s">
        <v>1309</v>
      </c>
      <c r="B93" s="7" t="s">
        <v>1261</v>
      </c>
      <c r="C93" s="8">
        <v>4111</v>
      </c>
      <c r="D93" s="8">
        <v>4119</v>
      </c>
      <c r="E93" s="8">
        <v>4135</v>
      </c>
      <c r="F93" s="8">
        <v>4400</v>
      </c>
      <c r="G93" s="36">
        <v>6783</v>
      </c>
      <c r="H93" s="33" t="s">
        <v>1280</v>
      </c>
      <c r="I93" s="26" t="s">
        <v>1254</v>
      </c>
      <c r="J93" s="21">
        <v>632</v>
      </c>
      <c r="K93" s="11">
        <f>SUM(J93/J94)</f>
        <v>1.3339524673899279E-2</v>
      </c>
    </row>
    <row r="94" spans="1:15" s="2" customFormat="1" ht="16.5" customHeight="1" thickBot="1">
      <c r="A94" s="12" t="s">
        <v>1739</v>
      </c>
      <c r="B94" s="20" t="s">
        <v>1261</v>
      </c>
      <c r="C94" s="8">
        <v>3410</v>
      </c>
      <c r="D94" s="8">
        <v>3411</v>
      </c>
      <c r="E94" s="8">
        <v>3459</v>
      </c>
      <c r="F94" s="8">
        <v>3656</v>
      </c>
      <c r="G94" s="8" t="s">
        <v>1326</v>
      </c>
      <c r="J94" s="23">
        <v>47378</v>
      </c>
    </row>
    <row r="95" spans="1:15" s="2" customFormat="1" ht="16.5" customHeight="1" thickBot="1">
      <c r="A95" s="12" t="s">
        <v>1310</v>
      </c>
      <c r="B95" s="38" t="s">
        <v>1270</v>
      </c>
      <c r="C95" s="8">
        <v>632</v>
      </c>
      <c r="D95" s="8">
        <v>743</v>
      </c>
      <c r="E95" s="8">
        <v>744</v>
      </c>
      <c r="F95" s="8" t="s">
        <v>1326</v>
      </c>
    </row>
    <row r="96" spans="1:15" s="2" customFormat="1" ht="16.5" customHeight="1" thickBot="1">
      <c r="A96" s="12" t="s">
        <v>1311</v>
      </c>
      <c r="B96" s="27" t="s">
        <v>1258</v>
      </c>
      <c r="C96" s="8">
        <v>474</v>
      </c>
      <c r="D96" s="8">
        <v>1638</v>
      </c>
      <c r="E96" s="8">
        <v>1638</v>
      </c>
      <c r="F96" s="8" t="s">
        <v>1326</v>
      </c>
    </row>
    <row r="97" spans="1:16" s="2" customFormat="1" ht="16.5" customHeight="1" thickBot="1">
      <c r="A97" s="12" t="s">
        <v>1312</v>
      </c>
      <c r="B97" s="32" t="s">
        <v>1269</v>
      </c>
      <c r="C97" s="8">
        <v>311</v>
      </c>
      <c r="D97" s="8">
        <v>313</v>
      </c>
      <c r="E97" s="8">
        <v>314</v>
      </c>
      <c r="F97" s="8" t="s">
        <v>1326</v>
      </c>
      <c r="H97" s="17"/>
    </row>
    <row r="98" spans="1:16" s="2" customFormat="1" ht="12" customHeight="1">
      <c r="A98" s="1"/>
    </row>
    <row r="99" spans="1:16" s="2" customFormat="1" ht="16.5" customHeight="1">
      <c r="A99" s="1" t="s">
        <v>1737</v>
      </c>
    </row>
    <row r="100" spans="1:16" s="2" customFormat="1" ht="9.75" customHeight="1" thickBot="1">
      <c r="A100" s="3"/>
    </row>
    <row r="101" spans="1:16" s="2" customFormat="1" ht="16.5" customHeight="1" thickBot="1">
      <c r="A101" s="4" t="s">
        <v>1244</v>
      </c>
      <c r="B101" s="5" t="s">
        <v>1245</v>
      </c>
      <c r="C101" s="5" t="s">
        <v>1246</v>
      </c>
      <c r="D101" s="5">
        <v>2</v>
      </c>
      <c r="E101" s="5">
        <v>3</v>
      </c>
      <c r="F101" s="5">
        <v>4</v>
      </c>
      <c r="G101" s="5">
        <v>5</v>
      </c>
      <c r="H101" s="5">
        <v>6</v>
      </c>
      <c r="I101" s="5">
        <v>7</v>
      </c>
      <c r="J101" s="5">
        <v>8</v>
      </c>
      <c r="K101" s="5">
        <v>9</v>
      </c>
      <c r="L101" s="5"/>
      <c r="M101" s="10" t="s">
        <v>1413</v>
      </c>
      <c r="N101" s="11">
        <f>(46012/70149)</f>
        <v>0.65591811715063653</v>
      </c>
    </row>
    <row r="102" spans="1:16" s="2" customFormat="1" ht="16.5" customHeight="1" thickBot="1">
      <c r="A102" s="6" t="s">
        <v>1399</v>
      </c>
      <c r="B102" s="28" t="s">
        <v>1258</v>
      </c>
      <c r="C102" s="36">
        <v>6789</v>
      </c>
      <c r="D102" s="8"/>
      <c r="E102" s="8"/>
      <c r="F102" s="8"/>
      <c r="G102" s="8"/>
      <c r="H102" s="8"/>
      <c r="I102" s="36"/>
      <c r="J102" s="8"/>
      <c r="K102" s="8"/>
      <c r="L102" s="33" t="s">
        <v>1271</v>
      </c>
      <c r="M102" s="14"/>
      <c r="N102" s="10" t="s">
        <v>1248</v>
      </c>
      <c r="O102" s="10" t="s">
        <v>1249</v>
      </c>
      <c r="P102" s="10" t="s">
        <v>1250</v>
      </c>
    </row>
    <row r="103" spans="1:16" s="2" customFormat="1" ht="16.5" customHeight="1" thickBot="1">
      <c r="A103" s="6" t="s">
        <v>1740</v>
      </c>
      <c r="B103" s="9" t="s">
        <v>1257</v>
      </c>
      <c r="C103" s="8">
        <v>5368</v>
      </c>
      <c r="D103" s="8">
        <v>5411</v>
      </c>
      <c r="E103" s="8">
        <v>5420</v>
      </c>
      <c r="F103" s="8">
        <v>5759</v>
      </c>
      <c r="G103" s="8">
        <v>5797</v>
      </c>
      <c r="H103" s="8">
        <v>5802</v>
      </c>
      <c r="I103" s="8">
        <v>5822</v>
      </c>
      <c r="J103" s="36">
        <v>8325</v>
      </c>
      <c r="K103" s="8"/>
      <c r="L103" s="33" t="s">
        <v>1252</v>
      </c>
      <c r="M103" s="19" t="s">
        <v>1247</v>
      </c>
      <c r="N103" s="16">
        <f>(C105+C107+C110)</f>
        <v>12007</v>
      </c>
      <c r="O103" s="17">
        <f>SUM(N103/N109)</f>
        <v>0.26478630970758171</v>
      </c>
      <c r="P103" s="14">
        <v>2</v>
      </c>
    </row>
    <row r="104" spans="1:16" s="2" customFormat="1" ht="16.5" customHeight="1" thickBot="1">
      <c r="A104" s="6" t="s">
        <v>1400</v>
      </c>
      <c r="B104" s="7" t="s">
        <v>1261</v>
      </c>
      <c r="C104" s="8">
        <v>5337</v>
      </c>
      <c r="D104" s="8">
        <v>5337</v>
      </c>
      <c r="E104" s="8">
        <v>5355</v>
      </c>
      <c r="F104" s="8">
        <v>5682</v>
      </c>
      <c r="G104" s="36">
        <v>7136</v>
      </c>
      <c r="H104" s="8"/>
      <c r="I104" s="8"/>
      <c r="J104" s="8"/>
      <c r="K104" s="36"/>
      <c r="L104" s="33" t="s">
        <v>1362</v>
      </c>
      <c r="M104" s="18" t="s">
        <v>1257</v>
      </c>
      <c r="N104" s="16">
        <f>(C103+C109)</f>
        <v>8253</v>
      </c>
      <c r="O104" s="17">
        <f>SUM(N104/N109)</f>
        <v>0.18200061747452917</v>
      </c>
      <c r="P104" s="14">
        <v>1</v>
      </c>
    </row>
    <row r="105" spans="1:16" s="2" customFormat="1" ht="16.5" customHeight="1" thickBot="1">
      <c r="A105" s="6" t="s">
        <v>1313</v>
      </c>
      <c r="B105" s="25" t="s">
        <v>1247</v>
      </c>
      <c r="C105" s="8">
        <v>5118</v>
      </c>
      <c r="D105" s="8">
        <v>5118</v>
      </c>
      <c r="E105" s="8">
        <v>5124</v>
      </c>
      <c r="F105" s="8">
        <v>5211</v>
      </c>
      <c r="G105" s="8">
        <v>5415</v>
      </c>
      <c r="H105" s="8">
        <v>5450</v>
      </c>
      <c r="I105" s="8">
        <v>6024</v>
      </c>
      <c r="J105" s="8">
        <v>6026</v>
      </c>
      <c r="K105" s="36">
        <v>6035</v>
      </c>
      <c r="L105" s="33" t="s">
        <v>1280</v>
      </c>
      <c r="M105" s="30" t="s">
        <v>1258</v>
      </c>
      <c r="N105" s="16">
        <v>6789</v>
      </c>
      <c r="O105" s="17">
        <f>SUM(N105/N109)</f>
        <v>0.14971552066334406</v>
      </c>
      <c r="P105" s="2">
        <v>1</v>
      </c>
    </row>
    <row r="106" spans="1:16" s="2" customFormat="1" ht="16.5" customHeight="1" thickBot="1">
      <c r="A106" s="6" t="s">
        <v>1314</v>
      </c>
      <c r="B106" s="7" t="s">
        <v>1261</v>
      </c>
      <c r="C106" s="8">
        <v>4261</v>
      </c>
      <c r="D106" s="8">
        <v>4261</v>
      </c>
      <c r="E106" s="8">
        <v>4313</v>
      </c>
      <c r="F106" s="8">
        <v>4665</v>
      </c>
      <c r="G106" s="8">
        <v>4848</v>
      </c>
      <c r="H106" s="8">
        <v>4921</v>
      </c>
      <c r="I106" s="8">
        <v>5419</v>
      </c>
      <c r="J106" s="8">
        <v>5477</v>
      </c>
      <c r="K106" s="36">
        <v>5733</v>
      </c>
      <c r="L106" s="33" t="s">
        <v>1253</v>
      </c>
      <c r="M106" s="15" t="s">
        <v>1261</v>
      </c>
      <c r="N106" s="21">
        <f>SUM(C104+C106+C108+C111)</f>
        <v>15922</v>
      </c>
      <c r="O106" s="17">
        <f>SUM(N106/N109)</f>
        <v>0.35112248048339434</v>
      </c>
      <c r="P106" s="2">
        <v>2</v>
      </c>
    </row>
    <row r="107" spans="1:16" s="2" customFormat="1" ht="16.5" customHeight="1" thickBot="1">
      <c r="A107" s="6" t="s">
        <v>1315</v>
      </c>
      <c r="B107" s="25" t="s">
        <v>1247</v>
      </c>
      <c r="C107" s="8">
        <v>4083</v>
      </c>
      <c r="D107" s="8">
        <v>4083</v>
      </c>
      <c r="E107" s="8">
        <v>4092</v>
      </c>
      <c r="F107" s="8">
        <v>4185</v>
      </c>
      <c r="G107" s="8">
        <v>4268</v>
      </c>
      <c r="H107" s="8">
        <v>4278</v>
      </c>
      <c r="I107" s="8">
        <v>5920</v>
      </c>
      <c r="J107" s="8">
        <v>5926</v>
      </c>
      <c r="K107" s="36">
        <v>5934</v>
      </c>
      <c r="L107" s="33" t="s">
        <v>1251</v>
      </c>
      <c r="M107" s="31" t="s">
        <v>1269</v>
      </c>
      <c r="N107" s="21">
        <v>489</v>
      </c>
      <c r="O107" s="17">
        <f>SUM(N107/N109)</f>
        <v>1.0783751598817977E-2</v>
      </c>
    </row>
    <row r="108" spans="1:16" s="2" customFormat="1" ht="16.5" customHeight="1" thickBot="1">
      <c r="A108" s="12" t="s">
        <v>1741</v>
      </c>
      <c r="B108" s="20" t="s">
        <v>1261</v>
      </c>
      <c r="C108" s="8">
        <v>3942</v>
      </c>
      <c r="D108" s="8">
        <v>3942</v>
      </c>
      <c r="E108" s="8">
        <v>3963</v>
      </c>
      <c r="F108" s="8">
        <v>4220</v>
      </c>
      <c r="G108" s="8">
        <v>4692</v>
      </c>
      <c r="H108" s="8">
        <v>5215</v>
      </c>
      <c r="I108" s="8">
        <v>5350</v>
      </c>
      <c r="J108" s="8">
        <v>5411</v>
      </c>
      <c r="K108" s="8">
        <v>5697</v>
      </c>
      <c r="L108" s="33"/>
      <c r="M108" s="26" t="s">
        <v>1254</v>
      </c>
      <c r="N108" s="21">
        <f>(C112+C113+C115+C116+C117)</f>
        <v>1886</v>
      </c>
      <c r="O108" s="11">
        <f>SUM(N108/N109)</f>
        <v>4.1591320072332731E-2</v>
      </c>
    </row>
    <row r="109" spans="1:16" s="2" customFormat="1" ht="16.5" customHeight="1" thickBot="1">
      <c r="A109" s="12" t="s">
        <v>1316</v>
      </c>
      <c r="B109" s="22" t="s">
        <v>1257</v>
      </c>
      <c r="C109" s="8">
        <v>2885</v>
      </c>
      <c r="D109" s="8">
        <v>2984</v>
      </c>
      <c r="E109" s="8">
        <v>2989</v>
      </c>
      <c r="F109" s="8">
        <v>3254</v>
      </c>
      <c r="G109" s="8">
        <v>3264</v>
      </c>
      <c r="H109" s="8">
        <v>3265</v>
      </c>
      <c r="I109" s="8">
        <v>3269</v>
      </c>
      <c r="J109" s="8" t="s">
        <v>1326</v>
      </c>
      <c r="N109" s="23">
        <v>45346</v>
      </c>
    </row>
    <row r="110" spans="1:16" s="2" customFormat="1" ht="16.5" customHeight="1" thickBot="1">
      <c r="A110" s="12" t="s">
        <v>1317</v>
      </c>
      <c r="B110" s="13" t="s">
        <v>1247</v>
      </c>
      <c r="C110" s="8">
        <v>2806</v>
      </c>
      <c r="D110" s="8">
        <v>2806</v>
      </c>
      <c r="E110" s="8">
        <v>2833</v>
      </c>
      <c r="F110" s="8">
        <v>2961</v>
      </c>
      <c r="G110" s="8">
        <v>2986</v>
      </c>
      <c r="H110" s="8">
        <v>2990</v>
      </c>
      <c r="I110" s="8" t="s">
        <v>1326</v>
      </c>
    </row>
    <row r="111" spans="1:16" s="2" customFormat="1" ht="16.5" customHeight="1" thickBot="1">
      <c r="A111" s="12" t="s">
        <v>1318</v>
      </c>
      <c r="B111" s="20" t="s">
        <v>1261</v>
      </c>
      <c r="C111" s="8">
        <v>2382</v>
      </c>
      <c r="D111" s="8">
        <v>2382</v>
      </c>
      <c r="E111" s="8">
        <v>2409</v>
      </c>
      <c r="F111" s="8">
        <v>2555</v>
      </c>
      <c r="G111" s="8" t="s">
        <v>1326</v>
      </c>
      <c r="M111" s="17"/>
    </row>
    <row r="112" spans="1:16" s="2" customFormat="1" ht="16.5" customHeight="1" thickBot="1">
      <c r="A112" s="12" t="s">
        <v>1319</v>
      </c>
      <c r="B112" s="39" t="s">
        <v>1320</v>
      </c>
      <c r="C112" s="8">
        <v>799</v>
      </c>
      <c r="D112" s="43">
        <v>799</v>
      </c>
      <c r="E112" s="43">
        <v>851</v>
      </c>
      <c r="F112" s="43" t="s">
        <v>1326</v>
      </c>
      <c r="M112" s="17"/>
    </row>
    <row r="113" spans="1:18" s="2" customFormat="1" ht="16.5" customHeight="1" thickBot="1">
      <c r="A113" s="12" t="s">
        <v>1321</v>
      </c>
      <c r="B113" s="29" t="s">
        <v>1267</v>
      </c>
      <c r="C113" s="8">
        <v>565</v>
      </c>
      <c r="D113" s="8">
        <v>565</v>
      </c>
      <c r="E113" s="8">
        <v>589</v>
      </c>
      <c r="F113" s="43" t="s">
        <v>1326</v>
      </c>
      <c r="M113" s="17"/>
    </row>
    <row r="114" spans="1:18" s="2" customFormat="1" ht="16.5" customHeight="1" thickBot="1">
      <c r="A114" s="12" t="s">
        <v>1322</v>
      </c>
      <c r="B114" s="32" t="s">
        <v>1269</v>
      </c>
      <c r="C114" s="8">
        <v>489</v>
      </c>
      <c r="D114" s="8">
        <v>489</v>
      </c>
      <c r="E114" s="8">
        <v>495</v>
      </c>
      <c r="F114" s="8" t="s">
        <v>1326</v>
      </c>
    </row>
    <row r="115" spans="1:18" s="2" customFormat="1" ht="16.5" customHeight="1" thickBot="1">
      <c r="A115" s="12" t="s">
        <v>1323</v>
      </c>
      <c r="B115" s="42" t="s">
        <v>1304</v>
      </c>
      <c r="C115" s="8">
        <v>245</v>
      </c>
      <c r="D115" s="8">
        <v>360</v>
      </c>
      <c r="E115" s="8">
        <v>362</v>
      </c>
      <c r="F115" s="8" t="s">
        <v>1326</v>
      </c>
    </row>
    <row r="116" spans="1:18" s="2" customFormat="1" ht="16.5" customHeight="1" thickBot="1">
      <c r="A116" s="12" t="s">
        <v>1324</v>
      </c>
      <c r="B116" s="38" t="s">
        <v>1270</v>
      </c>
      <c r="C116" s="8">
        <v>162</v>
      </c>
      <c r="D116" s="43">
        <v>162</v>
      </c>
      <c r="E116" s="43" t="s">
        <v>1326</v>
      </c>
    </row>
    <row r="117" spans="1:18" s="2" customFormat="1" ht="16.5" customHeight="1" thickBot="1">
      <c r="A117" s="12" t="s">
        <v>1325</v>
      </c>
      <c r="B117" s="37" t="s">
        <v>1286</v>
      </c>
      <c r="C117" s="8">
        <v>115</v>
      </c>
      <c r="D117" s="8">
        <v>115</v>
      </c>
      <c r="E117" s="43" t="s">
        <v>1326</v>
      </c>
      <c r="G117" s="17"/>
      <c r="M117" s="21"/>
    </row>
    <row r="118" spans="1:18" s="2" customFormat="1" ht="12" customHeight="1">
      <c r="A118" s="1"/>
    </row>
    <row r="119" spans="1:18" s="2" customFormat="1" ht="16.5" customHeight="1">
      <c r="A119" s="1" t="s">
        <v>1742</v>
      </c>
    </row>
    <row r="120" spans="1:18" s="2" customFormat="1" ht="9.75" customHeight="1" thickBot="1">
      <c r="A120" s="3"/>
    </row>
    <row r="121" spans="1:18" s="2" customFormat="1" ht="16.5" customHeight="1" thickBot="1">
      <c r="A121" s="4" t="s">
        <v>1244</v>
      </c>
      <c r="B121" s="5" t="s">
        <v>1245</v>
      </c>
      <c r="C121" s="5" t="s">
        <v>1246</v>
      </c>
      <c r="D121" s="5">
        <v>2</v>
      </c>
      <c r="E121" s="5">
        <v>3</v>
      </c>
      <c r="F121" s="5">
        <v>4</v>
      </c>
      <c r="G121" s="5">
        <v>5</v>
      </c>
      <c r="H121" s="5">
        <v>6</v>
      </c>
      <c r="I121" s="5">
        <v>7</v>
      </c>
      <c r="J121" s="5">
        <v>8</v>
      </c>
      <c r="K121" s="5">
        <v>9</v>
      </c>
      <c r="L121" s="5">
        <v>10</v>
      </c>
      <c r="M121" s="5">
        <v>11</v>
      </c>
      <c r="N121" s="5"/>
      <c r="O121" s="10" t="s">
        <v>1413</v>
      </c>
      <c r="P121" s="11">
        <f>(44145/68814)</f>
        <v>0.64151190164792049</v>
      </c>
    </row>
    <row r="122" spans="1:18" s="2" customFormat="1" ht="16.5" customHeight="1" thickBot="1">
      <c r="A122" s="6" t="s">
        <v>1743</v>
      </c>
      <c r="B122" s="9" t="s">
        <v>1257</v>
      </c>
      <c r="C122" s="36">
        <v>9158</v>
      </c>
      <c r="D122" s="8"/>
      <c r="E122" s="8"/>
      <c r="F122" s="8"/>
      <c r="G122" s="8"/>
      <c r="H122" s="8"/>
      <c r="I122" s="36"/>
      <c r="J122" s="8"/>
      <c r="K122" s="8"/>
      <c r="L122" s="8"/>
      <c r="M122" s="8"/>
      <c r="N122" s="33" t="s">
        <v>1271</v>
      </c>
      <c r="O122" s="14"/>
      <c r="P122" s="10" t="s">
        <v>1248</v>
      </c>
      <c r="Q122" s="10" t="s">
        <v>1249</v>
      </c>
      <c r="R122" s="10" t="s">
        <v>1250</v>
      </c>
    </row>
    <row r="123" spans="1:18" s="2" customFormat="1" ht="16.5" customHeight="1" thickBot="1">
      <c r="A123" s="6" t="s">
        <v>1745</v>
      </c>
      <c r="B123" s="28" t="s">
        <v>1258</v>
      </c>
      <c r="C123" s="8">
        <v>5933</v>
      </c>
      <c r="D123" s="8">
        <v>6032</v>
      </c>
      <c r="E123" s="8">
        <v>6034</v>
      </c>
      <c r="F123" s="8">
        <v>6103</v>
      </c>
      <c r="G123" s="36">
        <v>6303</v>
      </c>
      <c r="H123" s="8"/>
      <c r="I123" s="8"/>
      <c r="J123" s="36"/>
      <c r="K123" s="8"/>
      <c r="L123" s="8"/>
      <c r="M123" s="8"/>
      <c r="N123" s="33" t="s">
        <v>1362</v>
      </c>
      <c r="O123" s="19" t="s">
        <v>1247</v>
      </c>
      <c r="P123" s="16">
        <f>(C124+C126)</f>
        <v>9494</v>
      </c>
      <c r="Q123" s="17">
        <f>SUM(P123/P129)</f>
        <v>0.21834322248286647</v>
      </c>
      <c r="R123" s="14">
        <v>1</v>
      </c>
    </row>
    <row r="124" spans="1:18" s="2" customFormat="1" ht="16.5" customHeight="1" thickBot="1">
      <c r="A124" s="6" t="s">
        <v>1744</v>
      </c>
      <c r="B124" s="25" t="s">
        <v>1247</v>
      </c>
      <c r="C124" s="8">
        <v>5524</v>
      </c>
      <c r="D124" s="8">
        <v>5530</v>
      </c>
      <c r="E124" s="8">
        <v>5557</v>
      </c>
      <c r="F124" s="8">
        <v>5559</v>
      </c>
      <c r="G124" s="8">
        <v>5578</v>
      </c>
      <c r="H124" s="8">
        <v>5580</v>
      </c>
      <c r="I124" s="8">
        <v>5581</v>
      </c>
      <c r="J124" s="8">
        <v>5581</v>
      </c>
      <c r="K124" s="8">
        <v>5584</v>
      </c>
      <c r="L124" s="8">
        <v>5586</v>
      </c>
      <c r="M124" s="36">
        <v>5912</v>
      </c>
      <c r="N124" s="33" t="s">
        <v>1253</v>
      </c>
      <c r="O124" s="18" t="s">
        <v>1257</v>
      </c>
      <c r="P124" s="16">
        <f>(C122+C131+C129)</f>
        <v>12786</v>
      </c>
      <c r="Q124" s="17">
        <f>SUM(P124/P129)</f>
        <v>0.29405271146681383</v>
      </c>
      <c r="R124" s="14">
        <v>2</v>
      </c>
    </row>
    <row r="125" spans="1:18" s="2" customFormat="1" ht="16.5" customHeight="1" thickBot="1">
      <c r="A125" s="6" t="s">
        <v>1749</v>
      </c>
      <c r="B125" s="28" t="s">
        <v>1258</v>
      </c>
      <c r="C125" s="8">
        <v>4697</v>
      </c>
      <c r="D125" s="8">
        <v>4727</v>
      </c>
      <c r="E125" s="8">
        <v>4734</v>
      </c>
      <c r="F125" s="8">
        <v>4752</v>
      </c>
      <c r="G125" s="8">
        <v>4942</v>
      </c>
      <c r="H125" s="36">
        <v>6458</v>
      </c>
      <c r="I125" s="8"/>
      <c r="J125" s="36"/>
      <c r="K125" s="8"/>
      <c r="L125" s="36"/>
      <c r="M125" s="8"/>
      <c r="N125" s="33" t="s">
        <v>1252</v>
      </c>
      <c r="O125" s="30" t="s">
        <v>1258</v>
      </c>
      <c r="P125" s="16">
        <f>(C123+C125+C130)</f>
        <v>12400</v>
      </c>
      <c r="Q125" s="17">
        <f>SUM(P125/P129)</f>
        <v>0.28517547490915779</v>
      </c>
      <c r="R125" s="2">
        <v>2</v>
      </c>
    </row>
    <row r="126" spans="1:18" s="2" customFormat="1" ht="16.5" customHeight="1" thickBot="1">
      <c r="A126" s="12" t="s">
        <v>1750</v>
      </c>
      <c r="B126" s="13" t="s">
        <v>1247</v>
      </c>
      <c r="C126" s="8">
        <v>3970</v>
      </c>
      <c r="D126" s="8">
        <v>3983</v>
      </c>
      <c r="E126" s="8">
        <v>4004</v>
      </c>
      <c r="F126" s="8">
        <v>4004</v>
      </c>
      <c r="G126" s="8">
        <v>4026</v>
      </c>
      <c r="H126" s="8">
        <v>4027</v>
      </c>
      <c r="I126" s="8">
        <v>4027</v>
      </c>
      <c r="J126" s="8">
        <v>4027</v>
      </c>
      <c r="K126" s="8">
        <v>4029</v>
      </c>
      <c r="L126" s="8">
        <v>4030</v>
      </c>
      <c r="M126" s="8">
        <v>4301</v>
      </c>
      <c r="N126" s="33"/>
      <c r="O126" s="15" t="s">
        <v>1261</v>
      </c>
      <c r="P126" s="21">
        <f>(C127+C128)</f>
        <v>6818</v>
      </c>
      <c r="Q126" s="17">
        <f>SUM(P126/P129)</f>
        <v>0.15680051515569662</v>
      </c>
      <c r="R126" s="2">
        <v>1</v>
      </c>
    </row>
    <row r="127" spans="1:18" s="2" customFormat="1" ht="16.5" customHeight="1" thickBot="1">
      <c r="A127" s="6" t="s">
        <v>1747</v>
      </c>
      <c r="B127" s="7" t="s">
        <v>1261</v>
      </c>
      <c r="C127" s="8">
        <v>3661</v>
      </c>
      <c r="D127" s="8">
        <v>3711</v>
      </c>
      <c r="E127" s="8">
        <v>3786</v>
      </c>
      <c r="F127" s="8">
        <v>3787</v>
      </c>
      <c r="G127" s="8">
        <v>3973</v>
      </c>
      <c r="H127" s="8">
        <v>3976</v>
      </c>
      <c r="I127" s="8">
        <v>3978</v>
      </c>
      <c r="J127" s="8">
        <v>3981</v>
      </c>
      <c r="K127" s="8">
        <v>4059</v>
      </c>
      <c r="L127" s="8">
        <v>4330</v>
      </c>
      <c r="M127" s="36">
        <v>6978</v>
      </c>
      <c r="N127" s="33" t="s">
        <v>1251</v>
      </c>
      <c r="O127" s="31" t="s">
        <v>1269</v>
      </c>
      <c r="P127" s="21">
        <v>571</v>
      </c>
      <c r="Q127" s="17">
        <f>SUM(P127/P129)</f>
        <v>1.3131870659123315E-2</v>
      </c>
    </row>
    <row r="128" spans="1:18" s="2" customFormat="1" ht="16.5" customHeight="1" thickBot="1">
      <c r="A128" s="12" t="s">
        <v>1752</v>
      </c>
      <c r="B128" s="20" t="s">
        <v>1261</v>
      </c>
      <c r="C128" s="8">
        <v>3157</v>
      </c>
      <c r="D128" s="8">
        <v>3195</v>
      </c>
      <c r="E128" s="8">
        <v>3251</v>
      </c>
      <c r="F128" s="8">
        <v>3260</v>
      </c>
      <c r="G128" s="8">
        <v>3411</v>
      </c>
      <c r="H128" s="8">
        <v>3415</v>
      </c>
      <c r="I128" s="8">
        <v>3417</v>
      </c>
      <c r="J128" s="8">
        <v>3419</v>
      </c>
      <c r="K128" s="8">
        <v>3462</v>
      </c>
      <c r="L128" s="8">
        <v>3668</v>
      </c>
      <c r="M128" s="8" t="s">
        <v>1326</v>
      </c>
      <c r="O128" s="26" t="s">
        <v>1254</v>
      </c>
      <c r="P128" s="21">
        <f>(C132+C133+C135)</f>
        <v>1413</v>
      </c>
      <c r="Q128" s="11">
        <f>SUM(P128/P129)</f>
        <v>3.2496205326341933E-2</v>
      </c>
    </row>
    <row r="129" spans="1:16" s="2" customFormat="1" ht="16.5" customHeight="1" thickBot="1">
      <c r="A129" s="6" t="s">
        <v>1746</v>
      </c>
      <c r="B129" s="9" t="s">
        <v>1257</v>
      </c>
      <c r="C129" s="8">
        <v>2359</v>
      </c>
      <c r="D129" s="8">
        <v>3419</v>
      </c>
      <c r="E129" s="8">
        <v>3435</v>
      </c>
      <c r="F129" s="8">
        <v>3480</v>
      </c>
      <c r="G129" s="8">
        <v>3730</v>
      </c>
      <c r="H129" s="8">
        <v>3888</v>
      </c>
      <c r="I129" s="8">
        <v>3990</v>
      </c>
      <c r="J129" s="8">
        <v>4032</v>
      </c>
      <c r="K129" s="36">
        <v>6872</v>
      </c>
      <c r="L129" s="8"/>
      <c r="M129" s="8"/>
      <c r="N129" s="33" t="s">
        <v>1280</v>
      </c>
      <c r="P129" s="23">
        <v>43482</v>
      </c>
    </row>
    <row r="130" spans="1:16" s="2" customFormat="1" ht="16.5" customHeight="1" thickBot="1">
      <c r="A130" s="12" t="s">
        <v>1748</v>
      </c>
      <c r="B130" s="27" t="s">
        <v>1258</v>
      </c>
      <c r="C130" s="8">
        <v>1770</v>
      </c>
      <c r="D130" s="8">
        <v>1832</v>
      </c>
      <c r="E130" s="8">
        <v>1834</v>
      </c>
      <c r="F130" s="8">
        <v>1852</v>
      </c>
      <c r="G130" s="8">
        <v>2113</v>
      </c>
      <c r="H130" s="8" t="s">
        <v>1326</v>
      </c>
    </row>
    <row r="131" spans="1:16" s="2" customFormat="1" ht="16.5" customHeight="1" thickBot="1">
      <c r="A131" s="12" t="s">
        <v>1751</v>
      </c>
      <c r="B131" s="22" t="s">
        <v>1257</v>
      </c>
      <c r="C131" s="8">
        <v>1269</v>
      </c>
      <c r="D131" s="8">
        <v>2692</v>
      </c>
      <c r="E131" s="8">
        <v>2697</v>
      </c>
      <c r="F131" s="8">
        <v>2726</v>
      </c>
      <c r="G131" s="8">
        <v>2991</v>
      </c>
      <c r="H131" s="8">
        <v>3241</v>
      </c>
      <c r="I131" s="8">
        <v>3374</v>
      </c>
      <c r="J131" s="8">
        <v>3419</v>
      </c>
      <c r="K131" s="8" t="s">
        <v>1326</v>
      </c>
      <c r="N131" s="17"/>
    </row>
    <row r="132" spans="1:16" s="2" customFormat="1" ht="16.5" customHeight="1" thickBot="1">
      <c r="A132" s="12" t="s">
        <v>1756</v>
      </c>
      <c r="B132" s="38" t="s">
        <v>1755</v>
      </c>
      <c r="C132" s="8">
        <v>585</v>
      </c>
      <c r="D132" s="8">
        <v>611</v>
      </c>
      <c r="E132" s="8">
        <v>612</v>
      </c>
      <c r="F132" s="8">
        <v>1016</v>
      </c>
      <c r="G132" s="8" t="s">
        <v>1326</v>
      </c>
      <c r="N132" s="17"/>
    </row>
    <row r="133" spans="1:16" s="2" customFormat="1" ht="16.5" customHeight="1" thickBot="1">
      <c r="A133" s="12" t="s">
        <v>1757</v>
      </c>
      <c r="B133" s="38" t="s">
        <v>1755</v>
      </c>
      <c r="C133" s="8">
        <v>581</v>
      </c>
      <c r="D133" s="8">
        <v>607</v>
      </c>
      <c r="E133" s="8">
        <v>607</v>
      </c>
      <c r="F133" s="8" t="s">
        <v>1326</v>
      </c>
    </row>
    <row r="134" spans="1:16" s="2" customFormat="1" ht="16.5" customHeight="1" thickBot="1">
      <c r="A134" s="12" t="s">
        <v>1753</v>
      </c>
      <c r="B134" s="32" t="s">
        <v>1269</v>
      </c>
      <c r="C134" s="8">
        <v>571</v>
      </c>
      <c r="D134" s="8">
        <v>633</v>
      </c>
      <c r="E134" s="8">
        <v>670</v>
      </c>
      <c r="F134" s="8">
        <v>670</v>
      </c>
      <c r="G134" s="8" t="s">
        <v>1326</v>
      </c>
    </row>
    <row r="135" spans="1:16" s="2" customFormat="1" ht="16.5" customHeight="1" thickBot="1">
      <c r="A135" s="12" t="s">
        <v>1754</v>
      </c>
      <c r="B135" s="37" t="s">
        <v>1286</v>
      </c>
      <c r="C135" s="8">
        <v>247</v>
      </c>
      <c r="D135" s="8">
        <v>260</v>
      </c>
      <c r="E135" s="8" t="s">
        <v>1326</v>
      </c>
      <c r="F135" s="17"/>
      <c r="M135" s="21"/>
    </row>
    <row r="136" spans="1:16" s="2" customFormat="1" ht="12" customHeight="1">
      <c r="A136" s="1"/>
    </row>
    <row r="137" spans="1:16" s="2" customFormat="1" ht="16.5" customHeight="1">
      <c r="A137" s="1" t="s">
        <v>1758</v>
      </c>
    </row>
    <row r="138" spans="1:16" s="2" customFormat="1" ht="9.75" customHeight="1" thickBot="1">
      <c r="A138" s="3"/>
    </row>
    <row r="139" spans="1:16" s="2" customFormat="1" ht="16.5" customHeight="1" thickBot="1">
      <c r="A139" s="4" t="s">
        <v>1244</v>
      </c>
      <c r="B139" s="5" t="s">
        <v>1245</v>
      </c>
      <c r="C139" s="5" t="s">
        <v>1246</v>
      </c>
      <c r="D139" s="5">
        <v>2</v>
      </c>
      <c r="E139" s="5">
        <v>3</v>
      </c>
      <c r="F139" s="5">
        <v>4</v>
      </c>
      <c r="G139" s="5">
        <v>5</v>
      </c>
      <c r="H139" s="5">
        <v>6</v>
      </c>
      <c r="I139" s="5">
        <v>7</v>
      </c>
      <c r="J139" s="5">
        <v>8</v>
      </c>
      <c r="K139" s="5">
        <v>9</v>
      </c>
      <c r="L139" s="5"/>
      <c r="M139" s="10" t="s">
        <v>1413</v>
      </c>
      <c r="N139" s="11">
        <f>(41724/67910)</f>
        <v>0.61440141363569434</v>
      </c>
    </row>
    <row r="140" spans="1:16" s="2" customFormat="1" ht="16.5" customHeight="1" thickBot="1">
      <c r="A140" s="6" t="s">
        <v>1440</v>
      </c>
      <c r="B140" s="9" t="s">
        <v>1257</v>
      </c>
      <c r="C140" s="36">
        <v>14014</v>
      </c>
      <c r="D140" s="8"/>
      <c r="E140" s="8"/>
      <c r="F140" s="8"/>
      <c r="G140" s="8"/>
      <c r="H140" s="8"/>
      <c r="I140" s="36"/>
      <c r="J140" s="8"/>
      <c r="K140" s="8"/>
      <c r="L140" s="33" t="s">
        <v>1271</v>
      </c>
      <c r="M140" s="14"/>
      <c r="N140" s="10" t="s">
        <v>1248</v>
      </c>
      <c r="O140" s="10" t="s">
        <v>1249</v>
      </c>
      <c r="P140" s="10" t="s">
        <v>1250</v>
      </c>
    </row>
    <row r="141" spans="1:16" s="2" customFormat="1" ht="16.5" customHeight="1" thickBot="1">
      <c r="A141" s="6" t="s">
        <v>1443</v>
      </c>
      <c r="B141" s="28" t="s">
        <v>1258</v>
      </c>
      <c r="C141" s="8">
        <v>5175</v>
      </c>
      <c r="D141" s="36">
        <v>6714</v>
      </c>
      <c r="E141" s="8"/>
      <c r="F141" s="8"/>
      <c r="G141" s="8"/>
      <c r="H141" s="36"/>
      <c r="I141" s="8"/>
      <c r="J141" s="36"/>
      <c r="K141" s="8"/>
      <c r="L141" s="33" t="s">
        <v>1362</v>
      </c>
      <c r="M141" s="19" t="s">
        <v>1247</v>
      </c>
      <c r="N141" s="16">
        <v>3242</v>
      </c>
      <c r="O141" s="17">
        <f>SUM(N141/N147)</f>
        <v>7.8075329929679221E-2</v>
      </c>
      <c r="P141" s="14"/>
    </row>
    <row r="142" spans="1:16" s="2" customFormat="1" ht="16.5" customHeight="1" thickBot="1">
      <c r="A142" s="6" t="s">
        <v>1760</v>
      </c>
      <c r="B142" s="45" t="s">
        <v>1269</v>
      </c>
      <c r="C142" s="8">
        <v>4408</v>
      </c>
      <c r="D142" s="8">
        <v>4667</v>
      </c>
      <c r="E142" s="8">
        <v>4847</v>
      </c>
      <c r="F142" s="8">
        <v>4880</v>
      </c>
      <c r="G142" s="8">
        <v>4955</v>
      </c>
      <c r="H142" s="8">
        <v>5825</v>
      </c>
      <c r="I142" s="36">
        <v>6295</v>
      </c>
      <c r="J142" s="8"/>
      <c r="K142" s="36"/>
      <c r="L142" s="33" t="s">
        <v>1280</v>
      </c>
      <c r="M142" s="18" t="s">
        <v>1257</v>
      </c>
      <c r="N142" s="16">
        <f>(C140+C146+C148+C149)</f>
        <v>18979</v>
      </c>
      <c r="O142" s="17">
        <f>SUM(N142/N147)</f>
        <v>0.45706097678451019</v>
      </c>
      <c r="P142" s="14">
        <v>3</v>
      </c>
    </row>
    <row r="143" spans="1:16" s="2" customFormat="1" ht="16.5" customHeight="1" thickBot="1">
      <c r="A143" s="12" t="s">
        <v>1761</v>
      </c>
      <c r="B143" s="27" t="s">
        <v>1258</v>
      </c>
      <c r="C143" s="8">
        <v>3300</v>
      </c>
      <c r="D143" s="8">
        <v>4085</v>
      </c>
      <c r="E143" s="8">
        <v>4187</v>
      </c>
      <c r="F143" s="8">
        <v>4666</v>
      </c>
      <c r="G143" s="8">
        <v>4804</v>
      </c>
      <c r="H143" s="8">
        <v>4929</v>
      </c>
      <c r="I143" s="8">
        <v>4977</v>
      </c>
      <c r="J143" s="8">
        <v>5000</v>
      </c>
      <c r="K143" s="8">
        <v>5013</v>
      </c>
      <c r="L143" s="33"/>
      <c r="M143" s="30" t="s">
        <v>1258</v>
      </c>
      <c r="N143" s="16">
        <f>(C141+C143)</f>
        <v>8475</v>
      </c>
      <c r="O143" s="17">
        <f>SUM(N143/N147)</f>
        <v>0.20409883440901647</v>
      </c>
      <c r="P143" s="2">
        <v>1</v>
      </c>
    </row>
    <row r="144" spans="1:16" s="2" customFormat="1" ht="16.5" customHeight="1" thickBot="1">
      <c r="A144" s="12" t="s">
        <v>1439</v>
      </c>
      <c r="B144" s="13" t="s">
        <v>1247</v>
      </c>
      <c r="C144" s="8">
        <v>3242</v>
      </c>
      <c r="D144" s="8">
        <v>3251</v>
      </c>
      <c r="E144" s="8">
        <v>3261</v>
      </c>
      <c r="F144" s="8">
        <v>3263</v>
      </c>
      <c r="G144" s="8">
        <v>3266</v>
      </c>
      <c r="H144" s="8">
        <v>3276</v>
      </c>
      <c r="I144" s="8">
        <v>3277</v>
      </c>
      <c r="J144" s="8">
        <v>3278</v>
      </c>
      <c r="K144" s="8" t="s">
        <v>1326</v>
      </c>
      <c r="M144" s="15" t="s">
        <v>1261</v>
      </c>
      <c r="N144" s="21">
        <v>3133</v>
      </c>
      <c r="O144" s="17">
        <f>SUM(N144/N147)</f>
        <v>7.5450341970908386E-2</v>
      </c>
      <c r="P144" s="2">
        <v>1</v>
      </c>
    </row>
    <row r="145" spans="1:18" s="2" customFormat="1" ht="16.5" customHeight="1" thickBot="1">
      <c r="A145" s="6" t="s">
        <v>1762</v>
      </c>
      <c r="B145" s="7" t="s">
        <v>1261</v>
      </c>
      <c r="C145" s="8">
        <v>3133</v>
      </c>
      <c r="D145" s="8">
        <v>3153</v>
      </c>
      <c r="E145" s="8">
        <v>3232</v>
      </c>
      <c r="F145" s="8">
        <v>3236</v>
      </c>
      <c r="G145" s="8">
        <v>3251</v>
      </c>
      <c r="H145" s="8">
        <v>3342</v>
      </c>
      <c r="I145" s="8">
        <v>3381</v>
      </c>
      <c r="J145" s="8">
        <v>3535</v>
      </c>
      <c r="K145" s="36">
        <v>6256</v>
      </c>
      <c r="L145" s="33" t="s">
        <v>1251</v>
      </c>
      <c r="M145" s="31" t="s">
        <v>1269</v>
      </c>
      <c r="N145" s="21">
        <v>4408</v>
      </c>
      <c r="O145" s="17">
        <f>SUM(N145/N147)</f>
        <v>0.10615547635102592</v>
      </c>
      <c r="P145" s="2">
        <v>1</v>
      </c>
    </row>
    <row r="146" spans="1:18" s="2" customFormat="1" ht="16.5" customHeight="1" thickBot="1">
      <c r="A146" s="6" t="s">
        <v>1447</v>
      </c>
      <c r="B146" s="9" t="s">
        <v>1257</v>
      </c>
      <c r="C146" s="8">
        <v>2782</v>
      </c>
      <c r="D146" s="8">
        <v>4739</v>
      </c>
      <c r="E146" s="8">
        <v>4856</v>
      </c>
      <c r="F146" s="8">
        <v>4962</v>
      </c>
      <c r="G146" s="8">
        <v>5839</v>
      </c>
      <c r="H146" s="36">
        <v>6933</v>
      </c>
      <c r="I146" s="8"/>
      <c r="J146" s="8"/>
      <c r="K146" s="8"/>
      <c r="L146" s="33" t="s">
        <v>1252</v>
      </c>
      <c r="M146" s="26" t="s">
        <v>1254</v>
      </c>
      <c r="N146" s="21">
        <f>(C147+C150+C151+C152)</f>
        <v>2927</v>
      </c>
      <c r="O146" s="11">
        <f>SUM(N146/N147)</f>
        <v>7.0489355553414887E-2</v>
      </c>
    </row>
    <row r="147" spans="1:18" s="2" customFormat="1" ht="16.5" customHeight="1" thickBot="1">
      <c r="A147" s="12" t="s">
        <v>1766</v>
      </c>
      <c r="B147" s="38" t="s">
        <v>1270</v>
      </c>
      <c r="C147" s="8">
        <v>2223</v>
      </c>
      <c r="D147" s="8">
        <v>2539</v>
      </c>
      <c r="E147" s="8">
        <v>2637</v>
      </c>
      <c r="F147" s="8">
        <v>2662</v>
      </c>
      <c r="G147" s="8">
        <v>2735</v>
      </c>
      <c r="H147" s="8" t="s">
        <v>1326</v>
      </c>
      <c r="N147" s="23">
        <v>41524</v>
      </c>
    </row>
    <row r="148" spans="1:18" s="2" customFormat="1" ht="16.5" customHeight="1" thickBot="1">
      <c r="A148" s="6" t="s">
        <v>1759</v>
      </c>
      <c r="B148" s="9" t="s">
        <v>1257</v>
      </c>
      <c r="C148" s="8">
        <v>1508</v>
      </c>
      <c r="D148" s="8">
        <v>3321</v>
      </c>
      <c r="E148" s="8">
        <v>3437</v>
      </c>
      <c r="F148" s="8">
        <v>3534</v>
      </c>
      <c r="G148" s="8">
        <v>4375</v>
      </c>
      <c r="H148" s="8">
        <v>4767</v>
      </c>
      <c r="I148" s="8">
        <v>5195</v>
      </c>
      <c r="J148" s="8">
        <v>5300</v>
      </c>
      <c r="K148" s="36">
        <v>5328</v>
      </c>
      <c r="L148" s="33" t="s">
        <v>1253</v>
      </c>
    </row>
    <row r="149" spans="1:18" s="2" customFormat="1" ht="16.5" customHeight="1" thickBot="1">
      <c r="A149" s="12" t="s">
        <v>1763</v>
      </c>
      <c r="B149" s="22" t="s">
        <v>1257</v>
      </c>
      <c r="C149" s="8">
        <v>675</v>
      </c>
      <c r="D149" s="8">
        <v>1957</v>
      </c>
      <c r="E149" s="8">
        <v>2023</v>
      </c>
      <c r="F149" s="8">
        <v>2094</v>
      </c>
      <c r="G149" s="8" t="s">
        <v>1326</v>
      </c>
      <c r="L149" s="17"/>
    </row>
    <row r="150" spans="1:18" s="2" customFormat="1" ht="16.5" customHeight="1" thickBot="1">
      <c r="A150" s="12" t="s">
        <v>1765</v>
      </c>
      <c r="B150" s="38" t="s">
        <v>1408</v>
      </c>
      <c r="C150" s="8">
        <v>395</v>
      </c>
      <c r="D150" s="43">
        <v>462</v>
      </c>
      <c r="E150" s="43" t="s">
        <v>1326</v>
      </c>
      <c r="L150" s="17"/>
    </row>
    <row r="151" spans="1:18" s="2" customFormat="1" ht="16.5" customHeight="1" thickBot="1">
      <c r="A151" s="12" t="s">
        <v>1681</v>
      </c>
      <c r="B151" s="63" t="s">
        <v>1276</v>
      </c>
      <c r="C151" s="8">
        <v>212</v>
      </c>
      <c r="D151" s="8">
        <v>256</v>
      </c>
      <c r="E151" s="8" t="s">
        <v>1326</v>
      </c>
      <c r="L151" s="17"/>
    </row>
    <row r="152" spans="1:18" s="2" customFormat="1" ht="16.5" customHeight="1" thickBot="1">
      <c r="A152" s="12" t="s">
        <v>1764</v>
      </c>
      <c r="B152" s="37" t="s">
        <v>1286</v>
      </c>
      <c r="C152" s="8">
        <v>97</v>
      </c>
      <c r="D152" s="8">
        <v>103</v>
      </c>
      <c r="E152" s="8" t="s">
        <v>1326</v>
      </c>
    </row>
    <row r="153" spans="1:18" s="2" customFormat="1" ht="12" customHeight="1">
      <c r="A153" s="1"/>
    </row>
    <row r="154" spans="1:18" s="2" customFormat="1" ht="16.5" customHeight="1">
      <c r="A154" s="1" t="s">
        <v>1767</v>
      </c>
    </row>
    <row r="155" spans="1:18" s="2" customFormat="1" ht="9.75" customHeight="1" thickBot="1">
      <c r="A155" s="3"/>
    </row>
    <row r="156" spans="1:18" s="2" customFormat="1" ht="16.5" customHeight="1" thickBot="1">
      <c r="A156" s="4" t="s">
        <v>1244</v>
      </c>
      <c r="B156" s="5" t="s">
        <v>1245</v>
      </c>
      <c r="C156" s="5" t="s">
        <v>1246</v>
      </c>
      <c r="D156" s="5">
        <v>2</v>
      </c>
      <c r="E156" s="5">
        <v>3</v>
      </c>
      <c r="F156" s="5">
        <v>4</v>
      </c>
      <c r="G156" s="5">
        <v>5</v>
      </c>
      <c r="H156" s="5">
        <v>6</v>
      </c>
      <c r="I156" s="5">
        <v>7</v>
      </c>
      <c r="J156" s="5">
        <v>8</v>
      </c>
      <c r="K156" s="5">
        <v>9</v>
      </c>
      <c r="L156" s="5">
        <v>10</v>
      </c>
      <c r="M156" s="5">
        <v>11</v>
      </c>
      <c r="N156" s="5"/>
      <c r="O156" s="10" t="s">
        <v>1413</v>
      </c>
      <c r="P156" s="11">
        <f>(37858/63640)</f>
        <v>0.59487743557510997</v>
      </c>
    </row>
    <row r="157" spans="1:18" s="2" customFormat="1" ht="16.5" customHeight="1" thickBot="1">
      <c r="A157" s="6" t="s">
        <v>1770</v>
      </c>
      <c r="B157" s="9" t="s">
        <v>1257</v>
      </c>
      <c r="C157" s="36">
        <v>7066</v>
      </c>
      <c r="D157" s="8"/>
      <c r="E157" s="8"/>
      <c r="F157" s="8"/>
      <c r="G157" s="8"/>
      <c r="H157" s="8"/>
      <c r="I157" s="36"/>
      <c r="J157" s="8"/>
      <c r="K157" s="8"/>
      <c r="L157" s="36"/>
      <c r="M157" s="8"/>
      <c r="N157" s="33" t="s">
        <v>1271</v>
      </c>
      <c r="O157" s="14"/>
      <c r="P157" s="10" t="s">
        <v>1248</v>
      </c>
      <c r="Q157" s="10" t="s">
        <v>1249</v>
      </c>
      <c r="R157" s="10" t="s">
        <v>1250</v>
      </c>
    </row>
    <row r="158" spans="1:18" s="2" customFormat="1" ht="16.5" customHeight="1" thickBot="1">
      <c r="A158" s="6" t="s">
        <v>1769</v>
      </c>
      <c r="B158" s="28" t="s">
        <v>1258</v>
      </c>
      <c r="C158" s="8">
        <v>5131</v>
      </c>
      <c r="D158" s="8">
        <v>5255</v>
      </c>
      <c r="E158" s="8">
        <v>5259</v>
      </c>
      <c r="F158" s="8">
        <v>5302</v>
      </c>
      <c r="G158" s="36">
        <v>5533</v>
      </c>
      <c r="H158" s="36"/>
      <c r="I158" s="8"/>
      <c r="J158" s="36"/>
      <c r="K158" s="36"/>
      <c r="L158" s="8"/>
      <c r="M158" s="36"/>
      <c r="N158" s="33" t="s">
        <v>1362</v>
      </c>
      <c r="O158" s="19" t="s">
        <v>1247</v>
      </c>
      <c r="P158" s="16">
        <v>4295</v>
      </c>
      <c r="Q158" s="17">
        <f>SUM(P158/P164)</f>
        <v>0.11477512626600038</v>
      </c>
      <c r="R158" s="14"/>
    </row>
    <row r="159" spans="1:18" s="2" customFormat="1" ht="16.5" customHeight="1" thickBot="1">
      <c r="A159" s="6" t="s">
        <v>1771</v>
      </c>
      <c r="B159" s="28" t="s">
        <v>1258</v>
      </c>
      <c r="C159" s="8">
        <v>4820</v>
      </c>
      <c r="D159" s="8">
        <v>4900</v>
      </c>
      <c r="E159" s="8">
        <v>4914</v>
      </c>
      <c r="F159" s="8">
        <v>4976</v>
      </c>
      <c r="G159" s="8">
        <v>5176</v>
      </c>
      <c r="H159" s="36">
        <v>6414</v>
      </c>
      <c r="I159" s="36"/>
      <c r="J159" s="8"/>
      <c r="K159" s="8"/>
      <c r="L159" s="36"/>
      <c r="M159" s="8"/>
      <c r="N159" s="33" t="s">
        <v>1252</v>
      </c>
      <c r="O159" s="18" t="s">
        <v>1257</v>
      </c>
      <c r="P159" s="16">
        <f>(C157+C162+C166)</f>
        <v>11154</v>
      </c>
      <c r="Q159" s="17">
        <f>SUM(P159/P164)</f>
        <v>0.29806792977205315</v>
      </c>
      <c r="R159" s="14">
        <v>2</v>
      </c>
    </row>
    <row r="160" spans="1:18" s="2" customFormat="1" ht="16.5" customHeight="1" thickBot="1">
      <c r="A160" s="12" t="s">
        <v>1768</v>
      </c>
      <c r="B160" s="13" t="s">
        <v>1247</v>
      </c>
      <c r="C160" s="8">
        <v>4295</v>
      </c>
      <c r="D160" s="8">
        <v>4296</v>
      </c>
      <c r="E160" s="8">
        <v>4298</v>
      </c>
      <c r="F160" s="8">
        <v>4311</v>
      </c>
      <c r="G160" s="8">
        <v>4312</v>
      </c>
      <c r="H160" s="8">
        <v>4313</v>
      </c>
      <c r="I160" s="8">
        <v>4314</v>
      </c>
      <c r="J160" s="8">
        <v>4314</v>
      </c>
      <c r="K160" s="8">
        <v>4317</v>
      </c>
      <c r="L160" s="8">
        <v>4318</v>
      </c>
      <c r="M160" s="8">
        <v>4785</v>
      </c>
      <c r="N160" s="33"/>
      <c r="O160" s="30" t="s">
        <v>1258</v>
      </c>
      <c r="P160" s="16">
        <f>(C158+C159+C165)</f>
        <v>11452</v>
      </c>
      <c r="Q160" s="17">
        <f>SUM(P160/P164)</f>
        <v>0.30603137275861148</v>
      </c>
      <c r="R160" s="2">
        <v>2</v>
      </c>
    </row>
    <row r="161" spans="1:18" s="2" customFormat="1" ht="16.5" customHeight="1" thickBot="1">
      <c r="A161" s="6" t="s">
        <v>1454</v>
      </c>
      <c r="B161" s="45" t="s">
        <v>1269</v>
      </c>
      <c r="C161" s="8">
        <v>3393</v>
      </c>
      <c r="D161" s="8">
        <v>3456</v>
      </c>
      <c r="E161" s="8">
        <v>3504</v>
      </c>
      <c r="F161" s="8">
        <v>3754</v>
      </c>
      <c r="G161" s="8">
        <v>3821</v>
      </c>
      <c r="H161" s="8">
        <v>3872</v>
      </c>
      <c r="I161" s="8">
        <v>3954</v>
      </c>
      <c r="J161" s="8">
        <v>3969</v>
      </c>
      <c r="K161" s="8">
        <v>4488</v>
      </c>
      <c r="L161" s="8">
        <v>4696</v>
      </c>
      <c r="M161" s="36">
        <v>4966</v>
      </c>
      <c r="N161" s="33" t="s">
        <v>1251</v>
      </c>
      <c r="O161" s="15" t="s">
        <v>1261</v>
      </c>
      <c r="P161" s="21">
        <f>(C163+C164)</f>
        <v>5403</v>
      </c>
      <c r="Q161" s="17">
        <f>SUM(P161/P164)</f>
        <v>0.14438416931669384</v>
      </c>
      <c r="R161" s="2">
        <v>1</v>
      </c>
    </row>
    <row r="162" spans="1:18" s="2" customFormat="1" ht="16.5" customHeight="1" thickBot="1">
      <c r="A162" s="6" t="s">
        <v>1774</v>
      </c>
      <c r="B162" s="9" t="s">
        <v>1257</v>
      </c>
      <c r="C162" s="8">
        <v>3135</v>
      </c>
      <c r="D162" s="8">
        <v>3519</v>
      </c>
      <c r="E162" s="8">
        <v>3555</v>
      </c>
      <c r="F162" s="8">
        <v>3667</v>
      </c>
      <c r="G162" s="8">
        <v>3772</v>
      </c>
      <c r="H162" s="8">
        <v>3878</v>
      </c>
      <c r="I162" s="8">
        <v>4146</v>
      </c>
      <c r="J162" s="8">
        <v>4214</v>
      </c>
      <c r="K162" s="36">
        <v>5606</v>
      </c>
      <c r="L162" s="8"/>
      <c r="M162" s="8"/>
      <c r="N162" s="33" t="s">
        <v>1280</v>
      </c>
      <c r="O162" s="31" t="s">
        <v>1269</v>
      </c>
      <c r="P162" s="21">
        <v>3393</v>
      </c>
      <c r="Q162" s="17">
        <f>SUM(P162/P164)</f>
        <v>9.067101360198819E-2</v>
      </c>
      <c r="R162" s="2">
        <v>1</v>
      </c>
    </row>
    <row r="163" spans="1:18" s="2" customFormat="1" ht="16.5" customHeight="1" thickBot="1">
      <c r="A163" s="6" t="s">
        <v>1773</v>
      </c>
      <c r="B163" s="7" t="s">
        <v>1261</v>
      </c>
      <c r="C163" s="8">
        <v>2732</v>
      </c>
      <c r="D163" s="8">
        <v>2748</v>
      </c>
      <c r="E163" s="8">
        <v>2751</v>
      </c>
      <c r="F163" s="8">
        <v>2816</v>
      </c>
      <c r="G163" s="8">
        <v>2855</v>
      </c>
      <c r="H163" s="8">
        <v>2864</v>
      </c>
      <c r="I163" s="8">
        <v>2875</v>
      </c>
      <c r="J163" s="8">
        <v>2876</v>
      </c>
      <c r="K163" s="8">
        <v>2961</v>
      </c>
      <c r="L163" s="8">
        <v>2992</v>
      </c>
      <c r="M163" s="36">
        <v>4979</v>
      </c>
      <c r="N163" s="33" t="s">
        <v>1253</v>
      </c>
      <c r="O163" s="26" t="s">
        <v>1254</v>
      </c>
      <c r="P163" s="21">
        <f>(C167+C168+C169+C170)</f>
        <v>1724</v>
      </c>
      <c r="Q163" s="11">
        <f>SUM(P163/P164)</f>
        <v>4.6070388284652999E-2</v>
      </c>
    </row>
    <row r="164" spans="1:18" s="2" customFormat="1" ht="16.5" customHeight="1" thickBot="1">
      <c r="A164" s="12" t="s">
        <v>1775</v>
      </c>
      <c r="B164" s="20" t="s">
        <v>1261</v>
      </c>
      <c r="C164" s="8">
        <v>2671</v>
      </c>
      <c r="D164" s="8">
        <v>2677</v>
      </c>
      <c r="E164" s="8">
        <v>2678</v>
      </c>
      <c r="F164" s="8">
        <v>2723</v>
      </c>
      <c r="G164" s="8">
        <v>2726</v>
      </c>
      <c r="H164" s="8">
        <v>2732</v>
      </c>
      <c r="I164" s="8">
        <v>2738</v>
      </c>
      <c r="J164" s="8">
        <v>2739</v>
      </c>
      <c r="K164" s="8">
        <v>2783</v>
      </c>
      <c r="L164" s="8">
        <v>2802</v>
      </c>
      <c r="M164" s="8" t="s">
        <v>1326</v>
      </c>
      <c r="P164" s="23">
        <v>37421</v>
      </c>
    </row>
    <row r="165" spans="1:18" s="2" customFormat="1" ht="16.5" customHeight="1" thickBot="1">
      <c r="A165" s="12" t="s">
        <v>1772</v>
      </c>
      <c r="B165" s="27" t="s">
        <v>1258</v>
      </c>
      <c r="C165" s="8">
        <v>1501</v>
      </c>
      <c r="D165" s="8">
        <v>1530</v>
      </c>
      <c r="E165" s="8">
        <v>1532</v>
      </c>
      <c r="F165" s="8">
        <v>1600</v>
      </c>
      <c r="G165" s="8">
        <v>1635</v>
      </c>
      <c r="H165" s="8" t="s">
        <v>1326</v>
      </c>
    </row>
    <row r="166" spans="1:18" s="2" customFormat="1" ht="16.5" customHeight="1" thickBot="1">
      <c r="A166" s="12" t="s">
        <v>1776</v>
      </c>
      <c r="B166" s="22" t="s">
        <v>1257</v>
      </c>
      <c r="C166" s="8">
        <v>953</v>
      </c>
      <c r="D166" s="8">
        <v>1853</v>
      </c>
      <c r="E166" s="8">
        <v>1889</v>
      </c>
      <c r="F166" s="8">
        <v>1964</v>
      </c>
      <c r="G166" s="8">
        <v>2119</v>
      </c>
      <c r="H166" s="8">
        <v>2263</v>
      </c>
      <c r="I166" s="8">
        <v>2612</v>
      </c>
      <c r="J166" s="8">
        <v>2696</v>
      </c>
      <c r="K166" s="8" t="s">
        <v>1326</v>
      </c>
      <c r="L166" s="17"/>
    </row>
    <row r="167" spans="1:18" s="2" customFormat="1" ht="16.5" customHeight="1" thickBot="1">
      <c r="A167" s="12" t="s">
        <v>1778</v>
      </c>
      <c r="B167" s="71" t="s">
        <v>1777</v>
      </c>
      <c r="C167" s="8">
        <v>774</v>
      </c>
      <c r="D167" s="43">
        <v>826</v>
      </c>
      <c r="E167" s="43">
        <v>838</v>
      </c>
      <c r="F167" s="8">
        <v>881</v>
      </c>
      <c r="G167" s="8" t="s">
        <v>1326</v>
      </c>
      <c r="L167" s="17"/>
    </row>
    <row r="168" spans="1:18" s="2" customFormat="1" ht="16.5" customHeight="1" thickBot="1">
      <c r="A168" s="12" t="s">
        <v>1781</v>
      </c>
      <c r="B168" s="29" t="s">
        <v>1267</v>
      </c>
      <c r="C168" s="8">
        <v>465</v>
      </c>
      <c r="D168" s="8">
        <v>474</v>
      </c>
      <c r="E168" s="8">
        <v>484</v>
      </c>
      <c r="F168" s="8" t="s">
        <v>1326</v>
      </c>
      <c r="L168" s="17"/>
    </row>
    <row r="169" spans="1:18" s="2" customFormat="1" ht="16.5" customHeight="1" thickBot="1">
      <c r="A169" s="12" t="s">
        <v>1780</v>
      </c>
      <c r="B169" s="63" t="s">
        <v>1276</v>
      </c>
      <c r="C169" s="8">
        <v>311</v>
      </c>
      <c r="D169" s="8">
        <v>323</v>
      </c>
      <c r="E169" s="8">
        <v>327</v>
      </c>
      <c r="F169" s="43" t="s">
        <v>1326</v>
      </c>
    </row>
    <row r="170" spans="1:18" s="2" customFormat="1" ht="16.5" customHeight="1" thickBot="1">
      <c r="A170" s="12" t="s">
        <v>1779</v>
      </c>
      <c r="B170" s="38" t="s">
        <v>1408</v>
      </c>
      <c r="C170" s="8">
        <v>174</v>
      </c>
      <c r="D170" s="8">
        <v>179</v>
      </c>
      <c r="E170" s="43" t="s">
        <v>1326</v>
      </c>
    </row>
    <row r="171" spans="1:18" s="2" customFormat="1" ht="12" customHeight="1">
      <c r="A171" s="1"/>
    </row>
    <row r="172" spans="1:18" s="2" customFormat="1" ht="16.5" customHeight="1">
      <c r="A172" s="1" t="s">
        <v>1782</v>
      </c>
    </row>
    <row r="173" spans="1:18" s="2" customFormat="1" ht="9.75" customHeight="1" thickBot="1">
      <c r="A173" s="3"/>
    </row>
    <row r="174" spans="1:18" s="2" customFormat="1" ht="16.5" customHeight="1" thickBot="1">
      <c r="A174" s="4" t="s">
        <v>1244</v>
      </c>
      <c r="B174" s="5" t="s">
        <v>1245</v>
      </c>
      <c r="C174" s="5" t="s">
        <v>1246</v>
      </c>
      <c r="D174" s="5">
        <v>2</v>
      </c>
      <c r="E174" s="5">
        <v>3</v>
      </c>
      <c r="F174" s="5">
        <v>4</v>
      </c>
      <c r="G174" s="5">
        <v>5</v>
      </c>
      <c r="H174" s="5">
        <v>6</v>
      </c>
      <c r="I174" s="5">
        <v>7</v>
      </c>
      <c r="J174" s="5">
        <v>8</v>
      </c>
      <c r="K174" s="5">
        <v>9</v>
      </c>
      <c r="L174" s="5"/>
      <c r="M174" s="10" t="s">
        <v>1413</v>
      </c>
      <c r="N174" s="11">
        <f>(44632/70489)</f>
        <v>0.63317680772886553</v>
      </c>
    </row>
    <row r="175" spans="1:18" s="2" customFormat="1" ht="16.5" customHeight="1" thickBot="1">
      <c r="A175" s="6" t="s">
        <v>1464</v>
      </c>
      <c r="B175" s="28" t="s">
        <v>1258</v>
      </c>
      <c r="C175" s="36">
        <v>8732</v>
      </c>
      <c r="D175" s="8"/>
      <c r="E175" s="8"/>
      <c r="F175" s="8"/>
      <c r="G175" s="8"/>
      <c r="H175" s="8"/>
      <c r="I175" s="36"/>
      <c r="J175" s="8"/>
      <c r="K175" s="36"/>
      <c r="L175" s="33" t="s">
        <v>1271</v>
      </c>
      <c r="M175" s="14"/>
      <c r="N175" s="10" t="s">
        <v>1248</v>
      </c>
      <c r="O175" s="10" t="s">
        <v>1249</v>
      </c>
      <c r="P175" s="10" t="s">
        <v>1250</v>
      </c>
    </row>
    <row r="176" spans="1:18" s="2" customFormat="1" ht="16.5" customHeight="1" thickBot="1">
      <c r="A176" s="6" t="s">
        <v>1466</v>
      </c>
      <c r="B176" s="28" t="s">
        <v>1258</v>
      </c>
      <c r="C176" s="36">
        <v>7898</v>
      </c>
      <c r="D176" s="8"/>
      <c r="E176" s="8"/>
      <c r="F176" s="8"/>
      <c r="G176" s="8"/>
      <c r="H176" s="36"/>
      <c r="I176" s="8"/>
      <c r="J176" s="36"/>
      <c r="K176" s="8"/>
      <c r="L176" s="33" t="s">
        <v>1362</v>
      </c>
      <c r="M176" s="19" t="s">
        <v>1247</v>
      </c>
      <c r="N176" s="16">
        <v>6195</v>
      </c>
      <c r="O176" s="17">
        <f>SUM(N176/N182)</f>
        <v>0.14047937594956802</v>
      </c>
      <c r="P176" s="14">
        <v>1</v>
      </c>
    </row>
    <row r="177" spans="1:22" s="2" customFormat="1" ht="16.5" customHeight="1" thickBot="1">
      <c r="A177" s="6" t="s">
        <v>1468</v>
      </c>
      <c r="B177" s="9" t="s">
        <v>1257</v>
      </c>
      <c r="C177" s="36">
        <v>6385</v>
      </c>
      <c r="D177" s="36"/>
      <c r="E177" s="8"/>
      <c r="F177" s="8"/>
      <c r="G177" s="36"/>
      <c r="H177" s="8"/>
      <c r="I177" s="36"/>
      <c r="J177" s="8"/>
      <c r="K177" s="36"/>
      <c r="L177" s="33" t="s">
        <v>1252</v>
      </c>
      <c r="M177" s="18" t="s">
        <v>1257</v>
      </c>
      <c r="N177" s="16">
        <f>(C177+C181)</f>
        <v>9538</v>
      </c>
      <c r="O177" s="17">
        <f>SUM(N177/N182)</f>
        <v>0.21628608358466178</v>
      </c>
      <c r="P177" s="14">
        <v>1</v>
      </c>
    </row>
    <row r="178" spans="1:22" s="2" customFormat="1" ht="16.5" customHeight="1" thickBot="1">
      <c r="A178" s="6" t="s">
        <v>1783</v>
      </c>
      <c r="B178" s="25" t="s">
        <v>1247</v>
      </c>
      <c r="C178" s="8">
        <v>6195</v>
      </c>
      <c r="D178" s="8">
        <v>6195</v>
      </c>
      <c r="E178" s="8">
        <v>6195</v>
      </c>
      <c r="F178" s="8">
        <v>6195</v>
      </c>
      <c r="G178" s="8">
        <v>6198</v>
      </c>
      <c r="H178" s="8">
        <v>6198</v>
      </c>
      <c r="I178" s="8">
        <v>6199</v>
      </c>
      <c r="J178" s="8">
        <v>6207</v>
      </c>
      <c r="K178" s="36">
        <v>6496</v>
      </c>
      <c r="L178" s="33" t="s">
        <v>1251</v>
      </c>
      <c r="M178" s="30" t="s">
        <v>1258</v>
      </c>
      <c r="N178" s="16">
        <f>(C175+C176+C180)</f>
        <v>20235</v>
      </c>
      <c r="O178" s="17">
        <f>SUM(N178/N182)</f>
        <v>0.45885394226626453</v>
      </c>
      <c r="P178" s="2">
        <v>3</v>
      </c>
    </row>
    <row r="179" spans="1:22" s="2" customFormat="1" ht="16.5" customHeight="1" thickBot="1">
      <c r="A179" s="6" t="s">
        <v>1785</v>
      </c>
      <c r="B179" s="7" t="s">
        <v>1261</v>
      </c>
      <c r="C179" s="8">
        <v>3648</v>
      </c>
      <c r="D179" s="8">
        <v>3649</v>
      </c>
      <c r="E179" s="8">
        <v>3652</v>
      </c>
      <c r="F179" s="8">
        <v>3654</v>
      </c>
      <c r="G179" s="8">
        <v>3666</v>
      </c>
      <c r="H179" s="8">
        <v>3666</v>
      </c>
      <c r="I179" s="8">
        <v>3689</v>
      </c>
      <c r="J179" s="8">
        <v>3920</v>
      </c>
      <c r="K179" s="36">
        <v>5980</v>
      </c>
      <c r="L179" s="33" t="s">
        <v>1253</v>
      </c>
      <c r="M179" s="15" t="s">
        <v>1261</v>
      </c>
      <c r="N179" s="21">
        <f>(C179+C182)</f>
        <v>6009</v>
      </c>
      <c r="O179" s="17">
        <f>SUM(N179/N182)</f>
        <v>0.13626159323340664</v>
      </c>
      <c r="P179" s="2">
        <v>1</v>
      </c>
    </row>
    <row r="180" spans="1:22" s="2" customFormat="1" ht="16.5" customHeight="1" thickBot="1">
      <c r="A180" s="6" t="s">
        <v>1784</v>
      </c>
      <c r="B180" s="28" t="s">
        <v>1258</v>
      </c>
      <c r="C180" s="8">
        <v>3605</v>
      </c>
      <c r="D180" s="8">
        <v>5787</v>
      </c>
      <c r="E180" s="36">
        <v>7152</v>
      </c>
      <c r="F180" s="8"/>
      <c r="G180" s="8"/>
      <c r="H180" s="8"/>
      <c r="I180" s="8"/>
      <c r="J180" s="8"/>
      <c r="K180" s="8"/>
      <c r="L180" s="33" t="s">
        <v>1280</v>
      </c>
      <c r="M180" s="31" t="s">
        <v>1269</v>
      </c>
      <c r="N180" s="21">
        <v>867</v>
      </c>
      <c r="O180" s="17">
        <f>SUM(N180/N182)</f>
        <v>1.9660309757590876E-2</v>
      </c>
    </row>
    <row r="181" spans="1:22" s="2" customFormat="1" ht="16.5" customHeight="1" thickBot="1">
      <c r="A181" s="12" t="s">
        <v>1787</v>
      </c>
      <c r="B181" s="22" t="s">
        <v>1257</v>
      </c>
      <c r="C181" s="8">
        <v>3153</v>
      </c>
      <c r="D181" s="8">
        <v>3247</v>
      </c>
      <c r="E181" s="8">
        <v>3320</v>
      </c>
      <c r="F181" s="8">
        <v>3598</v>
      </c>
      <c r="G181" s="8">
        <v>3676</v>
      </c>
      <c r="H181" s="8">
        <v>3735</v>
      </c>
      <c r="I181" s="8">
        <v>4041</v>
      </c>
      <c r="J181" s="8">
        <v>4975</v>
      </c>
      <c r="K181" s="8">
        <v>5049</v>
      </c>
      <c r="L181" s="33"/>
      <c r="M181" s="26" t="s">
        <v>1254</v>
      </c>
      <c r="N181" s="21">
        <f>(C184+C185+C186)</f>
        <v>1255</v>
      </c>
      <c r="O181" s="11">
        <f>SUM(N181/N182)</f>
        <v>2.845869520850813E-2</v>
      </c>
    </row>
    <row r="182" spans="1:22" s="2" customFormat="1" ht="16.5" customHeight="1" thickBot="1">
      <c r="A182" s="12" t="s">
        <v>1469</v>
      </c>
      <c r="B182" s="20" t="s">
        <v>1261</v>
      </c>
      <c r="C182" s="8">
        <v>2361</v>
      </c>
      <c r="D182" s="8">
        <v>2362</v>
      </c>
      <c r="E182" s="8">
        <v>2363</v>
      </c>
      <c r="F182" s="8">
        <v>2365</v>
      </c>
      <c r="G182" s="8">
        <v>2374</v>
      </c>
      <c r="H182" s="8">
        <v>2374</v>
      </c>
      <c r="I182" s="8">
        <v>2381</v>
      </c>
      <c r="J182" s="8">
        <v>2515</v>
      </c>
      <c r="K182" s="8" t="s">
        <v>1326</v>
      </c>
      <c r="N182" s="23">
        <v>44099</v>
      </c>
    </row>
    <row r="183" spans="1:22" s="2" customFormat="1" ht="16.5" customHeight="1" thickBot="1">
      <c r="A183" s="12" t="s">
        <v>1474</v>
      </c>
      <c r="B183" s="32" t="s">
        <v>1269</v>
      </c>
      <c r="C183" s="8">
        <v>867</v>
      </c>
      <c r="D183" s="8">
        <v>873</v>
      </c>
      <c r="E183" s="8">
        <v>883</v>
      </c>
      <c r="F183" s="8">
        <v>896</v>
      </c>
      <c r="G183" s="8">
        <v>914</v>
      </c>
      <c r="H183" s="8">
        <v>915</v>
      </c>
      <c r="I183" s="8">
        <v>953</v>
      </c>
      <c r="J183" s="8" t="s">
        <v>1326</v>
      </c>
    </row>
    <row r="184" spans="1:22" s="2" customFormat="1" ht="16.5" customHeight="1" thickBot="1">
      <c r="A184" s="12" t="s">
        <v>1786</v>
      </c>
      <c r="B184" s="38" t="s">
        <v>1270</v>
      </c>
      <c r="C184" s="8">
        <v>623</v>
      </c>
      <c r="D184" s="8">
        <v>677</v>
      </c>
      <c r="E184" s="8">
        <v>703</v>
      </c>
      <c r="F184" s="8">
        <v>788</v>
      </c>
      <c r="G184" s="8">
        <v>819</v>
      </c>
      <c r="H184" s="8">
        <v>820</v>
      </c>
      <c r="I184" s="8" t="s">
        <v>1326</v>
      </c>
    </row>
    <row r="185" spans="1:22" s="2" customFormat="1" ht="16.5" customHeight="1" thickBot="1">
      <c r="A185" s="12" t="s">
        <v>1788</v>
      </c>
      <c r="B185" s="42" t="s">
        <v>1304</v>
      </c>
      <c r="C185" s="8">
        <v>402</v>
      </c>
      <c r="D185" s="43">
        <v>444</v>
      </c>
      <c r="E185" s="43">
        <v>505</v>
      </c>
      <c r="F185" s="8">
        <v>779</v>
      </c>
      <c r="G185" s="8">
        <v>824</v>
      </c>
      <c r="H185" s="8">
        <v>825</v>
      </c>
      <c r="I185" s="8">
        <v>997</v>
      </c>
      <c r="J185" s="8" t="s">
        <v>1326</v>
      </c>
      <c r="L185" s="17"/>
    </row>
    <row r="186" spans="1:22" s="2" customFormat="1" ht="16.5" customHeight="1" thickBot="1">
      <c r="A186" s="12" t="s">
        <v>1789</v>
      </c>
      <c r="B186" s="63" t="s">
        <v>1276</v>
      </c>
      <c r="C186" s="8">
        <v>230</v>
      </c>
      <c r="D186" s="8">
        <v>244</v>
      </c>
      <c r="E186" s="8">
        <v>254</v>
      </c>
      <c r="F186" s="8">
        <v>297</v>
      </c>
      <c r="G186" s="8" t="s">
        <v>1326</v>
      </c>
    </row>
    <row r="187" spans="1:22" s="2" customFormat="1" ht="12" customHeight="1">
      <c r="A187" s="1"/>
    </row>
    <row r="188" spans="1:22" s="2" customFormat="1" ht="16.5" customHeight="1">
      <c r="A188" s="1" t="s">
        <v>1790</v>
      </c>
    </row>
    <row r="189" spans="1:22" s="2" customFormat="1" ht="9.75" customHeight="1" thickBot="1">
      <c r="A189" s="3"/>
    </row>
    <row r="190" spans="1:22" s="2" customFormat="1" ht="16.5" customHeight="1" thickBot="1">
      <c r="A190" s="4" t="s">
        <v>1244</v>
      </c>
      <c r="B190" s="5" t="s">
        <v>1245</v>
      </c>
      <c r="C190" s="5" t="s">
        <v>1246</v>
      </c>
      <c r="D190" s="5">
        <v>2</v>
      </c>
      <c r="E190" s="5">
        <v>3</v>
      </c>
      <c r="F190" s="5">
        <v>4</v>
      </c>
      <c r="G190" s="5">
        <v>5</v>
      </c>
      <c r="H190" s="5">
        <v>6</v>
      </c>
      <c r="I190" s="5">
        <v>7</v>
      </c>
      <c r="J190" s="5">
        <v>8</v>
      </c>
      <c r="K190" s="5">
        <v>9</v>
      </c>
      <c r="L190" s="5">
        <v>10</v>
      </c>
      <c r="M190" s="5">
        <v>11</v>
      </c>
      <c r="N190" s="5">
        <v>12</v>
      </c>
      <c r="O190" s="5">
        <v>13</v>
      </c>
      <c r="P190" s="5">
        <v>14</v>
      </c>
      <c r="Q190" s="5">
        <v>15</v>
      </c>
      <c r="R190" s="5"/>
      <c r="S190" s="10" t="s">
        <v>1413</v>
      </c>
      <c r="T190" s="11">
        <f>(31343/55473)</f>
        <v>0.56501361022479402</v>
      </c>
    </row>
    <row r="191" spans="1:22" s="2" customFormat="1" ht="16.5" customHeight="1" thickBot="1">
      <c r="A191" s="6" t="s">
        <v>1480</v>
      </c>
      <c r="B191" s="9" t="s">
        <v>1257</v>
      </c>
      <c r="C191" s="36">
        <v>5175</v>
      </c>
      <c r="D191" s="8"/>
      <c r="E191" s="8"/>
      <c r="F191" s="8"/>
      <c r="G191" s="8"/>
      <c r="H191" s="8"/>
      <c r="I191" s="36"/>
      <c r="J191" s="8"/>
      <c r="K191" s="36"/>
      <c r="L191" s="8"/>
      <c r="M191" s="8"/>
      <c r="N191" s="36"/>
      <c r="O191" s="8"/>
      <c r="P191" s="36"/>
      <c r="Q191" s="8"/>
      <c r="R191" s="33" t="s">
        <v>1271</v>
      </c>
      <c r="S191" s="14"/>
      <c r="T191" s="10" t="s">
        <v>1248</v>
      </c>
      <c r="U191" s="10" t="s">
        <v>1249</v>
      </c>
      <c r="V191" s="10" t="s">
        <v>1250</v>
      </c>
    </row>
    <row r="192" spans="1:22" s="2" customFormat="1" ht="16.5" customHeight="1" thickBot="1">
      <c r="A192" s="6" t="s">
        <v>1477</v>
      </c>
      <c r="B192" s="28" t="s">
        <v>1258</v>
      </c>
      <c r="C192" s="36">
        <v>4544</v>
      </c>
      <c r="D192" s="36"/>
      <c r="E192" s="8"/>
      <c r="F192" s="8"/>
      <c r="G192" s="8"/>
      <c r="H192" s="36"/>
      <c r="I192" s="8"/>
      <c r="J192" s="36"/>
      <c r="K192" s="8"/>
      <c r="L192" s="36"/>
      <c r="M192" s="36"/>
      <c r="N192" s="8"/>
      <c r="O192" s="36"/>
      <c r="P192" s="8"/>
      <c r="Q192" s="36"/>
      <c r="R192" s="33" t="s">
        <v>1362</v>
      </c>
      <c r="S192" s="19" t="s">
        <v>1247</v>
      </c>
      <c r="T192" s="16">
        <v>768</v>
      </c>
      <c r="U192" s="17">
        <f>SUM(T192/T198)</f>
        <v>2.481261307831481E-2</v>
      </c>
      <c r="V192" s="14"/>
    </row>
    <row r="193" spans="1:22" s="2" customFormat="1" ht="16.5" customHeight="1" thickBot="1">
      <c r="A193" s="6" t="s">
        <v>1791</v>
      </c>
      <c r="B193" s="28" t="s">
        <v>1258</v>
      </c>
      <c r="C193" s="8">
        <v>3163</v>
      </c>
      <c r="D193" s="8">
        <v>3197</v>
      </c>
      <c r="E193" s="8">
        <v>3218</v>
      </c>
      <c r="F193" s="8">
        <v>3223</v>
      </c>
      <c r="G193" s="8">
        <v>3238</v>
      </c>
      <c r="H193" s="8">
        <v>3244</v>
      </c>
      <c r="I193" s="8">
        <v>3273</v>
      </c>
      <c r="J193" s="8">
        <v>3292</v>
      </c>
      <c r="K193" s="8">
        <v>3381</v>
      </c>
      <c r="L193" s="8">
        <v>3472</v>
      </c>
      <c r="M193" s="8">
        <v>3472</v>
      </c>
      <c r="N193" s="8">
        <v>3652</v>
      </c>
      <c r="O193" s="8">
        <v>3670</v>
      </c>
      <c r="P193" s="8">
        <v>4061</v>
      </c>
      <c r="Q193" s="36">
        <v>4128</v>
      </c>
      <c r="R193" s="33" t="s">
        <v>1253</v>
      </c>
      <c r="S193" s="18" t="s">
        <v>1257</v>
      </c>
      <c r="T193" s="16">
        <f>(C191+C197+C198)</f>
        <v>8883</v>
      </c>
      <c r="U193" s="17">
        <f>SUM(T193/T198)</f>
        <v>0.28699276298785215</v>
      </c>
      <c r="V193" s="14">
        <v>2</v>
      </c>
    </row>
    <row r="194" spans="1:22" s="2" customFormat="1" ht="16.5" customHeight="1" thickBot="1">
      <c r="A194" s="6" t="s">
        <v>1481</v>
      </c>
      <c r="B194" s="28" t="s">
        <v>1258</v>
      </c>
      <c r="C194" s="8">
        <v>2856</v>
      </c>
      <c r="D194" s="8">
        <v>2883</v>
      </c>
      <c r="E194" s="8">
        <v>2940</v>
      </c>
      <c r="F194" s="8">
        <v>2943</v>
      </c>
      <c r="G194" s="8">
        <v>2963</v>
      </c>
      <c r="H194" s="8">
        <v>2975</v>
      </c>
      <c r="I194" s="8">
        <v>2980</v>
      </c>
      <c r="J194" s="8">
        <v>3003</v>
      </c>
      <c r="K194" s="8">
        <v>3099</v>
      </c>
      <c r="L194" s="8">
        <v>3188</v>
      </c>
      <c r="M194" s="8">
        <v>3188</v>
      </c>
      <c r="N194" s="8">
        <v>3428</v>
      </c>
      <c r="O194" s="8">
        <v>3464</v>
      </c>
      <c r="P194" s="8">
        <v>4034</v>
      </c>
      <c r="Q194" s="36">
        <v>4142</v>
      </c>
      <c r="R194" s="33" t="s">
        <v>1251</v>
      </c>
      <c r="S194" s="30" t="s">
        <v>1258</v>
      </c>
      <c r="T194" s="16">
        <f>(C192+C193+C194)</f>
        <v>10563</v>
      </c>
      <c r="U194" s="17">
        <f>SUM(T194/T198)</f>
        <v>0.34127035409666578</v>
      </c>
      <c r="V194" s="2">
        <v>3</v>
      </c>
    </row>
    <row r="195" spans="1:22" s="2" customFormat="1" ht="16.5" customHeight="1" thickBot="1">
      <c r="A195" s="12" t="s">
        <v>1792</v>
      </c>
      <c r="B195" s="20" t="s">
        <v>1261</v>
      </c>
      <c r="C195" s="8">
        <v>2428</v>
      </c>
      <c r="D195" s="8">
        <v>2432</v>
      </c>
      <c r="E195" s="8">
        <v>2432</v>
      </c>
      <c r="F195" s="8">
        <v>2440</v>
      </c>
      <c r="G195" s="8">
        <v>2441</v>
      </c>
      <c r="H195" s="8">
        <v>2481</v>
      </c>
      <c r="I195" s="8">
        <v>2494</v>
      </c>
      <c r="J195" s="8">
        <v>2536</v>
      </c>
      <c r="K195" s="8">
        <v>2545</v>
      </c>
      <c r="L195" s="8">
        <v>2555</v>
      </c>
      <c r="M195" s="8">
        <v>3203</v>
      </c>
      <c r="N195" s="8">
        <v>3214</v>
      </c>
      <c r="O195" s="8">
        <v>3252</v>
      </c>
      <c r="P195" s="8">
        <v>3298</v>
      </c>
      <c r="Q195" s="8">
        <v>3331</v>
      </c>
      <c r="R195" s="33"/>
      <c r="S195" s="15" t="s">
        <v>1261</v>
      </c>
      <c r="T195" s="21">
        <v>2428</v>
      </c>
      <c r="U195" s="17">
        <f>SUM(T195/T198)</f>
        <v>7.8444042388214008E-2</v>
      </c>
    </row>
    <row r="196" spans="1:22" s="2" customFormat="1" ht="16.5" customHeight="1" thickBot="1">
      <c r="A196" s="6" t="s">
        <v>1479</v>
      </c>
      <c r="B196" s="45" t="s">
        <v>1269</v>
      </c>
      <c r="C196" s="8">
        <v>2180</v>
      </c>
      <c r="D196" s="8">
        <v>2208</v>
      </c>
      <c r="E196" s="8">
        <v>2209</v>
      </c>
      <c r="F196" s="8">
        <v>2235</v>
      </c>
      <c r="G196" s="8">
        <v>2257</v>
      </c>
      <c r="H196" s="8">
        <v>2368</v>
      </c>
      <c r="I196" s="8">
        <v>2424</v>
      </c>
      <c r="J196" s="8">
        <v>2518</v>
      </c>
      <c r="K196" s="8">
        <v>2567</v>
      </c>
      <c r="L196" s="8">
        <v>2603</v>
      </c>
      <c r="M196" s="8">
        <v>2662</v>
      </c>
      <c r="N196" s="8">
        <v>2712</v>
      </c>
      <c r="O196" s="8">
        <v>3920</v>
      </c>
      <c r="P196" s="8">
        <v>4025</v>
      </c>
      <c r="Q196" s="36">
        <v>4264</v>
      </c>
      <c r="R196" s="33" t="s">
        <v>1280</v>
      </c>
      <c r="S196" s="31" t="s">
        <v>1269</v>
      </c>
      <c r="T196" s="21">
        <f>(C196+C200)</f>
        <v>3372</v>
      </c>
      <c r="U196" s="17">
        <f>SUM(T196/T198)</f>
        <v>0.10894287929697596</v>
      </c>
      <c r="V196" s="2">
        <v>1</v>
      </c>
    </row>
    <row r="197" spans="1:22" s="2" customFormat="1" ht="16.5" customHeight="1" thickBot="1">
      <c r="A197" s="6" t="s">
        <v>1482</v>
      </c>
      <c r="B197" s="9" t="s">
        <v>1257</v>
      </c>
      <c r="C197" s="8">
        <v>2062</v>
      </c>
      <c r="D197" s="8">
        <v>2156</v>
      </c>
      <c r="E197" s="8">
        <v>2157</v>
      </c>
      <c r="F197" s="8">
        <v>2163</v>
      </c>
      <c r="G197" s="8">
        <v>2192</v>
      </c>
      <c r="H197" s="8">
        <v>2203</v>
      </c>
      <c r="I197" s="8">
        <v>2223</v>
      </c>
      <c r="J197" s="8">
        <v>2251</v>
      </c>
      <c r="K197" s="8">
        <v>2345</v>
      </c>
      <c r="L197" s="8">
        <v>2449</v>
      </c>
      <c r="M197" s="8">
        <v>2452</v>
      </c>
      <c r="N197" s="8">
        <v>2531</v>
      </c>
      <c r="O197" s="8">
        <v>2560</v>
      </c>
      <c r="P197" s="8">
        <v>2786</v>
      </c>
      <c r="Q197" s="36">
        <v>4838</v>
      </c>
      <c r="R197" s="33" t="s">
        <v>1252</v>
      </c>
      <c r="S197" s="26" t="s">
        <v>1254</v>
      </c>
      <c r="T197" s="21">
        <f>(C199+C201+C203+C204+C205+C206+C208+C207+C209)</f>
        <v>4938</v>
      </c>
      <c r="U197" s="11">
        <f>SUM(T197/T198)</f>
        <v>0.15953734815197726</v>
      </c>
    </row>
    <row r="198" spans="1:22" s="2" customFormat="1" ht="16.5" customHeight="1" thickBot="1">
      <c r="A198" s="12" t="s">
        <v>1793</v>
      </c>
      <c r="B198" s="22" t="s">
        <v>1257</v>
      </c>
      <c r="C198" s="8">
        <v>1646</v>
      </c>
      <c r="D198" s="8">
        <v>2094</v>
      </c>
      <c r="E198" s="8">
        <v>2095</v>
      </c>
      <c r="F198" s="8">
        <v>2103</v>
      </c>
      <c r="G198" s="8">
        <v>2133</v>
      </c>
      <c r="H198" s="8">
        <v>2150</v>
      </c>
      <c r="I198" s="8">
        <v>2190</v>
      </c>
      <c r="J198" s="8">
        <v>2223</v>
      </c>
      <c r="K198" s="8">
        <v>2314</v>
      </c>
      <c r="L198" s="8">
        <v>2424</v>
      </c>
      <c r="M198" s="8">
        <v>2429</v>
      </c>
      <c r="N198" s="8">
        <v>2491</v>
      </c>
      <c r="O198" s="8">
        <v>2553</v>
      </c>
      <c r="P198" s="8">
        <v>2719</v>
      </c>
      <c r="Q198" s="8" t="s">
        <v>1326</v>
      </c>
      <c r="T198" s="23">
        <v>30952</v>
      </c>
    </row>
    <row r="199" spans="1:22" s="2" customFormat="1" ht="16.5" customHeight="1" thickBot="1">
      <c r="A199" s="12" t="s">
        <v>1795</v>
      </c>
      <c r="B199" s="38" t="s">
        <v>1270</v>
      </c>
      <c r="C199" s="8">
        <v>1449</v>
      </c>
      <c r="D199" s="8">
        <v>1466</v>
      </c>
      <c r="E199" s="8">
        <v>1470</v>
      </c>
      <c r="F199" s="8">
        <v>1470</v>
      </c>
      <c r="G199" s="8">
        <v>1473</v>
      </c>
      <c r="H199" s="8">
        <v>1475</v>
      </c>
      <c r="I199" s="8">
        <v>1506</v>
      </c>
      <c r="J199" s="8">
        <v>1602</v>
      </c>
      <c r="K199" s="8">
        <v>1627</v>
      </c>
      <c r="L199" s="8">
        <v>1744</v>
      </c>
      <c r="M199" s="8">
        <v>1747</v>
      </c>
      <c r="N199" s="8">
        <v>1973</v>
      </c>
      <c r="O199" s="8">
        <v>1984</v>
      </c>
      <c r="P199" s="8" t="s">
        <v>1326</v>
      </c>
    </row>
    <row r="200" spans="1:22" s="2" customFormat="1" ht="16.5" customHeight="1" thickBot="1">
      <c r="A200" s="12" t="s">
        <v>1484</v>
      </c>
      <c r="B200" s="32" t="s">
        <v>1269</v>
      </c>
      <c r="C200" s="8">
        <v>1192</v>
      </c>
      <c r="D200" s="8">
        <v>1215</v>
      </c>
      <c r="E200" s="8">
        <v>1215</v>
      </c>
      <c r="F200" s="8">
        <v>1242</v>
      </c>
      <c r="G200" s="8">
        <v>1266</v>
      </c>
      <c r="H200" s="8">
        <v>1329</v>
      </c>
      <c r="I200" s="8">
        <v>1362</v>
      </c>
      <c r="J200" s="8">
        <v>1397</v>
      </c>
      <c r="K200" s="8">
        <v>1410</v>
      </c>
      <c r="L200" s="8">
        <v>1430</v>
      </c>
      <c r="M200" s="8">
        <v>1439</v>
      </c>
      <c r="N200" s="8">
        <v>1460</v>
      </c>
      <c r="O200" s="8" t="s">
        <v>1326</v>
      </c>
    </row>
    <row r="201" spans="1:22" s="2" customFormat="1" ht="16.5" customHeight="1" thickBot="1">
      <c r="A201" s="12" t="s">
        <v>1797</v>
      </c>
      <c r="B201" s="38" t="s">
        <v>1270</v>
      </c>
      <c r="C201" s="8">
        <v>1011</v>
      </c>
      <c r="D201" s="43">
        <v>1019</v>
      </c>
      <c r="E201" s="43">
        <v>1020</v>
      </c>
      <c r="F201" s="8">
        <v>1022</v>
      </c>
      <c r="G201" s="8">
        <v>1030</v>
      </c>
      <c r="H201" s="8">
        <v>1035</v>
      </c>
      <c r="I201" s="8">
        <v>1060</v>
      </c>
      <c r="J201" s="8">
        <v>1101</v>
      </c>
      <c r="K201" s="8">
        <v>1149</v>
      </c>
      <c r="L201" s="8">
        <v>1179</v>
      </c>
      <c r="M201" s="8">
        <v>1181</v>
      </c>
      <c r="N201" s="8" t="s">
        <v>1326</v>
      </c>
    </row>
    <row r="202" spans="1:22" s="2" customFormat="1" ht="16.5" customHeight="1" thickBot="1">
      <c r="A202" s="12" t="s">
        <v>1486</v>
      </c>
      <c r="B202" s="13" t="s">
        <v>1247</v>
      </c>
      <c r="C202" s="8">
        <v>768</v>
      </c>
      <c r="D202" s="8">
        <v>768</v>
      </c>
      <c r="E202" s="8">
        <v>768</v>
      </c>
      <c r="F202" s="8">
        <v>769</v>
      </c>
      <c r="G202" s="8">
        <v>770</v>
      </c>
      <c r="H202" s="8">
        <v>775</v>
      </c>
      <c r="I202" s="8">
        <v>776</v>
      </c>
      <c r="J202" s="8">
        <v>778</v>
      </c>
      <c r="K202" s="8">
        <v>778</v>
      </c>
      <c r="L202" s="8">
        <v>779</v>
      </c>
      <c r="M202" s="8" t="s">
        <v>1326</v>
      </c>
    </row>
    <row r="203" spans="1:22" s="2" customFormat="1" ht="16.5" customHeight="1" thickBot="1">
      <c r="A203" s="12" t="s">
        <v>1487</v>
      </c>
      <c r="B203" s="42" t="s">
        <v>1304</v>
      </c>
      <c r="C203" s="8">
        <v>564</v>
      </c>
      <c r="D203" s="8">
        <v>573</v>
      </c>
      <c r="E203" s="8">
        <v>575</v>
      </c>
      <c r="F203" s="8">
        <v>575</v>
      </c>
      <c r="G203" s="43">
        <v>591</v>
      </c>
      <c r="H203" s="43">
        <v>594</v>
      </c>
      <c r="I203" s="8">
        <v>602</v>
      </c>
      <c r="J203" s="8">
        <v>631</v>
      </c>
      <c r="K203" s="8">
        <v>651</v>
      </c>
      <c r="L203" s="8" t="s">
        <v>1326</v>
      </c>
    </row>
    <row r="204" spans="1:22" s="2" customFormat="1" ht="16.5" customHeight="1" thickBot="1">
      <c r="A204" s="12" t="s">
        <v>1799</v>
      </c>
      <c r="B204" s="63" t="s">
        <v>1276</v>
      </c>
      <c r="C204" s="8">
        <v>534</v>
      </c>
      <c r="D204" s="8">
        <v>539</v>
      </c>
      <c r="E204" s="43">
        <v>539</v>
      </c>
      <c r="F204" s="43">
        <v>542</v>
      </c>
      <c r="G204" s="43">
        <v>550</v>
      </c>
      <c r="H204" s="43">
        <v>566</v>
      </c>
      <c r="I204" s="8">
        <v>573</v>
      </c>
      <c r="J204" s="8">
        <v>590</v>
      </c>
      <c r="K204" s="8" t="s">
        <v>1326</v>
      </c>
    </row>
    <row r="205" spans="1:22" s="2" customFormat="1" ht="16.5" customHeight="1" thickBot="1">
      <c r="A205" s="12" t="s">
        <v>1798</v>
      </c>
      <c r="B205" s="38" t="s">
        <v>1270</v>
      </c>
      <c r="C205" s="8">
        <v>364</v>
      </c>
      <c r="D205" s="8">
        <v>367</v>
      </c>
      <c r="E205" s="8">
        <v>368</v>
      </c>
      <c r="F205" s="8">
        <v>385</v>
      </c>
      <c r="G205" s="8">
        <v>393</v>
      </c>
      <c r="H205" s="8">
        <v>408</v>
      </c>
      <c r="I205" s="8">
        <v>514</v>
      </c>
      <c r="J205" s="8" t="s">
        <v>1326</v>
      </c>
      <c r="L205" s="17"/>
    </row>
    <row r="206" spans="1:22" s="2" customFormat="1" ht="16.5" customHeight="1" thickBot="1">
      <c r="A206" s="12" t="s">
        <v>1489</v>
      </c>
      <c r="B206" s="38" t="s">
        <v>1270</v>
      </c>
      <c r="C206" s="8">
        <v>348</v>
      </c>
      <c r="D206" s="43">
        <v>353</v>
      </c>
      <c r="E206" s="43">
        <v>353</v>
      </c>
      <c r="F206" s="8">
        <v>363</v>
      </c>
      <c r="G206" s="8">
        <v>371</v>
      </c>
      <c r="H206" s="8">
        <v>388</v>
      </c>
      <c r="I206" s="8" t="s">
        <v>1326</v>
      </c>
      <c r="L206" s="17"/>
    </row>
    <row r="207" spans="1:22" s="2" customFormat="1" ht="16.5" customHeight="1" thickBot="1">
      <c r="A207" s="12" t="s">
        <v>1800</v>
      </c>
      <c r="B207" s="29" t="s">
        <v>1267</v>
      </c>
      <c r="C207" s="8">
        <v>307</v>
      </c>
      <c r="D207" s="8">
        <v>309</v>
      </c>
      <c r="E207" s="8">
        <v>309</v>
      </c>
      <c r="F207" s="8">
        <v>340</v>
      </c>
      <c r="G207" s="8">
        <v>347</v>
      </c>
      <c r="H207" s="8" t="s">
        <v>1326</v>
      </c>
    </row>
    <row r="208" spans="1:22" s="2" customFormat="1" ht="16.5" customHeight="1" thickBot="1">
      <c r="A208" s="12" t="s">
        <v>1796</v>
      </c>
      <c r="B208" s="38" t="s">
        <v>1408</v>
      </c>
      <c r="C208" s="8">
        <v>196</v>
      </c>
      <c r="D208" s="8">
        <v>201</v>
      </c>
      <c r="E208" s="8">
        <v>201</v>
      </c>
      <c r="F208" s="8">
        <v>210</v>
      </c>
      <c r="G208" s="8" t="s">
        <v>1326</v>
      </c>
    </row>
    <row r="209" spans="1:18" s="2" customFormat="1" ht="16.5" customHeight="1" thickBot="1">
      <c r="A209" s="12" t="s">
        <v>1794</v>
      </c>
      <c r="B209" s="39" t="s">
        <v>1320</v>
      </c>
      <c r="C209" s="8">
        <v>165</v>
      </c>
      <c r="D209" s="8">
        <v>165</v>
      </c>
      <c r="E209" s="43">
        <v>165</v>
      </c>
      <c r="F209" s="43" t="s">
        <v>1326</v>
      </c>
    </row>
    <row r="210" spans="1:18" s="2" customFormat="1" ht="12" customHeight="1">
      <c r="A210" s="1"/>
    </row>
    <row r="211" spans="1:18" s="2" customFormat="1" ht="16.5" customHeight="1">
      <c r="A211" s="1" t="s">
        <v>1801</v>
      </c>
    </row>
    <row r="212" spans="1:18" s="2" customFormat="1" ht="9.75" customHeight="1" thickBot="1">
      <c r="A212" s="3"/>
    </row>
    <row r="213" spans="1:18" s="2" customFormat="1" ht="16.5" customHeight="1" thickBot="1">
      <c r="A213" s="4" t="s">
        <v>1244</v>
      </c>
      <c r="B213" s="5" t="s">
        <v>1245</v>
      </c>
      <c r="C213" s="5" t="s">
        <v>1246</v>
      </c>
      <c r="D213" s="5">
        <v>2</v>
      </c>
      <c r="E213" s="5">
        <v>3</v>
      </c>
      <c r="F213" s="5">
        <v>4</v>
      </c>
      <c r="G213" s="5">
        <v>5</v>
      </c>
      <c r="H213" s="5">
        <v>6</v>
      </c>
      <c r="I213" s="5">
        <v>7</v>
      </c>
      <c r="J213" s="5">
        <v>8</v>
      </c>
      <c r="K213" s="5">
        <v>9</v>
      </c>
      <c r="L213" s="5">
        <v>10</v>
      </c>
      <c r="M213" s="5">
        <v>11</v>
      </c>
      <c r="N213" s="5"/>
      <c r="O213" s="10" t="s">
        <v>1413</v>
      </c>
      <c r="P213" s="11">
        <f>(37838/66308)</f>
        <v>0.57064004343367314</v>
      </c>
    </row>
    <row r="214" spans="1:18" s="2" customFormat="1" ht="16.5" customHeight="1" thickBot="1">
      <c r="A214" s="6" t="s">
        <v>1491</v>
      </c>
      <c r="B214" s="28" t="s">
        <v>1258</v>
      </c>
      <c r="C214" s="36">
        <v>8548</v>
      </c>
      <c r="D214" s="8"/>
      <c r="E214" s="8"/>
      <c r="F214" s="8"/>
      <c r="G214" s="8"/>
      <c r="H214" s="8"/>
      <c r="I214" s="36"/>
      <c r="J214" s="8"/>
      <c r="K214" s="36"/>
      <c r="L214" s="8"/>
      <c r="M214" s="8"/>
      <c r="N214" s="33" t="s">
        <v>1271</v>
      </c>
      <c r="O214" s="14"/>
      <c r="P214" s="10" t="s">
        <v>1248</v>
      </c>
      <c r="Q214" s="10" t="s">
        <v>1249</v>
      </c>
      <c r="R214" s="10" t="s">
        <v>1250</v>
      </c>
    </row>
    <row r="215" spans="1:18" s="2" customFormat="1" ht="16.5" customHeight="1" thickBot="1">
      <c r="A215" s="6" t="s">
        <v>1802</v>
      </c>
      <c r="B215" s="9" t="s">
        <v>1257</v>
      </c>
      <c r="C215" s="36">
        <v>5658</v>
      </c>
      <c r="D215" s="8"/>
      <c r="E215" s="8"/>
      <c r="F215" s="8"/>
      <c r="G215" s="8"/>
      <c r="H215" s="36"/>
      <c r="I215" s="8"/>
      <c r="J215" s="36"/>
      <c r="K215" s="8"/>
      <c r="L215" s="36"/>
      <c r="M215" s="36"/>
      <c r="N215" s="33" t="s">
        <v>1362</v>
      </c>
      <c r="O215" s="19" t="s">
        <v>1247</v>
      </c>
      <c r="P215" s="16">
        <v>1105</v>
      </c>
      <c r="Q215" s="17">
        <f>SUM(P215/P221)</f>
        <v>2.9664429530201344E-2</v>
      </c>
      <c r="R215" s="14"/>
    </row>
    <row r="216" spans="1:18" s="2" customFormat="1" ht="16.5" customHeight="1" thickBot="1">
      <c r="A216" s="6" t="s">
        <v>1492</v>
      </c>
      <c r="B216" s="28" t="s">
        <v>1258</v>
      </c>
      <c r="C216" s="8">
        <v>4703</v>
      </c>
      <c r="D216" s="36">
        <v>6105</v>
      </c>
      <c r="E216" s="8"/>
      <c r="F216" s="8"/>
      <c r="G216" s="8"/>
      <c r="H216" s="8"/>
      <c r="I216" s="8"/>
      <c r="J216" s="8"/>
      <c r="K216" s="36"/>
      <c r="L216" s="36"/>
      <c r="M216" s="8"/>
      <c r="N216" s="33" t="s">
        <v>1280</v>
      </c>
      <c r="O216" s="18" t="s">
        <v>1257</v>
      </c>
      <c r="P216" s="16">
        <f>(C215+C218+C221)</f>
        <v>10781</v>
      </c>
      <c r="Q216" s="17">
        <f>SUM(P216/P221)</f>
        <v>0.28942281879194631</v>
      </c>
      <c r="R216" s="14">
        <v>2</v>
      </c>
    </row>
    <row r="217" spans="1:18" s="2" customFormat="1" ht="16.5" customHeight="1" thickBot="1">
      <c r="A217" s="6" t="s">
        <v>1804</v>
      </c>
      <c r="B217" s="28" t="s">
        <v>1258</v>
      </c>
      <c r="C217" s="8">
        <v>4606</v>
      </c>
      <c r="D217" s="36">
        <v>6138</v>
      </c>
      <c r="E217" s="8"/>
      <c r="F217" s="8"/>
      <c r="G217" s="8"/>
      <c r="H217" s="8"/>
      <c r="I217" s="8"/>
      <c r="J217" s="8"/>
      <c r="K217" s="8"/>
      <c r="L217" s="8"/>
      <c r="M217" s="8"/>
      <c r="N217" s="33" t="s">
        <v>1252</v>
      </c>
      <c r="O217" s="30" t="s">
        <v>1258</v>
      </c>
      <c r="P217" s="16">
        <f>(C214+C216+C217)</f>
        <v>17857</v>
      </c>
      <c r="Q217" s="17">
        <f>SUM(P217/P221)</f>
        <v>0.47938255033557048</v>
      </c>
      <c r="R217" s="2">
        <v>3</v>
      </c>
    </row>
    <row r="218" spans="1:18" s="2" customFormat="1" ht="16.5" customHeight="1" thickBot="1">
      <c r="A218" s="6" t="s">
        <v>1803</v>
      </c>
      <c r="B218" s="9" t="s">
        <v>1257</v>
      </c>
      <c r="C218" s="8">
        <v>3000</v>
      </c>
      <c r="D218" s="8">
        <v>3055</v>
      </c>
      <c r="E218" s="8">
        <v>3169</v>
      </c>
      <c r="F218" s="8">
        <v>3304</v>
      </c>
      <c r="G218" s="8">
        <v>3394</v>
      </c>
      <c r="H218" s="8">
        <v>3413</v>
      </c>
      <c r="I218" s="8">
        <v>3449</v>
      </c>
      <c r="J218" s="8">
        <v>3589</v>
      </c>
      <c r="K218" s="8">
        <v>3884</v>
      </c>
      <c r="L218" s="36">
        <v>5610</v>
      </c>
      <c r="M218" s="36"/>
      <c r="N218" s="33" t="s">
        <v>1251</v>
      </c>
      <c r="O218" s="15" t="s">
        <v>1261</v>
      </c>
      <c r="P218" s="21">
        <v>2906</v>
      </c>
      <c r="Q218" s="17">
        <f>SUM(P218/P221)</f>
        <v>7.801342281879195E-2</v>
      </c>
    </row>
    <row r="219" spans="1:18" s="2" customFormat="1" ht="16.5" customHeight="1" thickBot="1">
      <c r="A219" s="12" t="s">
        <v>1497</v>
      </c>
      <c r="B219" s="20" t="s">
        <v>1261</v>
      </c>
      <c r="C219" s="8">
        <v>2906</v>
      </c>
      <c r="D219" s="8">
        <v>2909</v>
      </c>
      <c r="E219" s="8">
        <v>2910</v>
      </c>
      <c r="F219" s="8">
        <v>2916</v>
      </c>
      <c r="G219" s="8">
        <v>2920</v>
      </c>
      <c r="H219" s="8">
        <v>2990</v>
      </c>
      <c r="I219" s="8">
        <v>3047</v>
      </c>
      <c r="J219" s="8">
        <v>3072</v>
      </c>
      <c r="K219" s="8">
        <v>3950</v>
      </c>
      <c r="L219" s="8">
        <v>4093</v>
      </c>
      <c r="M219" s="8">
        <v>4160</v>
      </c>
      <c r="N219" s="33"/>
      <c r="O219" s="31" t="s">
        <v>1269</v>
      </c>
      <c r="P219" s="21">
        <v>2741</v>
      </c>
      <c r="Q219" s="17">
        <f>SUM(P219/P221)</f>
        <v>7.3583892617449659E-2</v>
      </c>
      <c r="R219" s="2">
        <v>1</v>
      </c>
    </row>
    <row r="220" spans="1:18" s="2" customFormat="1" ht="16.5" customHeight="1" thickBot="1">
      <c r="A220" s="6" t="s">
        <v>1493</v>
      </c>
      <c r="B220" s="45" t="s">
        <v>1269</v>
      </c>
      <c r="C220" s="8">
        <v>2741</v>
      </c>
      <c r="D220" s="8">
        <v>2763</v>
      </c>
      <c r="E220" s="8">
        <v>2791</v>
      </c>
      <c r="F220" s="8">
        <v>2835</v>
      </c>
      <c r="G220" s="8">
        <v>2847</v>
      </c>
      <c r="H220" s="8">
        <v>2968</v>
      </c>
      <c r="I220" s="8">
        <v>3146</v>
      </c>
      <c r="J220" s="8">
        <v>3211</v>
      </c>
      <c r="K220" s="8">
        <v>3612</v>
      </c>
      <c r="L220" s="8">
        <v>4232</v>
      </c>
      <c r="M220" s="36">
        <v>4451</v>
      </c>
      <c r="N220" s="33" t="s">
        <v>1253</v>
      </c>
      <c r="O220" s="26" t="s">
        <v>1254</v>
      </c>
      <c r="P220" s="21">
        <f>(C223+C224+C225+C226)</f>
        <v>1860</v>
      </c>
      <c r="Q220" s="11">
        <f>SUM(P220/P221)</f>
        <v>4.9932885906040267E-2</v>
      </c>
    </row>
    <row r="221" spans="1:18" s="2" customFormat="1" ht="16.5" customHeight="1" thickBot="1">
      <c r="A221" s="12" t="s">
        <v>1805</v>
      </c>
      <c r="B221" s="22" t="s">
        <v>1257</v>
      </c>
      <c r="C221" s="8">
        <v>2123</v>
      </c>
      <c r="D221" s="8">
        <v>2172</v>
      </c>
      <c r="E221" s="8">
        <v>2372</v>
      </c>
      <c r="F221" s="8">
        <v>2594</v>
      </c>
      <c r="G221" s="8">
        <v>2813</v>
      </c>
      <c r="H221" s="8">
        <v>2834</v>
      </c>
      <c r="I221" s="8">
        <v>2893</v>
      </c>
      <c r="J221" s="8">
        <v>3063</v>
      </c>
      <c r="K221" s="8">
        <v>3377</v>
      </c>
      <c r="L221" s="8" t="s">
        <v>1326</v>
      </c>
      <c r="P221" s="23">
        <v>37250</v>
      </c>
    </row>
    <row r="222" spans="1:18" s="2" customFormat="1" ht="16.5" customHeight="1" thickBot="1">
      <c r="A222" s="12" t="s">
        <v>1499</v>
      </c>
      <c r="B222" s="13" t="s">
        <v>1247</v>
      </c>
      <c r="C222" s="8">
        <v>1105</v>
      </c>
      <c r="D222" s="8">
        <v>1106</v>
      </c>
      <c r="E222" s="8">
        <v>1107</v>
      </c>
      <c r="F222" s="8">
        <v>1110</v>
      </c>
      <c r="G222" s="8">
        <v>1111</v>
      </c>
      <c r="H222" s="8">
        <v>1172</v>
      </c>
      <c r="I222" s="8">
        <v>1186</v>
      </c>
      <c r="J222" s="8">
        <v>1189</v>
      </c>
      <c r="K222" s="8" t="s">
        <v>1326</v>
      </c>
    </row>
    <row r="223" spans="1:18" s="2" customFormat="1" ht="16.5" customHeight="1" thickBot="1">
      <c r="A223" s="12" t="s">
        <v>1807</v>
      </c>
      <c r="B223" s="71" t="s">
        <v>1777</v>
      </c>
      <c r="C223" s="8">
        <v>576</v>
      </c>
      <c r="D223" s="8">
        <v>618</v>
      </c>
      <c r="E223" s="8">
        <v>983</v>
      </c>
      <c r="F223" s="8">
        <v>1265</v>
      </c>
      <c r="G223" s="8">
        <v>1269</v>
      </c>
      <c r="H223" s="8">
        <v>1277</v>
      </c>
      <c r="I223" s="8">
        <v>1314</v>
      </c>
      <c r="J223" s="8">
        <v>1425</v>
      </c>
      <c r="K223" s="8" t="s">
        <v>1326</v>
      </c>
      <c r="L223" s="17"/>
    </row>
    <row r="224" spans="1:18" s="2" customFormat="1" ht="16.5" customHeight="1" thickBot="1">
      <c r="A224" s="12" t="s">
        <v>1808</v>
      </c>
      <c r="B224" s="63" t="s">
        <v>1276</v>
      </c>
      <c r="C224" s="8">
        <v>540</v>
      </c>
      <c r="D224" s="43">
        <v>558</v>
      </c>
      <c r="E224" s="43">
        <v>620</v>
      </c>
      <c r="F224" s="8">
        <v>668</v>
      </c>
      <c r="G224" s="8">
        <v>672</v>
      </c>
      <c r="H224" s="8">
        <v>676</v>
      </c>
      <c r="I224" s="8">
        <v>697</v>
      </c>
      <c r="J224" s="8" t="s">
        <v>1326</v>
      </c>
      <c r="L224" s="17"/>
    </row>
    <row r="225" spans="1:21" s="2" customFormat="1" ht="16.5" customHeight="1" thickBot="1">
      <c r="A225" s="12" t="s">
        <v>1806</v>
      </c>
      <c r="B225" s="39" t="s">
        <v>1320</v>
      </c>
      <c r="C225" s="8">
        <v>425</v>
      </c>
      <c r="D225" s="8">
        <v>437</v>
      </c>
      <c r="E225" s="8">
        <v>461</v>
      </c>
      <c r="F225" s="8">
        <v>482</v>
      </c>
      <c r="G225" s="8">
        <v>483</v>
      </c>
      <c r="H225" s="43">
        <v>501</v>
      </c>
      <c r="I225" s="43" t="s">
        <v>1326</v>
      </c>
    </row>
    <row r="226" spans="1:21" s="2" customFormat="1" ht="16.5" customHeight="1" thickBot="1">
      <c r="A226" s="12" t="s">
        <v>1809</v>
      </c>
      <c r="B226" s="38" t="s">
        <v>1755</v>
      </c>
      <c r="C226" s="8">
        <v>319</v>
      </c>
      <c r="D226" s="8">
        <v>320</v>
      </c>
      <c r="E226" s="8">
        <v>335</v>
      </c>
      <c r="F226" s="8">
        <v>349</v>
      </c>
      <c r="G226" s="8">
        <v>351</v>
      </c>
      <c r="H226" s="8" t="s">
        <v>1326</v>
      </c>
    </row>
    <row r="227" spans="1:21" s="2" customFormat="1" ht="12" customHeight="1">
      <c r="A227" s="1"/>
    </row>
    <row r="228" spans="1:21" s="2" customFormat="1" ht="16.5" customHeight="1">
      <c r="A228" s="1" t="s">
        <v>1810</v>
      </c>
    </row>
    <row r="229" spans="1:21" s="2" customFormat="1" ht="9.75" customHeight="1" thickBot="1">
      <c r="A229" s="3"/>
    </row>
    <row r="230" spans="1:21" s="2" customFormat="1" ht="16.5" customHeight="1" thickBot="1">
      <c r="A230" s="4" t="s">
        <v>1244</v>
      </c>
      <c r="B230" s="5" t="s">
        <v>1245</v>
      </c>
      <c r="C230" s="5" t="s">
        <v>1246</v>
      </c>
      <c r="D230" s="5">
        <v>2</v>
      </c>
      <c r="E230" s="5">
        <v>3</v>
      </c>
      <c r="F230" s="5">
        <v>4</v>
      </c>
      <c r="G230" s="5">
        <v>5</v>
      </c>
      <c r="H230" s="5">
        <v>6</v>
      </c>
      <c r="I230" s="5">
        <v>7</v>
      </c>
      <c r="J230" s="5">
        <v>8</v>
      </c>
      <c r="K230" s="5">
        <v>9</v>
      </c>
      <c r="L230" s="5">
        <v>10</v>
      </c>
      <c r="M230" s="5">
        <v>11</v>
      </c>
      <c r="N230" s="5">
        <v>12</v>
      </c>
      <c r="O230" s="5">
        <v>13</v>
      </c>
      <c r="P230" s="5">
        <v>14</v>
      </c>
      <c r="Q230" s="5"/>
      <c r="R230" s="10" t="s">
        <v>1413</v>
      </c>
      <c r="S230" s="11">
        <f>(31316/57422)</f>
        <v>0.54536588763888405</v>
      </c>
    </row>
    <row r="231" spans="1:21" s="2" customFormat="1" ht="16.5" customHeight="1" thickBot="1">
      <c r="A231" s="6" t="s">
        <v>1813</v>
      </c>
      <c r="B231" s="9" t="s">
        <v>1257</v>
      </c>
      <c r="C231" s="8">
        <v>3900</v>
      </c>
      <c r="D231" s="8">
        <v>3908</v>
      </c>
      <c r="E231" s="8">
        <v>3919</v>
      </c>
      <c r="F231" s="8">
        <v>3920</v>
      </c>
      <c r="G231" s="8">
        <v>3950</v>
      </c>
      <c r="H231" s="8">
        <v>3989</v>
      </c>
      <c r="I231" s="8">
        <v>4019</v>
      </c>
      <c r="J231" s="8">
        <v>4032</v>
      </c>
      <c r="K231" s="8">
        <v>4073</v>
      </c>
      <c r="L231" s="8">
        <v>4305</v>
      </c>
      <c r="M231" s="8">
        <v>4402</v>
      </c>
      <c r="N231" s="36">
        <v>4482</v>
      </c>
      <c r="O231" s="8"/>
      <c r="P231" s="8"/>
      <c r="Q231" s="33" t="s">
        <v>1271</v>
      </c>
      <c r="R231" s="14"/>
      <c r="S231" s="10" t="s">
        <v>1248</v>
      </c>
      <c r="T231" s="10" t="s">
        <v>1249</v>
      </c>
      <c r="U231" s="10" t="s">
        <v>1250</v>
      </c>
    </row>
    <row r="232" spans="1:21" s="2" customFormat="1" ht="16.5" customHeight="1" thickBot="1">
      <c r="A232" s="6" t="s">
        <v>1508</v>
      </c>
      <c r="B232" s="28" t="s">
        <v>1258</v>
      </c>
      <c r="C232" s="8">
        <v>3675</v>
      </c>
      <c r="D232" s="8">
        <v>3681</v>
      </c>
      <c r="E232" s="8">
        <v>3704</v>
      </c>
      <c r="F232" s="8">
        <v>3704</v>
      </c>
      <c r="G232" s="8">
        <v>3761</v>
      </c>
      <c r="H232" s="8">
        <v>3802</v>
      </c>
      <c r="I232" s="8">
        <v>3822</v>
      </c>
      <c r="J232" s="8">
        <v>3826</v>
      </c>
      <c r="K232" s="8">
        <v>3839</v>
      </c>
      <c r="L232" s="8">
        <v>3906</v>
      </c>
      <c r="M232" s="8">
        <v>3922</v>
      </c>
      <c r="N232" s="8">
        <v>4018</v>
      </c>
      <c r="O232" s="8">
        <v>4026</v>
      </c>
      <c r="P232" s="36">
        <v>4031</v>
      </c>
      <c r="Q232" s="33" t="s">
        <v>1251</v>
      </c>
      <c r="R232" s="19" t="s">
        <v>1247</v>
      </c>
      <c r="S232" s="16">
        <v>264</v>
      </c>
      <c r="T232" s="17">
        <f>SUM(S232/S238)</f>
        <v>8.5616993676017519E-3</v>
      </c>
      <c r="U232" s="14"/>
    </row>
    <row r="233" spans="1:21" s="2" customFormat="1" ht="16.5" customHeight="1" thickBot="1">
      <c r="A233" s="6" t="s">
        <v>1811</v>
      </c>
      <c r="B233" s="28" t="s">
        <v>1258</v>
      </c>
      <c r="C233" s="8">
        <v>3570</v>
      </c>
      <c r="D233" s="8">
        <v>3579</v>
      </c>
      <c r="E233" s="8">
        <v>3589</v>
      </c>
      <c r="F233" s="8">
        <v>3589</v>
      </c>
      <c r="G233" s="8">
        <v>3611</v>
      </c>
      <c r="H233" s="8">
        <v>3650</v>
      </c>
      <c r="I233" s="8">
        <v>3663</v>
      </c>
      <c r="J233" s="8">
        <v>3667</v>
      </c>
      <c r="K233" s="8">
        <v>3689</v>
      </c>
      <c r="L233" s="8">
        <v>3770</v>
      </c>
      <c r="M233" s="8">
        <v>3783</v>
      </c>
      <c r="N233" s="8">
        <v>3821</v>
      </c>
      <c r="O233" s="8">
        <v>3827</v>
      </c>
      <c r="P233" s="36">
        <v>3839</v>
      </c>
      <c r="Q233" s="33" t="s">
        <v>1253</v>
      </c>
      <c r="R233" s="18" t="s">
        <v>1257</v>
      </c>
      <c r="S233" s="16">
        <f>(C231+C234+C236)</f>
        <v>9887</v>
      </c>
      <c r="T233" s="17">
        <f>SUM(S233/S238)</f>
        <v>0.32064212745257015</v>
      </c>
      <c r="U233" s="14">
        <v>2</v>
      </c>
    </row>
    <row r="234" spans="1:21" s="2" customFormat="1" ht="16.5" customHeight="1" thickBot="1">
      <c r="A234" s="6" t="s">
        <v>1512</v>
      </c>
      <c r="B234" s="9" t="s">
        <v>1257</v>
      </c>
      <c r="C234" s="8">
        <v>3421</v>
      </c>
      <c r="D234" s="8">
        <v>3429</v>
      </c>
      <c r="E234" s="8">
        <v>3437</v>
      </c>
      <c r="F234" s="8">
        <v>3439</v>
      </c>
      <c r="G234" s="8">
        <v>3467</v>
      </c>
      <c r="H234" s="8">
        <v>3514</v>
      </c>
      <c r="I234" s="8">
        <v>3557</v>
      </c>
      <c r="J234" s="8">
        <v>3570</v>
      </c>
      <c r="K234" s="8">
        <v>3606</v>
      </c>
      <c r="L234" s="8">
        <v>3730</v>
      </c>
      <c r="M234" s="8">
        <v>3833</v>
      </c>
      <c r="N234" s="8">
        <v>4083</v>
      </c>
      <c r="O234" s="8">
        <v>4292</v>
      </c>
      <c r="P234" s="36">
        <v>4502</v>
      </c>
      <c r="Q234" s="33" t="s">
        <v>1252</v>
      </c>
      <c r="R234" s="30" t="s">
        <v>1258</v>
      </c>
      <c r="S234" s="16">
        <f>(C232+C233)</f>
        <v>7245</v>
      </c>
      <c r="T234" s="17">
        <f>SUM(S234/S238)</f>
        <v>0.23496027241770714</v>
      </c>
      <c r="U234" s="2">
        <v>2</v>
      </c>
    </row>
    <row r="235" spans="1:21" s="2" customFormat="1" ht="16.5" customHeight="1" thickBot="1">
      <c r="A235" s="6" t="s">
        <v>1506</v>
      </c>
      <c r="B235" s="72" t="s">
        <v>1304</v>
      </c>
      <c r="C235" s="8">
        <v>3374</v>
      </c>
      <c r="D235" s="8">
        <v>3387</v>
      </c>
      <c r="E235" s="8">
        <v>3485</v>
      </c>
      <c r="F235" s="8">
        <v>3488</v>
      </c>
      <c r="G235" s="8">
        <v>3513</v>
      </c>
      <c r="H235" s="8">
        <v>3590</v>
      </c>
      <c r="I235" s="8">
        <v>3639</v>
      </c>
      <c r="J235" s="8">
        <v>3648</v>
      </c>
      <c r="K235" s="8">
        <v>3675</v>
      </c>
      <c r="L235" s="8">
        <v>3847</v>
      </c>
      <c r="M235" s="8">
        <v>3912</v>
      </c>
      <c r="N235" s="8">
        <v>4046</v>
      </c>
      <c r="O235" s="8">
        <v>4072</v>
      </c>
      <c r="P235" s="36">
        <v>4102</v>
      </c>
      <c r="Q235" s="33" t="s">
        <v>1280</v>
      </c>
      <c r="R235" s="15" t="s">
        <v>1261</v>
      </c>
      <c r="S235" s="21">
        <v>1519</v>
      </c>
      <c r="T235" s="17">
        <f>SUM(S235/S238)</f>
        <v>4.9262202043132801E-2</v>
      </c>
    </row>
    <row r="236" spans="1:21" s="2" customFormat="1" ht="16.5" customHeight="1" thickBot="1">
      <c r="A236" s="12" t="s">
        <v>1816</v>
      </c>
      <c r="B236" s="22" t="s">
        <v>1257</v>
      </c>
      <c r="C236" s="8">
        <v>2566</v>
      </c>
      <c r="D236" s="8">
        <v>2568</v>
      </c>
      <c r="E236" s="8">
        <v>2587</v>
      </c>
      <c r="F236" s="8">
        <v>2589</v>
      </c>
      <c r="G236" s="8">
        <v>2623</v>
      </c>
      <c r="H236" s="8">
        <v>2636</v>
      </c>
      <c r="I236" s="8">
        <v>2677</v>
      </c>
      <c r="J236" s="8">
        <v>2688</v>
      </c>
      <c r="K236" s="8">
        <v>2729</v>
      </c>
      <c r="L236" s="8">
        <v>2795</v>
      </c>
      <c r="M236" s="8">
        <v>2934</v>
      </c>
      <c r="N236" s="8">
        <v>3065</v>
      </c>
      <c r="O236" s="8">
        <v>3258</v>
      </c>
      <c r="P236" s="8">
        <v>3418</v>
      </c>
      <c r="Q236" s="33"/>
      <c r="R236" s="31" t="s">
        <v>1269</v>
      </c>
      <c r="S236" s="21">
        <f>(C237+C243)</f>
        <v>2655</v>
      </c>
      <c r="T236" s="17">
        <f>SUM(S236/S238)</f>
        <v>8.6103453867358515E-2</v>
      </c>
      <c r="U236" s="2">
        <v>1</v>
      </c>
    </row>
    <row r="237" spans="1:21" s="2" customFormat="1" ht="16.5" customHeight="1" thickBot="1">
      <c r="A237" s="6" t="s">
        <v>1812</v>
      </c>
      <c r="B237" s="45" t="s">
        <v>1269</v>
      </c>
      <c r="C237" s="8">
        <v>1951</v>
      </c>
      <c r="D237" s="8">
        <v>1957</v>
      </c>
      <c r="E237" s="8">
        <v>1962</v>
      </c>
      <c r="F237" s="8">
        <v>1970</v>
      </c>
      <c r="G237" s="8">
        <v>1983</v>
      </c>
      <c r="H237" s="8">
        <v>1992</v>
      </c>
      <c r="I237" s="8">
        <v>2003</v>
      </c>
      <c r="J237" s="8">
        <v>2595</v>
      </c>
      <c r="K237" s="8">
        <v>2820</v>
      </c>
      <c r="L237" s="8">
        <v>2946</v>
      </c>
      <c r="M237" s="8">
        <v>3602</v>
      </c>
      <c r="N237" s="8">
        <v>4137</v>
      </c>
      <c r="O237" s="36">
        <v>5237</v>
      </c>
      <c r="P237" s="8"/>
      <c r="Q237" s="33" t="s">
        <v>1362</v>
      </c>
      <c r="R237" s="26" t="s">
        <v>1254</v>
      </c>
      <c r="S237" s="21">
        <f>(C235+C239+C240+C241+C242+C244+C245+C246+C248+C249)</f>
        <v>9265</v>
      </c>
      <c r="T237" s="11">
        <f>SUM(S237/S238)</f>
        <v>0.30047024485162965</v>
      </c>
      <c r="U237" s="2">
        <v>1</v>
      </c>
    </row>
    <row r="238" spans="1:21" s="2" customFormat="1" ht="16.5" customHeight="1" thickBot="1">
      <c r="A238" s="12" t="s">
        <v>1817</v>
      </c>
      <c r="B238" s="20" t="s">
        <v>1261</v>
      </c>
      <c r="C238" s="8">
        <v>1519</v>
      </c>
      <c r="D238" s="8">
        <v>1522</v>
      </c>
      <c r="E238" s="8">
        <v>1523</v>
      </c>
      <c r="F238" s="8">
        <v>1732</v>
      </c>
      <c r="G238" s="8">
        <v>1734</v>
      </c>
      <c r="H238" s="8">
        <v>1738</v>
      </c>
      <c r="I238" s="8">
        <v>1741</v>
      </c>
      <c r="J238" s="8">
        <v>1785</v>
      </c>
      <c r="K238" s="8">
        <v>1851</v>
      </c>
      <c r="L238" s="8">
        <v>1870</v>
      </c>
      <c r="M238" s="8">
        <v>2077</v>
      </c>
      <c r="N238" s="8">
        <v>2158</v>
      </c>
      <c r="O238" s="8" t="s">
        <v>1326</v>
      </c>
      <c r="S238" s="23">
        <v>30835</v>
      </c>
    </row>
    <row r="239" spans="1:21" s="2" customFormat="1" ht="16.5" customHeight="1" thickBot="1">
      <c r="A239" s="12" t="s">
        <v>1511</v>
      </c>
      <c r="B239" s="38" t="s">
        <v>1270</v>
      </c>
      <c r="C239" s="8">
        <v>1350</v>
      </c>
      <c r="D239" s="8">
        <v>1355</v>
      </c>
      <c r="E239" s="8">
        <v>1357</v>
      </c>
      <c r="F239" s="8">
        <v>1359</v>
      </c>
      <c r="G239" s="8">
        <v>1371</v>
      </c>
      <c r="H239" s="8">
        <v>1415</v>
      </c>
      <c r="I239" s="8">
        <v>1429</v>
      </c>
      <c r="J239" s="8">
        <v>1437</v>
      </c>
      <c r="K239" s="8">
        <v>1489</v>
      </c>
      <c r="L239" s="8">
        <v>1598</v>
      </c>
      <c r="M239" s="8">
        <v>1718</v>
      </c>
      <c r="N239" s="8" t="s">
        <v>1326</v>
      </c>
    </row>
    <row r="240" spans="1:21" s="2" customFormat="1" ht="16.5" customHeight="1" thickBot="1">
      <c r="A240" s="12" t="s">
        <v>1815</v>
      </c>
      <c r="B240" s="29" t="s">
        <v>1267</v>
      </c>
      <c r="C240" s="8">
        <v>1181</v>
      </c>
      <c r="D240" s="8">
        <v>1188</v>
      </c>
      <c r="E240" s="8">
        <v>1192</v>
      </c>
      <c r="F240" s="8">
        <v>1201</v>
      </c>
      <c r="G240" s="8">
        <v>1219</v>
      </c>
      <c r="H240" s="8">
        <v>1242</v>
      </c>
      <c r="I240" s="8">
        <v>1259</v>
      </c>
      <c r="J240" s="8">
        <v>1287</v>
      </c>
      <c r="K240" s="8">
        <v>1478</v>
      </c>
      <c r="L240" s="8">
        <v>1587</v>
      </c>
      <c r="M240" s="8" t="s">
        <v>1326</v>
      </c>
    </row>
    <row r="241" spans="1:19" s="2" customFormat="1" ht="16.5" customHeight="1" thickBot="1">
      <c r="A241" s="12" t="s">
        <v>1516</v>
      </c>
      <c r="B241" s="38" t="s">
        <v>1270</v>
      </c>
      <c r="C241" s="8">
        <v>1077</v>
      </c>
      <c r="D241" s="43">
        <v>1099</v>
      </c>
      <c r="E241" s="43">
        <v>1102</v>
      </c>
      <c r="F241" s="8">
        <v>1102</v>
      </c>
      <c r="G241" s="8">
        <v>1119</v>
      </c>
      <c r="H241" s="8">
        <v>1185</v>
      </c>
      <c r="I241" s="8">
        <v>1206</v>
      </c>
      <c r="J241" s="8">
        <v>1214</v>
      </c>
      <c r="K241" s="8">
        <v>1242</v>
      </c>
      <c r="L241" s="8" t="s">
        <v>1326</v>
      </c>
    </row>
    <row r="242" spans="1:19" s="2" customFormat="1" ht="16.5" customHeight="1" thickBot="1">
      <c r="A242" s="12" t="s">
        <v>1814</v>
      </c>
      <c r="B242" s="39" t="s">
        <v>1320</v>
      </c>
      <c r="C242" s="8">
        <v>730</v>
      </c>
      <c r="D242" s="8">
        <v>733</v>
      </c>
      <c r="E242" s="8">
        <v>734</v>
      </c>
      <c r="F242" s="8">
        <v>748</v>
      </c>
      <c r="G242" s="8">
        <v>762</v>
      </c>
      <c r="H242" s="8">
        <v>768</v>
      </c>
      <c r="I242" s="8">
        <v>786</v>
      </c>
      <c r="J242" s="8">
        <v>800</v>
      </c>
      <c r="K242" s="8" t="s">
        <v>1326</v>
      </c>
      <c r="L242" s="17"/>
    </row>
    <row r="243" spans="1:19" s="2" customFormat="1" ht="16.5" customHeight="1" thickBot="1">
      <c r="A243" s="12" t="s">
        <v>1509</v>
      </c>
      <c r="B243" s="32" t="s">
        <v>1269</v>
      </c>
      <c r="C243" s="8">
        <v>704</v>
      </c>
      <c r="D243" s="8">
        <v>708</v>
      </c>
      <c r="E243" s="8">
        <v>711</v>
      </c>
      <c r="F243" s="8">
        <v>722</v>
      </c>
      <c r="G243" s="8">
        <v>728</v>
      </c>
      <c r="H243" s="8">
        <v>740</v>
      </c>
      <c r="I243" s="8">
        <v>751</v>
      </c>
      <c r="J243" s="8" t="s">
        <v>1326</v>
      </c>
    </row>
    <row r="244" spans="1:19" s="2" customFormat="1" ht="16.5" customHeight="1" thickBot="1">
      <c r="A244" s="12" t="s">
        <v>1818</v>
      </c>
      <c r="B244" s="38" t="s">
        <v>1408</v>
      </c>
      <c r="C244" s="8">
        <v>491</v>
      </c>
      <c r="D244" s="8">
        <v>492</v>
      </c>
      <c r="E244" s="8">
        <v>497</v>
      </c>
      <c r="F244" s="8">
        <v>497</v>
      </c>
      <c r="G244" s="8">
        <v>501</v>
      </c>
      <c r="H244" s="8">
        <v>508</v>
      </c>
      <c r="I244" s="8" t="s">
        <v>1326</v>
      </c>
      <c r="L244" s="17"/>
    </row>
    <row r="245" spans="1:19" s="2" customFormat="1" ht="16.5" customHeight="1" thickBot="1">
      <c r="A245" s="12" t="s">
        <v>1821</v>
      </c>
      <c r="B245" s="38" t="s">
        <v>1270</v>
      </c>
      <c r="C245" s="8">
        <v>428</v>
      </c>
      <c r="D245" s="43">
        <v>430</v>
      </c>
      <c r="E245" s="8">
        <v>432</v>
      </c>
      <c r="F245" s="8">
        <v>432</v>
      </c>
      <c r="G245" s="8">
        <v>448</v>
      </c>
      <c r="H245" s="8" t="s">
        <v>1326</v>
      </c>
      <c r="L245" s="17"/>
    </row>
    <row r="246" spans="1:19" s="2" customFormat="1" ht="16.5" customHeight="1" thickBot="1">
      <c r="A246" s="12" t="s">
        <v>1820</v>
      </c>
      <c r="B246" s="63" t="s">
        <v>1276</v>
      </c>
      <c r="C246" s="8">
        <v>316</v>
      </c>
      <c r="D246" s="8">
        <v>317</v>
      </c>
      <c r="E246" s="8">
        <v>327</v>
      </c>
      <c r="F246" s="8">
        <v>327</v>
      </c>
      <c r="G246" s="8" t="s">
        <v>1326</v>
      </c>
    </row>
    <row r="247" spans="1:19" s="2" customFormat="1" ht="16.5" customHeight="1" thickBot="1">
      <c r="A247" s="12" t="s">
        <v>1819</v>
      </c>
      <c r="B247" s="13" t="s">
        <v>1247</v>
      </c>
      <c r="C247" s="8">
        <v>264</v>
      </c>
      <c r="D247" s="8">
        <v>265</v>
      </c>
      <c r="E247" s="8">
        <v>265</v>
      </c>
      <c r="F247" s="8" t="s">
        <v>1326</v>
      </c>
      <c r="L247" s="17"/>
    </row>
    <row r="248" spans="1:19" s="2" customFormat="1" ht="16.5" customHeight="1" thickBot="1">
      <c r="A248" s="12" t="s">
        <v>1822</v>
      </c>
      <c r="B248" s="42" t="s">
        <v>1304</v>
      </c>
      <c r="C248" s="8">
        <v>209</v>
      </c>
      <c r="D248" s="43">
        <v>210</v>
      </c>
      <c r="E248" s="8" t="s">
        <v>1326</v>
      </c>
      <c r="L248" s="17"/>
    </row>
    <row r="249" spans="1:19" s="2" customFormat="1" ht="16.5" customHeight="1" thickBot="1">
      <c r="A249" s="12" t="s">
        <v>1823</v>
      </c>
      <c r="B249" s="38" t="s">
        <v>1270</v>
      </c>
      <c r="C249" s="8">
        <v>109</v>
      </c>
      <c r="D249" s="8" t="s">
        <v>1326</v>
      </c>
    </row>
    <row r="250" spans="1:19" s="2" customFormat="1" ht="12" customHeight="1">
      <c r="A250" s="1"/>
      <c r="L250"/>
      <c r="S250"/>
    </row>
    <row r="251" spans="1:19" s="2" customFormat="1" ht="16.5" customHeight="1">
      <c r="A251" s="1" t="s">
        <v>1824</v>
      </c>
    </row>
    <row r="252" spans="1:19" s="2" customFormat="1" ht="9.75" customHeight="1" thickBot="1">
      <c r="A252" s="3"/>
    </row>
    <row r="253" spans="1:19" s="2" customFormat="1" ht="16.5" customHeight="1" thickBot="1">
      <c r="A253" s="4" t="s">
        <v>1244</v>
      </c>
      <c r="B253" s="5" t="s">
        <v>1245</v>
      </c>
      <c r="C253" s="5" t="s">
        <v>1246</v>
      </c>
      <c r="D253" s="5">
        <v>2</v>
      </c>
      <c r="E253" s="5">
        <v>3</v>
      </c>
      <c r="F253" s="5">
        <v>4</v>
      </c>
      <c r="G253" s="5">
        <v>5</v>
      </c>
      <c r="H253" s="5">
        <v>6</v>
      </c>
      <c r="I253" s="5">
        <v>7</v>
      </c>
      <c r="J253" s="5">
        <v>8</v>
      </c>
      <c r="K253" s="5">
        <v>9</v>
      </c>
      <c r="L253" s="5">
        <v>10</v>
      </c>
      <c r="M253" s="5">
        <v>11</v>
      </c>
      <c r="N253" s="5">
        <v>12</v>
      </c>
      <c r="O253" s="5"/>
      <c r="P253" s="10" t="s">
        <v>1413</v>
      </c>
      <c r="Q253" s="11">
        <f>(31997/51353)</f>
        <v>0.62307946955387217</v>
      </c>
    </row>
    <row r="254" spans="1:19" s="2" customFormat="1" ht="16.5" customHeight="1" thickBot="1">
      <c r="A254" s="6" t="s">
        <v>1695</v>
      </c>
      <c r="B254" s="28" t="s">
        <v>1258</v>
      </c>
      <c r="C254" s="36">
        <v>9276</v>
      </c>
      <c r="D254" s="8"/>
      <c r="E254" s="8"/>
      <c r="F254" s="8"/>
      <c r="G254" s="8"/>
      <c r="H254" s="8"/>
      <c r="I254" s="36"/>
      <c r="J254" s="8"/>
      <c r="K254" s="8"/>
      <c r="L254" s="8"/>
      <c r="M254" s="8"/>
      <c r="N254" s="8"/>
      <c r="O254" s="33" t="s">
        <v>1271</v>
      </c>
      <c r="P254" s="14"/>
      <c r="Q254" s="10" t="s">
        <v>1248</v>
      </c>
      <c r="R254" s="10" t="s">
        <v>1249</v>
      </c>
      <c r="S254" s="10" t="s">
        <v>1250</v>
      </c>
    </row>
    <row r="255" spans="1:19" s="2" customFormat="1" ht="16.5" customHeight="1" thickBot="1">
      <c r="A255" s="6" t="s">
        <v>1700</v>
      </c>
      <c r="B255" s="25" t="s">
        <v>1247</v>
      </c>
      <c r="C255" s="36">
        <v>5524</v>
      </c>
      <c r="D255" s="8"/>
      <c r="E255" s="8"/>
      <c r="F255" s="8"/>
      <c r="G255" s="8"/>
      <c r="H255" s="8"/>
      <c r="I255" s="8"/>
      <c r="J255" s="8"/>
      <c r="K255" s="8"/>
      <c r="L255" s="36"/>
      <c r="M255" s="8"/>
      <c r="N255" s="36"/>
      <c r="O255" s="33" t="s">
        <v>1362</v>
      </c>
      <c r="P255" s="19" t="s">
        <v>1247</v>
      </c>
      <c r="Q255" s="16">
        <f>(C255+C257)</f>
        <v>8514</v>
      </c>
      <c r="R255" s="17">
        <f>SUM(Q255/Q261)</f>
        <v>0.27001141697323355</v>
      </c>
      <c r="S255" s="14">
        <v>2</v>
      </c>
    </row>
    <row r="256" spans="1:19" s="2" customFormat="1" ht="16.5" customHeight="1" thickBot="1">
      <c r="A256" s="6" t="s">
        <v>1702</v>
      </c>
      <c r="B256" s="7" t="s">
        <v>1261</v>
      </c>
      <c r="C256" s="8">
        <v>3186</v>
      </c>
      <c r="D256" s="8">
        <v>3199</v>
      </c>
      <c r="E256" s="8">
        <v>3310</v>
      </c>
      <c r="F256" s="8">
        <v>3312</v>
      </c>
      <c r="G256" s="8">
        <v>3322</v>
      </c>
      <c r="H256" s="8">
        <v>3349</v>
      </c>
      <c r="I256" s="8">
        <v>3365</v>
      </c>
      <c r="J256" s="8">
        <v>3436</v>
      </c>
      <c r="K256" s="8">
        <v>3444</v>
      </c>
      <c r="L256" s="8">
        <v>3667</v>
      </c>
      <c r="M256" s="8">
        <v>3675</v>
      </c>
      <c r="N256" s="36">
        <v>5569</v>
      </c>
      <c r="O256" s="33" t="s">
        <v>1251</v>
      </c>
      <c r="P256" s="18" t="s">
        <v>1257</v>
      </c>
      <c r="Q256" s="16">
        <v>2961</v>
      </c>
      <c r="R256" s="17">
        <f>SUM(Q256/Q261)</f>
        <v>9.3904604845870862E-2</v>
      </c>
      <c r="S256" s="14">
        <v>1</v>
      </c>
    </row>
    <row r="257" spans="1:22" s="2" customFormat="1" ht="16.5" customHeight="1" thickBot="1">
      <c r="A257" s="6" t="s">
        <v>1825</v>
      </c>
      <c r="B257" s="25" t="s">
        <v>1247</v>
      </c>
      <c r="C257" s="8">
        <v>2990</v>
      </c>
      <c r="D257" s="8">
        <v>2990</v>
      </c>
      <c r="E257" s="8">
        <v>3803</v>
      </c>
      <c r="F257" s="8">
        <v>3803</v>
      </c>
      <c r="G257" s="8">
        <v>3812</v>
      </c>
      <c r="H257" s="8">
        <v>3832</v>
      </c>
      <c r="I257" s="8">
        <v>3838</v>
      </c>
      <c r="J257" s="8">
        <v>3841</v>
      </c>
      <c r="K257" s="8">
        <v>3841</v>
      </c>
      <c r="L257" s="8">
        <v>3895</v>
      </c>
      <c r="M257" s="8">
        <v>3896</v>
      </c>
      <c r="N257" s="36">
        <v>4118</v>
      </c>
      <c r="O257" s="33" t="s">
        <v>1253</v>
      </c>
      <c r="P257" s="30" t="s">
        <v>1258</v>
      </c>
      <c r="Q257" s="16">
        <f>(C254+C260)</f>
        <v>10776</v>
      </c>
      <c r="R257" s="17">
        <f>SUM(Q257/Q261)</f>
        <v>0.34174806545731323</v>
      </c>
      <c r="S257" s="2">
        <v>2</v>
      </c>
    </row>
    <row r="258" spans="1:22" s="2" customFormat="1" ht="16.5" customHeight="1" thickBot="1">
      <c r="A258" s="6" t="s">
        <v>1697</v>
      </c>
      <c r="B258" s="9" t="s">
        <v>1257</v>
      </c>
      <c r="C258" s="8">
        <v>2961</v>
      </c>
      <c r="D258" s="8">
        <v>3338</v>
      </c>
      <c r="E258" s="8">
        <v>3339</v>
      </c>
      <c r="F258" s="8">
        <v>3509</v>
      </c>
      <c r="G258" s="8">
        <v>3514</v>
      </c>
      <c r="H258" s="8">
        <v>3538</v>
      </c>
      <c r="I258" s="8">
        <v>3607</v>
      </c>
      <c r="J258" s="8">
        <v>3696</v>
      </c>
      <c r="K258" s="8">
        <v>3901</v>
      </c>
      <c r="L258" s="36">
        <v>4555</v>
      </c>
      <c r="M258" s="8"/>
      <c r="N258" s="36"/>
      <c r="O258" s="33" t="s">
        <v>1280</v>
      </c>
      <c r="P258" s="15" t="s">
        <v>1261</v>
      </c>
      <c r="Q258" s="21">
        <f>(C256+C259)</f>
        <v>5294</v>
      </c>
      <c r="R258" s="17">
        <f>SUM(Q258/Q261)</f>
        <v>0.16789293416212103</v>
      </c>
      <c r="S258" s="2">
        <v>1</v>
      </c>
    </row>
    <row r="259" spans="1:22" s="2" customFormat="1" ht="16.5" customHeight="1" thickBot="1">
      <c r="A259" s="12" t="s">
        <v>1703</v>
      </c>
      <c r="B259" s="20" t="s">
        <v>1261</v>
      </c>
      <c r="C259" s="8">
        <v>2108</v>
      </c>
      <c r="D259" s="8">
        <v>2113</v>
      </c>
      <c r="E259" s="8">
        <v>2158</v>
      </c>
      <c r="F259" s="8">
        <v>2160</v>
      </c>
      <c r="G259" s="8">
        <v>2183</v>
      </c>
      <c r="H259" s="8">
        <v>2213</v>
      </c>
      <c r="I259" s="8">
        <v>2228</v>
      </c>
      <c r="J259" s="8">
        <v>2272</v>
      </c>
      <c r="K259" s="8">
        <v>2279</v>
      </c>
      <c r="L259" s="8">
        <v>2480</v>
      </c>
      <c r="M259" s="8">
        <v>2486</v>
      </c>
      <c r="N259" s="8" t="s">
        <v>1326</v>
      </c>
      <c r="P259" s="31" t="s">
        <v>1269</v>
      </c>
      <c r="Q259" s="21">
        <v>305</v>
      </c>
      <c r="R259" s="17">
        <f>SUM(Q259/Q261)</f>
        <v>9.6727134339718388E-3</v>
      </c>
    </row>
    <row r="260" spans="1:22" s="2" customFormat="1" ht="16.5" customHeight="1" thickBot="1">
      <c r="A260" s="6" t="s">
        <v>1826</v>
      </c>
      <c r="B260" s="28" t="s">
        <v>1258</v>
      </c>
      <c r="C260" s="8">
        <v>1500</v>
      </c>
      <c r="D260" s="36">
        <v>5100</v>
      </c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33" t="s">
        <v>1252</v>
      </c>
      <c r="P260" s="26" t="s">
        <v>1254</v>
      </c>
      <c r="Q260" s="21">
        <f>(C261+C262+C263+C264+C266+C267+C268+C269)</f>
        <v>3682</v>
      </c>
      <c r="R260" s="11">
        <f>SUM(Q260/Q261)</f>
        <v>0.11677026512748953</v>
      </c>
    </row>
    <row r="261" spans="1:22" s="2" customFormat="1" ht="16.5" customHeight="1" thickBot="1">
      <c r="A261" s="12" t="s">
        <v>1827</v>
      </c>
      <c r="B261" s="63" t="s">
        <v>1276</v>
      </c>
      <c r="C261" s="8">
        <v>1358</v>
      </c>
      <c r="D261" s="8">
        <v>1687</v>
      </c>
      <c r="E261" s="8">
        <v>1688</v>
      </c>
      <c r="F261" s="8">
        <v>1811</v>
      </c>
      <c r="G261" s="8">
        <v>1818</v>
      </c>
      <c r="H261" s="8">
        <v>1836</v>
      </c>
      <c r="I261" s="8">
        <v>1874</v>
      </c>
      <c r="J261" s="8">
        <v>1887</v>
      </c>
      <c r="K261" s="8">
        <v>2087</v>
      </c>
      <c r="L261" s="8">
        <v>2491</v>
      </c>
      <c r="M261" s="8">
        <v>2526</v>
      </c>
      <c r="N261" s="8">
        <v>2605</v>
      </c>
      <c r="O261" s="33"/>
      <c r="Q261" s="23">
        <v>31532</v>
      </c>
    </row>
    <row r="262" spans="1:22" s="2" customFormat="1" ht="16.5" customHeight="1" thickBot="1">
      <c r="A262" s="12" t="s">
        <v>1828</v>
      </c>
      <c r="B262" s="38" t="s">
        <v>1302</v>
      </c>
      <c r="C262" s="8">
        <v>802</v>
      </c>
      <c r="D262" s="8">
        <v>1000</v>
      </c>
      <c r="E262" s="8">
        <v>1000</v>
      </c>
      <c r="F262" s="8">
        <v>1157</v>
      </c>
      <c r="G262" s="8">
        <v>1157</v>
      </c>
      <c r="H262" s="8">
        <v>1168</v>
      </c>
      <c r="I262" s="8">
        <v>1217</v>
      </c>
      <c r="J262" s="8">
        <v>1234</v>
      </c>
      <c r="K262" s="8">
        <v>1335</v>
      </c>
      <c r="L262" s="8" t="s">
        <v>1326</v>
      </c>
    </row>
    <row r="263" spans="1:22" s="2" customFormat="1" ht="16.5" customHeight="1" thickBot="1">
      <c r="A263" s="12" t="s">
        <v>1831</v>
      </c>
      <c r="B263" s="38" t="s">
        <v>1270</v>
      </c>
      <c r="C263" s="8">
        <v>469</v>
      </c>
      <c r="D263" s="8">
        <v>551</v>
      </c>
      <c r="E263" s="8">
        <v>551</v>
      </c>
      <c r="F263" s="8">
        <v>618</v>
      </c>
      <c r="G263" s="8">
        <v>618</v>
      </c>
      <c r="H263" s="8">
        <v>620</v>
      </c>
      <c r="I263" s="8">
        <v>676</v>
      </c>
      <c r="J263" s="8">
        <v>682</v>
      </c>
      <c r="K263" s="8" t="s">
        <v>1326</v>
      </c>
    </row>
    <row r="264" spans="1:22" s="2" customFormat="1" ht="16.5" customHeight="1" thickBot="1">
      <c r="A264" s="12" t="s">
        <v>1830</v>
      </c>
      <c r="B264" s="29" t="s">
        <v>1267</v>
      </c>
      <c r="C264" s="8">
        <v>467</v>
      </c>
      <c r="D264" s="43">
        <v>478</v>
      </c>
      <c r="E264" s="43">
        <v>482</v>
      </c>
      <c r="F264" s="8">
        <v>485</v>
      </c>
      <c r="G264" s="8">
        <v>498</v>
      </c>
      <c r="H264" s="8">
        <v>573</v>
      </c>
      <c r="I264" s="8">
        <v>585</v>
      </c>
      <c r="J264" s="8">
        <v>693</v>
      </c>
      <c r="K264" s="8">
        <v>702</v>
      </c>
      <c r="L264" s="8" t="s">
        <v>1326</v>
      </c>
      <c r="Q264" s="17"/>
    </row>
    <row r="265" spans="1:22" s="2" customFormat="1" ht="16.5" customHeight="1" thickBot="1">
      <c r="A265" s="12" t="s">
        <v>1829</v>
      </c>
      <c r="B265" s="32" t="s">
        <v>1269</v>
      </c>
      <c r="C265" s="8">
        <v>305</v>
      </c>
      <c r="D265" s="8">
        <v>313</v>
      </c>
      <c r="E265" s="8">
        <v>315</v>
      </c>
      <c r="F265" s="8">
        <v>318</v>
      </c>
      <c r="G265" s="8">
        <v>325</v>
      </c>
      <c r="H265" s="8">
        <v>370</v>
      </c>
      <c r="I265" s="8">
        <v>383</v>
      </c>
      <c r="J265" s="8" t="s">
        <v>1326</v>
      </c>
      <c r="Q265" s="17"/>
      <c r="V265" s="17"/>
    </row>
    <row r="266" spans="1:22" s="2" customFormat="1" ht="16.5" customHeight="1" thickBot="1">
      <c r="A266" s="12" t="s">
        <v>1704</v>
      </c>
      <c r="B266" s="39" t="s">
        <v>1320</v>
      </c>
      <c r="C266" s="8">
        <v>261</v>
      </c>
      <c r="D266" s="8">
        <v>269</v>
      </c>
      <c r="E266" s="8">
        <v>271</v>
      </c>
      <c r="F266" s="8">
        <v>277</v>
      </c>
      <c r="G266" s="8">
        <v>299</v>
      </c>
      <c r="H266" s="8" t="s">
        <v>1326</v>
      </c>
      <c r="L266" s="17"/>
    </row>
    <row r="267" spans="1:22" s="2" customFormat="1" ht="16.5" customHeight="1" thickBot="1">
      <c r="A267" s="12" t="s">
        <v>1706</v>
      </c>
      <c r="B267" s="38" t="s">
        <v>1270</v>
      </c>
      <c r="C267" s="8">
        <v>218</v>
      </c>
      <c r="D267" s="8">
        <v>284</v>
      </c>
      <c r="E267" s="8">
        <v>286</v>
      </c>
      <c r="F267" s="8">
        <v>325</v>
      </c>
      <c r="G267" s="8">
        <v>329</v>
      </c>
      <c r="H267" s="8">
        <v>340</v>
      </c>
      <c r="I267" s="8" t="s">
        <v>1326</v>
      </c>
      <c r="L267" s="14"/>
    </row>
    <row r="268" spans="1:22" s="2" customFormat="1" ht="16.5" customHeight="1" thickBot="1">
      <c r="A268" s="12" t="s">
        <v>1463</v>
      </c>
      <c r="B268" s="37" t="s">
        <v>1286</v>
      </c>
      <c r="C268" s="8">
        <v>90</v>
      </c>
      <c r="D268" s="8">
        <v>91</v>
      </c>
      <c r="E268" s="8">
        <v>91</v>
      </c>
      <c r="F268" s="8">
        <v>91</v>
      </c>
      <c r="G268" s="8" t="s">
        <v>1326</v>
      </c>
      <c r="L268" s="17"/>
    </row>
    <row r="269" spans="1:22" s="2" customFormat="1" ht="16.5" customHeight="1" thickBot="1">
      <c r="A269" s="12" t="s">
        <v>1832</v>
      </c>
      <c r="B269" s="38" t="s">
        <v>1270</v>
      </c>
      <c r="C269" s="8">
        <v>17</v>
      </c>
      <c r="D269" s="8">
        <v>19</v>
      </c>
      <c r="E269" s="8">
        <v>19</v>
      </c>
      <c r="F269" s="8">
        <v>19</v>
      </c>
      <c r="G269" s="8" t="s">
        <v>1326</v>
      </c>
      <c r="L269" s="14"/>
    </row>
    <row r="270" spans="1:22" s="2" customFormat="1" ht="12" customHeight="1">
      <c r="A270" s="1"/>
    </row>
    <row r="271" spans="1:22" s="2" customFormat="1" ht="16.5" customHeight="1">
      <c r="A271" s="1" t="s">
        <v>1833</v>
      </c>
    </row>
    <row r="272" spans="1:22" s="2" customFormat="1" ht="9.75" customHeight="1" thickBot="1">
      <c r="A272" s="3"/>
    </row>
    <row r="273" spans="1:18" s="2" customFormat="1" ht="16.5" customHeight="1" thickBot="1">
      <c r="A273" s="4" t="s">
        <v>1244</v>
      </c>
      <c r="B273" s="5" t="s">
        <v>1245</v>
      </c>
      <c r="C273" s="5" t="s">
        <v>1246</v>
      </c>
      <c r="D273" s="5">
        <v>2</v>
      </c>
      <c r="E273" s="5">
        <v>3</v>
      </c>
      <c r="F273" s="5">
        <v>4</v>
      </c>
      <c r="G273" s="5">
        <v>5</v>
      </c>
      <c r="H273" s="5">
        <v>6</v>
      </c>
      <c r="I273" s="5">
        <v>7</v>
      </c>
      <c r="J273" s="5">
        <v>8</v>
      </c>
      <c r="K273" s="5"/>
      <c r="L273" s="10" t="s">
        <v>1413</v>
      </c>
      <c r="M273" s="11">
        <f>(33527/50861)</f>
        <v>0.65918876939108551</v>
      </c>
    </row>
    <row r="274" spans="1:18" s="2" customFormat="1" ht="16.5" customHeight="1" thickBot="1">
      <c r="A274" s="6" t="s">
        <v>1709</v>
      </c>
      <c r="B274" s="25" t="s">
        <v>1247</v>
      </c>
      <c r="C274" s="36">
        <v>6199</v>
      </c>
      <c r="D274" s="8"/>
      <c r="E274" s="8"/>
      <c r="F274" s="8"/>
      <c r="G274" s="8"/>
      <c r="H274" s="8"/>
      <c r="I274" s="8"/>
      <c r="J274" s="8"/>
      <c r="K274" s="33" t="s">
        <v>1271</v>
      </c>
      <c r="L274" s="14"/>
      <c r="M274" s="10" t="s">
        <v>1248</v>
      </c>
      <c r="N274" s="10" t="s">
        <v>1249</v>
      </c>
      <c r="O274" s="10" t="s">
        <v>1250</v>
      </c>
    </row>
    <row r="275" spans="1:18" s="2" customFormat="1" ht="16.5" customHeight="1" thickBot="1">
      <c r="A275" s="6" t="s">
        <v>1834</v>
      </c>
      <c r="B275" s="25" t="s">
        <v>1247</v>
      </c>
      <c r="C275" s="8">
        <v>4263</v>
      </c>
      <c r="D275" s="8">
        <v>4337</v>
      </c>
      <c r="E275" s="8">
        <v>4360</v>
      </c>
      <c r="F275" s="8">
        <v>4363</v>
      </c>
      <c r="G275" s="8">
        <v>4525</v>
      </c>
      <c r="H275" s="36">
        <v>4905</v>
      </c>
      <c r="I275" s="8"/>
      <c r="J275" s="8"/>
      <c r="K275" s="33" t="s">
        <v>1280</v>
      </c>
      <c r="L275" s="19" t="s">
        <v>1247</v>
      </c>
      <c r="M275" s="16">
        <f>(C274+C275+C276+C277+C279)</f>
        <v>21368</v>
      </c>
      <c r="N275" s="17">
        <f>SUM(M275/M281)</f>
        <v>0.65039264625311988</v>
      </c>
      <c r="O275" s="14">
        <v>4</v>
      </c>
    </row>
    <row r="276" spans="1:18" s="2" customFormat="1" ht="16.5" customHeight="1" thickBot="1">
      <c r="A276" s="6" t="s">
        <v>1835</v>
      </c>
      <c r="B276" s="25" t="s">
        <v>1247</v>
      </c>
      <c r="C276" s="8">
        <v>4069</v>
      </c>
      <c r="D276" s="8">
        <v>4476</v>
      </c>
      <c r="E276" s="8">
        <v>4494</v>
      </c>
      <c r="F276" s="8">
        <v>4504</v>
      </c>
      <c r="G276" s="8">
        <v>4665</v>
      </c>
      <c r="H276" s="36">
        <v>5229</v>
      </c>
      <c r="I276" s="8"/>
      <c r="J276" s="36"/>
      <c r="K276" s="33" t="s">
        <v>1252</v>
      </c>
      <c r="L276" s="18" t="s">
        <v>1257</v>
      </c>
      <c r="M276" s="16">
        <v>1170</v>
      </c>
      <c r="N276" s="17">
        <f>SUM(M276/M281)</f>
        <v>3.561210202715042E-2</v>
      </c>
      <c r="O276" s="14"/>
    </row>
    <row r="277" spans="1:18" s="2" customFormat="1" ht="16.5" customHeight="1" thickBot="1">
      <c r="A277" s="6" t="s">
        <v>1836</v>
      </c>
      <c r="B277" s="25" t="s">
        <v>1247</v>
      </c>
      <c r="C277" s="8">
        <v>3849</v>
      </c>
      <c r="D277" s="8">
        <v>3912</v>
      </c>
      <c r="E277" s="8">
        <v>3921</v>
      </c>
      <c r="F277" s="8">
        <v>3945</v>
      </c>
      <c r="G277" s="8">
        <v>4000</v>
      </c>
      <c r="H277" s="8">
        <v>4117</v>
      </c>
      <c r="I277" s="8">
        <v>4346</v>
      </c>
      <c r="J277" s="36">
        <v>4448</v>
      </c>
      <c r="K277" s="33" t="s">
        <v>1251</v>
      </c>
      <c r="L277" s="30" t="s">
        <v>1258</v>
      </c>
      <c r="M277" s="16">
        <v>2544</v>
      </c>
      <c r="N277" s="17">
        <f>SUM(M277/M281)</f>
        <v>7.743349363852195E-2</v>
      </c>
      <c r="O277" s="2">
        <v>1</v>
      </c>
    </row>
    <row r="278" spans="1:18" s="2" customFormat="1" ht="16.5" customHeight="1" thickBot="1">
      <c r="A278" s="6" t="s">
        <v>1713</v>
      </c>
      <c r="B278" s="7" t="s">
        <v>1261</v>
      </c>
      <c r="C278" s="8">
        <v>3667</v>
      </c>
      <c r="D278" s="8">
        <v>3796</v>
      </c>
      <c r="E278" s="8">
        <v>3901</v>
      </c>
      <c r="F278" s="8">
        <v>3956</v>
      </c>
      <c r="G278" s="36">
        <v>6096</v>
      </c>
      <c r="H278" s="36"/>
      <c r="I278" s="8"/>
      <c r="J278" s="36"/>
      <c r="K278" s="33" t="s">
        <v>1362</v>
      </c>
      <c r="L278" s="15" t="s">
        <v>1261</v>
      </c>
      <c r="M278" s="21">
        <f>(C278+C280)</f>
        <v>6250</v>
      </c>
      <c r="N278" s="17">
        <f>SUM(M278/M281)</f>
        <v>0.19023558775187191</v>
      </c>
      <c r="O278" s="2">
        <v>1</v>
      </c>
    </row>
    <row r="279" spans="1:18" s="2" customFormat="1" ht="16.5" customHeight="1" thickBot="1">
      <c r="A279" s="12" t="s">
        <v>1710</v>
      </c>
      <c r="B279" s="13" t="s">
        <v>1247</v>
      </c>
      <c r="C279" s="8">
        <v>2988</v>
      </c>
      <c r="D279" s="8">
        <v>3673</v>
      </c>
      <c r="E279" s="8">
        <v>3699</v>
      </c>
      <c r="F279" s="8">
        <v>3705</v>
      </c>
      <c r="G279" s="8">
        <v>3768</v>
      </c>
      <c r="H279" s="8">
        <v>3923</v>
      </c>
      <c r="I279" s="8">
        <v>4084</v>
      </c>
      <c r="J279" s="8">
        <v>4190</v>
      </c>
      <c r="K279" s="33"/>
      <c r="L279" s="31" t="s">
        <v>1269</v>
      </c>
      <c r="M279" s="21">
        <v>75</v>
      </c>
      <c r="N279" s="17">
        <f>SUM(M279/M281)</f>
        <v>2.282827053022463E-3</v>
      </c>
    </row>
    <row r="280" spans="1:18" s="2" customFormat="1" ht="16.5" customHeight="1" thickBot="1">
      <c r="A280" s="12" t="s">
        <v>1838</v>
      </c>
      <c r="B280" s="20" t="s">
        <v>1261</v>
      </c>
      <c r="C280" s="8">
        <v>2583</v>
      </c>
      <c r="D280" s="8">
        <v>2654</v>
      </c>
      <c r="E280" s="8">
        <v>2849</v>
      </c>
      <c r="F280" s="8">
        <v>3108</v>
      </c>
      <c r="G280" s="8" t="s">
        <v>1326</v>
      </c>
      <c r="L280" s="26" t="s">
        <v>1254</v>
      </c>
      <c r="M280" s="21">
        <f>(C283+C284+C285+C287)</f>
        <v>1447</v>
      </c>
      <c r="N280" s="11">
        <f>SUM(M280/M281)</f>
        <v>4.4043343276313388E-2</v>
      </c>
    </row>
    <row r="281" spans="1:18" s="2" customFormat="1" ht="16.5" customHeight="1" thickBot="1">
      <c r="A281" s="6" t="s">
        <v>1837</v>
      </c>
      <c r="B281" s="28" t="s">
        <v>1258</v>
      </c>
      <c r="C281" s="8">
        <v>2544</v>
      </c>
      <c r="D281" s="8">
        <v>2544</v>
      </c>
      <c r="E281" s="8">
        <v>2631</v>
      </c>
      <c r="F281" s="8">
        <v>4144</v>
      </c>
      <c r="G281" s="8">
        <v>4256</v>
      </c>
      <c r="H281" s="8">
        <v>4272</v>
      </c>
      <c r="I281" s="8">
        <v>4274</v>
      </c>
      <c r="J281" s="36">
        <v>4277</v>
      </c>
      <c r="K281" s="33" t="s">
        <v>1253</v>
      </c>
      <c r="M281" s="23">
        <v>32854</v>
      </c>
    </row>
    <row r="282" spans="1:18" s="2" customFormat="1" ht="16.5" customHeight="1" thickBot="1">
      <c r="A282" s="12" t="s">
        <v>1839</v>
      </c>
      <c r="B282" s="22" t="s">
        <v>1257</v>
      </c>
      <c r="C282" s="8">
        <v>1170</v>
      </c>
      <c r="D282" s="8">
        <v>1174</v>
      </c>
      <c r="E282" s="8">
        <v>1298</v>
      </c>
      <c r="F282" s="8" t="s">
        <v>1326</v>
      </c>
    </row>
    <row r="283" spans="1:18" s="2" customFormat="1" ht="16.5" customHeight="1" thickBot="1">
      <c r="A283" s="12" t="s">
        <v>1841</v>
      </c>
      <c r="B283" s="63" t="s">
        <v>1276</v>
      </c>
      <c r="C283" s="8">
        <v>813</v>
      </c>
      <c r="D283" s="8">
        <v>814</v>
      </c>
      <c r="E283" s="8">
        <v>862</v>
      </c>
      <c r="F283" s="8" t="s">
        <v>1326</v>
      </c>
    </row>
    <row r="284" spans="1:18" s="2" customFormat="1" ht="16.5" customHeight="1" thickBot="1">
      <c r="A284" s="12" t="s">
        <v>1720</v>
      </c>
      <c r="B284" s="37" t="s">
        <v>1286</v>
      </c>
      <c r="C284" s="8">
        <v>407</v>
      </c>
      <c r="D284" s="43">
        <v>410</v>
      </c>
      <c r="E284" s="43" t="s">
        <v>1326</v>
      </c>
      <c r="M284" s="17"/>
    </row>
    <row r="285" spans="1:18" s="2" customFormat="1" ht="16.5" customHeight="1" thickBot="1">
      <c r="A285" s="12" t="s">
        <v>1843</v>
      </c>
      <c r="B285" s="38" t="s">
        <v>1270</v>
      </c>
      <c r="C285" s="8">
        <v>211</v>
      </c>
      <c r="D285" s="8">
        <v>211</v>
      </c>
      <c r="E285" s="8" t="s">
        <v>1326</v>
      </c>
      <c r="M285" s="17"/>
      <c r="R285" s="17"/>
    </row>
    <row r="286" spans="1:18" s="2" customFormat="1" ht="16.5" customHeight="1" thickBot="1">
      <c r="A286" s="12" t="s">
        <v>1840</v>
      </c>
      <c r="B286" s="32" t="s">
        <v>1269</v>
      </c>
      <c r="C286" s="8">
        <v>75</v>
      </c>
      <c r="D286" s="8">
        <v>78</v>
      </c>
      <c r="E286" s="8" t="s">
        <v>1326</v>
      </c>
    </row>
    <row r="287" spans="1:18" s="2" customFormat="1" ht="16.5" customHeight="1" thickBot="1">
      <c r="A287" s="12" t="s">
        <v>1842</v>
      </c>
      <c r="B287" s="38" t="s">
        <v>1270</v>
      </c>
      <c r="C287" s="8">
        <v>16</v>
      </c>
      <c r="D287" s="8">
        <v>16</v>
      </c>
      <c r="E287" s="8" t="s">
        <v>1326</v>
      </c>
      <c r="L287" s="14"/>
    </row>
    <row r="288" spans="1:18" s="2" customFormat="1" ht="12" customHeight="1">
      <c r="A288" s="1"/>
    </row>
    <row r="289" spans="1:29" s="2" customFormat="1" ht="16.5" customHeight="1">
      <c r="A289" s="1" t="s">
        <v>1844</v>
      </c>
    </row>
    <row r="290" spans="1:29" s="2" customFormat="1" ht="9.75" customHeight="1" thickBot="1">
      <c r="A290" s="3"/>
    </row>
    <row r="291" spans="1:29" s="2" customFormat="1" ht="16.5" customHeight="1" thickBot="1">
      <c r="A291" s="4" t="s">
        <v>1244</v>
      </c>
      <c r="B291" s="5" t="s">
        <v>1245</v>
      </c>
      <c r="C291" s="5" t="s">
        <v>1246</v>
      </c>
      <c r="D291" s="5">
        <v>2</v>
      </c>
      <c r="E291" s="5">
        <v>3</v>
      </c>
      <c r="F291" s="5">
        <v>4</v>
      </c>
      <c r="G291" s="5">
        <v>5</v>
      </c>
      <c r="H291" s="5">
        <v>6</v>
      </c>
      <c r="I291" s="5">
        <v>7</v>
      </c>
      <c r="J291" s="5">
        <v>8</v>
      </c>
      <c r="K291" s="5">
        <v>9</v>
      </c>
      <c r="L291" s="5">
        <v>10</v>
      </c>
      <c r="M291" s="5">
        <v>11</v>
      </c>
      <c r="N291" s="5">
        <v>12</v>
      </c>
      <c r="O291" s="5"/>
      <c r="P291" s="10" t="s">
        <v>1413</v>
      </c>
      <c r="Q291" s="11">
        <f>(31737/50707)</f>
        <v>0.62588991657956494</v>
      </c>
    </row>
    <row r="292" spans="1:29" s="2" customFormat="1" ht="16.5" customHeight="1" thickBot="1">
      <c r="A292" s="6" t="s">
        <v>1679</v>
      </c>
      <c r="B292" s="9" t="s">
        <v>1257</v>
      </c>
      <c r="C292" s="36">
        <v>5389</v>
      </c>
      <c r="D292" s="8"/>
      <c r="E292" s="8"/>
      <c r="F292" s="8"/>
      <c r="G292" s="8"/>
      <c r="H292" s="8"/>
      <c r="I292" s="36"/>
      <c r="J292" s="8"/>
      <c r="K292" s="8"/>
      <c r="L292" s="8"/>
      <c r="M292" s="8"/>
      <c r="N292" s="8"/>
      <c r="O292" s="33" t="s">
        <v>1271</v>
      </c>
      <c r="P292" s="14"/>
      <c r="Q292" s="10" t="s">
        <v>1248</v>
      </c>
      <c r="R292" s="10" t="s">
        <v>1249</v>
      </c>
      <c r="S292" s="10" t="s">
        <v>1250</v>
      </c>
    </row>
    <row r="293" spans="1:29" s="2" customFormat="1" ht="16.5" customHeight="1" thickBot="1">
      <c r="A293" s="6" t="s">
        <v>1845</v>
      </c>
      <c r="B293" s="28" t="s">
        <v>1258</v>
      </c>
      <c r="C293" s="8">
        <v>3991</v>
      </c>
      <c r="D293" s="8">
        <v>4024</v>
      </c>
      <c r="E293" s="8">
        <v>4024</v>
      </c>
      <c r="F293" s="8">
        <v>4025</v>
      </c>
      <c r="G293" s="8">
        <v>4039</v>
      </c>
      <c r="H293" s="8">
        <v>4048</v>
      </c>
      <c r="I293" s="8">
        <v>4150</v>
      </c>
      <c r="J293" s="8">
        <v>4155</v>
      </c>
      <c r="K293" s="8">
        <v>4246</v>
      </c>
      <c r="L293" s="8">
        <v>4268</v>
      </c>
      <c r="M293" s="36">
        <v>6661</v>
      </c>
      <c r="N293" s="36"/>
      <c r="O293" s="33" t="s">
        <v>1362</v>
      </c>
      <c r="P293" s="19" t="s">
        <v>1247</v>
      </c>
      <c r="Q293" s="16">
        <v>3933</v>
      </c>
      <c r="R293" s="17">
        <f>SUM(Q293/Q299)</f>
        <v>0.12553463134375997</v>
      </c>
      <c r="S293" s="14">
        <v>1</v>
      </c>
    </row>
    <row r="294" spans="1:29" s="2" customFormat="1" ht="16.5" customHeight="1" thickBot="1">
      <c r="A294" s="6" t="s">
        <v>1683</v>
      </c>
      <c r="B294" s="25" t="s">
        <v>1247</v>
      </c>
      <c r="C294" s="8">
        <v>3933</v>
      </c>
      <c r="D294" s="8">
        <v>3935</v>
      </c>
      <c r="E294" s="8">
        <v>3937</v>
      </c>
      <c r="F294" s="8">
        <v>3947</v>
      </c>
      <c r="G294" s="8">
        <v>3968</v>
      </c>
      <c r="H294" s="8">
        <v>3987</v>
      </c>
      <c r="I294" s="8">
        <v>3989</v>
      </c>
      <c r="J294" s="8">
        <v>3991</v>
      </c>
      <c r="K294" s="8">
        <v>3991</v>
      </c>
      <c r="L294" s="8">
        <v>4003</v>
      </c>
      <c r="M294" s="8">
        <v>4011</v>
      </c>
      <c r="N294" s="36">
        <v>4012</v>
      </c>
      <c r="O294" s="33" t="s">
        <v>1251</v>
      </c>
      <c r="P294" s="18" t="s">
        <v>1257</v>
      </c>
      <c r="Q294" s="16">
        <f>(C292+C298+C301)</f>
        <v>8469</v>
      </c>
      <c r="R294" s="17">
        <f>SUM(Q294/Q299)</f>
        <v>0.27031599106287901</v>
      </c>
      <c r="S294" s="14">
        <v>2</v>
      </c>
    </row>
    <row r="295" spans="1:29" s="2" customFormat="1" ht="16.5" customHeight="1" thickBot="1">
      <c r="A295" s="6" t="s">
        <v>1686</v>
      </c>
      <c r="B295" s="7" t="s">
        <v>1261</v>
      </c>
      <c r="C295" s="8">
        <v>3910</v>
      </c>
      <c r="D295" s="8">
        <v>3922</v>
      </c>
      <c r="E295" s="8">
        <v>3925</v>
      </c>
      <c r="F295" s="8">
        <v>3935</v>
      </c>
      <c r="G295" s="8">
        <v>3953</v>
      </c>
      <c r="H295" s="8">
        <v>3982</v>
      </c>
      <c r="I295" s="8">
        <v>3990</v>
      </c>
      <c r="J295" s="8">
        <v>4056</v>
      </c>
      <c r="K295" s="8">
        <v>4062</v>
      </c>
      <c r="L295" s="8">
        <v>4332</v>
      </c>
      <c r="M295" s="8">
        <v>4337</v>
      </c>
      <c r="N295" s="36">
        <v>4404</v>
      </c>
      <c r="O295" s="33" t="s">
        <v>1280</v>
      </c>
      <c r="P295" s="30" t="s">
        <v>1258</v>
      </c>
      <c r="Q295" s="16">
        <f>(C293+C297)</f>
        <v>6529</v>
      </c>
      <c r="R295" s="17">
        <f>SUM(Q295/Q299)</f>
        <v>0.2083945100542611</v>
      </c>
      <c r="S295" s="2">
        <v>1</v>
      </c>
    </row>
    <row r="296" spans="1:29" s="2" customFormat="1" ht="16.5" customHeight="1" thickBot="1">
      <c r="A296" s="6" t="s">
        <v>1685</v>
      </c>
      <c r="B296" s="7" t="s">
        <v>1261</v>
      </c>
      <c r="C296" s="8">
        <v>3266</v>
      </c>
      <c r="D296" s="8">
        <v>3283</v>
      </c>
      <c r="E296" s="8">
        <v>3287</v>
      </c>
      <c r="F296" s="8">
        <v>3307</v>
      </c>
      <c r="G296" s="8">
        <v>3317</v>
      </c>
      <c r="H296" s="8">
        <v>3340</v>
      </c>
      <c r="I296" s="8">
        <v>3350</v>
      </c>
      <c r="J296" s="8">
        <v>3381</v>
      </c>
      <c r="K296" s="8">
        <v>3389</v>
      </c>
      <c r="L296" s="8">
        <v>3589</v>
      </c>
      <c r="M296" s="8">
        <v>3599</v>
      </c>
      <c r="N296" s="36">
        <v>3649</v>
      </c>
      <c r="O296" s="33" t="s">
        <v>1253</v>
      </c>
      <c r="P296" s="15" t="s">
        <v>1261</v>
      </c>
      <c r="Q296" s="21">
        <f>(C295+C296)</f>
        <v>7176</v>
      </c>
      <c r="R296" s="17">
        <f>SUM(Q296/Q299)</f>
        <v>0.22904564315352696</v>
      </c>
      <c r="S296" s="2">
        <v>2</v>
      </c>
    </row>
    <row r="297" spans="1:29" s="2" customFormat="1" ht="16.5" customHeight="1" thickBot="1">
      <c r="A297" s="12" t="s">
        <v>1846</v>
      </c>
      <c r="B297" s="27" t="s">
        <v>1258</v>
      </c>
      <c r="C297" s="8">
        <v>2538</v>
      </c>
      <c r="D297" s="8">
        <v>2556</v>
      </c>
      <c r="E297" s="8">
        <v>2556</v>
      </c>
      <c r="F297" s="8">
        <v>2556</v>
      </c>
      <c r="G297" s="8">
        <v>2576</v>
      </c>
      <c r="H297" s="8">
        <v>2580</v>
      </c>
      <c r="I297" s="8">
        <v>2680</v>
      </c>
      <c r="J297" s="8">
        <v>2683</v>
      </c>
      <c r="K297" s="8">
        <v>2818</v>
      </c>
      <c r="L297" s="8">
        <v>2838</v>
      </c>
      <c r="M297" s="8" t="s">
        <v>1326</v>
      </c>
      <c r="P297" s="31" t="s">
        <v>1269</v>
      </c>
      <c r="Q297" s="21">
        <f>(C300+C302)</f>
        <v>1849</v>
      </c>
      <c r="R297" s="17">
        <f>SUM(Q297/Q299)</f>
        <v>5.9016916693265239E-2</v>
      </c>
    </row>
    <row r="298" spans="1:29" s="2" customFormat="1" ht="16.5" customHeight="1" thickBot="1">
      <c r="A298" s="6" t="s">
        <v>1682</v>
      </c>
      <c r="B298" s="9" t="s">
        <v>1257</v>
      </c>
      <c r="C298" s="8">
        <v>2311</v>
      </c>
      <c r="D298" s="8">
        <v>2862</v>
      </c>
      <c r="E298" s="8">
        <v>2862</v>
      </c>
      <c r="F298" s="8">
        <v>2865</v>
      </c>
      <c r="G298" s="8">
        <v>2922</v>
      </c>
      <c r="H298" s="8">
        <v>2938</v>
      </c>
      <c r="I298" s="8">
        <v>3038</v>
      </c>
      <c r="J298" s="8">
        <v>3088</v>
      </c>
      <c r="K298" s="8">
        <v>3871</v>
      </c>
      <c r="L298" s="8">
        <v>4312</v>
      </c>
      <c r="M298" s="36">
        <v>4536</v>
      </c>
      <c r="N298" s="8"/>
      <c r="O298" s="33" t="s">
        <v>1252</v>
      </c>
      <c r="P298" s="26" t="s">
        <v>1254</v>
      </c>
      <c r="Q298" s="21">
        <f>(C299+C303+C304+C305+C306+C307+C308)</f>
        <v>3374</v>
      </c>
      <c r="R298" s="11">
        <f>SUM(Q298/Q299)</f>
        <v>0.1076923076923077</v>
      </c>
    </row>
    <row r="299" spans="1:29" s="2" customFormat="1" ht="16.5" customHeight="1" thickBot="1">
      <c r="A299" s="12" t="s">
        <v>1850</v>
      </c>
      <c r="B299" s="29" t="s">
        <v>1267</v>
      </c>
      <c r="C299" s="8">
        <v>2150</v>
      </c>
      <c r="D299" s="8">
        <v>2180</v>
      </c>
      <c r="E299" s="8">
        <v>2185</v>
      </c>
      <c r="F299" s="8">
        <v>2203</v>
      </c>
      <c r="G299" s="8">
        <v>2248</v>
      </c>
      <c r="H299" s="8">
        <v>2387</v>
      </c>
      <c r="I299" s="8">
        <v>2431</v>
      </c>
      <c r="J299" s="8">
        <v>2518</v>
      </c>
      <c r="K299" s="8">
        <v>2542</v>
      </c>
      <c r="L299" s="8">
        <v>3168</v>
      </c>
      <c r="M299" s="8">
        <v>3208</v>
      </c>
      <c r="N299" s="8">
        <v>3522</v>
      </c>
      <c r="O299" s="33"/>
      <c r="Q299" s="23">
        <v>31330</v>
      </c>
    </row>
    <row r="300" spans="1:29" s="2" customFormat="1" ht="16.5" customHeight="1" thickBot="1">
      <c r="A300" s="12" t="s">
        <v>1853</v>
      </c>
      <c r="B300" s="32" t="s">
        <v>1269</v>
      </c>
      <c r="C300" s="8">
        <v>1185</v>
      </c>
      <c r="D300" s="8">
        <v>1198</v>
      </c>
      <c r="E300" s="8">
        <v>1201</v>
      </c>
      <c r="F300" s="8">
        <v>1202</v>
      </c>
      <c r="G300" s="8">
        <v>1214</v>
      </c>
      <c r="H300" s="8">
        <v>1269</v>
      </c>
      <c r="I300" s="8">
        <v>1284</v>
      </c>
      <c r="J300" s="8">
        <v>1747</v>
      </c>
      <c r="K300" s="8">
        <v>1762</v>
      </c>
      <c r="L300" s="8" t="s">
        <v>1326</v>
      </c>
    </row>
    <row r="301" spans="1:29" s="2" customFormat="1" ht="16.5" customHeight="1" thickBot="1">
      <c r="A301" s="12" t="s">
        <v>1847</v>
      </c>
      <c r="B301" s="22" t="s">
        <v>1257</v>
      </c>
      <c r="C301" s="8">
        <v>769</v>
      </c>
      <c r="D301" s="8">
        <v>968</v>
      </c>
      <c r="E301" s="8">
        <v>969</v>
      </c>
      <c r="F301" s="8">
        <v>970</v>
      </c>
      <c r="G301" s="8">
        <v>990</v>
      </c>
      <c r="H301" s="8">
        <v>995</v>
      </c>
      <c r="I301" s="8">
        <v>1089</v>
      </c>
      <c r="J301" s="8">
        <v>1111</v>
      </c>
      <c r="K301" s="8" t="s">
        <v>1326</v>
      </c>
    </row>
    <row r="302" spans="1:29" s="2" customFormat="1" ht="16.5" customHeight="1" thickBot="1">
      <c r="A302" s="12" t="s">
        <v>1852</v>
      </c>
      <c r="B302" s="32" t="s">
        <v>1269</v>
      </c>
      <c r="C302" s="8">
        <v>664</v>
      </c>
      <c r="D302" s="43">
        <v>672</v>
      </c>
      <c r="E302" s="43">
        <v>673</v>
      </c>
      <c r="F302" s="8">
        <v>678</v>
      </c>
      <c r="G302" s="8">
        <v>698</v>
      </c>
      <c r="H302" s="8">
        <v>726</v>
      </c>
      <c r="I302" s="8">
        <v>739</v>
      </c>
      <c r="J302" s="8" t="s">
        <v>1326</v>
      </c>
      <c r="L302" s="17"/>
      <c r="Q302" s="17"/>
    </row>
    <row r="303" spans="1:29" s="2" customFormat="1" ht="16.5" customHeight="1" thickBot="1">
      <c r="A303" s="12" t="s">
        <v>1849</v>
      </c>
      <c r="B303" s="63" t="s">
        <v>1276</v>
      </c>
      <c r="C303" s="8">
        <v>495</v>
      </c>
      <c r="D303" s="8">
        <v>509</v>
      </c>
      <c r="E303" s="8">
        <v>509</v>
      </c>
      <c r="F303" s="8">
        <v>511</v>
      </c>
      <c r="G303" s="8">
        <v>520</v>
      </c>
      <c r="H303" s="8">
        <v>528</v>
      </c>
      <c r="I303" s="8" t="s">
        <v>1326</v>
      </c>
      <c r="L303" s="17"/>
      <c r="Q303" s="17"/>
      <c r="V303"/>
      <c r="AC303"/>
    </row>
    <row r="304" spans="1:29" s="2" customFormat="1" ht="16.5" customHeight="1" thickBot="1">
      <c r="A304" s="12" t="s">
        <v>1848</v>
      </c>
      <c r="B304" s="39" t="s">
        <v>1320</v>
      </c>
      <c r="C304" s="8">
        <v>308</v>
      </c>
      <c r="D304" s="8">
        <v>309</v>
      </c>
      <c r="E304" s="8">
        <v>325</v>
      </c>
      <c r="F304" s="8">
        <v>330</v>
      </c>
      <c r="G304" s="8">
        <v>367</v>
      </c>
      <c r="H304" s="8" t="s">
        <v>1326</v>
      </c>
      <c r="Q304" s="17"/>
      <c r="V304" s="17"/>
    </row>
    <row r="305" spans="1:29" s="2" customFormat="1" ht="16.5" customHeight="1" thickBot="1">
      <c r="A305" s="12" t="s">
        <v>1688</v>
      </c>
      <c r="B305" s="38" t="s">
        <v>1673</v>
      </c>
      <c r="C305" s="8">
        <v>167</v>
      </c>
      <c r="D305" s="8">
        <v>168</v>
      </c>
      <c r="E305" s="8">
        <v>170</v>
      </c>
      <c r="F305" s="8">
        <v>181</v>
      </c>
      <c r="G305" s="8" t="s">
        <v>1326</v>
      </c>
      <c r="L305" s="17"/>
    </row>
    <row r="306" spans="1:29" s="2" customFormat="1" ht="16.5" customHeight="1" thickBot="1">
      <c r="A306" s="12" t="s">
        <v>1687</v>
      </c>
      <c r="B306" s="38" t="s">
        <v>1408</v>
      </c>
      <c r="C306" s="8">
        <v>116</v>
      </c>
      <c r="D306" s="8">
        <v>119</v>
      </c>
      <c r="E306" s="8">
        <v>120</v>
      </c>
      <c r="F306" s="8">
        <v>120</v>
      </c>
      <c r="G306" s="8" t="s">
        <v>1326</v>
      </c>
      <c r="L306" s="14"/>
    </row>
    <row r="307" spans="1:29" s="2" customFormat="1" ht="16.5" customHeight="1" thickBot="1">
      <c r="A307" s="12" t="s">
        <v>1689</v>
      </c>
      <c r="B307" s="37" t="s">
        <v>1286</v>
      </c>
      <c r="C307" s="8">
        <v>96</v>
      </c>
      <c r="D307" s="8">
        <v>96</v>
      </c>
      <c r="E307" s="8">
        <v>97</v>
      </c>
      <c r="F307" s="8" t="s">
        <v>1326</v>
      </c>
      <c r="L307" s="17"/>
      <c r="Q307" s="17"/>
      <c r="V307"/>
      <c r="AC307"/>
    </row>
    <row r="308" spans="1:29" s="2" customFormat="1" ht="16.5" customHeight="1" thickBot="1">
      <c r="A308" s="12" t="s">
        <v>1851</v>
      </c>
      <c r="B308" s="38" t="s">
        <v>1270</v>
      </c>
      <c r="C308" s="8">
        <v>42</v>
      </c>
      <c r="D308" s="8">
        <v>42</v>
      </c>
      <c r="E308" s="8" t="s">
        <v>1326</v>
      </c>
      <c r="Q308" s="17"/>
      <c r="V308" s="17"/>
    </row>
    <row r="309" spans="1:29" s="2" customFormat="1" ht="12" customHeight="1">
      <c r="A309" s="1"/>
    </row>
    <row r="310" spans="1:29" s="2" customFormat="1" ht="16.5" customHeight="1">
      <c r="A310" s="1" t="s">
        <v>1854</v>
      </c>
    </row>
    <row r="311" spans="1:29" s="2" customFormat="1" ht="9.75" customHeight="1" thickBot="1">
      <c r="A311" s="3"/>
    </row>
    <row r="312" spans="1:29" s="2" customFormat="1" ht="16.5" customHeight="1" thickBot="1">
      <c r="A312" s="4" t="s">
        <v>1244</v>
      </c>
      <c r="B312" s="5" t="s">
        <v>1245</v>
      </c>
      <c r="C312" s="5" t="s">
        <v>1246</v>
      </c>
      <c r="D312" s="5">
        <v>2</v>
      </c>
      <c r="E312" s="5">
        <v>3</v>
      </c>
      <c r="F312" s="5">
        <v>4</v>
      </c>
      <c r="G312" s="5">
        <v>5</v>
      </c>
      <c r="H312" s="5">
        <v>6</v>
      </c>
      <c r="I312" s="5"/>
      <c r="J312" s="10" t="s">
        <v>1413</v>
      </c>
      <c r="K312" s="11">
        <f>(31524/51937)</f>
        <v>0.60696613204459249</v>
      </c>
    </row>
    <row r="313" spans="1:29" s="2" customFormat="1" ht="16.5" customHeight="1" thickBot="1">
      <c r="A313" s="6" t="s">
        <v>1660</v>
      </c>
      <c r="B313" s="28" t="s">
        <v>1258</v>
      </c>
      <c r="C313" s="36">
        <v>9254</v>
      </c>
      <c r="D313" s="8"/>
      <c r="E313" s="8"/>
      <c r="F313" s="8"/>
      <c r="G313" s="8"/>
      <c r="H313" s="8"/>
      <c r="I313" s="33" t="s">
        <v>1271</v>
      </c>
      <c r="J313" s="14"/>
      <c r="K313" s="10" t="s">
        <v>1248</v>
      </c>
      <c r="L313" s="10" t="s">
        <v>1249</v>
      </c>
      <c r="M313" s="10" t="s">
        <v>1250</v>
      </c>
    </row>
    <row r="314" spans="1:29" s="2" customFormat="1" ht="16.5" customHeight="1" thickBot="1">
      <c r="A314" s="6" t="s">
        <v>1662</v>
      </c>
      <c r="B314" s="9" t="s">
        <v>1257</v>
      </c>
      <c r="C314" s="36">
        <v>6459</v>
      </c>
      <c r="D314" s="8"/>
      <c r="E314" s="8"/>
      <c r="F314" s="8"/>
      <c r="G314" s="8"/>
      <c r="H314" s="8"/>
      <c r="I314" s="33" t="s">
        <v>1362</v>
      </c>
      <c r="J314" s="19" t="s">
        <v>1247</v>
      </c>
      <c r="K314" s="16">
        <v>1180</v>
      </c>
      <c r="L314" s="17">
        <f>SUM(K314/K320)</f>
        <v>3.8107540771839171E-2</v>
      </c>
      <c r="M314" s="14"/>
    </row>
    <row r="315" spans="1:29" s="2" customFormat="1" ht="16.5" customHeight="1" thickBot="1">
      <c r="A315" s="6" t="s">
        <v>1855</v>
      </c>
      <c r="B315" s="62" t="s">
        <v>1276</v>
      </c>
      <c r="C315" s="8">
        <v>2990</v>
      </c>
      <c r="D315" s="8">
        <v>3211</v>
      </c>
      <c r="E315" s="8">
        <v>3377</v>
      </c>
      <c r="F315" s="8">
        <v>3509</v>
      </c>
      <c r="G315" s="8">
        <v>3660</v>
      </c>
      <c r="H315" s="36">
        <v>4263</v>
      </c>
      <c r="I315" s="33" t="s">
        <v>1280</v>
      </c>
      <c r="J315" s="18" t="s">
        <v>1257</v>
      </c>
      <c r="K315" s="16">
        <f>(C314+C317+C318)</f>
        <v>10252</v>
      </c>
      <c r="L315" s="17">
        <f>SUM(K315/K320)</f>
        <v>0.33108348134991117</v>
      </c>
      <c r="M315" s="14">
        <v>2</v>
      </c>
    </row>
    <row r="316" spans="1:29" s="2" customFormat="1" ht="16.5" customHeight="1" thickBot="1">
      <c r="A316" s="6" t="s">
        <v>1856</v>
      </c>
      <c r="B316" s="45" t="s">
        <v>1269</v>
      </c>
      <c r="C316" s="8">
        <v>2774</v>
      </c>
      <c r="D316" s="8">
        <v>2794</v>
      </c>
      <c r="E316" s="8">
        <v>2877</v>
      </c>
      <c r="F316" s="8">
        <v>3010</v>
      </c>
      <c r="G316" s="8">
        <v>4012</v>
      </c>
      <c r="H316" s="36">
        <v>4056</v>
      </c>
      <c r="I316" s="33" t="s">
        <v>1251</v>
      </c>
      <c r="J316" s="30" t="s">
        <v>1258</v>
      </c>
      <c r="K316" s="16">
        <f>(C313+C319+C320)</f>
        <v>12132</v>
      </c>
      <c r="L316" s="17">
        <f>SUM(K316/K320)</f>
        <v>0.39179719037623123</v>
      </c>
      <c r="M316" s="2">
        <v>2</v>
      </c>
    </row>
    <row r="317" spans="1:29" s="2" customFormat="1" ht="16.5" customHeight="1" thickBot="1">
      <c r="A317" s="6" t="s">
        <v>1859</v>
      </c>
      <c r="B317" s="9" t="s">
        <v>1257</v>
      </c>
      <c r="C317" s="8">
        <v>2291</v>
      </c>
      <c r="D317" s="8">
        <v>2354</v>
      </c>
      <c r="E317" s="8">
        <v>3132</v>
      </c>
      <c r="F317" s="8">
        <v>3220</v>
      </c>
      <c r="G317" s="8">
        <v>3297</v>
      </c>
      <c r="H317" s="36">
        <v>3650</v>
      </c>
      <c r="I317" s="33" t="s">
        <v>1253</v>
      </c>
      <c r="J317" s="15" t="s">
        <v>1261</v>
      </c>
      <c r="K317" s="21">
        <v>967</v>
      </c>
      <c r="L317" s="17">
        <f>SUM(K317/K320)</f>
        <v>3.1228806717261425E-2</v>
      </c>
    </row>
    <row r="318" spans="1:29" s="2" customFormat="1" ht="16.5" customHeight="1" thickBot="1">
      <c r="A318" s="12" t="s">
        <v>1668</v>
      </c>
      <c r="B318" s="22" t="s">
        <v>1257</v>
      </c>
      <c r="C318" s="8">
        <v>1502</v>
      </c>
      <c r="D318" s="8">
        <v>1790</v>
      </c>
      <c r="E318" s="8">
        <v>2681</v>
      </c>
      <c r="F318" s="8">
        <v>2782</v>
      </c>
      <c r="G318" s="8">
        <v>2839</v>
      </c>
      <c r="H318" s="8">
        <v>3296</v>
      </c>
      <c r="I318" s="33"/>
      <c r="J318" s="31" t="s">
        <v>1269</v>
      </c>
      <c r="K318" s="21">
        <v>2774</v>
      </c>
      <c r="L318" s="17">
        <f>SUM(K318/K320)</f>
        <v>8.958501533989989E-2</v>
      </c>
      <c r="M318" s="2">
        <v>1</v>
      </c>
    </row>
    <row r="319" spans="1:29" s="2" customFormat="1" ht="16.5" customHeight="1" thickBot="1">
      <c r="A319" s="6" t="s">
        <v>1858</v>
      </c>
      <c r="B319" s="28" t="s">
        <v>1258</v>
      </c>
      <c r="C319" s="8">
        <v>1475</v>
      </c>
      <c r="D319" s="8">
        <v>4418</v>
      </c>
      <c r="E319" s="36">
        <v>4444</v>
      </c>
      <c r="F319" s="8"/>
      <c r="G319" s="8"/>
      <c r="H319" s="8"/>
      <c r="I319" s="33" t="s">
        <v>1252</v>
      </c>
      <c r="J319" s="26" t="s">
        <v>1254</v>
      </c>
      <c r="K319" s="21">
        <f>(C315+C323+C325+C324+C326+C327)</f>
        <v>3660</v>
      </c>
      <c r="L319" s="11">
        <f>SUM(K319/K320)</f>
        <v>0.1181979654448571</v>
      </c>
      <c r="M319" s="2">
        <v>1</v>
      </c>
    </row>
    <row r="320" spans="1:29" s="2" customFormat="1" ht="16.5" customHeight="1" thickBot="1">
      <c r="A320" s="12" t="s">
        <v>1857</v>
      </c>
      <c r="B320" s="27" t="s">
        <v>1258</v>
      </c>
      <c r="C320" s="8">
        <v>1403</v>
      </c>
      <c r="D320" s="8">
        <v>2633</v>
      </c>
      <c r="E320" s="8">
        <v>2643</v>
      </c>
      <c r="F320" s="8">
        <v>2716</v>
      </c>
      <c r="G320" s="8">
        <v>2727</v>
      </c>
      <c r="H320" s="8" t="s">
        <v>1326</v>
      </c>
      <c r="K320" s="23">
        <v>30965</v>
      </c>
    </row>
    <row r="321" spans="1:25" s="2" customFormat="1" ht="16.5" customHeight="1" thickBot="1">
      <c r="A321" s="12" t="s">
        <v>1860</v>
      </c>
      <c r="B321" s="13" t="s">
        <v>1247</v>
      </c>
      <c r="C321" s="8">
        <v>1180</v>
      </c>
      <c r="D321" s="8">
        <v>1184</v>
      </c>
      <c r="E321" s="8">
        <v>1185</v>
      </c>
      <c r="F321" s="8">
        <v>1205</v>
      </c>
      <c r="G321" s="8" t="s">
        <v>1326</v>
      </c>
    </row>
    <row r="322" spans="1:25" s="2" customFormat="1" ht="16.5" customHeight="1" thickBot="1">
      <c r="A322" s="12" t="s">
        <v>1861</v>
      </c>
      <c r="B322" s="20" t="s">
        <v>1261</v>
      </c>
      <c r="C322" s="8">
        <v>967</v>
      </c>
      <c r="D322" s="8">
        <v>969</v>
      </c>
      <c r="E322" s="8">
        <v>986</v>
      </c>
      <c r="F322" s="8">
        <v>1035</v>
      </c>
      <c r="G322" s="8" t="s">
        <v>1326</v>
      </c>
    </row>
    <row r="323" spans="1:25" s="2" customFormat="1" ht="16.5" customHeight="1" thickBot="1">
      <c r="A323" s="12" t="s">
        <v>1863</v>
      </c>
      <c r="B323" s="38" t="s">
        <v>1408</v>
      </c>
      <c r="C323" s="8">
        <v>232</v>
      </c>
      <c r="D323" s="43">
        <v>234</v>
      </c>
      <c r="E323" s="43">
        <v>250</v>
      </c>
      <c r="F323" s="8" t="s">
        <v>1326</v>
      </c>
      <c r="M323" s="17"/>
    </row>
    <row r="324" spans="1:25" s="2" customFormat="1" ht="16.5" customHeight="1" thickBot="1">
      <c r="A324" s="12" t="s">
        <v>1672</v>
      </c>
      <c r="B324" s="38" t="s">
        <v>1673</v>
      </c>
      <c r="C324" s="8">
        <v>176</v>
      </c>
      <c r="D324" s="8">
        <v>181</v>
      </c>
      <c r="E324" s="8">
        <v>183</v>
      </c>
      <c r="F324" s="8" t="s">
        <v>1326</v>
      </c>
      <c r="M324" s="17"/>
      <c r="R324"/>
      <c r="Y324"/>
    </row>
    <row r="325" spans="1:25" s="2" customFormat="1" ht="16.5" customHeight="1" thickBot="1">
      <c r="A325" s="12" t="s">
        <v>1674</v>
      </c>
      <c r="B325" s="37" t="s">
        <v>1286</v>
      </c>
      <c r="C325" s="8">
        <v>125</v>
      </c>
      <c r="D325" s="8">
        <v>128</v>
      </c>
      <c r="E325" s="8">
        <v>129</v>
      </c>
      <c r="F325" s="8" t="s">
        <v>1326</v>
      </c>
      <c r="Q325" s="17"/>
      <c r="V325" s="17"/>
    </row>
    <row r="326" spans="1:25" s="2" customFormat="1" ht="16.5" customHeight="1" thickBot="1">
      <c r="A326" s="12" t="s">
        <v>1862</v>
      </c>
      <c r="B326" s="38" t="s">
        <v>1270</v>
      </c>
      <c r="C326" s="8">
        <v>72</v>
      </c>
      <c r="D326" s="8">
        <v>78</v>
      </c>
      <c r="E326" s="8">
        <v>81</v>
      </c>
      <c r="F326" s="8" t="s">
        <v>1326</v>
      </c>
      <c r="L326" s="17"/>
    </row>
    <row r="327" spans="1:25" s="2" customFormat="1" ht="16.5" customHeight="1" thickBot="1">
      <c r="A327" s="12" t="s">
        <v>1675</v>
      </c>
      <c r="B327" s="38" t="s">
        <v>1270</v>
      </c>
      <c r="C327" s="8">
        <v>65</v>
      </c>
      <c r="D327" s="8">
        <v>66</v>
      </c>
      <c r="E327" s="8">
        <v>67</v>
      </c>
      <c r="F327" s="8" t="s">
        <v>1326</v>
      </c>
      <c r="L327" s="14"/>
    </row>
    <row r="328" spans="1:25">
      <c r="C328" s="24"/>
    </row>
    <row r="329" spans="1:25" s="64" customFormat="1" ht="14.25" customHeight="1">
      <c r="B329" s="52" t="s">
        <v>1255</v>
      </c>
      <c r="C329" s="65" t="s">
        <v>1247</v>
      </c>
      <c r="D329" s="50" t="s">
        <v>1258</v>
      </c>
      <c r="E329" s="48" t="s">
        <v>1261</v>
      </c>
      <c r="F329" s="49" t="s">
        <v>1257</v>
      </c>
      <c r="G329" s="66" t="s">
        <v>1269</v>
      </c>
      <c r="H329" s="67" t="s">
        <v>1254</v>
      </c>
      <c r="J329" s="67"/>
      <c r="K329" s="68"/>
    </row>
    <row r="330" spans="1:25" s="64" customFormat="1" ht="14.25" customHeight="1">
      <c r="A330" s="64" t="s">
        <v>1248</v>
      </c>
      <c r="B330" s="69">
        <f>SUM(N109+J94+Q76+N59+M43+M27+M11+K320+Q299+M281+Q261+S238+P221+T198+N182+P164+N147+P129)</f>
        <v>692298</v>
      </c>
      <c r="C330" s="68">
        <f>SUM(N103+J88+Q70+N53+M37+M21+M5+K314+M275+Q293+Q255+S232+P215+T192+N176+P158+N141+P123)</f>
        <v>162758</v>
      </c>
      <c r="D330" s="68">
        <f>SUM(N105+J90+Q72+N55+M39+M23+M7+K316+Q295+M277+Q257+S234+P217+T194+N178+P160+N143+P125)</f>
        <v>177944</v>
      </c>
      <c r="E330" s="68">
        <f>SUM(N106+J91+Q73+N56+M40+M24+M8+K317+Q296+M278+Q258+S235+P218+T195+N179+P161+N144+P126)</f>
        <v>117547</v>
      </c>
      <c r="F330" s="68">
        <f>SUM(N104+J89+Q71+N54+M38+M22+M6+K315+Q294+M276+Q256+S233+P216+T193+N177+P159+N142+P124)</f>
        <v>156841</v>
      </c>
      <c r="G330" s="68">
        <f>SUM(N107+J92+Q74+N57+M41+M9+K318+Q297+M279+Q259+S236+P219+T196+N180+M25+P162+N145+P127)</f>
        <v>25509</v>
      </c>
      <c r="H330" s="68">
        <f>SUM(N108+J93+Q75+N58+M42+M26+M10+K319+Q298+M280+Q260+S237+P220+T197+N181+P163+N146+P128)</f>
        <v>51339</v>
      </c>
      <c r="J330" s="52"/>
      <c r="K330" s="69"/>
    </row>
    <row r="331" spans="1:25" s="64" customFormat="1" ht="14.25" customHeight="1">
      <c r="A331" s="64" t="s">
        <v>1249</v>
      </c>
      <c r="B331" s="60">
        <v>1</v>
      </c>
      <c r="C331" s="70">
        <f t="shared" ref="C331:H331" si="0">SUM(C330/$B$330)</f>
        <v>0.23509818026341259</v>
      </c>
      <c r="D331" s="70">
        <f t="shared" si="0"/>
        <v>0.25703382069571196</v>
      </c>
      <c r="E331" s="70">
        <f t="shared" si="0"/>
        <v>0.169792488205946</v>
      </c>
      <c r="F331" s="70">
        <f t="shared" si="0"/>
        <v>0.22655128282907072</v>
      </c>
      <c r="G331" s="70">
        <f t="shared" si="0"/>
        <v>3.6846849189221979E-2</v>
      </c>
      <c r="H331" s="70">
        <f t="shared" si="0"/>
        <v>7.4157371536534844E-2</v>
      </c>
    </row>
    <row r="332" spans="1:25" s="64" customFormat="1" ht="14.25" customHeight="1">
      <c r="A332" s="64" t="s">
        <v>1250</v>
      </c>
      <c r="B332" s="52">
        <v>108</v>
      </c>
      <c r="C332" s="64">
        <v>24</v>
      </c>
      <c r="D332" s="64">
        <v>30</v>
      </c>
      <c r="E332" s="64">
        <v>18</v>
      </c>
      <c r="F332" s="64">
        <v>27</v>
      </c>
      <c r="G332" s="64">
        <v>6</v>
      </c>
      <c r="H332" s="64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0"/>
  <dimension ref="A1:AC372"/>
  <sheetViews>
    <sheetView workbookViewId="0">
      <selection activeCell="P1" sqref="P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4" max="6" width="8.7109375" customWidth="1"/>
    <col min="7" max="7" width="8.85546875" customWidth="1"/>
    <col min="15" max="15" width="9.42578125" bestFit="1" customWidth="1"/>
  </cols>
  <sheetData>
    <row r="1" spans="1:17" s="2" customFormat="1" ht="16.5" customHeight="1">
      <c r="A1" s="1" t="s">
        <v>821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1244</v>
      </c>
      <c r="B3" s="5" t="s">
        <v>1245</v>
      </c>
      <c r="C3" s="5" t="s">
        <v>1246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/>
      <c r="N3" s="10" t="s">
        <v>1413</v>
      </c>
      <c r="O3" s="11">
        <f>(51923/65383)</f>
        <v>0.79413609042105748</v>
      </c>
    </row>
    <row r="4" spans="1:17" s="2" customFormat="1" ht="16.5" customHeight="1" thickBot="1">
      <c r="A4" s="6" t="s">
        <v>1951</v>
      </c>
      <c r="B4" s="7" t="s">
        <v>1261</v>
      </c>
      <c r="C4" s="36">
        <v>8135</v>
      </c>
      <c r="D4" s="8"/>
      <c r="E4" s="8"/>
      <c r="F4" s="8"/>
      <c r="G4" s="36"/>
      <c r="H4" s="8"/>
      <c r="I4" s="8"/>
      <c r="J4" s="8"/>
      <c r="K4" s="8"/>
      <c r="L4" s="8"/>
      <c r="M4" s="33" t="s">
        <v>1271</v>
      </c>
      <c r="N4" s="14"/>
      <c r="O4" s="10" t="s">
        <v>1248</v>
      </c>
      <c r="P4" s="10" t="s">
        <v>1249</v>
      </c>
      <c r="Q4" s="10" t="s">
        <v>1250</v>
      </c>
    </row>
    <row r="5" spans="1:17" s="2" customFormat="1" ht="16.5" customHeight="1" thickBot="1">
      <c r="A5" s="6" t="s">
        <v>1953</v>
      </c>
      <c r="B5" s="9" t="s">
        <v>1257</v>
      </c>
      <c r="C5" s="8">
        <v>5589</v>
      </c>
      <c r="D5" s="8">
        <v>5686</v>
      </c>
      <c r="E5" s="8">
        <v>5690</v>
      </c>
      <c r="F5" s="8">
        <v>5859</v>
      </c>
      <c r="G5" s="36">
        <v>7494</v>
      </c>
      <c r="H5" s="8"/>
      <c r="I5" s="36"/>
      <c r="J5" s="8"/>
      <c r="K5" s="36"/>
      <c r="L5" s="8"/>
      <c r="M5" s="33" t="s">
        <v>1362</v>
      </c>
      <c r="N5" s="19" t="s">
        <v>1247</v>
      </c>
      <c r="O5" s="16">
        <f>(C6+C7+C11)</f>
        <v>13714</v>
      </c>
      <c r="P5" s="17">
        <f>SUM(O5/O11)</f>
        <v>0.26867543051936604</v>
      </c>
      <c r="Q5" s="14">
        <v>2</v>
      </c>
    </row>
    <row r="6" spans="1:17" s="2" customFormat="1" ht="16.5" customHeight="1" thickBot="1">
      <c r="A6" s="6" t="s">
        <v>1262</v>
      </c>
      <c r="B6" s="25" t="s">
        <v>1247</v>
      </c>
      <c r="C6" s="8">
        <v>5459</v>
      </c>
      <c r="D6" s="8">
        <v>5481</v>
      </c>
      <c r="E6" s="8">
        <v>5576</v>
      </c>
      <c r="F6" s="8">
        <v>5886</v>
      </c>
      <c r="G6" s="8">
        <v>5899</v>
      </c>
      <c r="H6" s="8">
        <v>5914</v>
      </c>
      <c r="I6" s="36">
        <v>9096</v>
      </c>
      <c r="J6" s="8"/>
      <c r="K6" s="8"/>
      <c r="L6" s="8"/>
      <c r="M6" s="33" t="s">
        <v>1252</v>
      </c>
      <c r="N6" s="18" t="s">
        <v>1257</v>
      </c>
      <c r="O6" s="16">
        <f>(C5+C8+C14)</f>
        <v>12572</v>
      </c>
      <c r="P6" s="17">
        <f>SUM(O6/O11)</f>
        <v>0.24630213741355328</v>
      </c>
      <c r="Q6" s="14">
        <v>2</v>
      </c>
    </row>
    <row r="7" spans="1:17" s="2" customFormat="1" ht="16.5" customHeight="1" thickBot="1">
      <c r="A7" s="6" t="s">
        <v>1949</v>
      </c>
      <c r="B7" s="25" t="s">
        <v>1247</v>
      </c>
      <c r="C7" s="8">
        <v>4703</v>
      </c>
      <c r="D7" s="8">
        <v>4712</v>
      </c>
      <c r="E7" s="8">
        <v>4755</v>
      </c>
      <c r="F7" s="8">
        <v>4893</v>
      </c>
      <c r="G7" s="8">
        <v>4894</v>
      </c>
      <c r="H7" s="8">
        <v>4896</v>
      </c>
      <c r="I7" s="8">
        <v>5168</v>
      </c>
      <c r="J7" s="8">
        <v>6894</v>
      </c>
      <c r="K7" s="36">
        <v>8501</v>
      </c>
      <c r="L7" s="36"/>
      <c r="M7" s="33" t="s">
        <v>1280</v>
      </c>
      <c r="N7" s="30" t="s">
        <v>1258</v>
      </c>
      <c r="O7" s="16">
        <f>(C10+C12)</f>
        <v>7082</v>
      </c>
      <c r="P7" s="17">
        <f>SUM(O7/O11)</f>
        <v>0.1387457633759771</v>
      </c>
      <c r="Q7" s="2">
        <v>1</v>
      </c>
    </row>
    <row r="8" spans="1:17" s="2" customFormat="1" ht="16.5" customHeight="1" thickBot="1">
      <c r="A8" s="6" t="s">
        <v>1952</v>
      </c>
      <c r="B8" s="9" t="s">
        <v>1257</v>
      </c>
      <c r="C8" s="8">
        <v>4400</v>
      </c>
      <c r="D8" s="8">
        <v>4480</v>
      </c>
      <c r="E8" s="8">
        <v>4482</v>
      </c>
      <c r="F8" s="8">
        <v>4619</v>
      </c>
      <c r="G8" s="8">
        <v>5253</v>
      </c>
      <c r="H8" s="8">
        <v>5495</v>
      </c>
      <c r="I8" s="8">
        <v>5497</v>
      </c>
      <c r="J8" s="8">
        <v>5498</v>
      </c>
      <c r="K8" s="8">
        <v>6141</v>
      </c>
      <c r="L8" s="36">
        <v>6582</v>
      </c>
      <c r="M8" s="33" t="s">
        <v>1253</v>
      </c>
      <c r="N8" s="15" t="s">
        <v>1261</v>
      </c>
      <c r="O8" s="21">
        <f>(C4+C13)</f>
        <v>11007</v>
      </c>
      <c r="P8" s="17">
        <f>SUM(O8/O11)</f>
        <v>0.2156417138491076</v>
      </c>
      <c r="Q8" s="2">
        <v>1</v>
      </c>
    </row>
    <row r="9" spans="1:17" s="2" customFormat="1" ht="16.5" customHeight="1" thickBot="1">
      <c r="A9" s="12" t="s">
        <v>1957</v>
      </c>
      <c r="B9" s="42" t="s">
        <v>1304</v>
      </c>
      <c r="C9" s="8">
        <v>4262</v>
      </c>
      <c r="D9" s="8">
        <v>4268</v>
      </c>
      <c r="E9" s="8">
        <v>4268</v>
      </c>
      <c r="F9" s="8">
        <v>4299</v>
      </c>
      <c r="G9" s="8">
        <v>4365</v>
      </c>
      <c r="H9" s="8">
        <v>4879</v>
      </c>
      <c r="I9" s="8">
        <v>4883</v>
      </c>
      <c r="J9" s="8">
        <v>4884</v>
      </c>
      <c r="K9" s="8">
        <v>4957</v>
      </c>
      <c r="L9" s="8">
        <v>5000</v>
      </c>
      <c r="M9" s="33"/>
      <c r="N9" s="31" t="s">
        <v>1269</v>
      </c>
      <c r="O9" s="21">
        <v>614</v>
      </c>
      <c r="P9" s="17">
        <f>SUM(O9/O11)</f>
        <v>1.202907352624258E-2</v>
      </c>
    </row>
    <row r="10" spans="1:17" s="2" customFormat="1" ht="16.5" customHeight="1" thickBot="1">
      <c r="A10" s="6" t="s">
        <v>1950</v>
      </c>
      <c r="B10" s="28" t="s">
        <v>1258</v>
      </c>
      <c r="C10" s="8">
        <v>3987</v>
      </c>
      <c r="D10" s="8">
        <v>3999</v>
      </c>
      <c r="E10" s="8">
        <v>4001</v>
      </c>
      <c r="F10" s="8">
        <v>4011</v>
      </c>
      <c r="G10" s="8">
        <v>4097</v>
      </c>
      <c r="H10" s="8">
        <v>6522</v>
      </c>
      <c r="I10" s="8">
        <v>6525</v>
      </c>
      <c r="J10" s="8">
        <v>6527</v>
      </c>
      <c r="K10" s="8">
        <v>6595</v>
      </c>
      <c r="L10" s="36">
        <v>6627</v>
      </c>
      <c r="M10" s="33" t="s">
        <v>1251</v>
      </c>
      <c r="N10" s="26" t="s">
        <v>1254</v>
      </c>
      <c r="O10" s="21">
        <f>(C9+C15+C17)</f>
        <v>6054</v>
      </c>
      <c r="P10" s="11">
        <f>SUM(O10/O11)</f>
        <v>0.11860588131575338</v>
      </c>
    </row>
    <row r="11" spans="1:17" s="2" customFormat="1" ht="16.5" customHeight="1" thickBot="1">
      <c r="A11" s="12" t="s">
        <v>1960</v>
      </c>
      <c r="B11" s="13" t="s">
        <v>1247</v>
      </c>
      <c r="C11" s="8">
        <v>3552</v>
      </c>
      <c r="D11" s="8">
        <v>3559</v>
      </c>
      <c r="E11" s="8">
        <v>3585</v>
      </c>
      <c r="F11" s="8">
        <v>3707</v>
      </c>
      <c r="G11" s="8">
        <v>3711</v>
      </c>
      <c r="H11" s="8">
        <v>3711</v>
      </c>
      <c r="I11" s="8" t="s">
        <v>1326</v>
      </c>
      <c r="O11" s="23">
        <v>51043</v>
      </c>
    </row>
    <row r="12" spans="1:17" s="2" customFormat="1" ht="16.5" customHeight="1" thickBot="1">
      <c r="A12" s="12" t="s">
        <v>1263</v>
      </c>
      <c r="B12" s="27" t="s">
        <v>1258</v>
      </c>
      <c r="C12" s="8">
        <v>3095</v>
      </c>
      <c r="D12" s="8">
        <v>3102</v>
      </c>
      <c r="E12" s="8">
        <v>3103</v>
      </c>
      <c r="F12" s="8">
        <v>3119</v>
      </c>
      <c r="G12" s="8">
        <v>3309</v>
      </c>
      <c r="H12" s="8" t="s">
        <v>1326</v>
      </c>
    </row>
    <row r="13" spans="1:17" s="2" customFormat="1" ht="16.5" customHeight="1" thickBot="1">
      <c r="A13" s="12" t="s">
        <v>1954</v>
      </c>
      <c r="B13" s="20" t="s">
        <v>1261</v>
      </c>
      <c r="C13" s="8">
        <v>2872</v>
      </c>
      <c r="D13" s="8">
        <v>2962</v>
      </c>
      <c r="E13" s="8">
        <v>3485</v>
      </c>
      <c r="F13" s="8">
        <v>4302</v>
      </c>
      <c r="G13" s="8">
        <v>4338</v>
      </c>
      <c r="H13" s="8">
        <v>4352</v>
      </c>
      <c r="I13" s="8">
        <v>4482</v>
      </c>
      <c r="J13" s="8">
        <v>4548</v>
      </c>
      <c r="K13" s="8" t="s">
        <v>1326</v>
      </c>
    </row>
    <row r="14" spans="1:17" s="2" customFormat="1" ht="16.5" customHeight="1" thickBot="1">
      <c r="A14" s="12" t="s">
        <v>1955</v>
      </c>
      <c r="B14" s="22" t="s">
        <v>1257</v>
      </c>
      <c r="C14" s="8">
        <v>2583</v>
      </c>
      <c r="D14" s="8">
        <v>2633</v>
      </c>
      <c r="E14" s="8">
        <v>2636</v>
      </c>
      <c r="F14" s="8">
        <v>2720</v>
      </c>
      <c r="G14" s="8" t="s">
        <v>1326</v>
      </c>
      <c r="L14" s="17"/>
    </row>
    <row r="15" spans="1:17" s="2" customFormat="1" ht="16.5" customHeight="1" thickBot="1">
      <c r="A15" s="12" t="s">
        <v>1956</v>
      </c>
      <c r="B15" s="29" t="s">
        <v>1267</v>
      </c>
      <c r="C15" s="8">
        <v>1729</v>
      </c>
      <c r="D15" s="8">
        <v>1982</v>
      </c>
      <c r="E15" s="8">
        <v>2071</v>
      </c>
      <c r="F15" s="8" t="s">
        <v>1326</v>
      </c>
    </row>
    <row r="16" spans="1:17" s="2" customFormat="1" ht="16.5" customHeight="1" thickBot="1">
      <c r="A16" s="12" t="s">
        <v>1509</v>
      </c>
      <c r="B16" s="32" t="s">
        <v>1269</v>
      </c>
      <c r="C16" s="8">
        <v>614</v>
      </c>
      <c r="D16" s="8" t="s">
        <v>1326</v>
      </c>
      <c r="L16" s="17"/>
    </row>
    <row r="17" spans="1:21" s="2" customFormat="1" ht="16.5" customHeight="1" thickBot="1">
      <c r="A17" s="12" t="s">
        <v>1959</v>
      </c>
      <c r="B17" s="38" t="s">
        <v>1958</v>
      </c>
      <c r="C17" s="8">
        <v>63</v>
      </c>
      <c r="D17" s="8" t="s">
        <v>1326</v>
      </c>
    </row>
    <row r="18" spans="1:21" s="2" customFormat="1" ht="12" customHeight="1">
      <c r="A18" s="1"/>
      <c r="E18"/>
      <c r="I18" s="30"/>
      <c r="J18" s="21"/>
      <c r="K18" s="11"/>
    </row>
    <row r="19" spans="1:21" s="2" customFormat="1" ht="16.5" customHeight="1">
      <c r="A19" s="1" t="s">
        <v>1961</v>
      </c>
      <c r="E19"/>
      <c r="I19" s="10"/>
      <c r="J19" s="21"/>
      <c r="K19" s="11"/>
    </row>
    <row r="20" spans="1:21" s="2" customFormat="1" ht="9.75" customHeight="1" thickBot="1">
      <c r="A20" s="3"/>
      <c r="J20" s="23"/>
    </row>
    <row r="21" spans="1:21" s="2" customFormat="1" ht="16.5" customHeight="1" thickBot="1">
      <c r="A21" s="4" t="s">
        <v>1244</v>
      </c>
      <c r="B21" s="5" t="s">
        <v>1245</v>
      </c>
      <c r="C21" s="5" t="s">
        <v>1246</v>
      </c>
      <c r="D21" s="5">
        <v>2</v>
      </c>
      <c r="E21" s="5">
        <v>3</v>
      </c>
      <c r="F21" s="5">
        <v>4</v>
      </c>
      <c r="G21" s="5">
        <v>5</v>
      </c>
      <c r="H21" s="5">
        <v>6</v>
      </c>
      <c r="I21" s="5">
        <v>7</v>
      </c>
      <c r="J21" s="5">
        <v>8</v>
      </c>
      <c r="K21" s="5">
        <v>9</v>
      </c>
      <c r="L21" s="5"/>
      <c r="M21" s="10" t="s">
        <v>1413</v>
      </c>
      <c r="N21" s="11">
        <f>(46913/59081)</f>
        <v>0.79404546300841217</v>
      </c>
      <c r="O21" s="16"/>
    </row>
    <row r="22" spans="1:21" s="2" customFormat="1" ht="16.5" customHeight="1" thickBot="1">
      <c r="A22" s="6" t="s">
        <v>1963</v>
      </c>
      <c r="B22" s="28" t="s">
        <v>1258</v>
      </c>
      <c r="C22" s="36">
        <v>8015</v>
      </c>
      <c r="D22" s="8"/>
      <c r="E22" s="8"/>
      <c r="F22" s="8"/>
      <c r="G22" s="8"/>
      <c r="H22" s="8"/>
      <c r="I22" s="8"/>
      <c r="J22" s="8"/>
      <c r="K22" s="8"/>
      <c r="L22" s="33" t="s">
        <v>1271</v>
      </c>
      <c r="M22" s="21"/>
      <c r="N22" s="10" t="s">
        <v>1248</v>
      </c>
      <c r="O22" s="10" t="s">
        <v>1249</v>
      </c>
      <c r="P22" s="10" t="s">
        <v>1250</v>
      </c>
      <c r="U22" s="14"/>
    </row>
    <row r="23" spans="1:21" s="2" customFormat="1" ht="16.5" customHeight="1" thickBot="1">
      <c r="A23" s="6" t="s">
        <v>1969</v>
      </c>
      <c r="B23" s="25" t="s">
        <v>1247</v>
      </c>
      <c r="C23" s="36">
        <v>7027</v>
      </c>
      <c r="D23" s="8"/>
      <c r="E23" s="8"/>
      <c r="F23" s="8"/>
      <c r="G23" s="8"/>
      <c r="H23" s="8"/>
      <c r="I23" s="36"/>
      <c r="J23" s="36"/>
      <c r="K23" s="36"/>
      <c r="L23" s="33" t="s">
        <v>1362</v>
      </c>
      <c r="M23" s="19" t="s">
        <v>1247</v>
      </c>
      <c r="N23" s="16">
        <f>(C23+C25+C27)</f>
        <v>15666</v>
      </c>
      <c r="O23" s="17">
        <f>SUM(N23/N29)</f>
        <v>0.34092838023111577</v>
      </c>
      <c r="P23" s="14">
        <v>2</v>
      </c>
    </row>
    <row r="24" spans="1:21" s="2" customFormat="1" ht="16.5" customHeight="1" thickBot="1">
      <c r="A24" s="6" t="s">
        <v>1871</v>
      </c>
      <c r="B24" s="7" t="s">
        <v>1261</v>
      </c>
      <c r="C24" s="8">
        <v>6495</v>
      </c>
      <c r="D24" s="8">
        <v>6499</v>
      </c>
      <c r="E24" s="8">
        <v>6512</v>
      </c>
      <c r="F24" s="36">
        <v>6705</v>
      </c>
      <c r="G24" s="8"/>
      <c r="H24" s="8"/>
      <c r="I24" s="8"/>
      <c r="J24" s="36"/>
      <c r="K24" s="36"/>
      <c r="L24" s="33" t="s">
        <v>1252</v>
      </c>
      <c r="M24" s="18" t="s">
        <v>1257</v>
      </c>
      <c r="N24" s="16">
        <f>(C26+C29)</f>
        <v>7237</v>
      </c>
      <c r="O24" s="17">
        <f>SUM(N24/N29)</f>
        <v>0.15749385214685208</v>
      </c>
      <c r="P24" s="14">
        <v>1</v>
      </c>
    </row>
    <row r="25" spans="1:21" s="2" customFormat="1" ht="16.5" customHeight="1" thickBot="1">
      <c r="A25" s="6" t="s">
        <v>1970</v>
      </c>
      <c r="B25" s="25" t="s">
        <v>1247</v>
      </c>
      <c r="C25" s="8">
        <v>4963</v>
      </c>
      <c r="D25" s="8">
        <v>4964</v>
      </c>
      <c r="E25" s="8">
        <v>5276</v>
      </c>
      <c r="F25" s="8">
        <v>5386</v>
      </c>
      <c r="G25" s="8">
        <v>5416</v>
      </c>
      <c r="H25" s="8">
        <v>5665</v>
      </c>
      <c r="I25" s="8">
        <v>5989</v>
      </c>
      <c r="J25" s="8">
        <v>5993</v>
      </c>
      <c r="K25" s="36">
        <v>5997</v>
      </c>
      <c r="L25" s="33" t="s">
        <v>1253</v>
      </c>
      <c r="M25" s="30" t="s">
        <v>1258</v>
      </c>
      <c r="N25" s="16">
        <v>8015</v>
      </c>
      <c r="O25" s="17">
        <f>SUM(N25/N29)</f>
        <v>0.1744249309046593</v>
      </c>
      <c r="P25" s="2">
        <v>1</v>
      </c>
    </row>
    <row r="26" spans="1:21" s="2" customFormat="1" ht="16.5" customHeight="1" thickBot="1">
      <c r="A26" s="6" t="s">
        <v>1971</v>
      </c>
      <c r="B26" s="9" t="s">
        <v>1257</v>
      </c>
      <c r="C26" s="8">
        <v>4622</v>
      </c>
      <c r="D26" s="8">
        <v>5519</v>
      </c>
      <c r="E26" s="8">
        <v>5519</v>
      </c>
      <c r="F26" s="8">
        <v>5553</v>
      </c>
      <c r="G26" s="8">
        <v>5770</v>
      </c>
      <c r="H26" s="8">
        <v>5883</v>
      </c>
      <c r="I26" s="8">
        <v>5921</v>
      </c>
      <c r="J26" s="36">
        <v>8446</v>
      </c>
      <c r="K26" s="8"/>
      <c r="L26" s="33" t="s">
        <v>1280</v>
      </c>
      <c r="M26" s="15" t="s">
        <v>1261</v>
      </c>
      <c r="N26" s="21">
        <f>(C24+C28+C30)</f>
        <v>11815</v>
      </c>
      <c r="O26" s="17">
        <f>SUM(N26/N29)</f>
        <v>0.25712171661117278</v>
      </c>
      <c r="P26" s="2">
        <v>2</v>
      </c>
    </row>
    <row r="27" spans="1:21" s="2" customFormat="1" ht="16.5" customHeight="1" thickBot="1">
      <c r="A27" s="12" t="s">
        <v>1972</v>
      </c>
      <c r="B27" s="13" t="s">
        <v>1247</v>
      </c>
      <c r="C27" s="8">
        <v>3676</v>
      </c>
      <c r="D27" s="8">
        <v>3676</v>
      </c>
      <c r="E27" s="8">
        <v>3748</v>
      </c>
      <c r="F27" s="8">
        <v>3806</v>
      </c>
      <c r="G27" s="8">
        <v>3837</v>
      </c>
      <c r="H27" s="8">
        <v>3938</v>
      </c>
      <c r="I27" s="8">
        <v>4073</v>
      </c>
      <c r="J27" s="8">
        <v>4078</v>
      </c>
      <c r="K27" s="8">
        <v>4088</v>
      </c>
      <c r="L27" s="33"/>
      <c r="M27" s="31" t="s">
        <v>1269</v>
      </c>
      <c r="N27" s="21">
        <v>1011</v>
      </c>
      <c r="O27" s="17">
        <f>SUM(N27/N29)</f>
        <v>2.2001697460338185E-2</v>
      </c>
    </row>
    <row r="28" spans="1:21" s="2" customFormat="1" ht="16.5" customHeight="1" thickBot="1">
      <c r="A28" s="6" t="s">
        <v>1968</v>
      </c>
      <c r="B28" s="7" t="s">
        <v>1261</v>
      </c>
      <c r="C28" s="8">
        <v>3548</v>
      </c>
      <c r="D28" s="8">
        <v>3549</v>
      </c>
      <c r="E28" s="8">
        <v>3554</v>
      </c>
      <c r="F28" s="8">
        <v>3645</v>
      </c>
      <c r="G28" s="8">
        <v>3744</v>
      </c>
      <c r="H28" s="8">
        <v>4011</v>
      </c>
      <c r="I28" s="8">
        <v>5623</v>
      </c>
      <c r="J28" s="8">
        <v>5791</v>
      </c>
      <c r="K28" s="36">
        <v>6520</v>
      </c>
      <c r="L28" s="33" t="s">
        <v>1251</v>
      </c>
      <c r="M28" s="26" t="s">
        <v>1254</v>
      </c>
      <c r="N28" s="21">
        <f>(C31+C33+C34+C35+C36)</f>
        <v>2207</v>
      </c>
      <c r="O28" s="11">
        <f>SUM(N28/N29)</f>
        <v>4.8029422645861894E-2</v>
      </c>
    </row>
    <row r="29" spans="1:21" s="2" customFormat="1" ht="16.5" customHeight="1" thickBot="1">
      <c r="A29" s="12" t="s">
        <v>1974</v>
      </c>
      <c r="B29" s="22" t="s">
        <v>1257</v>
      </c>
      <c r="C29" s="8">
        <v>2615</v>
      </c>
      <c r="D29" s="8">
        <v>3055</v>
      </c>
      <c r="E29" s="8">
        <v>3055</v>
      </c>
      <c r="F29" s="8">
        <v>3113</v>
      </c>
      <c r="G29" s="8">
        <v>3270</v>
      </c>
      <c r="H29" s="8">
        <v>3357</v>
      </c>
      <c r="I29" s="8">
        <v>3372</v>
      </c>
      <c r="J29" s="8" t="s">
        <v>1326</v>
      </c>
      <c r="N29" s="23">
        <v>45951</v>
      </c>
    </row>
    <row r="30" spans="1:21" s="2" customFormat="1" ht="16.5" customHeight="1" thickBot="1">
      <c r="A30" s="12" t="s">
        <v>1973</v>
      </c>
      <c r="B30" s="20" t="s">
        <v>1261</v>
      </c>
      <c r="C30" s="8">
        <v>1772</v>
      </c>
      <c r="D30" s="8">
        <v>1774</v>
      </c>
      <c r="E30" s="8">
        <v>1778</v>
      </c>
      <c r="F30" s="8">
        <v>1837</v>
      </c>
      <c r="G30" s="8">
        <v>2010</v>
      </c>
      <c r="H30" s="8">
        <v>2462</v>
      </c>
      <c r="I30" s="8" t="s">
        <v>1326</v>
      </c>
    </row>
    <row r="31" spans="1:21" s="2" customFormat="1" ht="16.5" customHeight="1" thickBot="1">
      <c r="A31" s="12" t="s">
        <v>1964</v>
      </c>
      <c r="B31" s="38" t="s">
        <v>1270</v>
      </c>
      <c r="C31" s="8">
        <v>1269</v>
      </c>
      <c r="D31" s="8">
        <v>1301</v>
      </c>
      <c r="E31" s="8">
        <v>1305</v>
      </c>
      <c r="F31" s="8">
        <v>1447</v>
      </c>
      <c r="G31" s="8">
        <v>1718</v>
      </c>
      <c r="H31" s="8" t="s">
        <v>1326</v>
      </c>
    </row>
    <row r="32" spans="1:21" s="2" customFormat="1" ht="16.5" customHeight="1" thickBot="1">
      <c r="A32" s="12" t="s">
        <v>1962</v>
      </c>
      <c r="B32" s="32" t="s">
        <v>1269</v>
      </c>
      <c r="C32" s="8">
        <v>1011</v>
      </c>
      <c r="D32" s="8">
        <v>1021</v>
      </c>
      <c r="E32" s="8">
        <v>1023</v>
      </c>
      <c r="F32" s="8">
        <v>1105</v>
      </c>
      <c r="G32" s="8" t="s">
        <v>1326</v>
      </c>
    </row>
    <row r="33" spans="1:13" s="2" customFormat="1" ht="16.5" customHeight="1" thickBot="1">
      <c r="A33" s="12" t="s">
        <v>1965</v>
      </c>
      <c r="B33" s="38" t="s">
        <v>1673</v>
      </c>
      <c r="C33" s="8">
        <v>570</v>
      </c>
      <c r="D33" s="8">
        <v>583</v>
      </c>
      <c r="E33" s="8">
        <v>586</v>
      </c>
      <c r="F33" s="8" t="s">
        <v>1326</v>
      </c>
    </row>
    <row r="34" spans="1:13" s="2" customFormat="1" ht="16.5" customHeight="1" thickBot="1">
      <c r="A34" s="12" t="s">
        <v>1966</v>
      </c>
      <c r="B34" s="38" t="s">
        <v>1270</v>
      </c>
      <c r="C34" s="8">
        <v>171</v>
      </c>
      <c r="D34" s="8">
        <v>173</v>
      </c>
      <c r="E34" s="8">
        <v>174</v>
      </c>
      <c r="F34" s="8" t="s">
        <v>1326</v>
      </c>
    </row>
    <row r="35" spans="1:13" s="2" customFormat="1" ht="16.5" customHeight="1" thickBot="1">
      <c r="A35" s="12" t="s">
        <v>1975</v>
      </c>
      <c r="B35" s="37" t="s">
        <v>1286</v>
      </c>
      <c r="C35" s="8">
        <v>157</v>
      </c>
      <c r="D35" s="8">
        <v>162</v>
      </c>
      <c r="E35" s="8">
        <v>162</v>
      </c>
      <c r="F35" s="8" t="s">
        <v>1326</v>
      </c>
    </row>
    <row r="36" spans="1:13" s="2" customFormat="1" ht="16.5" customHeight="1" thickBot="1">
      <c r="A36" s="12" t="s">
        <v>1967</v>
      </c>
      <c r="B36" s="38" t="s">
        <v>1958</v>
      </c>
      <c r="C36" s="8">
        <v>40</v>
      </c>
      <c r="D36" s="8">
        <v>51</v>
      </c>
      <c r="E36" s="8">
        <v>51</v>
      </c>
      <c r="F36" s="8" t="s">
        <v>1326</v>
      </c>
    </row>
    <row r="37" spans="1:13" s="2" customFormat="1" ht="12" customHeight="1">
      <c r="A37" s="1"/>
    </row>
    <row r="38" spans="1:13" s="2" customFormat="1" ht="16.5" customHeight="1">
      <c r="A38" s="1" t="s">
        <v>1976</v>
      </c>
    </row>
    <row r="39" spans="1:13" s="2" customFormat="1" ht="9.75" customHeight="1" thickBot="1">
      <c r="A39" s="3"/>
    </row>
    <row r="40" spans="1:13" s="2" customFormat="1" ht="16.5" customHeight="1" thickBot="1">
      <c r="A40" s="4" t="s">
        <v>1244</v>
      </c>
      <c r="B40" s="5" t="s">
        <v>1245</v>
      </c>
      <c r="C40" s="5" t="s">
        <v>1246</v>
      </c>
      <c r="D40" s="5">
        <v>2</v>
      </c>
      <c r="E40" s="5">
        <v>3</v>
      </c>
      <c r="F40" s="5">
        <v>4</v>
      </c>
      <c r="G40" s="5">
        <v>5</v>
      </c>
      <c r="H40" s="5">
        <v>6</v>
      </c>
      <c r="I40" s="5"/>
      <c r="J40" s="10" t="s">
        <v>1413</v>
      </c>
      <c r="K40" s="11">
        <f>(50622/59991)</f>
        <v>0.84382657398609795</v>
      </c>
    </row>
    <row r="41" spans="1:13" s="2" customFormat="1" ht="16.5" customHeight="1" thickBot="1">
      <c r="A41" s="6" t="s">
        <v>1977</v>
      </c>
      <c r="B41" s="28" t="s">
        <v>1258</v>
      </c>
      <c r="C41" s="36">
        <v>10339</v>
      </c>
      <c r="D41" s="8"/>
      <c r="E41" s="8"/>
      <c r="F41" s="8"/>
      <c r="G41" s="43"/>
      <c r="H41" s="43"/>
      <c r="I41" s="33" t="s">
        <v>1271</v>
      </c>
      <c r="J41" s="14"/>
      <c r="K41" s="10" t="s">
        <v>1248</v>
      </c>
      <c r="L41" s="10" t="s">
        <v>1249</v>
      </c>
      <c r="M41" s="10" t="s">
        <v>1250</v>
      </c>
    </row>
    <row r="42" spans="1:13" s="2" customFormat="1" ht="16.5" customHeight="1" thickBot="1">
      <c r="A42" s="6" t="s">
        <v>1978</v>
      </c>
      <c r="B42" s="25" t="s">
        <v>1247</v>
      </c>
      <c r="C42" s="36">
        <v>8703</v>
      </c>
      <c r="D42" s="8"/>
      <c r="E42" s="8"/>
      <c r="F42" s="8"/>
      <c r="G42" s="8"/>
      <c r="H42" s="8"/>
      <c r="I42" s="33" t="s">
        <v>1362</v>
      </c>
      <c r="J42" s="19" t="s">
        <v>1247</v>
      </c>
      <c r="K42" s="16">
        <f>(C42+C44+C45)</f>
        <v>20305</v>
      </c>
      <c r="L42" s="17">
        <f>SUM(K42/K48)</f>
        <v>0.40774729908831681</v>
      </c>
      <c r="M42" s="14">
        <v>3</v>
      </c>
    </row>
    <row r="43" spans="1:13" s="2" customFormat="1" ht="16.5" customHeight="1" thickBot="1">
      <c r="A43" s="6" t="s">
        <v>1981</v>
      </c>
      <c r="B43" s="7" t="s">
        <v>1261</v>
      </c>
      <c r="C43" s="8">
        <v>6410</v>
      </c>
      <c r="D43" s="8">
        <v>6414</v>
      </c>
      <c r="E43" s="8">
        <v>6652</v>
      </c>
      <c r="F43" s="8">
        <v>6737</v>
      </c>
      <c r="G43" s="8">
        <v>6769</v>
      </c>
      <c r="H43" s="36">
        <v>7051</v>
      </c>
      <c r="I43" s="33" t="s">
        <v>1251</v>
      </c>
      <c r="J43" s="18" t="s">
        <v>1257</v>
      </c>
      <c r="K43" s="16">
        <f>(C47+C48)</f>
        <v>6938</v>
      </c>
      <c r="L43" s="17">
        <f>SUM(K43/K48)</f>
        <v>0.13932286437206315</v>
      </c>
      <c r="M43" s="14">
        <v>1</v>
      </c>
    </row>
    <row r="44" spans="1:13" s="2" customFormat="1" ht="16.5" customHeight="1" thickBot="1">
      <c r="A44" s="6" t="s">
        <v>1979</v>
      </c>
      <c r="B44" s="25" t="s">
        <v>1247</v>
      </c>
      <c r="C44" s="8">
        <v>6008</v>
      </c>
      <c r="D44" s="8">
        <v>6010</v>
      </c>
      <c r="E44" s="8">
        <v>6041</v>
      </c>
      <c r="F44" s="8">
        <v>7074</v>
      </c>
      <c r="G44" s="8">
        <v>7076</v>
      </c>
      <c r="H44" s="36">
        <v>7083</v>
      </c>
      <c r="I44" s="33" t="s">
        <v>1280</v>
      </c>
      <c r="J44" s="30" t="s">
        <v>1258</v>
      </c>
      <c r="K44" s="16">
        <f>(C41+C50)</f>
        <v>10646</v>
      </c>
      <c r="L44" s="17">
        <f>SUM(K44/K48)</f>
        <v>0.21378368609181092</v>
      </c>
      <c r="M44" s="2">
        <v>1</v>
      </c>
    </row>
    <row r="45" spans="1:13" s="2" customFormat="1" ht="16.5" customHeight="1" thickBot="1">
      <c r="A45" s="6" t="s">
        <v>1982</v>
      </c>
      <c r="B45" s="25" t="s">
        <v>1247</v>
      </c>
      <c r="C45" s="8">
        <v>5594</v>
      </c>
      <c r="D45" s="8">
        <v>5596</v>
      </c>
      <c r="E45" s="8">
        <v>5658</v>
      </c>
      <c r="F45" s="8">
        <v>5899</v>
      </c>
      <c r="G45" s="8">
        <v>5901</v>
      </c>
      <c r="H45" s="36">
        <v>5914</v>
      </c>
      <c r="I45" s="33" t="s">
        <v>1253</v>
      </c>
      <c r="J45" s="15" t="s">
        <v>1261</v>
      </c>
      <c r="K45" s="21">
        <f>(C43+C46)</f>
        <v>11076</v>
      </c>
      <c r="L45" s="17">
        <f>SUM(K45/K48)</f>
        <v>0.22241857102694887</v>
      </c>
      <c r="M45" s="2">
        <v>1</v>
      </c>
    </row>
    <row r="46" spans="1:13" s="2" customFormat="1" ht="16.5" customHeight="1" thickBot="1">
      <c r="A46" s="12" t="s">
        <v>1281</v>
      </c>
      <c r="B46" s="20" t="s">
        <v>1261</v>
      </c>
      <c r="C46" s="8">
        <v>4666</v>
      </c>
      <c r="D46" s="8">
        <v>4677</v>
      </c>
      <c r="E46" s="8">
        <v>4782</v>
      </c>
      <c r="F46" s="8">
        <v>4956</v>
      </c>
      <c r="G46" s="8">
        <v>4970</v>
      </c>
      <c r="H46" s="8">
        <v>5076</v>
      </c>
      <c r="I46" s="33"/>
      <c r="J46" s="31" t="s">
        <v>1269</v>
      </c>
      <c r="K46" s="21">
        <v>497</v>
      </c>
      <c r="L46" s="17">
        <f>SUM(K46/K48)</f>
        <v>9.9803204947989874E-3</v>
      </c>
    </row>
    <row r="47" spans="1:13" s="2" customFormat="1" ht="16.5" customHeight="1" thickBot="1">
      <c r="A47" s="6" t="s">
        <v>1980</v>
      </c>
      <c r="B47" s="9" t="s">
        <v>1257</v>
      </c>
      <c r="C47" s="8">
        <v>4498</v>
      </c>
      <c r="D47" s="8">
        <v>4695</v>
      </c>
      <c r="E47" s="8">
        <v>4916</v>
      </c>
      <c r="F47" s="8">
        <v>4916</v>
      </c>
      <c r="G47" s="8">
        <v>6881</v>
      </c>
      <c r="H47" s="36">
        <v>7467</v>
      </c>
      <c r="I47" s="33" t="s">
        <v>1252</v>
      </c>
      <c r="J47" s="26" t="s">
        <v>1254</v>
      </c>
      <c r="K47" s="21">
        <f>(C51+C52+C53)</f>
        <v>336</v>
      </c>
      <c r="L47" s="11">
        <f>SUM(K47/K48)</f>
        <v>6.7472589260612875E-3</v>
      </c>
    </row>
    <row r="48" spans="1:13" s="2" customFormat="1" ht="16.5" customHeight="1" thickBot="1">
      <c r="A48" s="12" t="s">
        <v>1983</v>
      </c>
      <c r="B48" s="22" t="s">
        <v>1257</v>
      </c>
      <c r="C48" s="8">
        <v>2440</v>
      </c>
      <c r="D48" s="8">
        <v>2681</v>
      </c>
      <c r="E48" s="8">
        <v>2759</v>
      </c>
      <c r="F48" s="8">
        <v>2759</v>
      </c>
      <c r="G48" s="8" t="s">
        <v>1326</v>
      </c>
      <c r="K48" s="23">
        <v>49798</v>
      </c>
    </row>
    <row r="49" spans="1:15" s="2" customFormat="1" ht="16.5" customHeight="1" thickBot="1">
      <c r="A49" s="12" t="s">
        <v>1305</v>
      </c>
      <c r="B49" s="32" t="s">
        <v>1269</v>
      </c>
      <c r="C49" s="8">
        <v>497</v>
      </c>
      <c r="D49" s="8">
        <v>499</v>
      </c>
      <c r="E49" s="8" t="s">
        <v>1326</v>
      </c>
    </row>
    <row r="50" spans="1:15" s="2" customFormat="1" ht="16.5" customHeight="1" thickBot="1">
      <c r="A50" s="12" t="s">
        <v>1984</v>
      </c>
      <c r="B50" s="27" t="s">
        <v>1258</v>
      </c>
      <c r="C50" s="8">
        <v>307</v>
      </c>
      <c r="D50" s="8">
        <v>3008</v>
      </c>
      <c r="E50" s="8">
        <v>3035</v>
      </c>
      <c r="F50" s="8">
        <v>3042</v>
      </c>
      <c r="G50" s="8">
        <v>3728</v>
      </c>
      <c r="H50" s="8" t="s">
        <v>1326</v>
      </c>
    </row>
    <row r="51" spans="1:15" s="2" customFormat="1" ht="16.5" customHeight="1" thickBot="1">
      <c r="A51" s="12" t="s">
        <v>1285</v>
      </c>
      <c r="B51" s="37" t="s">
        <v>1286</v>
      </c>
      <c r="C51" s="8">
        <v>207</v>
      </c>
      <c r="D51" s="8">
        <v>208</v>
      </c>
      <c r="E51" s="8" t="s">
        <v>1326</v>
      </c>
      <c r="I51" s="17"/>
      <c r="M51" s="17"/>
    </row>
    <row r="52" spans="1:15" s="2" customFormat="1" ht="16.5" customHeight="1" thickBot="1">
      <c r="A52" s="12" t="s">
        <v>1361</v>
      </c>
      <c r="B52" s="38" t="s">
        <v>1673</v>
      </c>
      <c r="C52" s="8">
        <v>91</v>
      </c>
      <c r="D52" s="8">
        <v>106</v>
      </c>
      <c r="E52" s="8" t="s">
        <v>1326</v>
      </c>
      <c r="L52" s="21"/>
    </row>
    <row r="53" spans="1:15" s="2" customFormat="1" ht="16.5" customHeight="1" thickBot="1">
      <c r="A53" s="12" t="s">
        <v>1985</v>
      </c>
      <c r="B53" s="38" t="s">
        <v>1958</v>
      </c>
      <c r="C53" s="8">
        <v>38</v>
      </c>
      <c r="D53" s="8">
        <v>38</v>
      </c>
      <c r="E53" s="8" t="s">
        <v>1326</v>
      </c>
      <c r="L53" s="21"/>
    </row>
    <row r="54" spans="1:15" s="2" customFormat="1" ht="12" customHeight="1">
      <c r="A54" s="1"/>
    </row>
    <row r="55" spans="1:15" s="2" customFormat="1" ht="16.5" customHeight="1">
      <c r="A55" s="1" t="s">
        <v>1986</v>
      </c>
    </row>
    <row r="56" spans="1:15" s="2" customFormat="1" ht="9.75" customHeight="1" thickBot="1">
      <c r="A56" s="3"/>
    </row>
    <row r="57" spans="1:15" s="2" customFormat="1" ht="16.5" customHeight="1" thickBot="1">
      <c r="A57" s="4" t="s">
        <v>1244</v>
      </c>
      <c r="B57" s="5" t="s">
        <v>1245</v>
      </c>
      <c r="C57" s="5" t="s">
        <v>1246</v>
      </c>
      <c r="D57" s="5">
        <v>2</v>
      </c>
      <c r="E57" s="5">
        <v>3</v>
      </c>
      <c r="F57" s="5">
        <v>4</v>
      </c>
      <c r="G57" s="5">
        <v>5</v>
      </c>
      <c r="H57" s="5">
        <v>6</v>
      </c>
      <c r="I57" s="5">
        <v>7</v>
      </c>
      <c r="J57" s="5">
        <v>8</v>
      </c>
      <c r="K57" s="5"/>
      <c r="L57" s="10" t="s">
        <v>1413</v>
      </c>
      <c r="M57" s="11">
        <f>(49604/68888)</f>
        <v>0.72006735570781555</v>
      </c>
    </row>
    <row r="58" spans="1:15" s="2" customFormat="1" ht="16.5" customHeight="1" thickBot="1">
      <c r="A58" s="6" t="s">
        <v>1991</v>
      </c>
      <c r="B58" s="7" t="s">
        <v>1261</v>
      </c>
      <c r="C58" s="36">
        <v>12581</v>
      </c>
      <c r="D58" s="8"/>
      <c r="E58" s="8"/>
      <c r="F58" s="8"/>
      <c r="G58" s="8"/>
      <c r="H58" s="8"/>
      <c r="I58" s="8"/>
      <c r="J58" s="8"/>
      <c r="K58" s="33" t="s">
        <v>1271</v>
      </c>
      <c r="L58" s="14"/>
      <c r="M58" s="10" t="s">
        <v>1248</v>
      </c>
      <c r="N58" s="10" t="s">
        <v>1249</v>
      </c>
      <c r="O58" s="10" t="s">
        <v>1250</v>
      </c>
    </row>
    <row r="59" spans="1:15" s="2" customFormat="1" ht="16.5" customHeight="1" thickBot="1">
      <c r="A59" s="6" t="s">
        <v>1988</v>
      </c>
      <c r="B59" s="28" t="s">
        <v>1258</v>
      </c>
      <c r="C59" s="8">
        <v>6112</v>
      </c>
      <c r="D59" s="8">
        <v>6123</v>
      </c>
      <c r="E59" s="8">
        <v>6240</v>
      </c>
      <c r="F59" s="8">
        <v>6294</v>
      </c>
      <c r="G59" s="8">
        <v>6296</v>
      </c>
      <c r="H59" s="8">
        <v>6297</v>
      </c>
      <c r="I59" s="8">
        <v>6315</v>
      </c>
      <c r="J59" s="36">
        <v>6322</v>
      </c>
      <c r="K59" s="33" t="s">
        <v>1253</v>
      </c>
      <c r="L59" s="19" t="s">
        <v>1247</v>
      </c>
      <c r="M59" s="16">
        <f>(C60+C64+C66+C67)</f>
        <v>12696</v>
      </c>
      <c r="N59" s="17">
        <f>SUM(M59/M65)</f>
        <v>0.2601959257285732</v>
      </c>
      <c r="O59" s="14">
        <v>2</v>
      </c>
    </row>
    <row r="60" spans="1:15" s="2" customFormat="1" ht="16.5" customHeight="1" thickBot="1">
      <c r="A60" s="6" t="s">
        <v>1908</v>
      </c>
      <c r="B60" s="25" t="s">
        <v>1247</v>
      </c>
      <c r="C60" s="8">
        <v>5341</v>
      </c>
      <c r="D60" s="8">
        <v>5867</v>
      </c>
      <c r="E60" s="8">
        <v>5977</v>
      </c>
      <c r="F60" s="8">
        <v>6008</v>
      </c>
      <c r="G60" s="36">
        <v>7243</v>
      </c>
      <c r="H60" s="36"/>
      <c r="I60" s="8"/>
      <c r="J60" s="8"/>
      <c r="K60" s="33" t="s">
        <v>1362</v>
      </c>
      <c r="L60" s="18" t="s">
        <v>1257</v>
      </c>
      <c r="M60" s="16">
        <v>4669</v>
      </c>
      <c r="N60" s="17">
        <f>SUM(M60/M65)</f>
        <v>9.5687994425544126E-2</v>
      </c>
      <c r="O60" s="14"/>
    </row>
    <row r="61" spans="1:15" s="2" customFormat="1" ht="16.5" customHeight="1" thickBot="1">
      <c r="A61" s="12" t="s">
        <v>1993</v>
      </c>
      <c r="B61" s="22" t="s">
        <v>1257</v>
      </c>
      <c r="C61" s="8">
        <v>4669</v>
      </c>
      <c r="D61" s="8">
        <v>4715</v>
      </c>
      <c r="E61" s="8">
        <v>4920</v>
      </c>
      <c r="F61" s="8">
        <v>5354</v>
      </c>
      <c r="G61" s="8">
        <v>5355</v>
      </c>
      <c r="H61" s="8">
        <v>5356</v>
      </c>
      <c r="I61" s="8">
        <v>5501</v>
      </c>
      <c r="J61" s="8">
        <v>5698</v>
      </c>
      <c r="K61" s="33"/>
      <c r="L61" s="30" t="s">
        <v>1258</v>
      </c>
      <c r="M61" s="16">
        <v>6112</v>
      </c>
      <c r="N61" s="17">
        <f>SUM(M61/M65)</f>
        <v>0.12526130261917448</v>
      </c>
      <c r="O61" s="2">
        <v>1</v>
      </c>
    </row>
    <row r="62" spans="1:15" s="2" customFormat="1" ht="16.5" customHeight="1" thickBot="1">
      <c r="A62" s="6" t="s">
        <v>1987</v>
      </c>
      <c r="B62" s="7" t="s">
        <v>1261</v>
      </c>
      <c r="C62" s="8">
        <v>4423</v>
      </c>
      <c r="D62" s="8">
        <v>6403</v>
      </c>
      <c r="E62" s="8">
        <v>6523</v>
      </c>
      <c r="F62" s="8">
        <v>6813</v>
      </c>
      <c r="G62" s="8">
        <v>6874</v>
      </c>
      <c r="H62" s="36">
        <v>6980</v>
      </c>
      <c r="I62" s="8"/>
      <c r="J62" s="8"/>
      <c r="K62" s="33" t="s">
        <v>1252</v>
      </c>
      <c r="L62" s="15" t="s">
        <v>1261</v>
      </c>
      <c r="M62" s="21">
        <f>(C58+C62+C63+C65)</f>
        <v>23342</v>
      </c>
      <c r="N62" s="17">
        <f>SUM(M62/M65)</f>
        <v>0.47837848915850312</v>
      </c>
      <c r="O62" s="2">
        <v>3</v>
      </c>
    </row>
    <row r="63" spans="1:15" s="2" customFormat="1" ht="16.5" customHeight="1" thickBot="1">
      <c r="A63" s="6" t="s">
        <v>1992</v>
      </c>
      <c r="B63" s="7" t="s">
        <v>1261</v>
      </c>
      <c r="C63" s="8">
        <v>3778</v>
      </c>
      <c r="D63" s="8">
        <v>5295</v>
      </c>
      <c r="E63" s="8">
        <v>5350</v>
      </c>
      <c r="F63" s="8">
        <v>5457</v>
      </c>
      <c r="G63" s="8">
        <v>5495</v>
      </c>
      <c r="H63" s="8">
        <v>5601</v>
      </c>
      <c r="I63" s="36">
        <v>7813</v>
      </c>
      <c r="J63" s="36"/>
      <c r="K63" s="33" t="s">
        <v>1280</v>
      </c>
      <c r="L63" s="31" t="s">
        <v>1269</v>
      </c>
      <c r="M63" s="21">
        <v>1058</v>
      </c>
      <c r="N63" s="17">
        <f>SUM(M63/M65)</f>
        <v>2.1682993810714431E-2</v>
      </c>
    </row>
    <row r="64" spans="1:15" s="2" customFormat="1" ht="16.5" customHeight="1" thickBot="1">
      <c r="A64" s="6" t="s">
        <v>1989</v>
      </c>
      <c r="B64" s="25" t="s">
        <v>1247</v>
      </c>
      <c r="C64" s="8">
        <v>3464</v>
      </c>
      <c r="D64" s="8">
        <v>3592</v>
      </c>
      <c r="E64" s="43">
        <v>3643</v>
      </c>
      <c r="F64" s="43">
        <v>3659</v>
      </c>
      <c r="G64" s="43">
        <v>3838</v>
      </c>
      <c r="H64" s="8">
        <v>6210</v>
      </c>
      <c r="I64" s="8">
        <v>6594</v>
      </c>
      <c r="J64" s="36">
        <v>7172</v>
      </c>
      <c r="K64" s="33" t="s">
        <v>1251</v>
      </c>
      <c r="L64" s="26" t="s">
        <v>1254</v>
      </c>
      <c r="M64" s="21">
        <f>(C69+C70+C71+C72)</f>
        <v>917</v>
      </c>
      <c r="N64" s="11">
        <f>SUM(M64/M65)</f>
        <v>1.8793294257490677E-2</v>
      </c>
    </row>
    <row r="65" spans="1:16" s="2" customFormat="1" ht="16.5" customHeight="1" thickBot="1">
      <c r="A65" s="12" t="s">
        <v>1990</v>
      </c>
      <c r="B65" s="20" t="s">
        <v>1261</v>
      </c>
      <c r="C65" s="8">
        <v>2560</v>
      </c>
      <c r="D65" s="8">
        <v>3442</v>
      </c>
      <c r="E65" s="8">
        <v>3518</v>
      </c>
      <c r="F65" s="8">
        <v>3761</v>
      </c>
      <c r="G65" s="8">
        <v>3813</v>
      </c>
      <c r="H65" s="8">
        <v>3843</v>
      </c>
      <c r="I65" s="8" t="s">
        <v>1326</v>
      </c>
      <c r="M65" s="23">
        <v>48794</v>
      </c>
    </row>
    <row r="66" spans="1:16" s="2" customFormat="1" ht="16.5" customHeight="1" thickBot="1">
      <c r="A66" s="12" t="s">
        <v>1994</v>
      </c>
      <c r="B66" s="13" t="s">
        <v>1247</v>
      </c>
      <c r="C66" s="8">
        <v>2531</v>
      </c>
      <c r="D66" s="8">
        <v>2608</v>
      </c>
      <c r="E66" s="43">
        <v>2638</v>
      </c>
      <c r="F66" s="43">
        <v>2655</v>
      </c>
      <c r="G66" s="8">
        <v>2734</v>
      </c>
      <c r="H66" s="8" t="s">
        <v>1326</v>
      </c>
    </row>
    <row r="67" spans="1:16" s="2" customFormat="1" ht="16.5" customHeight="1" thickBot="1">
      <c r="A67" s="12" t="s">
        <v>1369</v>
      </c>
      <c r="B67" s="13" t="s">
        <v>1247</v>
      </c>
      <c r="C67" s="8">
        <v>1360</v>
      </c>
      <c r="D67" s="8">
        <v>1461</v>
      </c>
      <c r="E67" s="8">
        <v>1519</v>
      </c>
      <c r="F67" s="8">
        <v>1531</v>
      </c>
      <c r="G67" s="8" t="s">
        <v>1326</v>
      </c>
    </row>
    <row r="68" spans="1:16" s="2" customFormat="1" ht="16.5" customHeight="1" thickBot="1">
      <c r="A68" s="12" t="s">
        <v>1996</v>
      </c>
      <c r="B68" s="32" t="s">
        <v>1269</v>
      </c>
      <c r="C68" s="8">
        <v>1058</v>
      </c>
      <c r="D68" s="8">
        <v>1201</v>
      </c>
      <c r="E68" s="8">
        <v>1347</v>
      </c>
      <c r="F68" s="8" t="s">
        <v>1326</v>
      </c>
      <c r="N68" s="17"/>
    </row>
    <row r="69" spans="1:16" s="2" customFormat="1" ht="16.5" customHeight="1" thickBot="1">
      <c r="A69" s="12" t="s">
        <v>1998</v>
      </c>
      <c r="B69" s="80" t="s">
        <v>1997</v>
      </c>
      <c r="C69" s="8">
        <v>345</v>
      </c>
      <c r="D69" s="43">
        <v>404</v>
      </c>
      <c r="E69" s="43" t="s">
        <v>1326</v>
      </c>
    </row>
    <row r="70" spans="1:16" s="2" customFormat="1" ht="16.5" customHeight="1" thickBot="1">
      <c r="A70" s="12" t="s">
        <v>1995</v>
      </c>
      <c r="B70" s="63" t="s">
        <v>1276</v>
      </c>
      <c r="C70" s="8">
        <v>287</v>
      </c>
      <c r="D70" s="8">
        <v>305</v>
      </c>
      <c r="E70" s="8" t="s">
        <v>1326</v>
      </c>
    </row>
    <row r="71" spans="1:16" s="2" customFormat="1" ht="16.5" customHeight="1" thickBot="1">
      <c r="A71" s="12" t="s">
        <v>1999</v>
      </c>
      <c r="B71" s="39" t="s">
        <v>1320</v>
      </c>
      <c r="C71" s="8">
        <v>253</v>
      </c>
      <c r="D71" s="43">
        <v>295</v>
      </c>
      <c r="E71" s="43" t="s">
        <v>1326</v>
      </c>
    </row>
    <row r="72" spans="1:16" s="2" customFormat="1" ht="16.5" customHeight="1" thickBot="1">
      <c r="A72" s="12" t="s">
        <v>2000</v>
      </c>
      <c r="B72" s="38" t="s">
        <v>1958</v>
      </c>
      <c r="C72" s="8">
        <v>32</v>
      </c>
      <c r="D72" s="8">
        <v>36</v>
      </c>
      <c r="E72" s="8" t="s">
        <v>1326</v>
      </c>
    </row>
    <row r="73" spans="1:16" s="2" customFormat="1" ht="12" customHeight="1">
      <c r="A73" s="1"/>
    </row>
    <row r="74" spans="1:16" s="2" customFormat="1" ht="16.5" customHeight="1">
      <c r="A74" s="1" t="s">
        <v>2001</v>
      </c>
    </row>
    <row r="75" spans="1:16" s="2" customFormat="1" ht="9.75" customHeight="1" thickBot="1">
      <c r="A75" s="3"/>
    </row>
    <row r="76" spans="1:16" s="2" customFormat="1" ht="16.5" customHeight="1" thickBot="1">
      <c r="A76" s="4" t="s">
        <v>1244</v>
      </c>
      <c r="B76" s="5" t="s">
        <v>1245</v>
      </c>
      <c r="C76" s="5" t="s">
        <v>1246</v>
      </c>
      <c r="D76" s="5">
        <v>2</v>
      </c>
      <c r="E76" s="5">
        <v>3</v>
      </c>
      <c r="F76" s="5">
        <v>4</v>
      </c>
      <c r="G76" s="5">
        <v>5</v>
      </c>
      <c r="H76" s="5">
        <v>6</v>
      </c>
      <c r="I76" s="5">
        <v>7</v>
      </c>
      <c r="J76" s="5">
        <v>8</v>
      </c>
      <c r="K76" s="5">
        <v>9</v>
      </c>
      <c r="L76" s="5"/>
      <c r="M76" s="10" t="s">
        <v>1413</v>
      </c>
      <c r="N76" s="11">
        <f>(40167/59370)</f>
        <v>0.67655381505811019</v>
      </c>
    </row>
    <row r="77" spans="1:16" s="2" customFormat="1" ht="16.5" customHeight="1" thickBot="1">
      <c r="A77" s="6" t="s">
        <v>2002</v>
      </c>
      <c r="B77" s="28" t="s">
        <v>1258</v>
      </c>
      <c r="C77" s="36">
        <v>6099</v>
      </c>
      <c r="D77" s="8"/>
      <c r="E77" s="36"/>
      <c r="F77" s="36"/>
      <c r="G77" s="36"/>
      <c r="H77" s="8"/>
      <c r="I77" s="8"/>
      <c r="J77" s="8"/>
      <c r="K77" s="8"/>
      <c r="L77" s="33" t="s">
        <v>1271</v>
      </c>
      <c r="M77" s="14"/>
      <c r="N77" s="10" t="s">
        <v>1248</v>
      </c>
      <c r="O77" s="10" t="s">
        <v>1249</v>
      </c>
      <c r="P77" s="10" t="s">
        <v>1250</v>
      </c>
    </row>
    <row r="78" spans="1:16" s="2" customFormat="1" ht="16.5" customHeight="1" thickBot="1">
      <c r="A78" s="6" t="s">
        <v>2003</v>
      </c>
      <c r="B78" s="9" t="s">
        <v>1257</v>
      </c>
      <c r="C78" s="8">
        <v>5108</v>
      </c>
      <c r="D78" s="8">
        <v>5324</v>
      </c>
      <c r="E78" s="8">
        <v>5347</v>
      </c>
      <c r="F78" s="8">
        <v>5351</v>
      </c>
      <c r="G78" s="36">
        <v>6268</v>
      </c>
      <c r="H78" s="8"/>
      <c r="I78" s="36"/>
      <c r="J78" s="8"/>
      <c r="K78" s="8"/>
      <c r="L78" s="33" t="s">
        <v>1362</v>
      </c>
      <c r="M78" s="19" t="s">
        <v>1247</v>
      </c>
      <c r="N78" s="16">
        <f>(C84+C87)</f>
        <v>3860</v>
      </c>
      <c r="O78" s="17">
        <f>SUM(N78/N84)</f>
        <v>9.7563441512486096E-2</v>
      </c>
      <c r="P78" s="14"/>
    </row>
    <row r="79" spans="1:16" s="2" customFormat="1" ht="16.5" customHeight="1" thickBot="1">
      <c r="A79" s="6" t="s">
        <v>2004</v>
      </c>
      <c r="B79" s="7" t="s">
        <v>1261</v>
      </c>
      <c r="C79" s="8">
        <v>4760</v>
      </c>
      <c r="D79" s="8">
        <v>4782</v>
      </c>
      <c r="E79" s="8">
        <v>4785</v>
      </c>
      <c r="F79" s="8">
        <v>4855</v>
      </c>
      <c r="G79" s="8">
        <v>4869</v>
      </c>
      <c r="H79" s="36">
        <v>5708</v>
      </c>
      <c r="I79" s="36"/>
      <c r="J79" s="8"/>
      <c r="K79" s="36"/>
      <c r="L79" s="33" t="s">
        <v>1252</v>
      </c>
      <c r="M79" s="18" t="s">
        <v>1257</v>
      </c>
      <c r="N79" s="16">
        <f>(C78+C82+C86)</f>
        <v>9954</v>
      </c>
      <c r="O79" s="17">
        <f>SUM(N79/N84)</f>
        <v>0.25159235668789809</v>
      </c>
      <c r="P79" s="14">
        <v>2</v>
      </c>
    </row>
    <row r="80" spans="1:16" s="2" customFormat="1" ht="16.5" customHeight="1" thickBot="1">
      <c r="A80" s="6" t="s">
        <v>2009</v>
      </c>
      <c r="B80" s="7" t="s">
        <v>1261</v>
      </c>
      <c r="C80" s="8">
        <v>4606</v>
      </c>
      <c r="D80" s="8">
        <v>4619</v>
      </c>
      <c r="E80" s="8">
        <v>4619</v>
      </c>
      <c r="F80" s="8">
        <v>4773</v>
      </c>
      <c r="G80" s="8">
        <v>4780</v>
      </c>
      <c r="H80" s="8">
        <v>5178</v>
      </c>
      <c r="I80" s="8">
        <v>5187</v>
      </c>
      <c r="J80" s="36">
        <v>7754</v>
      </c>
      <c r="K80" s="8"/>
      <c r="L80" s="33" t="s">
        <v>1280</v>
      </c>
      <c r="M80" s="30" t="s">
        <v>1258</v>
      </c>
      <c r="N80" s="16">
        <f>(C77+C83)</f>
        <v>9307</v>
      </c>
      <c r="O80" s="17">
        <f>SUM(N80/N84)</f>
        <v>0.23523910625821454</v>
      </c>
      <c r="P80" s="2">
        <v>1</v>
      </c>
    </row>
    <row r="81" spans="1:16" s="2" customFormat="1" ht="16.5" customHeight="1" thickBot="1">
      <c r="A81" s="6" t="s">
        <v>2005</v>
      </c>
      <c r="B81" s="35" t="s">
        <v>1423</v>
      </c>
      <c r="C81" s="8">
        <v>3811</v>
      </c>
      <c r="D81" s="8">
        <v>3892</v>
      </c>
      <c r="E81" s="8">
        <v>3937</v>
      </c>
      <c r="F81" s="8">
        <v>3938</v>
      </c>
      <c r="G81" s="8">
        <v>4048</v>
      </c>
      <c r="H81" s="8">
        <v>4152</v>
      </c>
      <c r="I81" s="8">
        <v>4201</v>
      </c>
      <c r="J81" s="8">
        <v>4217</v>
      </c>
      <c r="K81" s="36">
        <v>4259</v>
      </c>
      <c r="L81" s="33" t="s">
        <v>1253</v>
      </c>
      <c r="M81" s="15" t="s">
        <v>1261</v>
      </c>
      <c r="N81" s="21">
        <f>(C79+C80)</f>
        <v>9366</v>
      </c>
      <c r="O81" s="17">
        <f>SUM(N81/N84)</f>
        <v>0.23673036093418259</v>
      </c>
      <c r="P81" s="2">
        <v>2</v>
      </c>
    </row>
    <row r="82" spans="1:16" s="2" customFormat="1" ht="16.5" customHeight="1" thickBot="1">
      <c r="A82" s="6" t="s">
        <v>2006</v>
      </c>
      <c r="B82" s="9" t="s">
        <v>1257</v>
      </c>
      <c r="C82" s="8">
        <v>3315</v>
      </c>
      <c r="D82" s="8">
        <v>3432</v>
      </c>
      <c r="E82" s="8">
        <v>3452</v>
      </c>
      <c r="F82" s="8">
        <v>3452</v>
      </c>
      <c r="G82" s="8">
        <v>3865</v>
      </c>
      <c r="H82" s="8">
        <v>4703</v>
      </c>
      <c r="I82" s="8">
        <v>5227</v>
      </c>
      <c r="J82" s="8">
        <v>5229</v>
      </c>
      <c r="K82" s="36">
        <v>5379</v>
      </c>
      <c r="L82" s="33" t="s">
        <v>1251</v>
      </c>
      <c r="M82" s="31" t="s">
        <v>1269</v>
      </c>
      <c r="N82" s="21">
        <v>2395</v>
      </c>
      <c r="O82" s="17">
        <f>SUM(N82/N84)</f>
        <v>6.0534829643109897E-2</v>
      </c>
    </row>
    <row r="83" spans="1:16" s="2" customFormat="1" ht="16.5" customHeight="1" thickBot="1">
      <c r="A83" s="12" t="s">
        <v>1298</v>
      </c>
      <c r="B83" s="27" t="s">
        <v>1258</v>
      </c>
      <c r="C83" s="8">
        <v>3208</v>
      </c>
      <c r="D83" s="8">
        <v>3390</v>
      </c>
      <c r="E83" s="8">
        <v>3709</v>
      </c>
      <c r="F83" s="8">
        <v>3709</v>
      </c>
      <c r="G83" s="8">
        <v>3774</v>
      </c>
      <c r="H83" s="8">
        <v>3805</v>
      </c>
      <c r="I83" s="8">
        <v>3834</v>
      </c>
      <c r="J83" s="8">
        <v>3842</v>
      </c>
      <c r="K83" s="8">
        <v>3867</v>
      </c>
      <c r="L83" s="33"/>
      <c r="M83" s="26" t="s">
        <v>1254</v>
      </c>
      <c r="N83" s="21">
        <f>(C81+C88+C89+C90)</f>
        <v>4610</v>
      </c>
      <c r="O83" s="11">
        <f>SUM(N83/N84)</f>
        <v>0.11652006874936811</v>
      </c>
      <c r="P83" s="2">
        <v>1</v>
      </c>
    </row>
    <row r="84" spans="1:16" s="2" customFormat="1" ht="16.5" customHeight="1" thickBot="1">
      <c r="A84" s="12" t="s">
        <v>2007</v>
      </c>
      <c r="B84" s="13" t="s">
        <v>1247</v>
      </c>
      <c r="C84" s="8">
        <v>2521</v>
      </c>
      <c r="D84" s="8">
        <v>2525</v>
      </c>
      <c r="E84" s="8">
        <v>2525</v>
      </c>
      <c r="F84" s="8">
        <v>3601</v>
      </c>
      <c r="G84" s="8">
        <v>3604</v>
      </c>
      <c r="H84" s="8">
        <v>3621</v>
      </c>
      <c r="I84" s="8">
        <v>3621</v>
      </c>
      <c r="J84" s="8" t="s">
        <v>1326</v>
      </c>
      <c r="N84" s="23">
        <v>39564</v>
      </c>
    </row>
    <row r="85" spans="1:16" s="2" customFormat="1" ht="16.5" customHeight="1" thickBot="1">
      <c r="A85" s="12" t="s">
        <v>2014</v>
      </c>
      <c r="B85" s="32" t="s">
        <v>1269</v>
      </c>
      <c r="C85" s="8">
        <v>2395</v>
      </c>
      <c r="D85" s="8">
        <v>2476</v>
      </c>
      <c r="E85" s="8">
        <v>2477</v>
      </c>
      <c r="F85" s="8">
        <v>2480</v>
      </c>
      <c r="G85" s="8">
        <v>2520</v>
      </c>
      <c r="H85" s="8" t="s">
        <v>1326</v>
      </c>
    </row>
    <row r="86" spans="1:16" s="2" customFormat="1" ht="16.5" customHeight="1" thickBot="1">
      <c r="A86" s="12" t="s">
        <v>2011</v>
      </c>
      <c r="B86" s="22" t="s">
        <v>1257</v>
      </c>
      <c r="C86" s="8">
        <v>1531</v>
      </c>
      <c r="D86" s="8">
        <v>1608</v>
      </c>
      <c r="E86" s="8">
        <v>1615</v>
      </c>
      <c r="F86" s="8">
        <v>1615</v>
      </c>
      <c r="G86" s="8" t="s">
        <v>1326</v>
      </c>
    </row>
    <row r="87" spans="1:16" s="2" customFormat="1" ht="16.5" customHeight="1" thickBot="1">
      <c r="A87" s="12" t="s">
        <v>2010</v>
      </c>
      <c r="B87" s="13" t="s">
        <v>1247</v>
      </c>
      <c r="C87" s="8">
        <v>1339</v>
      </c>
      <c r="D87" s="8">
        <v>1347</v>
      </c>
      <c r="E87" s="8">
        <v>1347</v>
      </c>
      <c r="F87" s="8" t="s">
        <v>1326</v>
      </c>
      <c r="L87" s="17"/>
    </row>
    <row r="88" spans="1:16" s="2" customFormat="1" ht="16.5" customHeight="1" thickBot="1">
      <c r="A88" s="12" t="s">
        <v>2008</v>
      </c>
      <c r="B88" s="63" t="s">
        <v>1276</v>
      </c>
      <c r="C88" s="8">
        <v>582</v>
      </c>
      <c r="D88" s="43" t="s">
        <v>1326</v>
      </c>
    </row>
    <row r="89" spans="1:16" s="2" customFormat="1" ht="16.5" customHeight="1" thickBot="1">
      <c r="A89" s="12" t="s">
        <v>2013</v>
      </c>
      <c r="B89" s="38" t="s">
        <v>2012</v>
      </c>
      <c r="C89" s="8">
        <v>171</v>
      </c>
      <c r="D89" s="8" t="s">
        <v>1326</v>
      </c>
      <c r="L89" s="17"/>
    </row>
    <row r="90" spans="1:16" s="2" customFormat="1" ht="16.5" customHeight="1" thickBot="1">
      <c r="A90" s="12" t="s">
        <v>2015</v>
      </c>
      <c r="B90" s="38" t="s">
        <v>1958</v>
      </c>
      <c r="C90" s="8">
        <v>46</v>
      </c>
      <c r="D90" s="8" t="s">
        <v>1326</v>
      </c>
      <c r="L90" s="17"/>
    </row>
    <row r="91" spans="1:16" s="2" customFormat="1" ht="12" customHeight="1">
      <c r="A91" s="1"/>
    </row>
    <row r="92" spans="1:16" s="2" customFormat="1" ht="16.5" customHeight="1">
      <c r="A92" s="1" t="s">
        <v>2016</v>
      </c>
    </row>
    <row r="93" spans="1:16" s="2" customFormat="1" ht="9.75" customHeight="1" thickBot="1">
      <c r="A93" s="3"/>
    </row>
    <row r="94" spans="1:16" s="2" customFormat="1" ht="16.5" customHeight="1" thickBot="1">
      <c r="A94" s="4" t="s">
        <v>1244</v>
      </c>
      <c r="B94" s="5" t="s">
        <v>1245</v>
      </c>
      <c r="C94" s="5" t="s">
        <v>1246</v>
      </c>
      <c r="D94" s="5">
        <v>2</v>
      </c>
      <c r="E94" s="5">
        <v>3</v>
      </c>
      <c r="F94" s="5">
        <v>4</v>
      </c>
      <c r="G94" s="5">
        <v>5</v>
      </c>
      <c r="H94" s="5">
        <v>6</v>
      </c>
      <c r="I94" s="5">
        <v>7</v>
      </c>
      <c r="J94" s="5">
        <v>8</v>
      </c>
      <c r="K94" s="5"/>
      <c r="L94" s="10" t="s">
        <v>1413</v>
      </c>
      <c r="M94" s="11">
        <f>(55293/71553)</f>
        <v>0.77275585929311141</v>
      </c>
    </row>
    <row r="95" spans="1:16" s="2" customFormat="1" ht="16.5" customHeight="1" thickBot="1">
      <c r="A95" s="6" t="s">
        <v>2021</v>
      </c>
      <c r="B95" s="7" t="s">
        <v>1261</v>
      </c>
      <c r="C95" s="36">
        <v>13582</v>
      </c>
      <c r="D95" s="8"/>
      <c r="E95" s="8"/>
      <c r="F95" s="8"/>
      <c r="G95" s="8"/>
      <c r="H95" s="8"/>
      <c r="I95" s="8"/>
      <c r="J95" s="8"/>
      <c r="K95" s="33" t="s">
        <v>1271</v>
      </c>
      <c r="L95" s="14"/>
      <c r="M95" s="10" t="s">
        <v>1248</v>
      </c>
      <c r="N95" s="10" t="s">
        <v>1249</v>
      </c>
      <c r="O95" s="10" t="s">
        <v>1250</v>
      </c>
    </row>
    <row r="96" spans="1:16" s="2" customFormat="1" ht="16.5" customHeight="1" thickBot="1">
      <c r="A96" s="6" t="s">
        <v>2017</v>
      </c>
      <c r="B96" s="28" t="s">
        <v>1258</v>
      </c>
      <c r="C96" s="8">
        <v>7214</v>
      </c>
      <c r="D96" s="8">
        <v>7217</v>
      </c>
      <c r="E96" s="8">
        <v>7232</v>
      </c>
      <c r="F96" s="36">
        <v>7900</v>
      </c>
      <c r="G96" s="8"/>
      <c r="H96" s="8"/>
      <c r="I96" s="8"/>
      <c r="J96" s="8"/>
      <c r="K96" s="33" t="s">
        <v>1362</v>
      </c>
      <c r="L96" s="19" t="s">
        <v>1247</v>
      </c>
      <c r="M96" s="16">
        <f>(C98+C99+C100)</f>
        <v>14052</v>
      </c>
      <c r="N96" s="17">
        <f>SUM(M96/M102)</f>
        <v>0.25956849416284911</v>
      </c>
      <c r="O96" s="14">
        <v>2</v>
      </c>
    </row>
    <row r="97" spans="1:16" s="2" customFormat="1" ht="16.5" customHeight="1" thickBot="1">
      <c r="A97" s="6" t="s">
        <v>1891</v>
      </c>
      <c r="B97" s="9" t="s">
        <v>1257</v>
      </c>
      <c r="C97" s="8">
        <v>5495</v>
      </c>
      <c r="D97" s="8">
        <v>5523</v>
      </c>
      <c r="E97" s="8">
        <v>5692</v>
      </c>
      <c r="F97" s="8">
        <v>5980</v>
      </c>
      <c r="G97" s="8">
        <v>6090</v>
      </c>
      <c r="H97" s="36">
        <v>10184</v>
      </c>
      <c r="I97" s="8"/>
      <c r="J97" s="36"/>
      <c r="K97" s="33" t="s">
        <v>1252</v>
      </c>
      <c r="L97" s="18" t="s">
        <v>1257</v>
      </c>
      <c r="M97" s="16">
        <f>(C97+C101)</f>
        <v>9819</v>
      </c>
      <c r="N97" s="17">
        <f>SUM(M97/M102)</f>
        <v>0.18137653317570562</v>
      </c>
      <c r="O97" s="14">
        <v>1</v>
      </c>
    </row>
    <row r="98" spans="1:16" s="2" customFormat="1" ht="16.5" customHeight="1" thickBot="1">
      <c r="A98" s="6" t="s">
        <v>2018</v>
      </c>
      <c r="B98" s="25" t="s">
        <v>1247</v>
      </c>
      <c r="C98" s="8">
        <v>4839</v>
      </c>
      <c r="D98" s="8">
        <v>5017</v>
      </c>
      <c r="E98" s="8">
        <v>5026</v>
      </c>
      <c r="F98" s="8">
        <v>5294</v>
      </c>
      <c r="G98" s="8">
        <v>5294</v>
      </c>
      <c r="H98" s="8">
        <v>5306</v>
      </c>
      <c r="I98" s="8">
        <v>5312</v>
      </c>
      <c r="J98" s="36">
        <v>7741</v>
      </c>
      <c r="K98" s="33" t="s">
        <v>1280</v>
      </c>
      <c r="L98" s="30" t="s">
        <v>1258</v>
      </c>
      <c r="M98" s="16">
        <v>7214</v>
      </c>
      <c r="N98" s="17">
        <f>SUM(M98/M102)</f>
        <v>0.13325698241465939</v>
      </c>
      <c r="O98" s="2">
        <v>1</v>
      </c>
    </row>
    <row r="99" spans="1:16" s="2" customFormat="1" ht="16.5" customHeight="1" thickBot="1">
      <c r="A99" s="12" t="s">
        <v>1307</v>
      </c>
      <c r="B99" s="13" t="s">
        <v>1247</v>
      </c>
      <c r="C99" s="8">
        <v>4643</v>
      </c>
      <c r="D99" s="8">
        <v>4880</v>
      </c>
      <c r="E99" s="8">
        <v>4888</v>
      </c>
      <c r="F99" s="8">
        <v>5261</v>
      </c>
      <c r="G99" s="8">
        <v>5262</v>
      </c>
      <c r="H99" s="8">
        <v>5270</v>
      </c>
      <c r="I99" s="8">
        <v>5284</v>
      </c>
      <c r="J99" s="8" t="s">
        <v>1326</v>
      </c>
      <c r="L99" s="15" t="s">
        <v>1261</v>
      </c>
      <c r="M99" s="21">
        <f>(C95+C102+C103)</f>
        <v>18953</v>
      </c>
      <c r="N99" s="17">
        <f>SUM(M99/M102)</f>
        <v>0.35009974878084821</v>
      </c>
      <c r="O99" s="2">
        <v>2</v>
      </c>
    </row>
    <row r="100" spans="1:16" s="2" customFormat="1" ht="16.5" customHeight="1" thickBot="1">
      <c r="A100" s="6" t="s">
        <v>2020</v>
      </c>
      <c r="B100" s="25" t="s">
        <v>1247</v>
      </c>
      <c r="C100" s="8">
        <v>4570</v>
      </c>
      <c r="D100" s="8">
        <v>5078</v>
      </c>
      <c r="E100" s="8">
        <v>5087</v>
      </c>
      <c r="F100" s="8">
        <v>5321</v>
      </c>
      <c r="G100" s="8">
        <v>5321</v>
      </c>
      <c r="H100" s="8">
        <v>5333</v>
      </c>
      <c r="I100" s="8">
        <v>5345</v>
      </c>
      <c r="J100" s="36">
        <v>7177</v>
      </c>
      <c r="K100" s="33" t="s">
        <v>1251</v>
      </c>
      <c r="L100" s="31" t="s">
        <v>1269</v>
      </c>
      <c r="M100" s="21">
        <v>777</v>
      </c>
      <c r="N100" s="17">
        <f>SUM(M100/M102)</f>
        <v>1.4352741244273682E-2</v>
      </c>
    </row>
    <row r="101" spans="1:16" s="2" customFormat="1" ht="16.5" customHeight="1" thickBot="1">
      <c r="A101" s="12" t="s">
        <v>2022</v>
      </c>
      <c r="B101" s="22" t="s">
        <v>1257</v>
      </c>
      <c r="C101" s="8">
        <v>4324</v>
      </c>
      <c r="D101" s="8">
        <v>4353</v>
      </c>
      <c r="E101" s="8">
        <v>4558</v>
      </c>
      <c r="F101" s="8">
        <v>4748</v>
      </c>
      <c r="G101" s="8">
        <v>4800</v>
      </c>
      <c r="H101" s="8" t="s">
        <v>1326</v>
      </c>
      <c r="L101" s="26" t="s">
        <v>1254</v>
      </c>
      <c r="M101" s="21">
        <f>(C104+C105+C106+C108)</f>
        <v>3321</v>
      </c>
      <c r="N101" s="11">
        <f>SUM(M101/M102)</f>
        <v>6.1345500221663955E-2</v>
      </c>
    </row>
    <row r="102" spans="1:16" s="2" customFormat="1" ht="16.5" customHeight="1" thickBot="1">
      <c r="A102" s="6" t="s">
        <v>2019</v>
      </c>
      <c r="B102" s="7" t="s">
        <v>1261</v>
      </c>
      <c r="C102" s="8">
        <v>3166</v>
      </c>
      <c r="D102" s="8">
        <v>5420</v>
      </c>
      <c r="E102" s="8">
        <v>5486</v>
      </c>
      <c r="F102" s="8">
        <v>6429</v>
      </c>
      <c r="G102" s="8">
        <v>6430</v>
      </c>
      <c r="H102" s="8">
        <v>6514</v>
      </c>
      <c r="I102" s="8">
        <v>6949</v>
      </c>
      <c r="J102" s="36">
        <v>7169</v>
      </c>
      <c r="K102" s="33" t="s">
        <v>1253</v>
      </c>
      <c r="M102" s="23">
        <v>54136</v>
      </c>
    </row>
    <row r="103" spans="1:16" s="2" customFormat="1" ht="16.5" customHeight="1" thickBot="1">
      <c r="A103" s="12" t="s">
        <v>2267</v>
      </c>
      <c r="B103" s="20" t="s">
        <v>1261</v>
      </c>
      <c r="C103" s="8">
        <v>2205</v>
      </c>
      <c r="D103" s="8">
        <v>4238</v>
      </c>
      <c r="E103" s="8">
        <v>4317</v>
      </c>
      <c r="F103" s="8">
        <v>4853</v>
      </c>
      <c r="G103" s="8">
        <v>4854</v>
      </c>
      <c r="H103" s="8">
        <v>4958</v>
      </c>
      <c r="I103" s="8">
        <v>5493</v>
      </c>
      <c r="J103" s="8">
        <v>5875</v>
      </c>
      <c r="K103" s="33"/>
    </row>
    <row r="104" spans="1:16" s="2" customFormat="1" ht="16.5" customHeight="1" thickBot="1">
      <c r="A104" s="12" t="s">
        <v>2024</v>
      </c>
      <c r="B104" s="38" t="s">
        <v>1270</v>
      </c>
      <c r="C104" s="8">
        <v>1227</v>
      </c>
      <c r="D104" s="8">
        <v>1357</v>
      </c>
      <c r="E104" s="8">
        <v>1398</v>
      </c>
      <c r="F104" s="8" t="s">
        <v>1326</v>
      </c>
    </row>
    <row r="105" spans="1:16" s="2" customFormat="1" ht="16.5" customHeight="1" thickBot="1">
      <c r="A105" s="12" t="s">
        <v>2023</v>
      </c>
      <c r="B105" s="29" t="s">
        <v>1267</v>
      </c>
      <c r="C105" s="8">
        <v>1138</v>
      </c>
      <c r="D105" s="8">
        <v>1400</v>
      </c>
      <c r="E105" s="8">
        <v>1635</v>
      </c>
      <c r="F105" s="8" t="s">
        <v>1326</v>
      </c>
      <c r="H105" s="17"/>
    </row>
    <row r="106" spans="1:16" s="2" customFormat="1" ht="16.5" customHeight="1" thickBot="1">
      <c r="A106" s="12" t="s">
        <v>1310</v>
      </c>
      <c r="B106" s="38" t="s">
        <v>1270</v>
      </c>
      <c r="C106" s="8">
        <v>933</v>
      </c>
      <c r="D106" s="8">
        <v>936</v>
      </c>
      <c r="E106" s="8">
        <v>948</v>
      </c>
      <c r="F106" s="8" t="s">
        <v>1326</v>
      </c>
    </row>
    <row r="107" spans="1:16" s="2" customFormat="1" ht="16.5" customHeight="1" thickBot="1">
      <c r="A107" s="12" t="s">
        <v>1312</v>
      </c>
      <c r="B107" s="32" t="s">
        <v>1269</v>
      </c>
      <c r="C107" s="8">
        <v>777</v>
      </c>
      <c r="D107" s="8">
        <v>860</v>
      </c>
      <c r="E107" s="8" t="s">
        <v>1326</v>
      </c>
    </row>
    <row r="108" spans="1:16" s="2" customFormat="1" ht="16.5" customHeight="1" thickBot="1">
      <c r="A108" s="12" t="s">
        <v>2025</v>
      </c>
      <c r="B108" s="38" t="s">
        <v>1958</v>
      </c>
      <c r="C108" s="8">
        <v>23</v>
      </c>
      <c r="D108" s="8">
        <v>25</v>
      </c>
      <c r="E108" s="8" t="s">
        <v>1326</v>
      </c>
      <c r="H108" s="17"/>
    </row>
    <row r="109" spans="1:16" s="2" customFormat="1" ht="12" customHeight="1">
      <c r="A109" s="1"/>
    </row>
    <row r="110" spans="1:16" s="2" customFormat="1" ht="16.5" customHeight="1">
      <c r="A110" s="1" t="s">
        <v>2026</v>
      </c>
    </row>
    <row r="111" spans="1:16" s="2" customFormat="1" ht="9.75" customHeight="1" thickBot="1">
      <c r="A111" s="3"/>
    </row>
    <row r="112" spans="1:16" s="2" customFormat="1" ht="16.5" customHeight="1" thickBot="1">
      <c r="A112" s="4" t="s">
        <v>1244</v>
      </c>
      <c r="B112" s="5" t="s">
        <v>1245</v>
      </c>
      <c r="C112" s="5" t="s">
        <v>1246</v>
      </c>
      <c r="D112" s="5">
        <v>2</v>
      </c>
      <c r="E112" s="5">
        <v>3</v>
      </c>
      <c r="F112" s="5">
        <v>4</v>
      </c>
      <c r="G112" s="5">
        <v>5</v>
      </c>
      <c r="H112" s="5">
        <v>6</v>
      </c>
      <c r="I112" s="5">
        <v>7</v>
      </c>
      <c r="J112" s="5">
        <v>8</v>
      </c>
      <c r="K112" s="5">
        <v>9</v>
      </c>
      <c r="L112" s="5">
        <v>10</v>
      </c>
      <c r="M112" s="5">
        <v>11</v>
      </c>
      <c r="N112" s="5"/>
      <c r="O112" s="10" t="s">
        <v>1413</v>
      </c>
      <c r="P112" s="11">
        <f>(52342/71027)</f>
        <v>0.73693102622946205</v>
      </c>
    </row>
    <row r="113" spans="1:18" s="2" customFormat="1" ht="16.5" customHeight="1" thickBot="1">
      <c r="A113" s="6" t="s">
        <v>2030</v>
      </c>
      <c r="B113" s="7" t="s">
        <v>1261</v>
      </c>
      <c r="C113" s="36">
        <v>10373</v>
      </c>
      <c r="D113" s="8"/>
      <c r="E113" s="8"/>
      <c r="F113" s="8"/>
      <c r="G113" s="8"/>
      <c r="H113" s="8"/>
      <c r="I113" s="36"/>
      <c r="J113" s="8"/>
      <c r="K113" s="8"/>
      <c r="L113" s="8"/>
      <c r="M113" s="8"/>
      <c r="N113" s="33" t="s">
        <v>1271</v>
      </c>
      <c r="O113" s="14"/>
      <c r="P113" s="10" t="s">
        <v>1248</v>
      </c>
      <c r="Q113" s="10" t="s">
        <v>1249</v>
      </c>
      <c r="R113" s="10" t="s">
        <v>1250</v>
      </c>
    </row>
    <row r="114" spans="1:18" s="2" customFormat="1" ht="16.5" customHeight="1" thickBot="1">
      <c r="A114" s="6" t="s">
        <v>2031</v>
      </c>
      <c r="B114" s="25" t="s">
        <v>1247</v>
      </c>
      <c r="C114" s="8">
        <v>6251</v>
      </c>
      <c r="D114" s="8">
        <v>6418</v>
      </c>
      <c r="E114" s="8">
        <v>6514</v>
      </c>
      <c r="F114" s="8">
        <v>6517</v>
      </c>
      <c r="G114" s="8">
        <v>6574</v>
      </c>
      <c r="H114" s="36">
        <v>7761</v>
      </c>
      <c r="I114" s="8"/>
      <c r="J114" s="36"/>
      <c r="K114" s="8"/>
      <c r="L114" s="36"/>
      <c r="M114" s="8"/>
      <c r="N114" s="33" t="s">
        <v>1362</v>
      </c>
      <c r="O114" s="19" t="s">
        <v>1247</v>
      </c>
      <c r="P114" s="16">
        <f>(C114+C124)</f>
        <v>7771</v>
      </c>
      <c r="Q114" s="17">
        <f>SUM(P114/P120)</f>
        <v>0.1513251416665044</v>
      </c>
      <c r="R114" s="14">
        <v>1</v>
      </c>
    </row>
    <row r="115" spans="1:18" s="2" customFormat="1" ht="16.5" customHeight="1" thickBot="1">
      <c r="A115" s="6" t="s">
        <v>2028</v>
      </c>
      <c r="B115" s="7" t="s">
        <v>1261</v>
      </c>
      <c r="C115" s="8">
        <v>5571</v>
      </c>
      <c r="D115" s="8">
        <v>6218</v>
      </c>
      <c r="E115" s="8">
        <v>6313</v>
      </c>
      <c r="F115" s="8">
        <v>6317</v>
      </c>
      <c r="G115" s="8">
        <v>6485</v>
      </c>
      <c r="H115" s="8">
        <v>6563</v>
      </c>
      <c r="I115" s="8">
        <v>6655</v>
      </c>
      <c r="J115" s="8">
        <v>6716</v>
      </c>
      <c r="K115" s="8">
        <v>6739</v>
      </c>
      <c r="L115" s="36">
        <v>7390</v>
      </c>
      <c r="M115" s="36"/>
      <c r="N115" s="33" t="s">
        <v>1280</v>
      </c>
      <c r="O115" s="18" t="s">
        <v>1257</v>
      </c>
      <c r="P115" s="16">
        <f>(C116+C121)</f>
        <v>7419</v>
      </c>
      <c r="Q115" s="17">
        <f>SUM(P115/P120)</f>
        <v>0.14447062489046406</v>
      </c>
      <c r="R115" s="14">
        <v>1</v>
      </c>
    </row>
    <row r="116" spans="1:18" s="2" customFormat="1" ht="16.5" customHeight="1" thickBot="1">
      <c r="A116" s="6" t="s">
        <v>2027</v>
      </c>
      <c r="B116" s="9" t="s">
        <v>1257</v>
      </c>
      <c r="C116" s="8">
        <v>5480</v>
      </c>
      <c r="D116" s="8">
        <v>5507</v>
      </c>
      <c r="E116" s="8">
        <v>5524</v>
      </c>
      <c r="F116" s="8">
        <v>5788</v>
      </c>
      <c r="G116" s="8">
        <v>6133</v>
      </c>
      <c r="H116" s="8">
        <v>6137</v>
      </c>
      <c r="I116" s="8">
        <v>6137</v>
      </c>
      <c r="J116" s="36">
        <v>7770</v>
      </c>
      <c r="K116" s="36"/>
      <c r="L116" s="8"/>
      <c r="M116" s="36"/>
      <c r="N116" s="33" t="s">
        <v>1252</v>
      </c>
      <c r="O116" s="30" t="s">
        <v>1258</v>
      </c>
      <c r="P116" s="16">
        <v>4826</v>
      </c>
      <c r="Q116" s="17">
        <f>SUM(P116/P120)</f>
        <v>9.3976982844235002E-2</v>
      </c>
      <c r="R116" s="2">
        <v>1</v>
      </c>
    </row>
    <row r="117" spans="1:18" s="2" customFormat="1" ht="16.5" customHeight="1" thickBot="1">
      <c r="A117" s="6" t="s">
        <v>1894</v>
      </c>
      <c r="B117" s="28" t="s">
        <v>1258</v>
      </c>
      <c r="C117" s="8">
        <v>4826</v>
      </c>
      <c r="D117" s="8">
        <v>4830</v>
      </c>
      <c r="E117" s="8">
        <v>4840</v>
      </c>
      <c r="F117" s="8">
        <v>5261</v>
      </c>
      <c r="G117" s="8">
        <v>5270</v>
      </c>
      <c r="H117" s="8">
        <v>5272</v>
      </c>
      <c r="I117" s="8">
        <v>5273</v>
      </c>
      <c r="J117" s="8">
        <v>5631</v>
      </c>
      <c r="K117" s="8">
        <v>5792</v>
      </c>
      <c r="L117" s="8">
        <v>5849</v>
      </c>
      <c r="M117" s="36">
        <v>8170</v>
      </c>
      <c r="N117" s="33" t="s">
        <v>1251</v>
      </c>
      <c r="O117" s="15" t="s">
        <v>1261</v>
      </c>
      <c r="P117" s="21">
        <f>(C113+C115+C118+C119)</f>
        <v>23257</v>
      </c>
      <c r="Q117" s="17">
        <f>SUM(P117/P120)</f>
        <v>0.45288493369423405</v>
      </c>
      <c r="R117" s="2">
        <v>3</v>
      </c>
    </row>
    <row r="118" spans="1:18" s="2" customFormat="1" ht="16.5" customHeight="1" thickBot="1">
      <c r="A118" s="12" t="s">
        <v>2033</v>
      </c>
      <c r="B118" s="20" t="s">
        <v>1261</v>
      </c>
      <c r="C118" s="8">
        <v>3731</v>
      </c>
      <c r="D118" s="8">
        <v>4132</v>
      </c>
      <c r="E118" s="8">
        <v>4230</v>
      </c>
      <c r="F118" s="8">
        <v>4232</v>
      </c>
      <c r="G118" s="8">
        <v>4379</v>
      </c>
      <c r="H118" s="8">
        <v>4438</v>
      </c>
      <c r="I118" s="8">
        <v>4501</v>
      </c>
      <c r="J118" s="8">
        <v>4517</v>
      </c>
      <c r="K118" s="8">
        <v>4528</v>
      </c>
      <c r="L118" s="8">
        <v>5114</v>
      </c>
      <c r="M118" s="8">
        <v>5186</v>
      </c>
      <c r="N118" s="33"/>
      <c r="O118" s="31" t="s">
        <v>1269</v>
      </c>
      <c r="P118" s="21">
        <v>1502</v>
      </c>
      <c r="Q118" s="17">
        <f>SUM(P118/P120)</f>
        <v>2.924853465230853E-2</v>
      </c>
    </row>
    <row r="119" spans="1:18" s="2" customFormat="1" ht="16.5" customHeight="1" thickBot="1">
      <c r="A119" s="6" t="s">
        <v>2029</v>
      </c>
      <c r="B119" s="7" t="s">
        <v>1261</v>
      </c>
      <c r="C119" s="8">
        <v>3582</v>
      </c>
      <c r="D119" s="8">
        <v>4752</v>
      </c>
      <c r="E119" s="8">
        <v>4889</v>
      </c>
      <c r="F119" s="8">
        <v>4892</v>
      </c>
      <c r="G119" s="8">
        <v>5006</v>
      </c>
      <c r="H119" s="8">
        <v>5144</v>
      </c>
      <c r="I119" s="8">
        <v>5289</v>
      </c>
      <c r="J119" s="8">
        <v>5323</v>
      </c>
      <c r="K119" s="8">
        <v>5342</v>
      </c>
      <c r="L119" s="8">
        <v>6120</v>
      </c>
      <c r="M119" s="36">
        <v>6163</v>
      </c>
      <c r="N119" s="33" t="s">
        <v>1253</v>
      </c>
      <c r="O119" s="26" t="s">
        <v>1254</v>
      </c>
      <c r="P119" s="21">
        <f>(C122+C123+C126+C127+C128+C129)</f>
        <v>4002</v>
      </c>
      <c r="Q119" s="11">
        <f>SUM(P119/P120)</f>
        <v>7.793118220941328E-2</v>
      </c>
    </row>
    <row r="120" spans="1:18" s="2" customFormat="1" ht="16.5" customHeight="1" thickBot="1">
      <c r="A120" s="12" t="s">
        <v>1419</v>
      </c>
      <c r="B120" s="42" t="s">
        <v>1304</v>
      </c>
      <c r="C120" s="8">
        <v>2576</v>
      </c>
      <c r="D120" s="8">
        <v>2577</v>
      </c>
      <c r="E120" s="8">
        <v>2581</v>
      </c>
      <c r="F120" s="8">
        <v>2886</v>
      </c>
      <c r="G120" s="8">
        <v>2904</v>
      </c>
      <c r="H120" s="8">
        <v>2905</v>
      </c>
      <c r="I120" s="8">
        <v>2906</v>
      </c>
      <c r="J120" s="8">
        <v>3125</v>
      </c>
      <c r="K120" s="8">
        <v>3271</v>
      </c>
      <c r="L120" s="8">
        <v>3313</v>
      </c>
      <c r="M120" s="8" t="s">
        <v>1326</v>
      </c>
      <c r="P120" s="23">
        <v>51353</v>
      </c>
    </row>
    <row r="121" spans="1:18" s="2" customFormat="1" ht="16.5" customHeight="1" thickBot="1">
      <c r="A121" s="12" t="s">
        <v>2034</v>
      </c>
      <c r="B121" s="22" t="s">
        <v>1257</v>
      </c>
      <c r="C121" s="8">
        <v>1939</v>
      </c>
      <c r="D121" s="8">
        <v>1946</v>
      </c>
      <c r="E121" s="8">
        <v>1962</v>
      </c>
      <c r="F121" s="8">
        <v>2481</v>
      </c>
      <c r="G121" s="8">
        <v>2642</v>
      </c>
      <c r="H121" s="8">
        <v>2646</v>
      </c>
      <c r="I121" s="8">
        <v>2647</v>
      </c>
      <c r="J121" s="8" t="s">
        <v>1326</v>
      </c>
    </row>
    <row r="122" spans="1:18" s="2" customFormat="1" ht="16.5" customHeight="1" thickBot="1">
      <c r="A122" s="12" t="s">
        <v>2035</v>
      </c>
      <c r="B122" s="29" t="s">
        <v>1267</v>
      </c>
      <c r="C122" s="8">
        <v>1658</v>
      </c>
      <c r="D122" s="8">
        <v>1811</v>
      </c>
      <c r="E122" s="8">
        <v>2000</v>
      </c>
      <c r="F122" s="8">
        <v>2009</v>
      </c>
      <c r="G122" s="8">
        <v>2563</v>
      </c>
      <c r="H122" s="8">
        <v>2675</v>
      </c>
      <c r="I122" s="8">
        <v>2785</v>
      </c>
      <c r="J122" s="8">
        <v>2890</v>
      </c>
      <c r="K122" s="8">
        <v>2955</v>
      </c>
      <c r="L122" s="8" t="s">
        <v>1326</v>
      </c>
      <c r="M122" s="17"/>
    </row>
    <row r="123" spans="1:18" s="2" customFormat="1" ht="16.5" customHeight="1" thickBot="1">
      <c r="A123" s="12" t="s">
        <v>2036</v>
      </c>
      <c r="B123" s="38" t="s">
        <v>1423</v>
      </c>
      <c r="C123" s="8">
        <v>1562</v>
      </c>
      <c r="D123" s="8">
        <v>1567</v>
      </c>
      <c r="E123" s="8">
        <v>1578</v>
      </c>
      <c r="F123" s="43" t="s">
        <v>1326</v>
      </c>
      <c r="M123" s="17"/>
    </row>
    <row r="124" spans="1:18" s="2" customFormat="1" ht="16.5" customHeight="1" thickBot="1">
      <c r="A124" s="12" t="s">
        <v>2032</v>
      </c>
      <c r="B124" s="13" t="s">
        <v>1247</v>
      </c>
      <c r="C124" s="8">
        <v>1520</v>
      </c>
      <c r="D124" s="8">
        <v>1603</v>
      </c>
      <c r="E124" s="8">
        <v>1697</v>
      </c>
      <c r="F124" s="8">
        <v>1697</v>
      </c>
      <c r="G124" s="8">
        <v>1716</v>
      </c>
      <c r="H124" s="8" t="s">
        <v>1326</v>
      </c>
    </row>
    <row r="125" spans="1:18" s="2" customFormat="1" ht="16.5" customHeight="1" thickBot="1">
      <c r="A125" s="12" t="s">
        <v>2037</v>
      </c>
      <c r="B125" s="32" t="s">
        <v>1269</v>
      </c>
      <c r="C125" s="8">
        <v>1502</v>
      </c>
      <c r="D125" s="8">
        <v>1586</v>
      </c>
      <c r="E125" s="8">
        <v>1675</v>
      </c>
      <c r="F125" s="8">
        <v>1697</v>
      </c>
      <c r="G125" s="8" t="s">
        <v>1326</v>
      </c>
    </row>
    <row r="126" spans="1:18" s="2" customFormat="1" ht="16.5" customHeight="1" thickBot="1">
      <c r="A126" s="12" t="s">
        <v>1324</v>
      </c>
      <c r="B126" s="80" t="s">
        <v>1997</v>
      </c>
      <c r="C126" s="8">
        <v>498</v>
      </c>
      <c r="D126" s="43">
        <v>634</v>
      </c>
      <c r="E126" s="43" t="s">
        <v>1326</v>
      </c>
    </row>
    <row r="127" spans="1:18" s="2" customFormat="1" ht="16.5" customHeight="1" thickBot="1">
      <c r="A127" s="12" t="s">
        <v>1325</v>
      </c>
      <c r="B127" s="37" t="s">
        <v>1286</v>
      </c>
      <c r="C127" s="8">
        <v>130</v>
      </c>
      <c r="D127" s="8">
        <v>151</v>
      </c>
      <c r="E127" s="43" t="s">
        <v>1326</v>
      </c>
      <c r="G127" s="17"/>
      <c r="M127" s="21"/>
    </row>
    <row r="128" spans="1:18" s="2" customFormat="1" ht="16.5" customHeight="1" thickBot="1">
      <c r="A128" s="12" t="s">
        <v>2038</v>
      </c>
      <c r="B128" s="38" t="s">
        <v>2039</v>
      </c>
      <c r="C128" s="8">
        <v>121</v>
      </c>
      <c r="D128" s="43">
        <v>148</v>
      </c>
      <c r="E128" s="43" t="s">
        <v>1326</v>
      </c>
    </row>
    <row r="129" spans="1:21" s="2" customFormat="1" ht="16.5" customHeight="1" thickBot="1">
      <c r="A129" s="12" t="s">
        <v>2040</v>
      </c>
      <c r="B129" s="38" t="s">
        <v>1958</v>
      </c>
      <c r="C129" s="8">
        <v>33</v>
      </c>
      <c r="D129" s="8">
        <v>38</v>
      </c>
      <c r="E129" s="43" t="s">
        <v>1326</v>
      </c>
      <c r="G129" s="17"/>
      <c r="M129" s="21"/>
    </row>
    <row r="130" spans="1:21" s="2" customFormat="1" ht="12" customHeight="1">
      <c r="A130" s="1"/>
    </row>
    <row r="131" spans="1:21" s="2" customFormat="1" ht="16.5" customHeight="1">
      <c r="A131" s="1" t="s">
        <v>2041</v>
      </c>
    </row>
    <row r="132" spans="1:21" s="2" customFormat="1" ht="9.75" customHeight="1" thickBot="1">
      <c r="A132" s="3"/>
    </row>
    <row r="133" spans="1:21" s="2" customFormat="1" ht="16.5" customHeight="1" thickBot="1">
      <c r="A133" s="4" t="s">
        <v>1244</v>
      </c>
      <c r="B133" s="5" t="s">
        <v>1245</v>
      </c>
      <c r="C133" s="5" t="s">
        <v>1246</v>
      </c>
      <c r="D133" s="5">
        <v>2</v>
      </c>
      <c r="E133" s="5">
        <v>3</v>
      </c>
      <c r="F133" s="5">
        <v>4</v>
      </c>
      <c r="G133" s="5">
        <v>5</v>
      </c>
      <c r="H133" s="5">
        <v>6</v>
      </c>
      <c r="I133" s="5">
        <v>7</v>
      </c>
      <c r="J133" s="5">
        <v>8</v>
      </c>
      <c r="K133" s="5">
        <v>9</v>
      </c>
      <c r="L133" s="5">
        <v>10</v>
      </c>
      <c r="M133" s="5">
        <v>11</v>
      </c>
      <c r="N133" s="5">
        <v>12</v>
      </c>
      <c r="O133" s="5">
        <v>13</v>
      </c>
      <c r="P133" s="5">
        <v>14</v>
      </c>
      <c r="Q133" s="5"/>
      <c r="R133" s="10" t="s">
        <v>1413</v>
      </c>
      <c r="S133" s="11">
        <f>(51223/70852)</f>
        <v>0.7229577146728392</v>
      </c>
    </row>
    <row r="134" spans="1:21" s="2" customFormat="1" ht="16.5" customHeight="1" thickBot="1">
      <c r="A134" s="6" t="s">
        <v>2042</v>
      </c>
      <c r="B134" s="9" t="s">
        <v>1257</v>
      </c>
      <c r="C134" s="36">
        <v>12338</v>
      </c>
      <c r="D134" s="8"/>
      <c r="E134" s="8"/>
      <c r="F134" s="8"/>
      <c r="G134" s="8"/>
      <c r="H134" s="8"/>
      <c r="I134" s="36"/>
      <c r="J134" s="8"/>
      <c r="K134" s="8"/>
      <c r="L134" s="8"/>
      <c r="M134" s="8"/>
      <c r="N134" s="8"/>
      <c r="O134" s="8"/>
      <c r="P134" s="8"/>
      <c r="Q134" s="33" t="s">
        <v>1271</v>
      </c>
      <c r="R134" s="14"/>
      <c r="S134" s="10" t="s">
        <v>1248</v>
      </c>
      <c r="T134" s="10" t="s">
        <v>1249</v>
      </c>
      <c r="U134" s="10" t="s">
        <v>1250</v>
      </c>
    </row>
    <row r="135" spans="1:21" s="2" customFormat="1" ht="16.5" customHeight="1" thickBot="1">
      <c r="A135" s="6" t="s">
        <v>2048</v>
      </c>
      <c r="B135" s="7" t="s">
        <v>1261</v>
      </c>
      <c r="C135" s="36">
        <v>9260</v>
      </c>
      <c r="D135" s="8"/>
      <c r="E135" s="8"/>
      <c r="F135" s="8"/>
      <c r="G135" s="36"/>
      <c r="H135" s="8"/>
      <c r="I135" s="8"/>
      <c r="J135" s="36"/>
      <c r="K135" s="8"/>
      <c r="L135" s="8"/>
      <c r="M135" s="8"/>
      <c r="N135" s="8"/>
      <c r="O135" s="8"/>
      <c r="P135" s="8"/>
      <c r="Q135" s="33" t="s">
        <v>1362</v>
      </c>
      <c r="R135" s="19" t="s">
        <v>1247</v>
      </c>
      <c r="S135" s="16">
        <f>(C137+C140)</f>
        <v>7216</v>
      </c>
      <c r="T135" s="17">
        <f>SUM(S135/S141)</f>
        <v>0.14317744399690471</v>
      </c>
      <c r="U135" s="14">
        <v>1</v>
      </c>
    </row>
    <row r="136" spans="1:21" s="2" customFormat="1" ht="16.5" customHeight="1" thickBot="1">
      <c r="A136" s="6" t="s">
        <v>2044</v>
      </c>
      <c r="B136" s="35" t="s">
        <v>2050</v>
      </c>
      <c r="C136" s="8">
        <v>4855</v>
      </c>
      <c r="D136" s="8">
        <v>5365</v>
      </c>
      <c r="E136" s="8">
        <v>5365</v>
      </c>
      <c r="F136" s="8">
        <v>5379</v>
      </c>
      <c r="G136" s="8">
        <v>5432</v>
      </c>
      <c r="H136" s="8">
        <v>5448</v>
      </c>
      <c r="I136" s="8">
        <v>5547</v>
      </c>
      <c r="J136" s="8">
        <v>6268</v>
      </c>
      <c r="K136" s="8">
        <v>6351</v>
      </c>
      <c r="L136" s="8">
        <v>6353</v>
      </c>
      <c r="M136" s="8">
        <v>6636</v>
      </c>
      <c r="N136" s="8">
        <v>7150</v>
      </c>
      <c r="O136" s="36">
        <v>7792</v>
      </c>
      <c r="P136" s="36"/>
      <c r="Q136" s="33" t="s">
        <v>1251</v>
      </c>
      <c r="R136" s="18" t="s">
        <v>1257</v>
      </c>
      <c r="S136" s="16">
        <f>(C134+C144+C145+C146)</f>
        <v>14559</v>
      </c>
      <c r="T136" s="17">
        <f>SUM(S136/S141)</f>
        <v>0.2888747792614933</v>
      </c>
      <c r="U136" s="14">
        <v>2</v>
      </c>
    </row>
    <row r="137" spans="1:21" s="2" customFormat="1" ht="16.5" customHeight="1" thickBot="1">
      <c r="A137" s="6" t="s">
        <v>2043</v>
      </c>
      <c r="B137" s="25" t="s">
        <v>1247</v>
      </c>
      <c r="C137" s="8">
        <v>4301</v>
      </c>
      <c r="D137" s="8">
        <v>4306</v>
      </c>
      <c r="E137" s="8">
        <v>4578</v>
      </c>
      <c r="F137" s="8">
        <v>4584</v>
      </c>
      <c r="G137" s="8">
        <v>4584</v>
      </c>
      <c r="H137" s="8">
        <v>4709</v>
      </c>
      <c r="I137" s="8">
        <v>4714</v>
      </c>
      <c r="J137" s="8">
        <v>4714</v>
      </c>
      <c r="K137" s="8">
        <v>4773</v>
      </c>
      <c r="L137" s="36">
        <v>7413</v>
      </c>
      <c r="M137" s="8"/>
      <c r="N137" s="8"/>
      <c r="O137" s="36"/>
      <c r="P137" s="8"/>
      <c r="Q137" s="33" t="s">
        <v>1252</v>
      </c>
      <c r="R137" s="30" t="s">
        <v>1258</v>
      </c>
      <c r="S137" s="16">
        <f>(C138+C139)</f>
        <v>7812</v>
      </c>
      <c r="T137" s="17">
        <f>SUM(S137/S141)</f>
        <v>0.15500307545784639</v>
      </c>
      <c r="U137" s="2">
        <v>1</v>
      </c>
    </row>
    <row r="138" spans="1:21" s="2" customFormat="1" ht="16.5" customHeight="1" thickBot="1">
      <c r="A138" s="6" t="s">
        <v>2045</v>
      </c>
      <c r="B138" s="28" t="s">
        <v>1258</v>
      </c>
      <c r="C138" s="8">
        <v>4177</v>
      </c>
      <c r="D138" s="8">
        <v>4310</v>
      </c>
      <c r="E138" s="8">
        <v>4311</v>
      </c>
      <c r="F138" s="8">
        <v>4315</v>
      </c>
      <c r="G138" s="8">
        <v>4388</v>
      </c>
      <c r="H138" s="8">
        <v>4399</v>
      </c>
      <c r="I138" s="8">
        <v>4443</v>
      </c>
      <c r="J138" s="8">
        <v>4727</v>
      </c>
      <c r="K138" s="8">
        <v>4740</v>
      </c>
      <c r="L138" s="8">
        <v>4742</v>
      </c>
      <c r="M138" s="8">
        <v>4744</v>
      </c>
      <c r="N138" s="8">
        <v>4872</v>
      </c>
      <c r="O138" s="36">
        <v>8035</v>
      </c>
      <c r="P138" s="8"/>
      <c r="Q138" s="33" t="s">
        <v>1280</v>
      </c>
      <c r="R138" s="15" t="s">
        <v>1261</v>
      </c>
      <c r="S138" s="21">
        <f>(C135+C141)</f>
        <v>11947</v>
      </c>
      <c r="T138" s="17">
        <f>SUM(S138/S141)</f>
        <v>0.2370483541340106</v>
      </c>
      <c r="U138" s="2">
        <v>1</v>
      </c>
    </row>
    <row r="139" spans="1:21" s="2" customFormat="1" ht="16.5" customHeight="1" thickBot="1">
      <c r="A139" s="12" t="s">
        <v>2047</v>
      </c>
      <c r="B139" s="27" t="s">
        <v>1258</v>
      </c>
      <c r="C139" s="8">
        <v>3635</v>
      </c>
      <c r="D139" s="8">
        <v>3737</v>
      </c>
      <c r="E139" s="8">
        <v>3739</v>
      </c>
      <c r="F139" s="8">
        <v>3745</v>
      </c>
      <c r="G139" s="8">
        <v>3786</v>
      </c>
      <c r="H139" s="8">
        <v>3804</v>
      </c>
      <c r="I139" s="8">
        <v>3829</v>
      </c>
      <c r="J139" s="8">
        <v>4203</v>
      </c>
      <c r="K139" s="8">
        <v>4238</v>
      </c>
      <c r="L139" s="8">
        <v>4241</v>
      </c>
      <c r="M139" s="8">
        <v>4242</v>
      </c>
      <c r="N139" s="8">
        <v>4376</v>
      </c>
      <c r="O139" s="8" t="s">
        <v>1326</v>
      </c>
      <c r="R139" s="31" t="s">
        <v>1269</v>
      </c>
      <c r="S139" s="21">
        <v>1556</v>
      </c>
      <c r="T139" s="17">
        <f>SUM(S139/S141)</f>
        <v>3.0873628445008829E-2</v>
      </c>
    </row>
    <row r="140" spans="1:21" s="2" customFormat="1" ht="16.5" customHeight="1" thickBot="1">
      <c r="A140" s="12" t="s">
        <v>2046</v>
      </c>
      <c r="B140" s="13" t="s">
        <v>1247</v>
      </c>
      <c r="C140" s="8">
        <v>2915</v>
      </c>
      <c r="D140" s="8">
        <v>2919</v>
      </c>
      <c r="E140" s="8">
        <v>3017</v>
      </c>
      <c r="F140" s="8">
        <v>3022</v>
      </c>
      <c r="G140" s="8">
        <v>3023</v>
      </c>
      <c r="H140" s="8">
        <v>3129</v>
      </c>
      <c r="I140" s="8">
        <v>3132</v>
      </c>
      <c r="J140" s="8">
        <v>3132</v>
      </c>
      <c r="K140" s="8">
        <v>3174</v>
      </c>
      <c r="L140" s="8" t="s">
        <v>1326</v>
      </c>
      <c r="R140" s="26" t="s">
        <v>1254</v>
      </c>
      <c r="S140" s="21">
        <f>(C136+C143+C147+C148+C149+C150+C151)</f>
        <v>7309</v>
      </c>
      <c r="T140" s="11">
        <f>SUM(S140/S141)</f>
        <v>0.14502271870473621</v>
      </c>
      <c r="U140" s="2">
        <v>1</v>
      </c>
    </row>
    <row r="141" spans="1:21" s="2" customFormat="1" ht="16.5" customHeight="1" thickBot="1">
      <c r="A141" s="12" t="s">
        <v>2049</v>
      </c>
      <c r="B141" s="20" t="s">
        <v>1261</v>
      </c>
      <c r="C141" s="8">
        <v>2687</v>
      </c>
      <c r="D141" s="8">
        <v>2732</v>
      </c>
      <c r="E141" s="8">
        <v>4167</v>
      </c>
      <c r="F141" s="8">
        <v>4185</v>
      </c>
      <c r="G141" s="8">
        <v>4185</v>
      </c>
      <c r="H141" s="8">
        <v>4447</v>
      </c>
      <c r="I141" s="8">
        <v>4457</v>
      </c>
      <c r="J141" s="8">
        <v>4460</v>
      </c>
      <c r="K141" s="8">
        <v>5219</v>
      </c>
      <c r="L141" s="8">
        <v>5484</v>
      </c>
      <c r="M141" s="8">
        <v>5689</v>
      </c>
      <c r="N141" s="8">
        <v>5786</v>
      </c>
      <c r="O141" s="8">
        <v>5873</v>
      </c>
      <c r="P141" s="8">
        <v>5876</v>
      </c>
      <c r="Q141" s="33"/>
      <c r="S141" s="23">
        <v>50399</v>
      </c>
    </row>
    <row r="142" spans="1:21" s="2" customFormat="1" ht="16.5" customHeight="1" thickBot="1">
      <c r="A142" s="12" t="s">
        <v>1753</v>
      </c>
      <c r="B142" s="32" t="s">
        <v>1269</v>
      </c>
      <c r="C142" s="8">
        <v>1556</v>
      </c>
      <c r="D142" s="8">
        <v>1795</v>
      </c>
      <c r="E142" s="8">
        <v>1865</v>
      </c>
      <c r="F142" s="8">
        <v>1898</v>
      </c>
      <c r="G142" s="8">
        <v>1902</v>
      </c>
      <c r="H142" s="8">
        <v>2059</v>
      </c>
      <c r="I142" s="8">
        <v>2114</v>
      </c>
      <c r="J142" s="8">
        <v>2133</v>
      </c>
      <c r="K142" s="8" t="s">
        <v>1326</v>
      </c>
    </row>
    <row r="143" spans="1:21" s="2" customFormat="1" ht="16.5" customHeight="1" thickBot="1">
      <c r="A143" s="12" t="s">
        <v>1948</v>
      </c>
      <c r="B143" s="42" t="s">
        <v>1304</v>
      </c>
      <c r="C143" s="8">
        <v>1405</v>
      </c>
      <c r="D143" s="8">
        <v>1510</v>
      </c>
      <c r="E143" s="8">
        <v>1510</v>
      </c>
      <c r="F143" s="8">
        <v>1515</v>
      </c>
      <c r="G143" s="8">
        <v>1530</v>
      </c>
      <c r="H143" s="8">
        <v>1537</v>
      </c>
      <c r="I143" s="8">
        <v>1556</v>
      </c>
      <c r="J143" s="8" t="s">
        <v>1326</v>
      </c>
      <c r="N143" s="17"/>
    </row>
    <row r="144" spans="1:21" s="2" customFormat="1" ht="16.5" customHeight="1" thickBot="1">
      <c r="A144" s="12" t="s">
        <v>1746</v>
      </c>
      <c r="B144" s="22" t="s">
        <v>1257</v>
      </c>
      <c r="C144" s="8">
        <v>1097</v>
      </c>
      <c r="D144" s="8">
        <v>2449</v>
      </c>
      <c r="E144" s="8">
        <v>2451</v>
      </c>
      <c r="F144" s="8">
        <v>2471</v>
      </c>
      <c r="G144" s="8">
        <v>2481</v>
      </c>
      <c r="H144" s="8">
        <v>2515</v>
      </c>
      <c r="I144" s="8">
        <v>2985</v>
      </c>
      <c r="J144" s="8">
        <v>3033</v>
      </c>
      <c r="K144" s="8">
        <v>3414</v>
      </c>
      <c r="L144" s="8">
        <v>3420</v>
      </c>
      <c r="M144" s="8">
        <v>3421</v>
      </c>
      <c r="N144" s="8" t="s">
        <v>1326</v>
      </c>
    </row>
    <row r="145" spans="1:17" s="2" customFormat="1" ht="16.5" customHeight="1" thickBot="1">
      <c r="A145" s="6" t="s">
        <v>1429</v>
      </c>
      <c r="B145" s="9" t="s">
        <v>1257</v>
      </c>
      <c r="C145" s="8">
        <v>669</v>
      </c>
      <c r="D145" s="8">
        <v>2381</v>
      </c>
      <c r="E145" s="8">
        <v>2383</v>
      </c>
      <c r="F145" s="8">
        <v>2403</v>
      </c>
      <c r="G145" s="8">
        <v>2411</v>
      </c>
      <c r="H145" s="8">
        <v>2432</v>
      </c>
      <c r="I145" s="8">
        <v>2972</v>
      </c>
      <c r="J145" s="8">
        <v>3051</v>
      </c>
      <c r="K145" s="8">
        <v>3448</v>
      </c>
      <c r="L145" s="8">
        <v>3457</v>
      </c>
      <c r="M145" s="8">
        <v>3457</v>
      </c>
      <c r="N145" s="8">
        <v>6023</v>
      </c>
      <c r="O145" s="8">
        <v>6354</v>
      </c>
      <c r="P145" s="36">
        <v>6527</v>
      </c>
      <c r="Q145" s="33" t="s">
        <v>1253</v>
      </c>
    </row>
    <row r="146" spans="1:17" s="2" customFormat="1" ht="16.5" customHeight="1" thickBot="1">
      <c r="A146" s="12" t="s">
        <v>2051</v>
      </c>
      <c r="B146" s="22" t="s">
        <v>1257</v>
      </c>
      <c r="C146" s="8">
        <v>455</v>
      </c>
      <c r="D146" s="8">
        <v>1250</v>
      </c>
      <c r="E146" s="8">
        <v>1252</v>
      </c>
      <c r="F146" s="8">
        <v>1261</v>
      </c>
      <c r="G146" s="8">
        <v>1272</v>
      </c>
      <c r="H146" s="8">
        <v>1294</v>
      </c>
      <c r="I146" s="8" t="s">
        <v>1326</v>
      </c>
    </row>
    <row r="147" spans="1:17" s="2" customFormat="1" ht="16.5" customHeight="1" thickBot="1">
      <c r="A147" s="12" t="s">
        <v>2056</v>
      </c>
      <c r="B147" s="80" t="s">
        <v>1997</v>
      </c>
      <c r="C147" s="8">
        <v>439</v>
      </c>
      <c r="D147" s="8">
        <v>470</v>
      </c>
      <c r="E147" s="8">
        <v>506</v>
      </c>
      <c r="F147" s="8">
        <v>522</v>
      </c>
      <c r="G147" s="8">
        <v>523</v>
      </c>
      <c r="H147" s="8" t="s">
        <v>1326</v>
      </c>
      <c r="M147" s="21"/>
    </row>
    <row r="148" spans="1:17" s="2" customFormat="1" ht="16.5" customHeight="1" thickBot="1">
      <c r="A148" s="12" t="s">
        <v>1754</v>
      </c>
      <c r="B148" s="37" t="s">
        <v>1286</v>
      </c>
      <c r="C148" s="8">
        <v>270</v>
      </c>
      <c r="D148" s="8">
        <v>296</v>
      </c>
      <c r="E148" s="8">
        <v>374</v>
      </c>
      <c r="F148" s="8">
        <v>384</v>
      </c>
      <c r="G148" s="8">
        <v>385</v>
      </c>
      <c r="H148" s="8" t="s">
        <v>1326</v>
      </c>
      <c r="N148" s="17"/>
    </row>
    <row r="149" spans="1:17" s="2" customFormat="1" ht="16.5" customHeight="1" thickBot="1">
      <c r="A149" s="12" t="s">
        <v>2052</v>
      </c>
      <c r="B149" s="38" t="s">
        <v>2053</v>
      </c>
      <c r="C149" s="8">
        <v>207</v>
      </c>
      <c r="D149" s="8">
        <v>220</v>
      </c>
      <c r="E149" s="8">
        <v>220</v>
      </c>
      <c r="F149" s="8">
        <v>224</v>
      </c>
      <c r="G149" s="8" t="s">
        <v>1326</v>
      </c>
    </row>
    <row r="150" spans="1:17" s="2" customFormat="1" ht="16.5" customHeight="1" thickBot="1">
      <c r="A150" s="12" t="s">
        <v>2054</v>
      </c>
      <c r="B150" s="38" t="s">
        <v>1755</v>
      </c>
      <c r="C150" s="8">
        <v>101</v>
      </c>
      <c r="D150" s="8">
        <v>143</v>
      </c>
      <c r="E150" s="8">
        <v>146</v>
      </c>
      <c r="F150" s="8" t="s">
        <v>1326</v>
      </c>
    </row>
    <row r="151" spans="1:17" s="2" customFormat="1" ht="16.5" customHeight="1" thickBot="1">
      <c r="A151" s="12" t="s">
        <v>2055</v>
      </c>
      <c r="B151" s="38" t="s">
        <v>1958</v>
      </c>
      <c r="C151" s="8">
        <v>32</v>
      </c>
      <c r="D151" s="8">
        <v>35</v>
      </c>
      <c r="E151" s="8">
        <v>38</v>
      </c>
      <c r="F151" s="8" t="s">
        <v>1326</v>
      </c>
      <c r="M151" s="21"/>
    </row>
    <row r="152" spans="1:17" s="2" customFormat="1" ht="12" customHeight="1">
      <c r="A152" s="1"/>
    </row>
    <row r="153" spans="1:17" s="2" customFormat="1" ht="16.5" customHeight="1">
      <c r="A153" s="1" t="s">
        <v>2057</v>
      </c>
    </row>
    <row r="154" spans="1:17" s="2" customFormat="1" ht="9.75" customHeight="1" thickBot="1">
      <c r="A154" s="3"/>
    </row>
    <row r="155" spans="1:17" s="2" customFormat="1" ht="16.5" customHeight="1" thickBot="1">
      <c r="A155" s="4" t="s">
        <v>1244</v>
      </c>
      <c r="B155" s="5" t="s">
        <v>1245</v>
      </c>
      <c r="C155" s="5" t="s">
        <v>1246</v>
      </c>
      <c r="D155" s="5">
        <v>2</v>
      </c>
      <c r="E155" s="5">
        <v>3</v>
      </c>
      <c r="F155" s="5">
        <v>4</v>
      </c>
      <c r="G155" s="5">
        <v>5</v>
      </c>
      <c r="H155" s="5">
        <v>6</v>
      </c>
      <c r="I155" s="5">
        <v>7</v>
      </c>
      <c r="J155" s="5">
        <v>8</v>
      </c>
      <c r="K155" s="5">
        <v>9</v>
      </c>
      <c r="L155" s="5"/>
      <c r="M155" s="10" t="s">
        <v>1413</v>
      </c>
      <c r="N155" s="11">
        <f>(47074/71661)</f>
        <v>0.65689845243577394</v>
      </c>
    </row>
    <row r="156" spans="1:17" s="2" customFormat="1" ht="16.5" customHeight="1" thickBot="1">
      <c r="A156" s="6" t="s">
        <v>2059</v>
      </c>
      <c r="B156" s="45" t="s">
        <v>1269</v>
      </c>
      <c r="C156" s="36">
        <v>6788</v>
      </c>
      <c r="D156" s="8"/>
      <c r="E156" s="8"/>
      <c r="F156" s="8"/>
      <c r="G156" s="8"/>
      <c r="H156" s="8"/>
      <c r="I156" s="36"/>
      <c r="J156" s="8"/>
      <c r="K156" s="8"/>
      <c r="L156" s="33" t="s">
        <v>1271</v>
      </c>
      <c r="M156" s="14"/>
      <c r="N156" s="10" t="s">
        <v>1248</v>
      </c>
      <c r="O156" s="10" t="s">
        <v>1249</v>
      </c>
      <c r="P156" s="10" t="s">
        <v>1250</v>
      </c>
    </row>
    <row r="157" spans="1:17" s="2" customFormat="1" ht="16.5" customHeight="1" thickBot="1">
      <c r="A157" s="6" t="s">
        <v>2061</v>
      </c>
      <c r="B157" s="9" t="s">
        <v>1257</v>
      </c>
      <c r="C157" s="8">
        <v>5965</v>
      </c>
      <c r="D157" s="8">
        <v>5984</v>
      </c>
      <c r="E157" s="8">
        <v>6163</v>
      </c>
      <c r="F157" s="8">
        <v>6309</v>
      </c>
      <c r="G157" s="36">
        <v>6679</v>
      </c>
      <c r="H157" s="36"/>
      <c r="I157" s="8"/>
      <c r="J157" s="36"/>
      <c r="K157" s="8"/>
      <c r="L157" s="33" t="s">
        <v>1362</v>
      </c>
      <c r="M157" s="19" t="s">
        <v>1247</v>
      </c>
      <c r="N157" s="16">
        <v>2000</v>
      </c>
      <c r="O157" s="17">
        <f>SUM(N157/N163)</f>
        <v>4.3001505052676844E-2</v>
      </c>
      <c r="P157" s="14"/>
    </row>
    <row r="158" spans="1:17" s="2" customFormat="1" ht="16.5" customHeight="1" thickBot="1">
      <c r="A158" s="6" t="s">
        <v>2063</v>
      </c>
      <c r="B158" s="72" t="s">
        <v>1304</v>
      </c>
      <c r="C158" s="8">
        <v>5361</v>
      </c>
      <c r="D158" s="8">
        <v>5398</v>
      </c>
      <c r="E158" s="8">
        <v>5493</v>
      </c>
      <c r="F158" s="8">
        <v>5507</v>
      </c>
      <c r="G158" s="8">
        <v>5542</v>
      </c>
      <c r="H158" s="8">
        <v>5543</v>
      </c>
      <c r="I158" s="8">
        <v>5879</v>
      </c>
      <c r="J158" s="8">
        <v>6622</v>
      </c>
      <c r="K158" s="36">
        <v>6859</v>
      </c>
      <c r="L158" s="33" t="s">
        <v>1251</v>
      </c>
      <c r="M158" s="18" t="s">
        <v>1257</v>
      </c>
      <c r="N158" s="16">
        <f>(C157+C161+C163+C166)</f>
        <v>14339</v>
      </c>
      <c r="O158" s="17">
        <f>SUM(N158/N163)</f>
        <v>0.30829929047516663</v>
      </c>
      <c r="P158" s="14">
        <v>2</v>
      </c>
    </row>
    <row r="159" spans="1:17" s="2" customFormat="1" ht="16.5" customHeight="1" thickBot="1">
      <c r="A159" s="6" t="s">
        <v>2058</v>
      </c>
      <c r="B159" s="28" t="s">
        <v>1258</v>
      </c>
      <c r="C159" s="8">
        <v>5239</v>
      </c>
      <c r="D159" s="8">
        <v>5266</v>
      </c>
      <c r="E159" s="8">
        <v>5319</v>
      </c>
      <c r="F159" s="8">
        <v>5333</v>
      </c>
      <c r="G159" s="8">
        <v>5370</v>
      </c>
      <c r="H159" s="8">
        <v>5371</v>
      </c>
      <c r="I159" s="36">
        <v>7642</v>
      </c>
      <c r="J159" s="8"/>
      <c r="K159" s="8"/>
      <c r="L159" s="33" t="s">
        <v>1252</v>
      </c>
      <c r="M159" s="30" t="s">
        <v>1258</v>
      </c>
      <c r="N159" s="16">
        <f>(C159+C164)</f>
        <v>8350</v>
      </c>
      <c r="O159" s="17">
        <f>SUM(N159/N163)</f>
        <v>0.17953128359492582</v>
      </c>
      <c r="P159" s="2">
        <v>1</v>
      </c>
    </row>
    <row r="160" spans="1:17" s="2" customFormat="1" ht="16.5" customHeight="1" thickBot="1">
      <c r="A160" s="6" t="s">
        <v>2060</v>
      </c>
      <c r="B160" s="7" t="s">
        <v>1261</v>
      </c>
      <c r="C160" s="8">
        <v>4039</v>
      </c>
      <c r="D160" s="8">
        <v>4066</v>
      </c>
      <c r="E160" s="8">
        <v>4069</v>
      </c>
      <c r="F160" s="8">
        <v>4413</v>
      </c>
      <c r="G160" s="8">
        <v>4431</v>
      </c>
      <c r="H160" s="8">
        <v>6191</v>
      </c>
      <c r="I160" s="8">
        <v>6192</v>
      </c>
      <c r="J160" s="8">
        <v>6193</v>
      </c>
      <c r="K160" s="36">
        <v>6262</v>
      </c>
      <c r="L160" s="33" t="s">
        <v>1253</v>
      </c>
      <c r="M160" s="15" t="s">
        <v>1261</v>
      </c>
      <c r="N160" s="21">
        <v>4039</v>
      </c>
      <c r="O160" s="17">
        <f>SUM(N160/N163)</f>
        <v>8.6841539453880887E-2</v>
      </c>
      <c r="P160" s="2">
        <v>1</v>
      </c>
    </row>
    <row r="161" spans="1:17" s="2" customFormat="1" ht="16.5" customHeight="1" thickBot="1">
      <c r="A161" s="6" t="s">
        <v>2062</v>
      </c>
      <c r="B161" s="9" t="s">
        <v>1257</v>
      </c>
      <c r="C161" s="8">
        <v>3927</v>
      </c>
      <c r="D161" s="8">
        <v>3945</v>
      </c>
      <c r="E161" s="8">
        <v>4042</v>
      </c>
      <c r="F161" s="8">
        <v>4130</v>
      </c>
      <c r="G161" s="8">
        <v>4593</v>
      </c>
      <c r="H161" s="8">
        <v>4604</v>
      </c>
      <c r="I161" s="8">
        <v>4793</v>
      </c>
      <c r="J161" s="8">
        <v>4869</v>
      </c>
      <c r="K161" s="36">
        <v>7322</v>
      </c>
      <c r="L161" s="33" t="s">
        <v>1280</v>
      </c>
      <c r="M161" s="31" t="s">
        <v>1269</v>
      </c>
      <c r="N161" s="21">
        <v>6788</v>
      </c>
      <c r="O161" s="17">
        <f>SUM(N161/N163)</f>
        <v>0.1459471081487852</v>
      </c>
      <c r="P161" s="2">
        <v>1</v>
      </c>
    </row>
    <row r="162" spans="1:17" s="2" customFormat="1" ht="16.5" customHeight="1" thickBot="1">
      <c r="A162" s="12" t="s">
        <v>2066</v>
      </c>
      <c r="B162" s="38" t="s">
        <v>2012</v>
      </c>
      <c r="C162" s="8">
        <v>3725</v>
      </c>
      <c r="D162" s="8">
        <v>3765</v>
      </c>
      <c r="E162" s="8">
        <v>3805</v>
      </c>
      <c r="F162" s="8">
        <v>3955</v>
      </c>
      <c r="G162" s="8">
        <v>4045</v>
      </c>
      <c r="H162" s="8">
        <v>4075</v>
      </c>
      <c r="I162" s="8">
        <v>4240</v>
      </c>
      <c r="J162" s="8">
        <v>4318</v>
      </c>
      <c r="K162" s="8">
        <v>4970</v>
      </c>
      <c r="L162" s="33"/>
      <c r="M162" s="26" t="s">
        <v>1254</v>
      </c>
      <c r="N162" s="21">
        <f>(C158+C162+C167+C168+C169+C170)</f>
        <v>10994</v>
      </c>
      <c r="O162" s="11">
        <f>SUM(N162/N163)</f>
        <v>0.23637927327456462</v>
      </c>
      <c r="P162" s="2">
        <v>1</v>
      </c>
    </row>
    <row r="163" spans="1:17" s="2" customFormat="1" ht="16.5" customHeight="1" thickBot="1">
      <c r="A163" s="12" t="s">
        <v>2064</v>
      </c>
      <c r="B163" s="22" t="s">
        <v>1257</v>
      </c>
      <c r="C163" s="8">
        <v>3158</v>
      </c>
      <c r="D163" s="8">
        <v>3165</v>
      </c>
      <c r="E163" s="8">
        <v>3240</v>
      </c>
      <c r="F163" s="8">
        <v>3286</v>
      </c>
      <c r="G163" s="8">
        <v>3619</v>
      </c>
      <c r="H163" s="8">
        <v>3620</v>
      </c>
      <c r="I163" s="8">
        <v>3809</v>
      </c>
      <c r="J163" s="8">
        <v>3902</v>
      </c>
      <c r="K163" s="8" t="s">
        <v>1326</v>
      </c>
      <c r="N163" s="23">
        <v>46510</v>
      </c>
    </row>
    <row r="164" spans="1:17" s="2" customFormat="1" ht="16.5" customHeight="1" thickBot="1">
      <c r="A164" s="12" t="s">
        <v>2070</v>
      </c>
      <c r="B164" s="27" t="s">
        <v>1258</v>
      </c>
      <c r="C164" s="8">
        <v>3111</v>
      </c>
      <c r="D164" s="8">
        <v>3120</v>
      </c>
      <c r="E164" s="8">
        <v>3191</v>
      </c>
      <c r="F164" s="8">
        <v>3199</v>
      </c>
      <c r="G164" s="8">
        <v>3210</v>
      </c>
      <c r="H164" s="8">
        <v>3216</v>
      </c>
      <c r="I164" s="8" t="s">
        <v>1326</v>
      </c>
    </row>
    <row r="165" spans="1:17" s="2" customFormat="1" ht="16.5" customHeight="1" thickBot="1">
      <c r="A165" s="12" t="s">
        <v>1439</v>
      </c>
      <c r="B165" s="13" t="s">
        <v>1247</v>
      </c>
      <c r="C165" s="8">
        <v>2000</v>
      </c>
      <c r="D165" s="8">
        <v>2005</v>
      </c>
      <c r="E165" s="8">
        <v>2007</v>
      </c>
      <c r="F165" s="8">
        <v>2062</v>
      </c>
      <c r="G165" s="8">
        <v>2064</v>
      </c>
      <c r="H165" s="8" t="s">
        <v>1326</v>
      </c>
      <c r="L165" s="17"/>
    </row>
    <row r="166" spans="1:17" s="2" customFormat="1" ht="16.5" customHeight="1" thickBot="1">
      <c r="A166" s="12" t="s">
        <v>2065</v>
      </c>
      <c r="B166" s="22" t="s">
        <v>1257</v>
      </c>
      <c r="C166" s="8">
        <v>1289</v>
      </c>
      <c r="D166" s="43">
        <v>1295</v>
      </c>
      <c r="E166" s="43">
        <v>1327</v>
      </c>
      <c r="F166" s="43">
        <v>1381</v>
      </c>
      <c r="G166" s="43" t="s">
        <v>1326</v>
      </c>
      <c r="L166" s="17"/>
    </row>
    <row r="167" spans="1:17" s="2" customFormat="1" ht="16.5" customHeight="1" thickBot="1">
      <c r="A167" s="12" t="s">
        <v>2067</v>
      </c>
      <c r="B167" s="29" t="s">
        <v>1267</v>
      </c>
      <c r="C167" s="8">
        <v>955</v>
      </c>
      <c r="D167" s="8">
        <v>988</v>
      </c>
      <c r="E167" s="8">
        <v>1013</v>
      </c>
      <c r="F167" s="8" t="s">
        <v>1326</v>
      </c>
      <c r="L167" s="17"/>
    </row>
    <row r="168" spans="1:17" s="2" customFormat="1" ht="16.5" customHeight="1" thickBot="1">
      <c r="A168" s="12" t="s">
        <v>2068</v>
      </c>
      <c r="B168" s="38" t="s">
        <v>1408</v>
      </c>
      <c r="C168" s="8">
        <v>702</v>
      </c>
      <c r="D168" s="8">
        <v>713</v>
      </c>
      <c r="E168" s="8" t="s">
        <v>1326</v>
      </c>
    </row>
    <row r="169" spans="1:17" s="2" customFormat="1" ht="16.5" customHeight="1" thickBot="1">
      <c r="A169" s="12" t="s">
        <v>1764</v>
      </c>
      <c r="B169" s="37" t="s">
        <v>1286</v>
      </c>
      <c r="C169" s="8">
        <v>208</v>
      </c>
      <c r="D169" s="43" t="s">
        <v>1326</v>
      </c>
      <c r="L169" s="17"/>
    </row>
    <row r="170" spans="1:17" s="2" customFormat="1" ht="16.5" customHeight="1" thickBot="1">
      <c r="A170" s="12" t="s">
        <v>2069</v>
      </c>
      <c r="B170" s="38" t="s">
        <v>1958</v>
      </c>
      <c r="C170" s="8">
        <v>43</v>
      </c>
      <c r="D170" s="8" t="s">
        <v>1326</v>
      </c>
      <c r="L170" s="17"/>
    </row>
    <row r="171" spans="1:17" s="2" customFormat="1" ht="12" customHeight="1">
      <c r="A171" s="1"/>
    </row>
    <row r="172" spans="1:17" s="2" customFormat="1" ht="16.5" customHeight="1">
      <c r="A172" s="1" t="s">
        <v>2071</v>
      </c>
    </row>
    <row r="173" spans="1:17" s="2" customFormat="1" ht="9.75" customHeight="1" thickBot="1">
      <c r="A173" s="3"/>
    </row>
    <row r="174" spans="1:17" s="2" customFormat="1" ht="16.5" customHeight="1" thickBot="1">
      <c r="A174" s="4" t="s">
        <v>1244</v>
      </c>
      <c r="B174" s="5" t="s">
        <v>1245</v>
      </c>
      <c r="C174" s="5" t="s">
        <v>1246</v>
      </c>
      <c r="D174" s="5">
        <v>2</v>
      </c>
      <c r="E174" s="5">
        <v>3</v>
      </c>
      <c r="F174" s="5">
        <v>4</v>
      </c>
      <c r="G174" s="5">
        <v>5</v>
      </c>
      <c r="H174" s="5">
        <v>6</v>
      </c>
      <c r="I174" s="5">
        <v>7</v>
      </c>
      <c r="J174" s="5">
        <v>8</v>
      </c>
      <c r="K174" s="5">
        <v>9</v>
      </c>
      <c r="L174" s="5">
        <v>10</v>
      </c>
      <c r="M174" s="5"/>
      <c r="N174" s="10" t="s">
        <v>1413</v>
      </c>
      <c r="O174" s="11">
        <f>(44599/69426)</f>
        <v>0.64239622043614786</v>
      </c>
    </row>
    <row r="175" spans="1:17" s="2" customFormat="1" ht="16.5" customHeight="1" thickBot="1">
      <c r="A175" s="6" t="s">
        <v>2072</v>
      </c>
      <c r="B175" s="9" t="s">
        <v>1257</v>
      </c>
      <c r="C175" s="36">
        <v>6691</v>
      </c>
      <c r="D175" s="8"/>
      <c r="E175" s="8"/>
      <c r="F175" s="8"/>
      <c r="G175" s="8"/>
      <c r="H175" s="8"/>
      <c r="I175" s="36"/>
      <c r="J175" s="8"/>
      <c r="K175" s="8"/>
      <c r="L175" s="36"/>
      <c r="M175" s="33" t="s">
        <v>1271</v>
      </c>
      <c r="N175" s="14"/>
      <c r="O175" s="10" t="s">
        <v>1248</v>
      </c>
      <c r="P175" s="10" t="s">
        <v>1249</v>
      </c>
      <c r="Q175" s="10" t="s">
        <v>1250</v>
      </c>
    </row>
    <row r="176" spans="1:17" s="2" customFormat="1" ht="16.5" customHeight="1" thickBot="1">
      <c r="A176" s="6" t="s">
        <v>2073</v>
      </c>
      <c r="B176" s="28" t="s">
        <v>1258</v>
      </c>
      <c r="C176" s="8">
        <v>6034</v>
      </c>
      <c r="D176" s="8">
        <v>6035</v>
      </c>
      <c r="E176" s="8">
        <v>6060</v>
      </c>
      <c r="F176" s="8">
        <v>6234</v>
      </c>
      <c r="G176" s="8">
        <v>6244</v>
      </c>
      <c r="H176" s="36">
        <v>8522</v>
      </c>
      <c r="I176" s="8"/>
      <c r="J176" s="36"/>
      <c r="K176" s="36"/>
      <c r="L176" s="8"/>
      <c r="M176" s="33" t="s">
        <v>1362</v>
      </c>
      <c r="N176" s="19" t="s">
        <v>1247</v>
      </c>
      <c r="O176" s="16">
        <v>3226</v>
      </c>
      <c r="P176" s="17">
        <f>SUM(O176/O182)</f>
        <v>7.3333181787183746E-2</v>
      </c>
      <c r="Q176" s="14"/>
    </row>
    <row r="177" spans="1:17" s="2" customFormat="1" ht="16.5" customHeight="1" thickBot="1">
      <c r="A177" s="6" t="s">
        <v>2076</v>
      </c>
      <c r="B177" s="72" t="s">
        <v>1304</v>
      </c>
      <c r="C177" s="8">
        <v>4360</v>
      </c>
      <c r="D177" s="8">
        <v>4364</v>
      </c>
      <c r="E177" s="8">
        <v>4404</v>
      </c>
      <c r="F177" s="8">
        <v>4521</v>
      </c>
      <c r="G177" s="8">
        <v>4535</v>
      </c>
      <c r="H177" s="8">
        <v>4823</v>
      </c>
      <c r="I177" s="36">
        <v>6381</v>
      </c>
      <c r="J177" s="8"/>
      <c r="K177" s="8"/>
      <c r="L177" s="36"/>
      <c r="M177" s="33" t="s">
        <v>1252</v>
      </c>
      <c r="N177" s="18" t="s">
        <v>1257</v>
      </c>
      <c r="O177" s="16">
        <f>(C175+C179+C184)</f>
        <v>13175</v>
      </c>
      <c r="P177" s="17">
        <f>SUM(O177/O182)</f>
        <v>0.2994930781296174</v>
      </c>
      <c r="Q177" s="14">
        <v>2</v>
      </c>
    </row>
    <row r="178" spans="1:17" s="2" customFormat="1" ht="16.5" customHeight="1" thickBot="1">
      <c r="A178" s="6" t="s">
        <v>2075</v>
      </c>
      <c r="B178" s="7" t="s">
        <v>1261</v>
      </c>
      <c r="C178" s="8">
        <v>4309</v>
      </c>
      <c r="D178" s="8">
        <v>4327</v>
      </c>
      <c r="E178" s="8">
        <v>4480</v>
      </c>
      <c r="F178" s="8">
        <v>4530</v>
      </c>
      <c r="G178" s="8">
        <v>4533</v>
      </c>
      <c r="H178" s="8">
        <v>4538</v>
      </c>
      <c r="I178" s="8">
        <v>4540</v>
      </c>
      <c r="J178" s="36">
        <v>6384</v>
      </c>
      <c r="K178" s="8"/>
      <c r="L178" s="8"/>
      <c r="M178" s="33" t="s">
        <v>1253</v>
      </c>
      <c r="N178" s="30" t="s">
        <v>1258</v>
      </c>
      <c r="O178" s="16">
        <f>(C176+C183)</f>
        <v>8850</v>
      </c>
      <c r="P178" s="17">
        <f>SUM(O178/O182)</f>
        <v>0.20117751358232366</v>
      </c>
      <c r="Q178" s="2">
        <v>1</v>
      </c>
    </row>
    <row r="179" spans="1:17" s="2" customFormat="1" ht="16.5" customHeight="1" thickBot="1">
      <c r="A179" s="6" t="s">
        <v>2078</v>
      </c>
      <c r="B179" s="9" t="s">
        <v>1257</v>
      </c>
      <c r="C179" s="8">
        <v>4147</v>
      </c>
      <c r="D179" s="8">
        <v>4150</v>
      </c>
      <c r="E179" s="8">
        <v>4264</v>
      </c>
      <c r="F179" s="8">
        <v>4571</v>
      </c>
      <c r="G179" s="8">
        <v>4700</v>
      </c>
      <c r="H179" s="8">
        <v>4836</v>
      </c>
      <c r="I179" s="8">
        <v>5012</v>
      </c>
      <c r="J179" s="8">
        <v>5016</v>
      </c>
      <c r="K179" s="36">
        <v>6965</v>
      </c>
      <c r="L179" s="8"/>
      <c r="M179" s="33" t="s">
        <v>1251</v>
      </c>
      <c r="N179" s="15" t="s">
        <v>1261</v>
      </c>
      <c r="O179" s="21">
        <f>(C178+C181)</f>
        <v>7783</v>
      </c>
      <c r="P179" s="17">
        <f>SUM(O179/O182)</f>
        <v>0.17692255234025142</v>
      </c>
      <c r="Q179" s="2">
        <v>1</v>
      </c>
    </row>
    <row r="180" spans="1:17" s="2" customFormat="1" ht="16.5" customHeight="1" thickBot="1">
      <c r="A180" s="6" t="s">
        <v>2074</v>
      </c>
      <c r="B180" s="45" t="s">
        <v>1269</v>
      </c>
      <c r="C180" s="8">
        <v>3778</v>
      </c>
      <c r="D180" s="8">
        <v>3810</v>
      </c>
      <c r="E180" s="8">
        <v>4233</v>
      </c>
      <c r="F180" s="8">
        <v>4456</v>
      </c>
      <c r="G180" s="8">
        <v>4484</v>
      </c>
      <c r="H180" s="8">
        <v>4498</v>
      </c>
      <c r="I180" s="8">
        <v>4507</v>
      </c>
      <c r="J180" s="8">
        <v>4567</v>
      </c>
      <c r="K180" s="8">
        <v>5074</v>
      </c>
      <c r="L180" s="36">
        <v>5655</v>
      </c>
      <c r="M180" s="33" t="s">
        <v>1280</v>
      </c>
      <c r="N180" s="31" t="s">
        <v>1269</v>
      </c>
      <c r="O180" s="21">
        <v>3778</v>
      </c>
      <c r="P180" s="17">
        <f>SUM(O180/O182)</f>
        <v>8.5881202973335458E-2</v>
      </c>
      <c r="Q180" s="2">
        <v>1</v>
      </c>
    </row>
    <row r="181" spans="1:17" s="2" customFormat="1" ht="16.5" customHeight="1" thickBot="1">
      <c r="A181" s="12" t="s">
        <v>1773</v>
      </c>
      <c r="B181" s="20" t="s">
        <v>1261</v>
      </c>
      <c r="C181" s="8">
        <v>3474</v>
      </c>
      <c r="D181" s="8">
        <v>3500</v>
      </c>
      <c r="E181" s="8">
        <v>3651</v>
      </c>
      <c r="F181" s="8">
        <v>3701</v>
      </c>
      <c r="G181" s="8">
        <v>3703</v>
      </c>
      <c r="H181" s="8">
        <v>3709</v>
      </c>
      <c r="I181" s="8">
        <v>3714</v>
      </c>
      <c r="J181" s="8">
        <v>4747</v>
      </c>
      <c r="K181" s="8">
        <v>4857</v>
      </c>
      <c r="L181" s="8">
        <v>4948</v>
      </c>
      <c r="M181" s="33"/>
      <c r="N181" s="26" t="s">
        <v>1254</v>
      </c>
      <c r="O181" s="21">
        <f>(C177+C185+C186+C187+C188)</f>
        <v>7178</v>
      </c>
      <c r="P181" s="11">
        <f>SUM(O181/O182)</f>
        <v>0.16316973926484962</v>
      </c>
      <c r="Q181" s="2">
        <v>1</v>
      </c>
    </row>
    <row r="182" spans="1:17" s="2" customFormat="1" ht="16.5" customHeight="1" thickBot="1">
      <c r="A182" s="12" t="s">
        <v>1768</v>
      </c>
      <c r="B182" s="13" t="s">
        <v>1247</v>
      </c>
      <c r="C182" s="8">
        <v>3226</v>
      </c>
      <c r="D182" s="8">
        <v>3239</v>
      </c>
      <c r="E182" s="8">
        <v>3273</v>
      </c>
      <c r="F182" s="8">
        <v>3275</v>
      </c>
      <c r="G182" s="8">
        <v>3275</v>
      </c>
      <c r="H182" s="8">
        <v>3278</v>
      </c>
      <c r="I182" s="8">
        <v>3278</v>
      </c>
      <c r="J182" s="8" t="s">
        <v>1326</v>
      </c>
      <c r="O182" s="23">
        <v>43991</v>
      </c>
    </row>
    <row r="183" spans="1:17" s="2" customFormat="1" ht="16.5" customHeight="1" thickBot="1">
      <c r="A183" s="12" t="s">
        <v>2077</v>
      </c>
      <c r="B183" s="27" t="s">
        <v>1258</v>
      </c>
      <c r="C183" s="8">
        <v>2816</v>
      </c>
      <c r="D183" s="8">
        <v>2819</v>
      </c>
      <c r="E183" s="8">
        <v>2836</v>
      </c>
      <c r="F183" s="8">
        <v>2971</v>
      </c>
      <c r="G183" s="8">
        <v>2977</v>
      </c>
      <c r="H183" s="8" t="s">
        <v>1326</v>
      </c>
    </row>
    <row r="184" spans="1:17" s="2" customFormat="1" ht="16.5" customHeight="1" thickBot="1">
      <c r="A184" s="12" t="s">
        <v>2079</v>
      </c>
      <c r="B184" s="22" t="s">
        <v>1257</v>
      </c>
      <c r="C184" s="8">
        <v>2337</v>
      </c>
      <c r="D184" s="8">
        <v>2349</v>
      </c>
      <c r="E184" s="8">
        <v>2399</v>
      </c>
      <c r="F184" s="8">
        <v>2832</v>
      </c>
      <c r="G184" s="8">
        <v>3035</v>
      </c>
      <c r="H184" s="8">
        <v>3190</v>
      </c>
      <c r="I184" s="8">
        <v>3507</v>
      </c>
      <c r="J184" s="8">
        <v>3509</v>
      </c>
      <c r="K184" s="8" t="s">
        <v>1326</v>
      </c>
      <c r="L184" s="17"/>
    </row>
    <row r="185" spans="1:17" s="2" customFormat="1" ht="16.5" customHeight="1" thickBot="1">
      <c r="A185" s="12" t="s">
        <v>1780</v>
      </c>
      <c r="B185" s="63" t="s">
        <v>1276</v>
      </c>
      <c r="C185" s="8">
        <v>1545</v>
      </c>
      <c r="D185" s="43">
        <v>1559</v>
      </c>
      <c r="E185" s="8">
        <v>1637</v>
      </c>
      <c r="F185" s="43" t="s">
        <v>1326</v>
      </c>
      <c r="L185" s="17"/>
    </row>
    <row r="186" spans="1:17" s="2" customFormat="1" ht="16.5" customHeight="1" thickBot="1">
      <c r="A186" s="12" t="s">
        <v>1781</v>
      </c>
      <c r="B186" s="29" t="s">
        <v>1267</v>
      </c>
      <c r="C186" s="8">
        <v>1108</v>
      </c>
      <c r="D186" s="8">
        <v>1136</v>
      </c>
      <c r="E186" s="43" t="s">
        <v>1326</v>
      </c>
      <c r="L186" s="17"/>
    </row>
    <row r="187" spans="1:17" s="2" customFormat="1" ht="16.5" customHeight="1" thickBot="1">
      <c r="A187" s="12" t="s">
        <v>2080</v>
      </c>
      <c r="B187" s="80" t="s">
        <v>1997</v>
      </c>
      <c r="C187" s="8">
        <v>137</v>
      </c>
      <c r="D187" s="8" t="s">
        <v>1326</v>
      </c>
    </row>
    <row r="188" spans="1:17" s="2" customFormat="1" ht="16.5" customHeight="1" thickBot="1">
      <c r="A188" s="12" t="s">
        <v>2081</v>
      </c>
      <c r="B188" s="38" t="s">
        <v>1958</v>
      </c>
      <c r="C188" s="8">
        <v>28</v>
      </c>
      <c r="D188" s="8" t="s">
        <v>1326</v>
      </c>
    </row>
    <row r="189" spans="1:17" s="2" customFormat="1" ht="12" customHeight="1">
      <c r="A189" s="1"/>
    </row>
    <row r="190" spans="1:17" s="2" customFormat="1" ht="16.5" customHeight="1">
      <c r="A190" s="1" t="s">
        <v>2082</v>
      </c>
    </row>
    <row r="191" spans="1:17" s="2" customFormat="1" ht="9.75" customHeight="1" thickBot="1">
      <c r="A191" s="3"/>
    </row>
    <row r="192" spans="1:17" s="2" customFormat="1" ht="16.5" customHeight="1" thickBot="1">
      <c r="A192" s="4" t="s">
        <v>1244</v>
      </c>
      <c r="B192" s="5" t="s">
        <v>1245</v>
      </c>
      <c r="C192" s="5" t="s">
        <v>1246</v>
      </c>
      <c r="D192" s="5">
        <v>2</v>
      </c>
      <c r="E192" s="5">
        <v>3</v>
      </c>
      <c r="F192" s="5">
        <v>4</v>
      </c>
      <c r="G192" s="5">
        <v>5</v>
      </c>
      <c r="H192" s="5">
        <v>6</v>
      </c>
      <c r="I192" s="5">
        <v>7</v>
      </c>
      <c r="J192" s="5">
        <v>8</v>
      </c>
      <c r="K192" s="5">
        <v>9</v>
      </c>
      <c r="L192" s="5">
        <v>10</v>
      </c>
      <c r="M192" s="5">
        <v>11</v>
      </c>
      <c r="N192" s="5">
        <v>12</v>
      </c>
      <c r="O192" s="5"/>
      <c r="P192" s="10" t="s">
        <v>1413</v>
      </c>
      <c r="Q192" s="11">
        <f>(50561/73247)</f>
        <v>0.69028083061422307</v>
      </c>
    </row>
    <row r="193" spans="1:19" s="2" customFormat="1" ht="16.5" customHeight="1" thickBot="1">
      <c r="A193" s="6" t="s">
        <v>2083</v>
      </c>
      <c r="B193" s="28" t="s">
        <v>1258</v>
      </c>
      <c r="C193" s="36">
        <v>10590</v>
      </c>
      <c r="D193" s="8"/>
      <c r="E193" s="8"/>
      <c r="F193" s="8"/>
      <c r="G193" s="8"/>
      <c r="H193" s="8"/>
      <c r="I193" s="36"/>
      <c r="J193" s="8"/>
      <c r="K193" s="36"/>
      <c r="L193" s="36"/>
      <c r="M193" s="8"/>
      <c r="N193" s="36"/>
      <c r="O193" s="33" t="s">
        <v>1271</v>
      </c>
      <c r="P193" s="14"/>
      <c r="Q193" s="10" t="s">
        <v>1248</v>
      </c>
      <c r="R193" s="10" t="s">
        <v>1249</v>
      </c>
      <c r="S193" s="10" t="s">
        <v>1250</v>
      </c>
    </row>
    <row r="194" spans="1:19" s="2" customFormat="1" ht="16.5" customHeight="1" thickBot="1">
      <c r="A194" s="6" t="s">
        <v>2086</v>
      </c>
      <c r="B194" s="7" t="s">
        <v>1261</v>
      </c>
      <c r="C194" s="8">
        <v>6433</v>
      </c>
      <c r="D194" s="8">
        <v>6433</v>
      </c>
      <c r="E194" s="8">
        <v>6434</v>
      </c>
      <c r="F194" s="8">
        <v>6479</v>
      </c>
      <c r="G194" s="8">
        <v>6662</v>
      </c>
      <c r="H194" s="36">
        <v>8300</v>
      </c>
      <c r="I194" s="8"/>
      <c r="J194" s="36"/>
      <c r="K194" s="8"/>
      <c r="L194" s="8"/>
      <c r="M194" s="36"/>
      <c r="N194" s="8"/>
      <c r="O194" s="33" t="s">
        <v>1252</v>
      </c>
      <c r="P194" s="19" t="s">
        <v>1247</v>
      </c>
      <c r="Q194" s="16">
        <f>(C202+C203)</f>
        <v>4045</v>
      </c>
      <c r="R194" s="17">
        <f>SUM(Q194/Q200)</f>
        <v>8.1393243052900577E-2</v>
      </c>
      <c r="S194" s="14"/>
    </row>
    <row r="195" spans="1:19" s="2" customFormat="1" ht="16.5" customHeight="1" thickBot="1">
      <c r="A195" s="6" t="s">
        <v>2085</v>
      </c>
      <c r="B195" s="9" t="s">
        <v>1257</v>
      </c>
      <c r="C195" s="8">
        <v>5407</v>
      </c>
      <c r="D195" s="8">
        <v>5440</v>
      </c>
      <c r="E195" s="8">
        <v>5451</v>
      </c>
      <c r="F195" s="8">
        <v>5501</v>
      </c>
      <c r="G195" s="8">
        <v>5636</v>
      </c>
      <c r="H195" s="8">
        <v>5644</v>
      </c>
      <c r="I195" s="8">
        <v>5660</v>
      </c>
      <c r="J195" s="8">
        <v>6760</v>
      </c>
      <c r="K195" s="8">
        <v>6797</v>
      </c>
      <c r="L195" s="36">
        <v>7832</v>
      </c>
      <c r="M195" s="8"/>
      <c r="N195" s="36"/>
      <c r="O195" s="33" t="s">
        <v>1280</v>
      </c>
      <c r="P195" s="18" t="s">
        <v>1257</v>
      </c>
      <c r="Q195" s="16">
        <f>(C195+C198+C201)</f>
        <v>11064</v>
      </c>
      <c r="R195" s="17">
        <f>SUM(Q195/Q200)</f>
        <v>0.22262913254321187</v>
      </c>
      <c r="S195" s="14">
        <v>2</v>
      </c>
    </row>
    <row r="196" spans="1:19" s="2" customFormat="1" ht="16.5" customHeight="1" thickBot="1">
      <c r="A196" s="6" t="s">
        <v>2084</v>
      </c>
      <c r="B196" s="28" t="s">
        <v>1258</v>
      </c>
      <c r="C196" s="8">
        <v>4459</v>
      </c>
      <c r="D196" s="36">
        <v>7551</v>
      </c>
      <c r="E196" s="8"/>
      <c r="F196" s="8"/>
      <c r="G196" s="8"/>
      <c r="H196" s="8"/>
      <c r="I196" s="8"/>
      <c r="J196" s="8"/>
      <c r="K196" s="36"/>
      <c r="L196" s="8"/>
      <c r="M196" s="8"/>
      <c r="N196" s="36"/>
      <c r="O196" s="33" t="s">
        <v>1362</v>
      </c>
      <c r="P196" s="30" t="s">
        <v>1258</v>
      </c>
      <c r="Q196" s="16">
        <f>(C193+C196+C197)</f>
        <v>18687</v>
      </c>
      <c r="R196" s="17">
        <f>SUM(Q196/Q200)</f>
        <v>0.37601867315934562</v>
      </c>
      <c r="S196" s="2">
        <v>3</v>
      </c>
    </row>
    <row r="197" spans="1:19" s="2" customFormat="1" ht="16.5" customHeight="1" thickBot="1">
      <c r="A197" s="6" t="s">
        <v>2087</v>
      </c>
      <c r="B197" s="28" t="s">
        <v>1258</v>
      </c>
      <c r="C197" s="8">
        <v>3638</v>
      </c>
      <c r="D197" s="8">
        <v>3776</v>
      </c>
      <c r="E197" s="8">
        <v>4053</v>
      </c>
      <c r="F197" s="8">
        <v>4107</v>
      </c>
      <c r="G197" s="8">
        <v>4242</v>
      </c>
      <c r="H197" s="8">
        <v>4247</v>
      </c>
      <c r="I197" s="8">
        <v>4249</v>
      </c>
      <c r="J197" s="8">
        <v>4285</v>
      </c>
      <c r="K197" s="8">
        <v>4290</v>
      </c>
      <c r="L197" s="8">
        <v>4327</v>
      </c>
      <c r="M197" s="8">
        <v>4344</v>
      </c>
      <c r="N197" s="36">
        <v>5818</v>
      </c>
      <c r="O197" s="33" t="s">
        <v>1253</v>
      </c>
      <c r="P197" s="15" t="s">
        <v>1261</v>
      </c>
      <c r="Q197" s="21">
        <f>(C194+C204)</f>
        <v>8415</v>
      </c>
      <c r="R197" s="17">
        <f>SUM(Q197/Q200)</f>
        <v>0.16932611626456326</v>
      </c>
      <c r="S197" s="2">
        <v>1</v>
      </c>
    </row>
    <row r="198" spans="1:19" s="2" customFormat="1" ht="16.5" customHeight="1" thickBot="1">
      <c r="A198" s="6" t="s">
        <v>1518</v>
      </c>
      <c r="B198" s="9" t="s">
        <v>1257</v>
      </c>
      <c r="C198" s="8">
        <v>3458</v>
      </c>
      <c r="D198" s="8">
        <v>3480</v>
      </c>
      <c r="E198" s="8">
        <v>3486</v>
      </c>
      <c r="F198" s="8">
        <v>3509</v>
      </c>
      <c r="G198" s="8">
        <v>3702</v>
      </c>
      <c r="H198" s="8">
        <v>3713</v>
      </c>
      <c r="I198" s="8">
        <v>3733</v>
      </c>
      <c r="J198" s="8">
        <v>4465</v>
      </c>
      <c r="K198" s="8">
        <v>4473</v>
      </c>
      <c r="L198" s="8">
        <v>5335</v>
      </c>
      <c r="M198" s="8">
        <v>5991</v>
      </c>
      <c r="N198" s="36">
        <v>7580</v>
      </c>
      <c r="O198" s="33" t="s">
        <v>1251</v>
      </c>
      <c r="P198" s="31" t="s">
        <v>1269</v>
      </c>
      <c r="Q198" s="21">
        <v>2282</v>
      </c>
      <c r="R198" s="17">
        <f>SUM(Q198/Q200)</f>
        <v>4.5918264683984945E-2</v>
      </c>
    </row>
    <row r="199" spans="1:19" s="2" customFormat="1" ht="16.5" customHeight="1" thickBot="1">
      <c r="A199" s="12" t="s">
        <v>2091</v>
      </c>
      <c r="B199" s="38" t="s">
        <v>1270</v>
      </c>
      <c r="C199" s="8">
        <v>3297</v>
      </c>
      <c r="D199" s="8">
        <v>3415</v>
      </c>
      <c r="E199" s="8">
        <v>3461</v>
      </c>
      <c r="F199" s="8">
        <v>3515</v>
      </c>
      <c r="G199" s="8">
        <v>3730</v>
      </c>
      <c r="H199" s="8">
        <v>3731</v>
      </c>
      <c r="I199" s="8">
        <v>3733</v>
      </c>
      <c r="J199" s="8">
        <v>3791</v>
      </c>
      <c r="K199" s="8">
        <v>3792</v>
      </c>
      <c r="L199" s="8">
        <v>3955</v>
      </c>
      <c r="M199" s="8">
        <v>4002</v>
      </c>
      <c r="N199" s="8" t="s">
        <v>1326</v>
      </c>
      <c r="P199" s="26" t="s">
        <v>1254</v>
      </c>
      <c r="Q199" s="21">
        <f>(C199+C205+C206+C207+C208+C209+C210)</f>
        <v>5204</v>
      </c>
      <c r="R199" s="11">
        <f>SUM(Q199/Q200)</f>
        <v>0.10471457029599372</v>
      </c>
    </row>
    <row r="200" spans="1:19" s="2" customFormat="1" ht="16.5" customHeight="1" thickBot="1">
      <c r="A200" s="12" t="s">
        <v>1474</v>
      </c>
      <c r="B200" s="32" t="s">
        <v>1269</v>
      </c>
      <c r="C200" s="8">
        <v>2282</v>
      </c>
      <c r="D200" s="8">
        <v>2285</v>
      </c>
      <c r="E200" s="8">
        <v>2287</v>
      </c>
      <c r="F200" s="8">
        <v>2331</v>
      </c>
      <c r="G200" s="8">
        <v>2456</v>
      </c>
      <c r="H200" s="8">
        <v>2523</v>
      </c>
      <c r="I200" s="8">
        <v>2870</v>
      </c>
      <c r="J200" s="8">
        <v>3031</v>
      </c>
      <c r="K200" s="8">
        <v>3146</v>
      </c>
      <c r="L200" s="8" t="s">
        <v>1326</v>
      </c>
      <c r="Q200" s="23">
        <v>49697</v>
      </c>
    </row>
    <row r="201" spans="1:19" s="2" customFormat="1" ht="16.5" customHeight="1" thickBot="1">
      <c r="A201" s="12" t="s">
        <v>2094</v>
      </c>
      <c r="B201" s="22" t="s">
        <v>1257</v>
      </c>
      <c r="C201" s="8">
        <v>2199</v>
      </c>
      <c r="D201" s="8">
        <v>2207</v>
      </c>
      <c r="E201" s="8">
        <v>2210</v>
      </c>
      <c r="F201" s="8">
        <v>2226</v>
      </c>
      <c r="G201" s="8">
        <v>2350</v>
      </c>
      <c r="H201" s="8">
        <v>2361</v>
      </c>
      <c r="I201" s="8">
        <v>2401</v>
      </c>
      <c r="J201" s="8" t="s">
        <v>1326</v>
      </c>
    </row>
    <row r="202" spans="1:19" s="2" customFormat="1" ht="16.5" customHeight="1" thickBot="1">
      <c r="A202" s="12" t="s">
        <v>2088</v>
      </c>
      <c r="B202" s="13" t="s">
        <v>1247</v>
      </c>
      <c r="C202" s="8">
        <v>2024</v>
      </c>
      <c r="D202" s="8">
        <v>2024</v>
      </c>
      <c r="E202" s="8">
        <v>2024</v>
      </c>
      <c r="F202" s="8">
        <v>2044</v>
      </c>
      <c r="G202" s="8">
        <v>2200</v>
      </c>
      <c r="H202" s="8">
        <v>2379</v>
      </c>
      <c r="I202" s="8">
        <v>2815</v>
      </c>
      <c r="J202" s="8">
        <v>2837</v>
      </c>
      <c r="K202" s="8">
        <v>4892</v>
      </c>
      <c r="L202" s="8">
        <v>5136</v>
      </c>
      <c r="M202" s="8">
        <v>5144</v>
      </c>
      <c r="N202" s="8">
        <v>5153</v>
      </c>
      <c r="O202" s="33"/>
    </row>
    <row r="203" spans="1:19" s="2" customFormat="1" ht="16.5" customHeight="1" thickBot="1">
      <c r="A203" s="12" t="s">
        <v>2090</v>
      </c>
      <c r="B203" s="13" t="s">
        <v>1247</v>
      </c>
      <c r="C203" s="8">
        <v>2021</v>
      </c>
      <c r="D203" s="43">
        <v>2021</v>
      </c>
      <c r="E203" s="43">
        <v>2021</v>
      </c>
      <c r="F203" s="8">
        <v>2025</v>
      </c>
      <c r="G203" s="8">
        <v>2079</v>
      </c>
      <c r="H203" s="8">
        <v>2157</v>
      </c>
      <c r="I203" s="8">
        <v>2488</v>
      </c>
      <c r="J203" s="8">
        <v>2496</v>
      </c>
      <c r="K203" s="8" t="s">
        <v>1326</v>
      </c>
      <c r="L203" s="17"/>
    </row>
    <row r="204" spans="1:19" s="2" customFormat="1" ht="16.5" customHeight="1" thickBot="1">
      <c r="A204" s="12" t="s">
        <v>2089</v>
      </c>
      <c r="B204" s="20" t="s">
        <v>1261</v>
      </c>
      <c r="C204" s="8">
        <v>1982</v>
      </c>
      <c r="D204" s="8">
        <v>1982</v>
      </c>
      <c r="E204" s="8">
        <v>1983</v>
      </c>
      <c r="F204" s="8">
        <v>2002</v>
      </c>
      <c r="G204" s="8">
        <v>2075</v>
      </c>
      <c r="H204" s="8" t="s">
        <v>1326</v>
      </c>
    </row>
    <row r="205" spans="1:19" s="2" customFormat="1" ht="16.5" customHeight="1" thickBot="1">
      <c r="A205" s="12" t="s">
        <v>2092</v>
      </c>
      <c r="B205" s="63" t="s">
        <v>1276</v>
      </c>
      <c r="C205" s="8">
        <v>641</v>
      </c>
      <c r="D205" s="8">
        <v>648</v>
      </c>
      <c r="E205" s="8">
        <v>653</v>
      </c>
      <c r="F205" s="8">
        <v>666</v>
      </c>
      <c r="G205" s="8" t="s">
        <v>1326</v>
      </c>
    </row>
    <row r="206" spans="1:19" s="2" customFormat="1" ht="16.5" customHeight="1" thickBot="1">
      <c r="A206" s="12" t="s">
        <v>1486</v>
      </c>
      <c r="B206" s="38" t="s">
        <v>2093</v>
      </c>
      <c r="C206" s="8">
        <v>478</v>
      </c>
      <c r="D206" s="8">
        <v>478</v>
      </c>
      <c r="E206" s="8">
        <v>478</v>
      </c>
      <c r="F206" s="8">
        <v>502</v>
      </c>
      <c r="G206" s="8" t="s">
        <v>1326</v>
      </c>
    </row>
    <row r="207" spans="1:19" s="2" customFormat="1" ht="16.5" customHeight="1" thickBot="1">
      <c r="A207" s="12" t="s">
        <v>2095</v>
      </c>
      <c r="B207" s="38" t="s">
        <v>2012</v>
      </c>
      <c r="C207" s="8">
        <v>400</v>
      </c>
      <c r="D207" s="43">
        <v>414</v>
      </c>
      <c r="E207" s="43">
        <v>420</v>
      </c>
      <c r="F207" s="8">
        <v>422</v>
      </c>
      <c r="G207" s="8" t="s">
        <v>1326</v>
      </c>
      <c r="L207" s="17"/>
    </row>
    <row r="208" spans="1:19" s="2" customFormat="1" ht="16.5" customHeight="1" thickBot="1">
      <c r="A208" s="12" t="s">
        <v>2096</v>
      </c>
      <c r="B208" s="38" t="s">
        <v>1270</v>
      </c>
      <c r="C208" s="8">
        <v>194</v>
      </c>
      <c r="D208" s="8">
        <v>195</v>
      </c>
      <c r="E208" s="8">
        <v>195</v>
      </c>
      <c r="F208" s="8" t="s">
        <v>1326</v>
      </c>
    </row>
    <row r="209" spans="1:20" s="2" customFormat="1" ht="16.5" customHeight="1" thickBot="1">
      <c r="A209" s="12" t="s">
        <v>1848</v>
      </c>
      <c r="B209" s="38" t="s">
        <v>1958</v>
      </c>
      <c r="C209" s="8">
        <v>156</v>
      </c>
      <c r="D209" s="43">
        <v>171</v>
      </c>
      <c r="E209" s="43">
        <v>179</v>
      </c>
      <c r="F209" s="8" t="s">
        <v>1326</v>
      </c>
      <c r="L209" s="17"/>
    </row>
    <row r="210" spans="1:20" s="2" customFormat="1" ht="16.5" customHeight="1" thickBot="1">
      <c r="A210" s="12" t="s">
        <v>2097</v>
      </c>
      <c r="B210" s="38" t="s">
        <v>1270</v>
      </c>
      <c r="C210" s="8">
        <v>38</v>
      </c>
      <c r="D210" s="8">
        <v>39</v>
      </c>
      <c r="E210" s="8">
        <v>44</v>
      </c>
      <c r="F210" s="8" t="s">
        <v>1326</v>
      </c>
    </row>
    <row r="211" spans="1:20" s="2" customFormat="1" ht="12" customHeight="1">
      <c r="A211" s="1"/>
    </row>
    <row r="212" spans="1:20" s="2" customFormat="1" ht="16.5" customHeight="1">
      <c r="A212" s="1" t="s">
        <v>2098</v>
      </c>
    </row>
    <row r="213" spans="1:20" s="2" customFormat="1" ht="9.75" customHeight="1" thickBot="1">
      <c r="A213" s="3"/>
    </row>
    <row r="214" spans="1:20" s="2" customFormat="1" ht="16.5" customHeight="1" thickBot="1">
      <c r="A214" s="4" t="s">
        <v>1244</v>
      </c>
      <c r="B214" s="5" t="s">
        <v>1245</v>
      </c>
      <c r="C214" s="5" t="s">
        <v>1246</v>
      </c>
      <c r="D214" s="5">
        <v>2</v>
      </c>
      <c r="E214" s="5">
        <v>3</v>
      </c>
      <c r="F214" s="5">
        <v>4</v>
      </c>
      <c r="G214" s="5">
        <v>5</v>
      </c>
      <c r="H214" s="5">
        <v>6</v>
      </c>
      <c r="I214" s="5">
        <v>7</v>
      </c>
      <c r="J214" s="5">
        <v>8</v>
      </c>
      <c r="K214" s="5">
        <v>9</v>
      </c>
      <c r="L214" s="5">
        <v>10</v>
      </c>
      <c r="M214" s="5">
        <v>11</v>
      </c>
      <c r="N214" s="5">
        <v>12</v>
      </c>
      <c r="O214" s="5">
        <v>13</v>
      </c>
      <c r="P214" s="5"/>
      <c r="Q214" s="10" t="s">
        <v>1413</v>
      </c>
      <c r="R214" s="11">
        <f>(31343/55473)</f>
        <v>0.56501361022479402</v>
      </c>
    </row>
    <row r="215" spans="1:20" s="2" customFormat="1" ht="16.5" customHeight="1" thickBot="1">
      <c r="A215" s="6" t="s">
        <v>2099</v>
      </c>
      <c r="B215" s="9" t="s">
        <v>1257</v>
      </c>
      <c r="C215" s="36">
        <v>5764</v>
      </c>
      <c r="D215" s="8"/>
      <c r="E215" s="8"/>
      <c r="F215" s="8"/>
      <c r="G215" s="8"/>
      <c r="H215" s="8"/>
      <c r="I215" s="36"/>
      <c r="J215" s="8"/>
      <c r="K215" s="36"/>
      <c r="L215" s="8"/>
      <c r="M215" s="8"/>
      <c r="N215" s="36"/>
      <c r="O215" s="8"/>
      <c r="P215" s="33" t="s">
        <v>1271</v>
      </c>
      <c r="Q215" s="14"/>
      <c r="R215" s="10" t="s">
        <v>1248</v>
      </c>
      <c r="S215" s="10" t="s">
        <v>1249</v>
      </c>
      <c r="T215" s="10" t="s">
        <v>1250</v>
      </c>
    </row>
    <row r="216" spans="1:20" s="2" customFormat="1" ht="16.5" customHeight="1" thickBot="1">
      <c r="A216" s="6" t="s">
        <v>2101</v>
      </c>
      <c r="B216" s="45" t="s">
        <v>1269</v>
      </c>
      <c r="C216" s="36">
        <v>5247</v>
      </c>
      <c r="D216" s="36"/>
      <c r="E216" s="8"/>
      <c r="F216" s="8"/>
      <c r="G216" s="8"/>
      <c r="H216" s="36"/>
      <c r="I216" s="8"/>
      <c r="J216" s="36"/>
      <c r="K216" s="8"/>
      <c r="L216" s="36"/>
      <c r="M216" s="36"/>
      <c r="N216" s="8"/>
      <c r="O216" s="36"/>
      <c r="P216" s="33" t="s">
        <v>1362</v>
      </c>
      <c r="Q216" s="19" t="s">
        <v>1247</v>
      </c>
      <c r="R216" s="16">
        <v>746</v>
      </c>
      <c r="S216" s="17">
        <f>SUM(R216/R222)</f>
        <v>2.4101835099508917E-2</v>
      </c>
      <c r="T216" s="14"/>
    </row>
    <row r="217" spans="1:20" s="2" customFormat="1" ht="16.5" customHeight="1" thickBot="1">
      <c r="A217" s="6" t="s">
        <v>2100</v>
      </c>
      <c r="B217" s="28" t="s">
        <v>1258</v>
      </c>
      <c r="C217" s="8">
        <v>4876</v>
      </c>
      <c r="D217" s="8">
        <v>4918</v>
      </c>
      <c r="E217" s="8">
        <v>4921</v>
      </c>
      <c r="F217" s="8">
        <v>4944</v>
      </c>
      <c r="G217" s="8">
        <v>4954</v>
      </c>
      <c r="H217" s="8">
        <v>4956</v>
      </c>
      <c r="I217" s="8">
        <v>5037</v>
      </c>
      <c r="J217" s="36">
        <v>5215</v>
      </c>
      <c r="K217" s="8"/>
      <c r="L217" s="8"/>
      <c r="M217" s="8"/>
      <c r="N217" s="8"/>
      <c r="O217" s="8"/>
      <c r="P217" s="33" t="s">
        <v>1252</v>
      </c>
      <c r="Q217" s="18" t="s">
        <v>1257</v>
      </c>
      <c r="R217" s="16">
        <f>(C215+C220+C221)</f>
        <v>10547</v>
      </c>
      <c r="S217" s="17">
        <f>SUM(R217/R222)</f>
        <v>0.34075342465753422</v>
      </c>
      <c r="T217" s="14">
        <v>2</v>
      </c>
    </row>
    <row r="218" spans="1:20" s="2" customFormat="1" ht="16.5" customHeight="1" thickBot="1">
      <c r="A218" s="12" t="s">
        <v>1795</v>
      </c>
      <c r="B218" s="27" t="s">
        <v>1258</v>
      </c>
      <c r="C218" s="8">
        <v>3013</v>
      </c>
      <c r="D218" s="8">
        <v>3043</v>
      </c>
      <c r="E218" s="8">
        <v>3044</v>
      </c>
      <c r="F218" s="8">
        <v>3050</v>
      </c>
      <c r="G218" s="8">
        <v>3079</v>
      </c>
      <c r="H218" s="8">
        <v>3080</v>
      </c>
      <c r="I218" s="8">
        <v>3155</v>
      </c>
      <c r="J218" s="8">
        <v>3290</v>
      </c>
      <c r="K218" s="8">
        <v>3551</v>
      </c>
      <c r="L218" s="8">
        <v>3628</v>
      </c>
      <c r="M218" s="8">
        <v>3682</v>
      </c>
      <c r="N218" s="8">
        <v>3905</v>
      </c>
      <c r="O218" s="8">
        <v>4142</v>
      </c>
      <c r="P218" s="33"/>
      <c r="Q218" s="30" t="s">
        <v>1258</v>
      </c>
      <c r="R218" s="16">
        <f>(C217+C218)</f>
        <v>7889</v>
      </c>
      <c r="S218" s="17">
        <f>SUM(R218/R222)</f>
        <v>0.25487852158180407</v>
      </c>
      <c r="T218" s="2">
        <v>1</v>
      </c>
    </row>
    <row r="219" spans="1:20" s="2" customFormat="1" ht="16.5" customHeight="1" thickBot="1">
      <c r="A219" s="6" t="s">
        <v>2103</v>
      </c>
      <c r="B219" s="72" t="s">
        <v>1304</v>
      </c>
      <c r="C219" s="8">
        <v>2866</v>
      </c>
      <c r="D219" s="8">
        <v>2902</v>
      </c>
      <c r="E219" s="8">
        <v>2903</v>
      </c>
      <c r="F219" s="8">
        <v>2948</v>
      </c>
      <c r="G219" s="8">
        <v>2975</v>
      </c>
      <c r="H219" s="8">
        <v>2976</v>
      </c>
      <c r="I219" s="8">
        <v>3012</v>
      </c>
      <c r="J219" s="8">
        <v>3134</v>
      </c>
      <c r="K219" s="8">
        <v>3430</v>
      </c>
      <c r="L219" s="8">
        <v>3566</v>
      </c>
      <c r="M219" s="8">
        <v>3605</v>
      </c>
      <c r="N219" s="8">
        <v>3855</v>
      </c>
      <c r="O219" s="36">
        <v>4220</v>
      </c>
      <c r="P219" s="33" t="s">
        <v>1251</v>
      </c>
      <c r="Q219" s="15" t="s">
        <v>1261</v>
      </c>
      <c r="R219" s="21">
        <v>2106</v>
      </c>
      <c r="S219" s="17">
        <f>SUM(R219/R222)</f>
        <v>6.8040837425691392E-2</v>
      </c>
      <c r="T219" s="2">
        <v>1</v>
      </c>
    </row>
    <row r="220" spans="1:20" s="2" customFormat="1" ht="16.5" customHeight="1" thickBot="1">
      <c r="A220" s="12" t="s">
        <v>2104</v>
      </c>
      <c r="B220" s="22" t="s">
        <v>1257</v>
      </c>
      <c r="C220" s="8">
        <v>2399</v>
      </c>
      <c r="D220" s="8">
        <v>2504</v>
      </c>
      <c r="E220" s="8">
        <v>2506</v>
      </c>
      <c r="F220" s="8">
        <v>2534</v>
      </c>
      <c r="G220" s="8">
        <v>2595</v>
      </c>
      <c r="H220" s="8">
        <v>2601</v>
      </c>
      <c r="I220" s="8">
        <v>2629</v>
      </c>
      <c r="J220" s="8">
        <v>2803</v>
      </c>
      <c r="K220" s="8">
        <v>3126</v>
      </c>
      <c r="L220" s="8">
        <v>3548</v>
      </c>
      <c r="M220" s="8">
        <v>3562</v>
      </c>
      <c r="N220" s="8" t="s">
        <v>1326</v>
      </c>
      <c r="Q220" s="31" t="s">
        <v>1269</v>
      </c>
      <c r="R220" s="21">
        <f>(C216+C223)</f>
        <v>7168</v>
      </c>
      <c r="S220" s="17">
        <f>SUM(R220/R222)</f>
        <v>0.23158438873093823</v>
      </c>
      <c r="T220" s="2">
        <v>1</v>
      </c>
    </row>
    <row r="221" spans="1:20" s="2" customFormat="1" ht="16.5" customHeight="1" thickBot="1">
      <c r="A221" s="6" t="s">
        <v>2102</v>
      </c>
      <c r="B221" s="9" t="s">
        <v>1257</v>
      </c>
      <c r="C221" s="8">
        <v>2384</v>
      </c>
      <c r="D221" s="8">
        <v>2623</v>
      </c>
      <c r="E221" s="8">
        <v>2624</v>
      </c>
      <c r="F221" s="8">
        <v>2653</v>
      </c>
      <c r="G221" s="8">
        <v>2691</v>
      </c>
      <c r="H221" s="8">
        <v>2697</v>
      </c>
      <c r="I221" s="8">
        <v>2769</v>
      </c>
      <c r="J221" s="8">
        <v>3121</v>
      </c>
      <c r="K221" s="8">
        <v>3566</v>
      </c>
      <c r="L221" s="8">
        <v>4272</v>
      </c>
      <c r="M221" s="8">
        <v>4289</v>
      </c>
      <c r="N221" s="36">
        <v>6275</v>
      </c>
      <c r="O221" s="8"/>
      <c r="P221" s="33" t="s">
        <v>1280</v>
      </c>
      <c r="Q221" s="26" t="s">
        <v>1254</v>
      </c>
      <c r="R221" s="21">
        <f>(C219+C224+C225+C227+C228+C229+C230)</f>
        <v>7154</v>
      </c>
      <c r="S221" s="11">
        <f>SUM(R221/R222)</f>
        <v>0.23113207547169812</v>
      </c>
      <c r="T221" s="2">
        <v>1</v>
      </c>
    </row>
    <row r="222" spans="1:20" s="2" customFormat="1" ht="16.5" customHeight="1" thickBot="1">
      <c r="A222" s="6" t="s">
        <v>1483</v>
      </c>
      <c r="B222" s="7" t="s">
        <v>1261</v>
      </c>
      <c r="C222" s="8">
        <v>2106</v>
      </c>
      <c r="D222" s="8">
        <v>2108</v>
      </c>
      <c r="E222" s="8">
        <v>2111</v>
      </c>
      <c r="F222" s="8">
        <v>2116</v>
      </c>
      <c r="G222" s="8">
        <v>2190</v>
      </c>
      <c r="H222" s="8">
        <v>2211</v>
      </c>
      <c r="I222" s="8">
        <v>2879</v>
      </c>
      <c r="J222" s="8">
        <v>2949</v>
      </c>
      <c r="K222" s="8">
        <v>2977</v>
      </c>
      <c r="L222" s="8">
        <v>3652</v>
      </c>
      <c r="M222" s="8">
        <v>3654</v>
      </c>
      <c r="N222" s="8">
        <v>3897</v>
      </c>
      <c r="O222" s="36">
        <v>4191</v>
      </c>
      <c r="P222" s="33" t="s">
        <v>1253</v>
      </c>
      <c r="R222" s="23">
        <v>30952</v>
      </c>
    </row>
    <row r="223" spans="1:20" s="2" customFormat="1" ht="16.5" customHeight="1" thickBot="1">
      <c r="A223" s="12" t="s">
        <v>1484</v>
      </c>
      <c r="B223" s="32" t="s">
        <v>1269</v>
      </c>
      <c r="C223" s="8">
        <v>1921</v>
      </c>
      <c r="D223" s="8">
        <v>1944</v>
      </c>
      <c r="E223" s="8">
        <v>1951</v>
      </c>
      <c r="F223" s="8">
        <v>1984</v>
      </c>
      <c r="G223" s="8">
        <v>2069</v>
      </c>
      <c r="H223" s="8">
        <v>2174</v>
      </c>
      <c r="I223" s="8">
        <v>2233</v>
      </c>
      <c r="J223" s="8">
        <v>2430</v>
      </c>
      <c r="K223" s="8">
        <v>2744</v>
      </c>
      <c r="L223" s="8" t="s">
        <v>1326</v>
      </c>
    </row>
    <row r="224" spans="1:20" s="2" customFormat="1" ht="16.5" customHeight="1" thickBot="1">
      <c r="A224" s="12" t="s">
        <v>2105</v>
      </c>
      <c r="B224" s="38" t="s">
        <v>2107</v>
      </c>
      <c r="C224" s="8">
        <v>1571</v>
      </c>
      <c r="D224" s="8">
        <v>1673</v>
      </c>
      <c r="E224" s="8">
        <v>1674</v>
      </c>
      <c r="F224" s="8">
        <v>1703</v>
      </c>
      <c r="G224" s="8">
        <v>1724</v>
      </c>
      <c r="H224" s="8">
        <v>1730</v>
      </c>
      <c r="I224" s="8">
        <v>1786</v>
      </c>
      <c r="J224" s="8">
        <v>1988</v>
      </c>
      <c r="K224" s="8" t="s">
        <v>1326</v>
      </c>
    </row>
    <row r="225" spans="1:25" s="2" customFormat="1" ht="16.5" customHeight="1" thickBot="1">
      <c r="A225" s="12" t="s">
        <v>2109</v>
      </c>
      <c r="B225" s="63" t="s">
        <v>1276</v>
      </c>
      <c r="C225" s="8">
        <v>1432</v>
      </c>
      <c r="D225" s="43">
        <v>1456</v>
      </c>
      <c r="E225" s="43">
        <v>1459</v>
      </c>
      <c r="F225" s="8">
        <v>1477</v>
      </c>
      <c r="G225" s="8">
        <v>1504</v>
      </c>
      <c r="H225" s="8">
        <v>1507</v>
      </c>
      <c r="I225" s="8">
        <v>1703</v>
      </c>
      <c r="J225" s="8" t="s">
        <v>1326</v>
      </c>
    </row>
    <row r="226" spans="1:25" s="2" customFormat="1" ht="16.5" customHeight="1" thickBot="1">
      <c r="A226" s="12" t="s">
        <v>2108</v>
      </c>
      <c r="B226" s="13" t="s">
        <v>1247</v>
      </c>
      <c r="C226" s="8">
        <v>746</v>
      </c>
      <c r="D226" s="8">
        <v>746</v>
      </c>
      <c r="E226" s="8">
        <v>746</v>
      </c>
      <c r="F226" s="8">
        <v>746</v>
      </c>
      <c r="G226" s="8">
        <v>763</v>
      </c>
      <c r="H226" s="8">
        <v>764</v>
      </c>
      <c r="I226" s="8" t="s">
        <v>1326</v>
      </c>
    </row>
    <row r="227" spans="1:25" s="2" customFormat="1" ht="16.5" customHeight="1" thickBot="1">
      <c r="A227" s="12" t="s">
        <v>2110</v>
      </c>
      <c r="B227" s="38" t="s">
        <v>2012</v>
      </c>
      <c r="C227" s="8">
        <v>596</v>
      </c>
      <c r="D227" s="8">
        <v>606</v>
      </c>
      <c r="E227" s="8">
        <v>606</v>
      </c>
      <c r="F227" s="8">
        <v>611</v>
      </c>
      <c r="G227" s="43">
        <v>624</v>
      </c>
      <c r="H227" s="43">
        <v>625</v>
      </c>
      <c r="I227" s="8" t="s">
        <v>1326</v>
      </c>
    </row>
    <row r="228" spans="1:25" s="2" customFormat="1" ht="16.5" customHeight="1" thickBot="1">
      <c r="A228" s="12" t="s">
        <v>1798</v>
      </c>
      <c r="B228" s="38" t="s">
        <v>1270</v>
      </c>
      <c r="C228" s="8">
        <v>424</v>
      </c>
      <c r="D228" s="8">
        <v>428</v>
      </c>
      <c r="E228" s="8">
        <v>432</v>
      </c>
      <c r="F228" s="8">
        <v>441</v>
      </c>
      <c r="G228" s="8" t="s">
        <v>1326</v>
      </c>
    </row>
    <row r="229" spans="1:25" s="2" customFormat="1" ht="16.5" customHeight="1" thickBot="1">
      <c r="A229" s="12" t="s">
        <v>2111</v>
      </c>
      <c r="B229" s="38" t="s">
        <v>1408</v>
      </c>
      <c r="C229" s="8">
        <v>233</v>
      </c>
      <c r="D229" s="8">
        <v>242</v>
      </c>
      <c r="E229" s="8">
        <v>244</v>
      </c>
      <c r="F229" s="8" t="s">
        <v>1326</v>
      </c>
      <c r="H229" s="17"/>
    </row>
    <row r="230" spans="1:25" s="2" customFormat="1" ht="16.5" customHeight="1" thickBot="1">
      <c r="A230" s="12" t="s">
        <v>2112</v>
      </c>
      <c r="B230" s="38" t="s">
        <v>1958</v>
      </c>
      <c r="C230" s="8">
        <v>32</v>
      </c>
      <c r="D230" s="43">
        <v>32</v>
      </c>
      <c r="E230" s="8" t="s">
        <v>1326</v>
      </c>
      <c r="H230" s="17"/>
    </row>
    <row r="231" spans="1:25" s="2" customFormat="1" ht="12" customHeight="1">
      <c r="A231" s="1"/>
    </row>
    <row r="232" spans="1:25" s="2" customFormat="1" ht="16.5" customHeight="1">
      <c r="A232" s="1" t="s">
        <v>2113</v>
      </c>
    </row>
    <row r="233" spans="1:25" s="2" customFormat="1" ht="9.75" customHeight="1" thickBot="1">
      <c r="A233" s="3"/>
    </row>
    <row r="234" spans="1:25" s="2" customFormat="1" ht="16.5" customHeight="1" thickBot="1">
      <c r="A234" s="4" t="s">
        <v>1244</v>
      </c>
      <c r="B234" s="5" t="s">
        <v>1245</v>
      </c>
      <c r="C234" s="5" t="s">
        <v>1246</v>
      </c>
      <c r="D234" s="5">
        <v>2</v>
      </c>
      <c r="E234" s="5">
        <v>3</v>
      </c>
      <c r="F234" s="5">
        <v>4</v>
      </c>
      <c r="G234" s="5">
        <v>5</v>
      </c>
      <c r="H234" s="5">
        <v>6</v>
      </c>
      <c r="I234" s="5">
        <v>7</v>
      </c>
      <c r="J234" s="5">
        <v>8</v>
      </c>
      <c r="K234" s="5">
        <v>9</v>
      </c>
      <c r="L234" s="5">
        <v>10</v>
      </c>
      <c r="M234" s="5">
        <v>11</v>
      </c>
      <c r="N234" s="5">
        <v>12</v>
      </c>
      <c r="O234" s="5">
        <v>13</v>
      </c>
      <c r="P234" s="5">
        <v>14</v>
      </c>
      <c r="Q234" s="5">
        <v>15</v>
      </c>
      <c r="R234" s="5">
        <v>16</v>
      </c>
      <c r="S234" s="5">
        <v>17</v>
      </c>
      <c r="T234" s="5">
        <v>18</v>
      </c>
      <c r="U234" s="5"/>
      <c r="V234" s="10" t="s">
        <v>1413</v>
      </c>
      <c r="W234" s="11">
        <f>(37838/66308)</f>
        <v>0.57064004343367314</v>
      </c>
    </row>
    <row r="235" spans="1:25" s="2" customFormat="1" ht="16.5" customHeight="1" thickBot="1">
      <c r="A235" s="6" t="s">
        <v>2114</v>
      </c>
      <c r="B235" s="28" t="s">
        <v>1258</v>
      </c>
      <c r="C235" s="36">
        <v>9479</v>
      </c>
      <c r="D235" s="8"/>
      <c r="E235" s="8"/>
      <c r="F235" s="8"/>
      <c r="G235" s="8"/>
      <c r="H235" s="8"/>
      <c r="I235" s="36"/>
      <c r="J235" s="8"/>
      <c r="K235" s="36"/>
      <c r="L235" s="8"/>
      <c r="M235" s="8"/>
      <c r="N235" s="8"/>
      <c r="O235" s="8"/>
      <c r="P235" s="36"/>
      <c r="Q235" s="8"/>
      <c r="R235" s="36"/>
      <c r="S235" s="8"/>
      <c r="T235" s="8"/>
      <c r="U235" s="33" t="s">
        <v>1271</v>
      </c>
      <c r="V235" s="14"/>
      <c r="W235" s="10" t="s">
        <v>1248</v>
      </c>
      <c r="X235" s="10" t="s">
        <v>1249</v>
      </c>
      <c r="Y235" s="10" t="s">
        <v>1250</v>
      </c>
    </row>
    <row r="236" spans="1:25" s="2" customFormat="1" ht="16.5" customHeight="1" thickBot="1">
      <c r="A236" s="6" t="s">
        <v>2115</v>
      </c>
      <c r="B236" s="9" t="s">
        <v>1257</v>
      </c>
      <c r="C236" s="36">
        <v>9203</v>
      </c>
      <c r="D236" s="8"/>
      <c r="E236" s="8"/>
      <c r="F236" s="8"/>
      <c r="G236" s="8"/>
      <c r="H236" s="36"/>
      <c r="I236" s="8"/>
      <c r="J236" s="36"/>
      <c r="K236" s="8"/>
      <c r="L236" s="36"/>
      <c r="M236" s="36"/>
      <c r="N236" s="8"/>
      <c r="O236" s="36"/>
      <c r="P236" s="8"/>
      <c r="Q236" s="36"/>
      <c r="R236" s="8"/>
      <c r="S236" s="36"/>
      <c r="T236" s="36"/>
      <c r="U236" s="33" t="s">
        <v>1362</v>
      </c>
      <c r="V236" s="19" t="s">
        <v>1247</v>
      </c>
      <c r="W236" s="16">
        <v>1105</v>
      </c>
      <c r="X236" s="17">
        <f>SUM(W236/W242)</f>
        <v>2.9664429530201344E-2</v>
      </c>
      <c r="Y236" s="14"/>
    </row>
    <row r="237" spans="1:25" s="2" customFormat="1" ht="16.5" customHeight="1" thickBot="1">
      <c r="A237" s="6" t="s">
        <v>1504</v>
      </c>
      <c r="B237" s="72" t="s">
        <v>1304</v>
      </c>
      <c r="C237" s="8">
        <v>3078</v>
      </c>
      <c r="D237" s="8">
        <v>3351</v>
      </c>
      <c r="E237" s="8">
        <v>3503</v>
      </c>
      <c r="F237" s="8">
        <v>3506</v>
      </c>
      <c r="G237" s="8">
        <v>3513</v>
      </c>
      <c r="H237" s="8">
        <v>3521</v>
      </c>
      <c r="I237" s="8">
        <v>3540</v>
      </c>
      <c r="J237" s="8">
        <v>3573</v>
      </c>
      <c r="K237" s="8">
        <v>3593</v>
      </c>
      <c r="L237" s="8">
        <v>3699</v>
      </c>
      <c r="M237" s="8">
        <v>3760</v>
      </c>
      <c r="N237" s="8">
        <v>3871</v>
      </c>
      <c r="O237" s="8">
        <v>3979</v>
      </c>
      <c r="P237" s="8">
        <v>3982</v>
      </c>
      <c r="Q237" s="8">
        <v>4142</v>
      </c>
      <c r="R237" s="8">
        <v>4178</v>
      </c>
      <c r="S237" s="8">
        <v>4720</v>
      </c>
      <c r="T237" s="36">
        <v>4804</v>
      </c>
      <c r="U237" s="33" t="s">
        <v>1253</v>
      </c>
      <c r="V237" s="18" t="s">
        <v>1257</v>
      </c>
      <c r="W237" s="16">
        <f>(C236+C239+C242)</f>
        <v>13355</v>
      </c>
      <c r="X237" s="17">
        <f>SUM(W237/W242)</f>
        <v>0.35852348993288591</v>
      </c>
      <c r="Y237" s="14">
        <v>2</v>
      </c>
    </row>
    <row r="238" spans="1:25" s="2" customFormat="1" ht="16.5" customHeight="1" thickBot="1">
      <c r="A238" s="6" t="s">
        <v>2116</v>
      </c>
      <c r="B238" s="45" t="s">
        <v>1269</v>
      </c>
      <c r="C238" s="8">
        <v>2947</v>
      </c>
      <c r="D238" s="8">
        <v>2954</v>
      </c>
      <c r="E238" s="8">
        <v>3043</v>
      </c>
      <c r="F238" s="8">
        <v>3043</v>
      </c>
      <c r="G238" s="8">
        <v>3076</v>
      </c>
      <c r="H238" s="8">
        <v>3132</v>
      </c>
      <c r="I238" s="8">
        <v>3160</v>
      </c>
      <c r="J238" s="8">
        <v>3184</v>
      </c>
      <c r="K238" s="8">
        <v>3260</v>
      </c>
      <c r="L238" s="8">
        <v>3307</v>
      </c>
      <c r="M238" s="8">
        <v>3354</v>
      </c>
      <c r="N238" s="8">
        <v>3367</v>
      </c>
      <c r="O238" s="8">
        <v>3546</v>
      </c>
      <c r="P238" s="8">
        <v>3661</v>
      </c>
      <c r="Q238" s="8">
        <v>3797</v>
      </c>
      <c r="R238" s="8">
        <v>6095</v>
      </c>
      <c r="S238" s="36">
        <v>6202</v>
      </c>
      <c r="T238" s="8"/>
      <c r="U238" s="33" t="s">
        <v>1280</v>
      </c>
      <c r="V238" s="30" t="s">
        <v>1258</v>
      </c>
      <c r="W238" s="16">
        <f>(C235+C237+C238)</f>
        <v>15504</v>
      </c>
      <c r="X238" s="17">
        <f>SUM(W238/W242)</f>
        <v>0.41621476510067112</v>
      </c>
      <c r="Y238" s="2">
        <v>3</v>
      </c>
    </row>
    <row r="239" spans="1:25" s="2" customFormat="1" ht="16.5" customHeight="1" thickBot="1">
      <c r="A239" s="12" t="s">
        <v>2123</v>
      </c>
      <c r="B239" s="32" t="s">
        <v>1269</v>
      </c>
      <c r="C239" s="8">
        <v>2269</v>
      </c>
      <c r="D239" s="8">
        <v>2276</v>
      </c>
      <c r="E239" s="8">
        <v>2392</v>
      </c>
      <c r="F239" s="8">
        <v>2395</v>
      </c>
      <c r="G239" s="8">
        <v>2435</v>
      </c>
      <c r="H239" s="8">
        <v>2466</v>
      </c>
      <c r="I239" s="8">
        <v>2481</v>
      </c>
      <c r="J239" s="8">
        <v>2496</v>
      </c>
      <c r="K239" s="8">
        <v>2514</v>
      </c>
      <c r="L239" s="8">
        <v>2556</v>
      </c>
      <c r="M239" s="8">
        <v>2604</v>
      </c>
      <c r="N239" s="8">
        <v>2616</v>
      </c>
      <c r="O239" s="8">
        <v>2783</v>
      </c>
      <c r="P239" s="8">
        <v>2851</v>
      </c>
      <c r="Q239" s="8">
        <v>2983</v>
      </c>
      <c r="R239" s="8" t="s">
        <v>1326</v>
      </c>
      <c r="V239" s="15" t="s">
        <v>1261</v>
      </c>
      <c r="W239" s="21">
        <v>2906</v>
      </c>
      <c r="X239" s="17">
        <f>SUM(W239/W242)</f>
        <v>7.801342281879195E-2</v>
      </c>
    </row>
    <row r="240" spans="1:25" s="2" customFormat="1" ht="16.5" customHeight="1" thickBot="1">
      <c r="A240" s="12" t="s">
        <v>2122</v>
      </c>
      <c r="B240" s="38" t="s">
        <v>1423</v>
      </c>
      <c r="C240" s="8">
        <v>2247</v>
      </c>
      <c r="D240" s="8">
        <v>2281</v>
      </c>
      <c r="E240" s="8">
        <v>2683</v>
      </c>
      <c r="F240" s="8">
        <v>2685</v>
      </c>
      <c r="G240" s="8">
        <v>2687</v>
      </c>
      <c r="H240" s="8">
        <v>2699</v>
      </c>
      <c r="I240" s="8">
        <v>2707</v>
      </c>
      <c r="J240" s="8">
        <v>2754</v>
      </c>
      <c r="K240" s="8">
        <v>2784</v>
      </c>
      <c r="L240" s="8">
        <v>2880</v>
      </c>
      <c r="M240" s="8">
        <v>3081</v>
      </c>
      <c r="N240" s="8">
        <v>3172</v>
      </c>
      <c r="O240" s="8">
        <v>3423</v>
      </c>
      <c r="P240" s="8">
        <v>3438</v>
      </c>
      <c r="Q240" s="8">
        <v>3965</v>
      </c>
      <c r="R240" s="8">
        <v>4087</v>
      </c>
      <c r="S240" s="8" t="s">
        <v>1326</v>
      </c>
      <c r="V240" s="31" t="s">
        <v>1269</v>
      </c>
      <c r="W240" s="21">
        <v>2741</v>
      </c>
      <c r="X240" s="17">
        <f>SUM(W240/W242)</f>
        <v>7.3583892617449659E-2</v>
      </c>
      <c r="Y240" s="2">
        <v>1</v>
      </c>
    </row>
    <row r="241" spans="1:24" s="2" customFormat="1" ht="16.5" customHeight="1" thickBot="1">
      <c r="A241" s="12" t="s">
        <v>1809</v>
      </c>
      <c r="B241" s="20" t="s">
        <v>1261</v>
      </c>
      <c r="C241" s="8">
        <v>1982</v>
      </c>
      <c r="D241" s="8">
        <v>1986</v>
      </c>
      <c r="E241" s="8">
        <v>2001</v>
      </c>
      <c r="F241" s="8">
        <v>2001</v>
      </c>
      <c r="G241" s="8">
        <v>2004</v>
      </c>
      <c r="H241" s="8">
        <v>2014</v>
      </c>
      <c r="I241" s="8">
        <v>2021</v>
      </c>
      <c r="J241" s="8">
        <v>2027</v>
      </c>
      <c r="K241" s="8">
        <v>2364</v>
      </c>
      <c r="L241" s="8">
        <v>2377</v>
      </c>
      <c r="M241" s="8">
        <v>2385</v>
      </c>
      <c r="N241" s="8">
        <v>2393</v>
      </c>
      <c r="O241" s="8">
        <v>2430</v>
      </c>
      <c r="P241" s="8">
        <v>4282</v>
      </c>
      <c r="Q241" s="8">
        <v>4315</v>
      </c>
      <c r="R241" s="8">
        <v>4439</v>
      </c>
      <c r="S241" s="8">
        <v>4610</v>
      </c>
      <c r="T241" s="8">
        <v>4645</v>
      </c>
      <c r="U241" s="33"/>
      <c r="V241" s="26" t="s">
        <v>1254</v>
      </c>
      <c r="W241" s="21">
        <f>(C244+C245+C246+C247)</f>
        <v>4837</v>
      </c>
      <c r="X241" s="11">
        <f>SUM(W241/W242)</f>
        <v>0.1298523489932886</v>
      </c>
    </row>
    <row r="242" spans="1:24" s="2" customFormat="1" ht="16.5" customHeight="1" thickBot="1">
      <c r="A242" s="12" t="s">
        <v>2119</v>
      </c>
      <c r="B242" s="20" t="s">
        <v>1261</v>
      </c>
      <c r="C242" s="8">
        <v>1883</v>
      </c>
      <c r="D242" s="8">
        <v>1884</v>
      </c>
      <c r="E242" s="8">
        <v>1892</v>
      </c>
      <c r="F242" s="8">
        <v>1892</v>
      </c>
      <c r="G242" s="8">
        <v>1899</v>
      </c>
      <c r="H242" s="8">
        <v>1914</v>
      </c>
      <c r="I242" s="8">
        <v>1916</v>
      </c>
      <c r="J242" s="8">
        <v>1920</v>
      </c>
      <c r="K242" s="8">
        <v>2092</v>
      </c>
      <c r="L242" s="8">
        <v>2097</v>
      </c>
      <c r="M242" s="8">
        <v>2108</v>
      </c>
      <c r="N242" s="8">
        <v>2108</v>
      </c>
      <c r="O242" s="8">
        <v>2125</v>
      </c>
      <c r="P242" s="8" t="s">
        <v>1326</v>
      </c>
      <c r="W242" s="23">
        <v>37250</v>
      </c>
    </row>
    <row r="243" spans="1:24" s="2" customFormat="1" ht="16.5" customHeight="1" thickBot="1">
      <c r="A243" s="6" t="s">
        <v>2117</v>
      </c>
      <c r="B243" s="9" t="s">
        <v>1257</v>
      </c>
      <c r="C243" s="8">
        <v>1623</v>
      </c>
      <c r="D243" s="8">
        <v>1639</v>
      </c>
      <c r="E243" s="8">
        <v>2222</v>
      </c>
      <c r="F243" s="8">
        <v>2222</v>
      </c>
      <c r="G243" s="8">
        <v>2232</v>
      </c>
      <c r="H243" s="8">
        <v>2241</v>
      </c>
      <c r="I243" s="8">
        <v>2257</v>
      </c>
      <c r="J243" s="8">
        <v>2298</v>
      </c>
      <c r="K243" s="8">
        <v>2320</v>
      </c>
      <c r="L243" s="8">
        <v>2546</v>
      </c>
      <c r="M243" s="8">
        <v>3010</v>
      </c>
      <c r="N243" s="8">
        <v>3072</v>
      </c>
      <c r="O243" s="8">
        <v>3253</v>
      </c>
      <c r="P243" s="8">
        <v>3258</v>
      </c>
      <c r="Q243" s="8">
        <v>4599</v>
      </c>
      <c r="R243" s="8">
        <v>4719</v>
      </c>
      <c r="S243" s="36">
        <v>6327</v>
      </c>
      <c r="T243" s="8"/>
      <c r="U243" s="33" t="s">
        <v>1252</v>
      </c>
    </row>
    <row r="244" spans="1:24" s="2" customFormat="1" ht="16.5" customHeight="1" thickBot="1">
      <c r="A244" s="6" t="s">
        <v>1921</v>
      </c>
      <c r="B244" s="28" t="s">
        <v>1258</v>
      </c>
      <c r="C244" s="8">
        <v>1415</v>
      </c>
      <c r="D244" s="8">
        <v>3682</v>
      </c>
      <c r="E244" s="8">
        <v>3742</v>
      </c>
      <c r="F244" s="8">
        <v>3743</v>
      </c>
      <c r="G244" s="8">
        <v>3750</v>
      </c>
      <c r="H244" s="8">
        <v>3755</v>
      </c>
      <c r="I244" s="8">
        <v>3778</v>
      </c>
      <c r="J244" s="8">
        <v>3796</v>
      </c>
      <c r="K244" s="8">
        <v>3827</v>
      </c>
      <c r="L244" s="8">
        <v>3971</v>
      </c>
      <c r="M244" s="8">
        <v>3996</v>
      </c>
      <c r="N244" s="8">
        <v>5141</v>
      </c>
      <c r="O244" s="8">
        <v>5267</v>
      </c>
      <c r="P244" s="8">
        <v>5271</v>
      </c>
      <c r="Q244" s="8">
        <v>5404</v>
      </c>
      <c r="R244" s="8">
        <v>5435</v>
      </c>
      <c r="S244" s="8">
        <v>5863</v>
      </c>
      <c r="T244" s="36">
        <v>5933</v>
      </c>
      <c r="U244" s="33" t="s">
        <v>1251</v>
      </c>
    </row>
    <row r="245" spans="1:24" s="2" customFormat="1" ht="16.5" customHeight="1" thickBot="1">
      <c r="A245" s="12" t="s">
        <v>2121</v>
      </c>
      <c r="B245" s="63" t="s">
        <v>1276</v>
      </c>
      <c r="C245" s="8">
        <v>1342</v>
      </c>
      <c r="D245" s="43">
        <v>1362</v>
      </c>
      <c r="E245" s="43">
        <v>1429</v>
      </c>
      <c r="F245" s="8">
        <v>1430</v>
      </c>
      <c r="G245" s="8">
        <v>1447</v>
      </c>
      <c r="H245" s="8">
        <v>1459</v>
      </c>
      <c r="I245" s="8">
        <v>1469</v>
      </c>
      <c r="J245" s="8">
        <v>1477</v>
      </c>
      <c r="K245" s="8">
        <v>1593</v>
      </c>
      <c r="L245" s="8">
        <v>1662</v>
      </c>
      <c r="M245" s="8">
        <v>1715</v>
      </c>
      <c r="N245" s="8">
        <v>1779</v>
      </c>
      <c r="O245" s="8" t="s">
        <v>1326</v>
      </c>
    </row>
    <row r="246" spans="1:24" s="2" customFormat="1" ht="16.5" customHeight="1" thickBot="1">
      <c r="A246" s="12" t="s">
        <v>1803</v>
      </c>
      <c r="B246" s="22" t="s">
        <v>1257</v>
      </c>
      <c r="C246" s="8">
        <v>1073</v>
      </c>
      <c r="D246" s="8">
        <v>1104</v>
      </c>
      <c r="E246" s="8">
        <v>1948</v>
      </c>
      <c r="F246" s="8">
        <v>1949</v>
      </c>
      <c r="G246" s="8">
        <v>1962</v>
      </c>
      <c r="H246" s="43">
        <v>1969</v>
      </c>
      <c r="I246" s="43">
        <v>1978</v>
      </c>
      <c r="J246" s="43">
        <v>1995</v>
      </c>
      <c r="K246" s="43">
        <v>2043</v>
      </c>
      <c r="L246" s="43">
        <v>2138</v>
      </c>
      <c r="M246" s="43">
        <v>2431</v>
      </c>
      <c r="N246" s="43">
        <v>2477</v>
      </c>
      <c r="O246" s="43">
        <v>2772</v>
      </c>
      <c r="P246" s="43">
        <v>2782</v>
      </c>
      <c r="Q246" s="43" t="s">
        <v>1326</v>
      </c>
    </row>
    <row r="247" spans="1:24" s="2" customFormat="1" ht="16.5" customHeight="1" thickBot="1">
      <c r="A247" s="12" t="s">
        <v>2118</v>
      </c>
      <c r="B247" s="27" t="s">
        <v>1258</v>
      </c>
      <c r="C247" s="8">
        <v>1007</v>
      </c>
      <c r="D247" s="8">
        <v>1545</v>
      </c>
      <c r="E247" s="8">
        <v>1565</v>
      </c>
      <c r="F247" s="8">
        <v>1565</v>
      </c>
      <c r="G247" s="8">
        <v>1569</v>
      </c>
      <c r="H247" s="8">
        <v>1571</v>
      </c>
      <c r="I247" s="8">
        <v>1580</v>
      </c>
      <c r="J247" s="8">
        <v>1594</v>
      </c>
      <c r="K247" s="8">
        <v>1624</v>
      </c>
      <c r="L247" s="8">
        <v>1677</v>
      </c>
      <c r="M247" s="8">
        <v>1714</v>
      </c>
      <c r="N247" s="8" t="s">
        <v>1326</v>
      </c>
    </row>
    <row r="248" spans="1:24" s="2" customFormat="1" ht="16.5" customHeight="1" thickBot="1">
      <c r="A248" s="12" t="s">
        <v>2124</v>
      </c>
      <c r="B248" s="38" t="s">
        <v>2106</v>
      </c>
      <c r="C248" s="8">
        <v>951</v>
      </c>
      <c r="D248" s="8">
        <v>975</v>
      </c>
      <c r="E248" s="8">
        <v>1060</v>
      </c>
      <c r="F248" s="8">
        <v>1061</v>
      </c>
      <c r="G248" s="8">
        <v>1069</v>
      </c>
      <c r="H248" s="8">
        <v>1076</v>
      </c>
      <c r="I248" s="8">
        <v>1125</v>
      </c>
      <c r="J248" s="8">
        <v>1147</v>
      </c>
      <c r="K248" s="8">
        <v>1167</v>
      </c>
      <c r="L248" s="8" t="s">
        <v>1326</v>
      </c>
    </row>
    <row r="249" spans="1:24" s="2" customFormat="1" ht="16.5" customHeight="1" thickBot="1">
      <c r="A249" s="12" t="s">
        <v>2126</v>
      </c>
      <c r="B249" s="22" t="s">
        <v>1257</v>
      </c>
      <c r="C249" s="8">
        <v>615</v>
      </c>
      <c r="D249" s="8">
        <v>628</v>
      </c>
      <c r="E249" s="8">
        <v>1094</v>
      </c>
      <c r="F249" s="8">
        <v>1096</v>
      </c>
      <c r="G249" s="8">
        <v>1101</v>
      </c>
      <c r="H249" s="8">
        <v>1109</v>
      </c>
      <c r="I249" s="8">
        <v>1120</v>
      </c>
      <c r="J249" s="8">
        <v>1147</v>
      </c>
      <c r="K249" s="8">
        <v>1185</v>
      </c>
      <c r="L249" s="8">
        <v>1316</v>
      </c>
      <c r="M249" s="8" t="s">
        <v>1326</v>
      </c>
    </row>
    <row r="250" spans="1:24" s="2" customFormat="1" ht="16.5" customHeight="1" thickBot="1">
      <c r="A250" s="12" t="s">
        <v>2120</v>
      </c>
      <c r="B250" s="13" t="s">
        <v>1247</v>
      </c>
      <c r="C250" s="8">
        <v>614</v>
      </c>
      <c r="D250" s="43">
        <v>614</v>
      </c>
      <c r="E250" s="43">
        <v>614</v>
      </c>
      <c r="F250" s="8">
        <v>614</v>
      </c>
      <c r="G250" s="8">
        <v>616</v>
      </c>
      <c r="H250" s="8">
        <v>619</v>
      </c>
      <c r="I250" s="8">
        <v>620</v>
      </c>
      <c r="J250" s="8">
        <v>620</v>
      </c>
      <c r="K250" s="8" t="s">
        <v>1326</v>
      </c>
      <c r="L250" s="17"/>
    </row>
    <row r="251" spans="1:24" s="2" customFormat="1" ht="16.5" customHeight="1" thickBot="1">
      <c r="A251" s="12" t="s">
        <v>2125</v>
      </c>
      <c r="B251" s="38" t="s">
        <v>2012</v>
      </c>
      <c r="C251" s="8">
        <v>322</v>
      </c>
      <c r="D251" s="8">
        <v>348</v>
      </c>
      <c r="E251" s="8">
        <v>392</v>
      </c>
      <c r="F251" s="8">
        <v>392</v>
      </c>
      <c r="G251" s="8">
        <v>393</v>
      </c>
      <c r="H251" s="43">
        <v>394</v>
      </c>
      <c r="I251" s="43">
        <v>400</v>
      </c>
      <c r="J251" s="8">
        <v>411</v>
      </c>
      <c r="K251" s="8" t="s">
        <v>1326</v>
      </c>
    </row>
    <row r="252" spans="1:24" s="2" customFormat="1" ht="16.5" customHeight="1" thickBot="1">
      <c r="A252" s="12" t="s">
        <v>2127</v>
      </c>
      <c r="B252" s="38" t="s">
        <v>1408</v>
      </c>
      <c r="C252" s="8">
        <v>263</v>
      </c>
      <c r="D252" s="8">
        <v>271</v>
      </c>
      <c r="E252" s="8">
        <v>292</v>
      </c>
      <c r="F252" s="8">
        <v>292</v>
      </c>
      <c r="G252" s="8">
        <v>298</v>
      </c>
      <c r="H252" s="8">
        <v>302</v>
      </c>
      <c r="I252" s="8">
        <v>312</v>
      </c>
      <c r="J252" s="8" t="s">
        <v>1326</v>
      </c>
    </row>
    <row r="253" spans="1:24" s="2" customFormat="1" ht="16.5" customHeight="1" thickBot="1">
      <c r="A253" s="12" t="s">
        <v>2128</v>
      </c>
      <c r="B253" s="38" t="s">
        <v>1270</v>
      </c>
      <c r="C253" s="8">
        <v>201</v>
      </c>
      <c r="D253" s="43">
        <v>210</v>
      </c>
      <c r="E253" s="43">
        <v>224</v>
      </c>
      <c r="F253" s="8">
        <v>224</v>
      </c>
      <c r="G253" s="8">
        <v>236</v>
      </c>
      <c r="H253" s="8">
        <v>255</v>
      </c>
      <c r="I253" s="43" t="s">
        <v>1326</v>
      </c>
      <c r="L253" s="17"/>
    </row>
    <row r="254" spans="1:24" s="2" customFormat="1" ht="16.5" customHeight="1" thickBot="1">
      <c r="A254" s="12" t="s">
        <v>1794</v>
      </c>
      <c r="B254" s="39" t="s">
        <v>1320</v>
      </c>
      <c r="C254" s="8">
        <v>200</v>
      </c>
      <c r="D254" s="8">
        <v>203</v>
      </c>
      <c r="E254" s="8">
        <v>204</v>
      </c>
      <c r="F254" s="8">
        <v>217</v>
      </c>
      <c r="G254" s="8">
        <v>233</v>
      </c>
      <c r="H254" s="43" t="s">
        <v>1326</v>
      </c>
    </row>
    <row r="255" spans="1:24" s="2" customFormat="1" ht="16.5" customHeight="1" thickBot="1">
      <c r="A255" s="12" t="s">
        <v>2129</v>
      </c>
      <c r="B255" s="80" t="s">
        <v>1997</v>
      </c>
      <c r="C255" s="8">
        <v>181</v>
      </c>
      <c r="D255" s="8">
        <v>187</v>
      </c>
      <c r="E255" s="8">
        <v>196</v>
      </c>
      <c r="F255" s="8">
        <v>197</v>
      </c>
      <c r="G255" s="8" t="s">
        <v>1326</v>
      </c>
    </row>
    <row r="256" spans="1:24" s="2" customFormat="1" ht="16.5" customHeight="1" thickBot="1">
      <c r="A256" s="12" t="s">
        <v>2130</v>
      </c>
      <c r="B256" s="38" t="s">
        <v>1958</v>
      </c>
      <c r="C256" s="8">
        <v>27</v>
      </c>
      <c r="D256" s="8">
        <v>27</v>
      </c>
      <c r="E256" s="8">
        <v>28</v>
      </c>
      <c r="F256" s="8" t="s">
        <v>1326</v>
      </c>
    </row>
    <row r="257" spans="1:19" s="2" customFormat="1" ht="12" customHeight="1">
      <c r="A257" s="1"/>
    </row>
    <row r="258" spans="1:19" s="2" customFormat="1" ht="16.5" customHeight="1">
      <c r="A258" s="1" t="s">
        <v>2131</v>
      </c>
    </row>
    <row r="259" spans="1:19" s="2" customFormat="1" ht="9.75" customHeight="1" thickBot="1">
      <c r="A259" s="3"/>
    </row>
    <row r="260" spans="1:19" s="2" customFormat="1" ht="16.5" customHeight="1" thickBot="1">
      <c r="A260" s="4" t="s">
        <v>1244</v>
      </c>
      <c r="B260" s="5" t="s">
        <v>1245</v>
      </c>
      <c r="C260" s="5" t="s">
        <v>1246</v>
      </c>
      <c r="D260" s="5">
        <v>2</v>
      </c>
      <c r="E260" s="5">
        <v>3</v>
      </c>
      <c r="F260" s="5">
        <v>4</v>
      </c>
      <c r="G260" s="5">
        <v>5</v>
      </c>
      <c r="H260" s="5">
        <v>6</v>
      </c>
      <c r="I260" s="5">
        <v>7</v>
      </c>
      <c r="J260" s="5">
        <v>8</v>
      </c>
      <c r="K260" s="5">
        <v>9</v>
      </c>
      <c r="L260" s="5">
        <v>10</v>
      </c>
      <c r="M260" s="5">
        <v>11</v>
      </c>
      <c r="N260" s="5">
        <v>12</v>
      </c>
      <c r="O260" s="5"/>
      <c r="P260" s="10" t="s">
        <v>1413</v>
      </c>
      <c r="Q260" s="11">
        <f>(37874/62942)</f>
        <v>0.60172857551396519</v>
      </c>
    </row>
    <row r="261" spans="1:19" s="2" customFormat="1" ht="16.5" customHeight="1" thickBot="1">
      <c r="A261" s="6" t="s">
        <v>1339</v>
      </c>
      <c r="B261" s="72" t="s">
        <v>1304</v>
      </c>
      <c r="C261" s="36">
        <v>8188</v>
      </c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36"/>
      <c r="O261" s="33" t="s">
        <v>1271</v>
      </c>
      <c r="P261" s="14"/>
      <c r="Q261" s="10" t="s">
        <v>1248</v>
      </c>
      <c r="R261" s="10" t="s">
        <v>1249</v>
      </c>
      <c r="S261" s="10" t="s">
        <v>1250</v>
      </c>
    </row>
    <row r="262" spans="1:19" s="2" customFormat="1" ht="16.5" customHeight="1" thickBot="1">
      <c r="A262" s="6" t="s">
        <v>2136</v>
      </c>
      <c r="B262" s="9" t="s">
        <v>1257</v>
      </c>
      <c r="C262" s="8">
        <v>4719</v>
      </c>
      <c r="D262" s="8">
        <v>4798</v>
      </c>
      <c r="E262" s="8">
        <v>4922</v>
      </c>
      <c r="F262" s="8">
        <v>4954</v>
      </c>
      <c r="G262" s="8">
        <v>5049</v>
      </c>
      <c r="H262" s="36">
        <v>5346</v>
      </c>
      <c r="I262" s="8"/>
      <c r="J262" s="8"/>
      <c r="K262" s="8"/>
      <c r="L262" s="8"/>
      <c r="M262" s="8"/>
      <c r="N262" s="8"/>
      <c r="O262" s="33" t="s">
        <v>1252</v>
      </c>
      <c r="P262" s="18" t="s">
        <v>1257</v>
      </c>
      <c r="Q262" s="16">
        <f>(C262+C263+C265)</f>
        <v>12147</v>
      </c>
      <c r="R262" s="17">
        <f>SUM(Q262/Q267)</f>
        <v>0.3255433763031651</v>
      </c>
      <c r="S262" s="14">
        <v>3</v>
      </c>
    </row>
    <row r="263" spans="1:19" s="2" customFormat="1" ht="16.5" customHeight="1" thickBot="1">
      <c r="A263" s="6" t="s">
        <v>2133</v>
      </c>
      <c r="B263" s="9" t="s">
        <v>1257</v>
      </c>
      <c r="C263" s="8">
        <v>4653</v>
      </c>
      <c r="D263" s="8">
        <v>4856</v>
      </c>
      <c r="E263" s="8">
        <v>4984</v>
      </c>
      <c r="F263" s="8">
        <v>5108</v>
      </c>
      <c r="G263" s="8">
        <v>5274</v>
      </c>
      <c r="H263" s="36">
        <v>5466</v>
      </c>
      <c r="I263" s="8"/>
      <c r="J263" s="8"/>
      <c r="K263" s="8"/>
      <c r="L263" s="8"/>
      <c r="M263" s="8"/>
      <c r="N263" s="8"/>
      <c r="O263" s="33" t="s">
        <v>1362</v>
      </c>
      <c r="P263" s="30" t="s">
        <v>1258</v>
      </c>
      <c r="Q263" s="16">
        <f>(C269+C273)</f>
        <v>2571</v>
      </c>
      <c r="R263" s="17">
        <f>SUM(Q263/Q267)</f>
        <v>6.8903599281751673E-2</v>
      </c>
    </row>
    <row r="264" spans="1:19" s="2" customFormat="1" ht="16.5" customHeight="1" thickBot="1">
      <c r="A264" s="6" t="s">
        <v>2134</v>
      </c>
      <c r="B264" s="45" t="s">
        <v>1269</v>
      </c>
      <c r="C264" s="8">
        <v>3669</v>
      </c>
      <c r="D264" s="8">
        <v>3686</v>
      </c>
      <c r="E264" s="8">
        <v>3795</v>
      </c>
      <c r="F264" s="8">
        <v>3801</v>
      </c>
      <c r="G264" s="8">
        <v>4269</v>
      </c>
      <c r="H264" s="8">
        <v>4374</v>
      </c>
      <c r="I264" s="8">
        <v>4579</v>
      </c>
      <c r="J264" s="8">
        <v>4588</v>
      </c>
      <c r="K264" s="36">
        <v>5985</v>
      </c>
      <c r="L264" s="8"/>
      <c r="M264" s="8"/>
      <c r="N264" s="8"/>
      <c r="O264" s="33" t="s">
        <v>1280</v>
      </c>
      <c r="P264" s="15" t="s">
        <v>1261</v>
      </c>
      <c r="Q264" s="21">
        <v>2048</v>
      </c>
      <c r="R264" s="17">
        <f>SUM(Q264/Q267)</f>
        <v>5.48870366896256E-2</v>
      </c>
    </row>
    <row r="265" spans="1:19" s="2" customFormat="1" ht="16.5" customHeight="1" thickBot="1">
      <c r="A265" s="6" t="s">
        <v>2132</v>
      </c>
      <c r="B265" s="9" t="s">
        <v>1257</v>
      </c>
      <c r="C265" s="8">
        <v>2775</v>
      </c>
      <c r="D265" s="8">
        <v>2851</v>
      </c>
      <c r="E265" s="8">
        <v>2890</v>
      </c>
      <c r="F265" s="8">
        <v>2930</v>
      </c>
      <c r="G265" s="8">
        <v>3050</v>
      </c>
      <c r="H265" s="8">
        <v>3180</v>
      </c>
      <c r="I265" s="8">
        <v>3664</v>
      </c>
      <c r="J265" s="8">
        <v>3748</v>
      </c>
      <c r="K265" s="8">
        <v>3920</v>
      </c>
      <c r="L265" s="8">
        <v>4122</v>
      </c>
      <c r="M265" s="8">
        <v>4594</v>
      </c>
      <c r="N265" s="36">
        <v>4751</v>
      </c>
      <c r="O265" s="33" t="s">
        <v>1253</v>
      </c>
      <c r="P265" s="31" t="s">
        <v>1269</v>
      </c>
      <c r="Q265" s="21">
        <f>(C264+C268)</f>
        <v>5368</v>
      </c>
      <c r="R265" s="17">
        <f>SUM(Q265/Q267)</f>
        <v>0.14386406882319835</v>
      </c>
      <c r="S265" s="2">
        <v>1</v>
      </c>
    </row>
    <row r="266" spans="1:19" s="2" customFormat="1" ht="16.5" customHeight="1" thickBot="1">
      <c r="A266" s="12" t="s">
        <v>2138</v>
      </c>
      <c r="B266" s="20" t="s">
        <v>1261</v>
      </c>
      <c r="C266" s="8">
        <v>2048</v>
      </c>
      <c r="D266" s="8">
        <v>2051</v>
      </c>
      <c r="E266" s="8">
        <v>2085</v>
      </c>
      <c r="F266" s="8">
        <v>2086</v>
      </c>
      <c r="G266" s="8">
        <v>2134</v>
      </c>
      <c r="H266" s="8">
        <v>2194</v>
      </c>
      <c r="I266" s="8">
        <v>2237</v>
      </c>
      <c r="J266" s="8">
        <v>2239</v>
      </c>
      <c r="K266" s="8">
        <v>2327</v>
      </c>
      <c r="L266" s="8">
        <v>2450</v>
      </c>
      <c r="M266" s="8">
        <v>2458</v>
      </c>
      <c r="N266" s="8" t="s">
        <v>1326</v>
      </c>
      <c r="P266" s="26" t="s">
        <v>1254</v>
      </c>
      <c r="Q266" s="21">
        <f>(C261+C267+C270+C271+C272+C274+C275+C276+C277+C278+C279)</f>
        <v>15179</v>
      </c>
      <c r="R266" s="11">
        <f>SUM(Q266/Q267)</f>
        <v>0.40680191890225925</v>
      </c>
      <c r="S266" s="2">
        <v>2</v>
      </c>
    </row>
    <row r="267" spans="1:19" s="2" customFormat="1" ht="16.5" customHeight="1" thickBot="1">
      <c r="A267" s="6" t="s">
        <v>2135</v>
      </c>
      <c r="B267" s="81" t="s">
        <v>1267</v>
      </c>
      <c r="C267" s="8">
        <v>1808</v>
      </c>
      <c r="D267" s="8">
        <v>1836</v>
      </c>
      <c r="E267" s="8">
        <v>1918</v>
      </c>
      <c r="F267" s="8">
        <v>1932</v>
      </c>
      <c r="G267" s="8">
        <v>2050</v>
      </c>
      <c r="H267" s="8">
        <v>2232</v>
      </c>
      <c r="I267" s="8">
        <v>2460</v>
      </c>
      <c r="J267" s="8">
        <v>2478</v>
      </c>
      <c r="K267" s="8">
        <v>2720</v>
      </c>
      <c r="L267" s="8">
        <v>3028</v>
      </c>
      <c r="M267" s="8">
        <v>3086</v>
      </c>
      <c r="N267" s="36">
        <v>4898</v>
      </c>
      <c r="O267" s="33" t="s">
        <v>1251</v>
      </c>
      <c r="Q267" s="23">
        <v>37313</v>
      </c>
    </row>
    <row r="268" spans="1:19" s="2" customFormat="1" ht="16.5" customHeight="1" thickBot="1">
      <c r="A268" s="12" t="s">
        <v>2139</v>
      </c>
      <c r="B268" s="32" t="s">
        <v>1269</v>
      </c>
      <c r="C268" s="8">
        <v>1699</v>
      </c>
      <c r="D268" s="8">
        <v>1710</v>
      </c>
      <c r="E268" s="8">
        <v>1753</v>
      </c>
      <c r="F268" s="8">
        <v>1758</v>
      </c>
      <c r="G268" s="8">
        <v>1910</v>
      </c>
      <c r="H268" s="8">
        <v>1966</v>
      </c>
      <c r="I268" s="8">
        <v>2089</v>
      </c>
      <c r="J268" s="8">
        <v>2095</v>
      </c>
      <c r="K268" s="8" t="s">
        <v>1326</v>
      </c>
    </row>
    <row r="269" spans="1:19" s="2" customFormat="1" ht="16.5" customHeight="1" thickBot="1">
      <c r="A269" s="12" t="s">
        <v>1513</v>
      </c>
      <c r="B269" s="27" t="s">
        <v>1258</v>
      </c>
      <c r="C269" s="8">
        <v>1558</v>
      </c>
      <c r="D269" s="8">
        <v>1829</v>
      </c>
      <c r="E269" s="8">
        <v>1880</v>
      </c>
      <c r="F269" s="8">
        <v>2748</v>
      </c>
      <c r="G269" s="8">
        <v>2778</v>
      </c>
      <c r="H269" s="8">
        <v>2929</v>
      </c>
      <c r="I269" s="8">
        <v>3137</v>
      </c>
      <c r="J269" s="8">
        <v>3147</v>
      </c>
      <c r="K269" s="8">
        <v>3168</v>
      </c>
      <c r="L269" s="8">
        <v>3171</v>
      </c>
      <c r="M269" s="8">
        <v>4424</v>
      </c>
      <c r="N269" s="8">
        <v>4443</v>
      </c>
      <c r="O269" s="33"/>
    </row>
    <row r="270" spans="1:19" s="2" customFormat="1" ht="16.5" customHeight="1" thickBot="1">
      <c r="A270" s="12" t="s">
        <v>1516</v>
      </c>
      <c r="B270" s="38" t="s">
        <v>1270</v>
      </c>
      <c r="C270" s="8">
        <v>1382</v>
      </c>
      <c r="D270" s="8">
        <v>1455</v>
      </c>
      <c r="E270" s="8">
        <v>1532</v>
      </c>
      <c r="F270" s="8">
        <v>1554</v>
      </c>
      <c r="G270" s="8">
        <v>1645</v>
      </c>
      <c r="H270" s="8">
        <v>1751</v>
      </c>
      <c r="I270" s="8" t="s">
        <v>1326</v>
      </c>
    </row>
    <row r="271" spans="1:19" s="2" customFormat="1" ht="16.5" customHeight="1" thickBot="1">
      <c r="A271" s="12" t="s">
        <v>2141</v>
      </c>
      <c r="B271" s="63" t="s">
        <v>1276</v>
      </c>
      <c r="C271" s="8">
        <v>1376</v>
      </c>
      <c r="D271" s="43">
        <v>1416</v>
      </c>
      <c r="E271" s="43">
        <v>1522</v>
      </c>
      <c r="F271" s="8">
        <v>1556</v>
      </c>
      <c r="G271" s="8">
        <v>1583</v>
      </c>
      <c r="H271" s="8" t="s">
        <v>1326</v>
      </c>
    </row>
    <row r="272" spans="1:19" s="2" customFormat="1" ht="16.5" customHeight="1" thickBot="1">
      <c r="A272" s="12" t="s">
        <v>1511</v>
      </c>
      <c r="B272" s="38" t="s">
        <v>1270</v>
      </c>
      <c r="C272" s="8">
        <v>1327</v>
      </c>
      <c r="D272" s="8">
        <v>1361</v>
      </c>
      <c r="E272" s="8">
        <v>1389</v>
      </c>
      <c r="F272" s="8">
        <v>1396</v>
      </c>
      <c r="G272" s="8" t="s">
        <v>1326</v>
      </c>
      <c r="L272" s="17"/>
    </row>
    <row r="273" spans="1:19" s="2" customFormat="1" ht="16.5" customHeight="1" thickBot="1">
      <c r="A273" s="12" t="s">
        <v>2137</v>
      </c>
      <c r="B273" s="27" t="s">
        <v>1258</v>
      </c>
      <c r="C273" s="8">
        <v>1013</v>
      </c>
      <c r="D273" s="8">
        <v>1291</v>
      </c>
      <c r="E273" s="8">
        <v>1354</v>
      </c>
      <c r="F273" s="8" t="s">
        <v>1326</v>
      </c>
    </row>
    <row r="274" spans="1:19" s="2" customFormat="1" ht="16.5" customHeight="1" thickBot="1">
      <c r="A274" s="12" t="s">
        <v>2142</v>
      </c>
      <c r="B274" s="38" t="s">
        <v>1408</v>
      </c>
      <c r="C274" s="8">
        <v>337</v>
      </c>
      <c r="D274" s="8">
        <v>365</v>
      </c>
      <c r="E274" s="8" t="s">
        <v>1326</v>
      </c>
      <c r="L274" s="17"/>
    </row>
    <row r="275" spans="1:19" s="2" customFormat="1" ht="16.5" customHeight="1" thickBot="1">
      <c r="A275" s="12" t="s">
        <v>2143</v>
      </c>
      <c r="B275" s="38" t="s">
        <v>2012</v>
      </c>
      <c r="C275" s="8">
        <v>265</v>
      </c>
      <c r="D275" s="43">
        <v>295</v>
      </c>
      <c r="E275" s="8" t="s">
        <v>1326</v>
      </c>
      <c r="L275" s="17"/>
    </row>
    <row r="276" spans="1:19" s="2" customFormat="1" ht="16.5" customHeight="1" thickBot="1">
      <c r="A276" s="12" t="s">
        <v>2144</v>
      </c>
      <c r="B276" s="80" t="s">
        <v>1997</v>
      </c>
      <c r="C276" s="8">
        <v>212</v>
      </c>
      <c r="D276" s="8">
        <v>218</v>
      </c>
      <c r="E276" s="8" t="s">
        <v>1326</v>
      </c>
    </row>
    <row r="277" spans="1:19" s="2" customFormat="1" ht="16.5" customHeight="1" thickBot="1">
      <c r="A277" s="12" t="s">
        <v>2140</v>
      </c>
      <c r="B277" s="42" t="s">
        <v>1304</v>
      </c>
      <c r="C277" s="8">
        <v>173</v>
      </c>
      <c r="D277" s="8">
        <v>1798</v>
      </c>
      <c r="E277" s="8">
        <v>1847</v>
      </c>
      <c r="F277" s="8">
        <v>1993</v>
      </c>
      <c r="G277" s="8">
        <v>2019</v>
      </c>
      <c r="H277" s="8">
        <v>2063</v>
      </c>
      <c r="I277" s="8">
        <v>2225</v>
      </c>
      <c r="J277" s="8">
        <v>2230</v>
      </c>
      <c r="K277" s="8">
        <v>2256</v>
      </c>
      <c r="L277" s="8">
        <v>2265</v>
      </c>
      <c r="M277" s="8" t="s">
        <v>1326</v>
      </c>
    </row>
    <row r="278" spans="1:19" s="2" customFormat="1" ht="16.5" customHeight="1" thickBot="1">
      <c r="A278" s="12" t="s">
        <v>1823</v>
      </c>
      <c r="B278" s="38" t="s">
        <v>1270</v>
      </c>
      <c r="C278" s="8">
        <v>72</v>
      </c>
      <c r="D278" s="43">
        <v>77</v>
      </c>
      <c r="E278" s="8" t="s">
        <v>1326</v>
      </c>
      <c r="L278" s="17"/>
    </row>
    <row r="279" spans="1:19" s="2" customFormat="1" ht="16.5" customHeight="1" thickBot="1">
      <c r="A279" s="12" t="s">
        <v>2145</v>
      </c>
      <c r="B279" s="38" t="s">
        <v>1958</v>
      </c>
      <c r="C279" s="8">
        <v>39</v>
      </c>
      <c r="D279" s="8">
        <v>42</v>
      </c>
      <c r="E279" s="8" t="s">
        <v>1326</v>
      </c>
    </row>
    <row r="280" spans="1:19" s="2" customFormat="1" ht="12" customHeight="1">
      <c r="A280" s="1"/>
      <c r="L280"/>
      <c r="S280"/>
    </row>
    <row r="281" spans="1:19" s="2" customFormat="1" ht="16.5" customHeight="1">
      <c r="A281" s="1" t="s">
        <v>2146</v>
      </c>
    </row>
    <row r="282" spans="1:19" s="2" customFormat="1" ht="9.75" customHeight="1" thickBot="1">
      <c r="A282" s="3"/>
    </row>
    <row r="283" spans="1:19" s="2" customFormat="1" ht="16.5" customHeight="1" thickBot="1">
      <c r="A283" s="4" t="s">
        <v>1244</v>
      </c>
      <c r="B283" s="5" t="s">
        <v>1245</v>
      </c>
      <c r="C283" s="5" t="s">
        <v>1246</v>
      </c>
      <c r="D283" s="5">
        <v>2</v>
      </c>
      <c r="E283" s="5">
        <v>3</v>
      </c>
      <c r="F283" s="5">
        <v>4</v>
      </c>
      <c r="G283" s="5">
        <v>5</v>
      </c>
      <c r="H283" s="5">
        <v>6</v>
      </c>
      <c r="I283" s="5">
        <v>7</v>
      </c>
      <c r="J283" s="5">
        <v>8</v>
      </c>
      <c r="K283" s="5">
        <v>9</v>
      </c>
      <c r="L283" s="5">
        <v>10</v>
      </c>
      <c r="M283" s="5">
        <v>11</v>
      </c>
      <c r="N283" s="5"/>
      <c r="O283" s="10" t="s">
        <v>1413</v>
      </c>
      <c r="P283" s="11">
        <f>(42066/62541)</f>
        <v>0.67261476471434734</v>
      </c>
    </row>
    <row r="284" spans="1:19" s="2" customFormat="1" ht="16.5" customHeight="1" thickBot="1">
      <c r="A284" s="6" t="s">
        <v>2150</v>
      </c>
      <c r="B284" s="28" t="s">
        <v>1258</v>
      </c>
      <c r="C284" s="36">
        <v>7476</v>
      </c>
      <c r="D284" s="8"/>
      <c r="E284" s="8"/>
      <c r="F284" s="8"/>
      <c r="G284" s="8"/>
      <c r="H284" s="8"/>
      <c r="I284" s="36"/>
      <c r="J284" s="8"/>
      <c r="K284" s="8"/>
      <c r="L284" s="8"/>
      <c r="M284" s="8"/>
      <c r="N284" s="33" t="s">
        <v>1271</v>
      </c>
      <c r="O284" s="14"/>
      <c r="P284" s="10" t="s">
        <v>1248</v>
      </c>
      <c r="Q284" s="10" t="s">
        <v>1249</v>
      </c>
      <c r="R284" s="10" t="s">
        <v>1250</v>
      </c>
    </row>
    <row r="285" spans="1:19" s="2" customFormat="1" ht="16.5" customHeight="1" thickBot="1">
      <c r="A285" s="6" t="s">
        <v>2151</v>
      </c>
      <c r="B285" s="7" t="s">
        <v>1261</v>
      </c>
      <c r="C285" s="36">
        <v>6196</v>
      </c>
      <c r="D285" s="8"/>
      <c r="E285" s="8"/>
      <c r="F285" s="8"/>
      <c r="G285" s="8"/>
      <c r="H285" s="8"/>
      <c r="I285" s="8"/>
      <c r="J285" s="8"/>
      <c r="K285" s="8"/>
      <c r="L285" s="36"/>
      <c r="M285" s="36"/>
      <c r="N285" s="33" t="s">
        <v>1362</v>
      </c>
      <c r="O285" s="19" t="s">
        <v>1247</v>
      </c>
      <c r="P285" s="16">
        <f>(C286+C288)</f>
        <v>8775</v>
      </c>
      <c r="Q285" s="17">
        <f>SUM(P285/P291)</f>
        <v>0.21337386018237081</v>
      </c>
      <c r="R285" s="14">
        <v>1</v>
      </c>
    </row>
    <row r="286" spans="1:19" s="2" customFormat="1" ht="16.5" customHeight="1" thickBot="1">
      <c r="A286" s="6" t="s">
        <v>1939</v>
      </c>
      <c r="B286" s="25" t="s">
        <v>1247</v>
      </c>
      <c r="C286" s="8">
        <v>5610</v>
      </c>
      <c r="D286" s="8">
        <v>5610</v>
      </c>
      <c r="E286" s="8">
        <v>5641</v>
      </c>
      <c r="F286" s="8">
        <v>5710</v>
      </c>
      <c r="G286" s="8">
        <v>5710</v>
      </c>
      <c r="H286" s="8">
        <v>5710</v>
      </c>
      <c r="I286" s="8">
        <v>5719</v>
      </c>
      <c r="J286" s="8">
        <v>5725</v>
      </c>
      <c r="K286" s="8">
        <v>5731</v>
      </c>
      <c r="L286" s="36">
        <v>8793</v>
      </c>
      <c r="M286" s="8"/>
      <c r="N286" s="33" t="s">
        <v>1252</v>
      </c>
      <c r="O286" s="18" t="s">
        <v>1257</v>
      </c>
      <c r="P286" s="16">
        <f>(C291+C292)</f>
        <v>4479</v>
      </c>
      <c r="Q286" s="17">
        <f>SUM(P286/P291)</f>
        <v>0.10891185410334346</v>
      </c>
      <c r="R286" s="14">
        <v>1</v>
      </c>
    </row>
    <row r="287" spans="1:19" s="2" customFormat="1" ht="16.5" customHeight="1" thickBot="1">
      <c r="A287" s="6" t="s">
        <v>2152</v>
      </c>
      <c r="B287" s="62" t="s">
        <v>1276</v>
      </c>
      <c r="C287" s="8">
        <v>3751</v>
      </c>
      <c r="D287" s="8">
        <v>3832</v>
      </c>
      <c r="E287" s="8">
        <v>3835</v>
      </c>
      <c r="F287" s="8">
        <v>3942</v>
      </c>
      <c r="G287" s="8">
        <v>4013</v>
      </c>
      <c r="H287" s="8">
        <v>4400</v>
      </c>
      <c r="I287" s="8">
        <v>4639</v>
      </c>
      <c r="J287" s="8">
        <v>4928</v>
      </c>
      <c r="K287" s="8">
        <v>5465</v>
      </c>
      <c r="L287" s="8">
        <v>5478</v>
      </c>
      <c r="M287" s="36">
        <v>5517</v>
      </c>
      <c r="N287" s="33" t="s">
        <v>1280</v>
      </c>
      <c r="O287" s="30" t="s">
        <v>1258</v>
      </c>
      <c r="P287" s="16">
        <f>(C284+C293)</f>
        <v>8764</v>
      </c>
      <c r="Q287" s="17">
        <f>SUM(P287/P291)</f>
        <v>0.21310638297872339</v>
      </c>
      <c r="R287" s="2">
        <v>1</v>
      </c>
    </row>
    <row r="288" spans="1:19" s="2" customFormat="1" ht="16.5" customHeight="1" thickBot="1">
      <c r="A288" s="12" t="s">
        <v>2154</v>
      </c>
      <c r="B288" s="13" t="s">
        <v>1247</v>
      </c>
      <c r="C288" s="8">
        <v>3165</v>
      </c>
      <c r="D288" s="8">
        <v>3165</v>
      </c>
      <c r="E288" s="8">
        <v>3172</v>
      </c>
      <c r="F288" s="8">
        <v>3198</v>
      </c>
      <c r="G288" s="8">
        <v>3198</v>
      </c>
      <c r="H288" s="8">
        <v>3198</v>
      </c>
      <c r="I288" s="8">
        <v>3209</v>
      </c>
      <c r="J288" s="8">
        <v>3210</v>
      </c>
      <c r="K288" s="8">
        <v>3210</v>
      </c>
      <c r="L288" s="8" t="s">
        <v>1326</v>
      </c>
      <c r="O288" s="15" t="s">
        <v>1261</v>
      </c>
      <c r="P288" s="21">
        <f>(C285+C290)</f>
        <v>8661</v>
      </c>
      <c r="Q288" s="17">
        <f>SUM(P288/P291)</f>
        <v>0.21060182370820668</v>
      </c>
      <c r="R288" s="2">
        <v>1</v>
      </c>
    </row>
    <row r="289" spans="1:19" s="2" customFormat="1" ht="16.5" customHeight="1" thickBot="1">
      <c r="A289" s="6" t="s">
        <v>2153</v>
      </c>
      <c r="B289" s="35" t="s">
        <v>1302</v>
      </c>
      <c r="C289" s="8">
        <v>2976</v>
      </c>
      <c r="D289" s="8">
        <v>3071</v>
      </c>
      <c r="E289" s="8">
        <v>3072</v>
      </c>
      <c r="F289" s="8">
        <v>3102</v>
      </c>
      <c r="G289" s="8">
        <v>3289</v>
      </c>
      <c r="H289" s="8">
        <v>3371</v>
      </c>
      <c r="I289" s="8">
        <v>3529</v>
      </c>
      <c r="J289" s="8">
        <v>3847</v>
      </c>
      <c r="K289" s="8">
        <v>4964</v>
      </c>
      <c r="L289" s="8">
        <v>4965</v>
      </c>
      <c r="M289" s="36">
        <v>4971</v>
      </c>
      <c r="N289" s="33" t="s">
        <v>1253</v>
      </c>
      <c r="O289" s="31" t="s">
        <v>1269</v>
      </c>
      <c r="P289" s="21">
        <v>1267</v>
      </c>
      <c r="Q289" s="17">
        <f>SUM(P289/P291)</f>
        <v>3.0808510638297874E-2</v>
      </c>
    </row>
    <row r="290" spans="1:19" s="2" customFormat="1" ht="16.5" customHeight="1" thickBot="1">
      <c r="A290" s="12" t="s">
        <v>2155</v>
      </c>
      <c r="B290" s="20" t="s">
        <v>1261</v>
      </c>
      <c r="C290" s="8">
        <v>2465</v>
      </c>
      <c r="D290" s="8">
        <v>2465</v>
      </c>
      <c r="E290" s="8">
        <v>2713</v>
      </c>
      <c r="F290" s="8">
        <v>2897</v>
      </c>
      <c r="G290" s="8">
        <v>2898</v>
      </c>
      <c r="H290" s="8">
        <v>2900</v>
      </c>
      <c r="I290" s="8">
        <v>3316</v>
      </c>
      <c r="J290" s="8">
        <v>3340</v>
      </c>
      <c r="K290" s="8">
        <v>3352</v>
      </c>
      <c r="L290" s="8">
        <v>3440</v>
      </c>
      <c r="M290" s="8">
        <v>4682</v>
      </c>
      <c r="N290" s="33"/>
      <c r="O290" s="26" t="s">
        <v>1254</v>
      </c>
      <c r="P290" s="21">
        <f>(C287+C289+C295+C296+C297+C298+C299+C300+C301)</f>
        <v>9179</v>
      </c>
      <c r="Q290" s="11">
        <f>SUM(P290/P291)</f>
        <v>0.22319756838905774</v>
      </c>
      <c r="R290" s="2">
        <v>2</v>
      </c>
    </row>
    <row r="291" spans="1:19" s="2" customFormat="1" ht="16.5" customHeight="1" thickBot="1">
      <c r="A291" s="6" t="s">
        <v>1935</v>
      </c>
      <c r="B291" s="9" t="s">
        <v>1257</v>
      </c>
      <c r="C291" s="8">
        <v>2415</v>
      </c>
      <c r="D291" s="8">
        <v>2474</v>
      </c>
      <c r="E291" s="8">
        <v>2475</v>
      </c>
      <c r="F291" s="8">
        <v>2509</v>
      </c>
      <c r="G291" s="8">
        <v>2583</v>
      </c>
      <c r="H291" s="8">
        <v>2691</v>
      </c>
      <c r="I291" s="8">
        <v>2883</v>
      </c>
      <c r="J291" s="8">
        <v>4534</v>
      </c>
      <c r="K291" s="8">
        <v>5111</v>
      </c>
      <c r="L291" s="8">
        <v>5111</v>
      </c>
      <c r="M291" s="36">
        <v>5114</v>
      </c>
      <c r="N291" s="33" t="s">
        <v>1251</v>
      </c>
      <c r="P291" s="23">
        <v>41125</v>
      </c>
    </row>
    <row r="292" spans="1:19" s="2" customFormat="1" ht="16.5" customHeight="1" thickBot="1">
      <c r="A292" s="12" t="s">
        <v>2158</v>
      </c>
      <c r="B292" s="22" t="s">
        <v>1257</v>
      </c>
      <c r="C292" s="8">
        <v>2064</v>
      </c>
      <c r="D292" s="8">
        <v>2112</v>
      </c>
      <c r="E292" s="8">
        <v>2112</v>
      </c>
      <c r="F292" s="8">
        <v>2155</v>
      </c>
      <c r="G292" s="8">
        <v>2197</v>
      </c>
      <c r="H292" s="8">
        <v>2283</v>
      </c>
      <c r="I292" s="8">
        <v>2552</v>
      </c>
      <c r="J292" s="8" t="s">
        <v>1326</v>
      </c>
    </row>
    <row r="293" spans="1:19" s="2" customFormat="1" ht="16.5" customHeight="1" thickBot="1">
      <c r="A293" s="12" t="s">
        <v>2156</v>
      </c>
      <c r="B293" s="27" t="s">
        <v>1258</v>
      </c>
      <c r="C293" s="8">
        <v>1288</v>
      </c>
      <c r="D293" s="8">
        <v>2382</v>
      </c>
      <c r="E293" s="8">
        <v>2382</v>
      </c>
      <c r="F293" s="8">
        <v>2410</v>
      </c>
      <c r="G293" s="8">
        <v>2853</v>
      </c>
      <c r="H293" s="8">
        <v>3053</v>
      </c>
      <c r="I293" s="8">
        <v>3082</v>
      </c>
      <c r="J293" s="8">
        <v>3185</v>
      </c>
      <c r="K293" s="8" t="s">
        <v>1326</v>
      </c>
    </row>
    <row r="294" spans="1:19" s="2" customFormat="1" ht="16.5" customHeight="1" thickBot="1">
      <c r="A294" s="12" t="s">
        <v>2159</v>
      </c>
      <c r="B294" s="32" t="s">
        <v>1269</v>
      </c>
      <c r="C294" s="8">
        <v>1267</v>
      </c>
      <c r="D294" s="43">
        <v>1273</v>
      </c>
      <c r="E294" s="43">
        <v>1281</v>
      </c>
      <c r="F294" s="8">
        <v>1444</v>
      </c>
      <c r="G294" s="8">
        <v>1456</v>
      </c>
      <c r="H294" s="8">
        <v>1473</v>
      </c>
      <c r="I294" s="8" t="s">
        <v>1326</v>
      </c>
      <c r="N294" s="17"/>
    </row>
    <row r="295" spans="1:19" s="2" customFormat="1" ht="16.5" customHeight="1" thickBot="1">
      <c r="A295" s="12" t="s">
        <v>2157</v>
      </c>
      <c r="B295" s="38" t="s">
        <v>2012</v>
      </c>
      <c r="C295" s="8">
        <v>911</v>
      </c>
      <c r="D295" s="8">
        <v>943</v>
      </c>
      <c r="E295" s="8">
        <v>943</v>
      </c>
      <c r="F295" s="8">
        <v>957</v>
      </c>
      <c r="G295" s="8">
        <v>974</v>
      </c>
      <c r="H295" s="8" t="s">
        <v>1326</v>
      </c>
      <c r="N295" s="17"/>
      <c r="S295" s="17"/>
    </row>
    <row r="296" spans="1:19" s="2" customFormat="1" ht="16.5" customHeight="1" thickBot="1">
      <c r="A296" s="12" t="s">
        <v>2163</v>
      </c>
      <c r="B296" s="42" t="s">
        <v>1304</v>
      </c>
      <c r="C296" s="8">
        <v>748</v>
      </c>
      <c r="D296" s="8">
        <v>877</v>
      </c>
      <c r="E296" s="8">
        <v>877</v>
      </c>
      <c r="F296" s="8">
        <v>900</v>
      </c>
      <c r="G296" s="8" t="s">
        <v>1326</v>
      </c>
      <c r="L296" s="17"/>
    </row>
    <row r="297" spans="1:19" s="2" customFormat="1" ht="16.5" customHeight="1" thickBot="1">
      <c r="A297" s="12" t="s">
        <v>1704</v>
      </c>
      <c r="B297" s="39" t="s">
        <v>1320</v>
      </c>
      <c r="C297" s="8">
        <v>257</v>
      </c>
      <c r="D297" s="8">
        <v>260</v>
      </c>
      <c r="E297" s="8">
        <v>262</v>
      </c>
      <c r="F297" s="8" t="s">
        <v>1326</v>
      </c>
      <c r="L297" s="14"/>
    </row>
    <row r="298" spans="1:19" s="2" customFormat="1" ht="16.5" customHeight="1" thickBot="1">
      <c r="A298" s="12" t="s">
        <v>2164</v>
      </c>
      <c r="B298" s="80" t="s">
        <v>1997</v>
      </c>
      <c r="C298" s="8">
        <v>255</v>
      </c>
      <c r="D298" s="8">
        <v>257</v>
      </c>
      <c r="E298" s="8">
        <v>262</v>
      </c>
      <c r="F298" s="8" t="s">
        <v>1326</v>
      </c>
      <c r="L298" s="17"/>
    </row>
    <row r="299" spans="1:19" s="2" customFormat="1" ht="16.5" customHeight="1" thickBot="1">
      <c r="A299" s="12" t="s">
        <v>2161</v>
      </c>
      <c r="B299" s="37" t="s">
        <v>1286</v>
      </c>
      <c r="C299" s="8">
        <v>155</v>
      </c>
      <c r="D299" s="8">
        <v>156</v>
      </c>
      <c r="E299" s="8">
        <v>158</v>
      </c>
      <c r="F299" s="8" t="s">
        <v>1326</v>
      </c>
      <c r="L299" s="14"/>
    </row>
    <row r="300" spans="1:19" s="2" customFormat="1" ht="16.5" customHeight="1" thickBot="1">
      <c r="A300" s="12" t="s">
        <v>2162</v>
      </c>
      <c r="B300" s="38" t="s">
        <v>1958</v>
      </c>
      <c r="C300" s="8">
        <v>76</v>
      </c>
      <c r="D300" s="8">
        <v>78</v>
      </c>
      <c r="E300" s="8">
        <v>79</v>
      </c>
      <c r="F300" s="8" t="s">
        <v>1326</v>
      </c>
      <c r="L300" s="17"/>
    </row>
    <row r="301" spans="1:19" s="2" customFormat="1" ht="16.5" customHeight="1" thickBot="1">
      <c r="A301" s="12" t="s">
        <v>2160</v>
      </c>
      <c r="B301" s="38" t="s">
        <v>2093</v>
      </c>
      <c r="C301" s="8">
        <v>50</v>
      </c>
      <c r="D301" s="8">
        <v>50</v>
      </c>
      <c r="E301" s="8">
        <v>51</v>
      </c>
      <c r="F301" s="8" t="s">
        <v>1326</v>
      </c>
      <c r="L301" s="14"/>
    </row>
    <row r="302" spans="1:19" s="2" customFormat="1" ht="12" customHeight="1">
      <c r="A302" s="1"/>
    </row>
    <row r="303" spans="1:19" s="2" customFormat="1" ht="16.5" customHeight="1">
      <c r="A303" s="1" t="s">
        <v>2149</v>
      </c>
    </row>
    <row r="304" spans="1:19" s="2" customFormat="1" ht="9.75" customHeight="1" thickBot="1">
      <c r="A304" s="3"/>
    </row>
    <row r="305" spans="1:18" s="2" customFormat="1" ht="16.5" customHeight="1" thickBot="1">
      <c r="A305" s="4" t="s">
        <v>1244</v>
      </c>
      <c r="B305" s="5" t="s">
        <v>1245</v>
      </c>
      <c r="C305" s="5" t="s">
        <v>1246</v>
      </c>
      <c r="D305" s="5">
        <v>2</v>
      </c>
      <c r="E305" s="5">
        <v>3</v>
      </c>
      <c r="F305" s="5">
        <v>4</v>
      </c>
      <c r="G305" s="5">
        <v>5</v>
      </c>
      <c r="H305" s="5">
        <v>6</v>
      </c>
      <c r="I305" s="5">
        <v>7</v>
      </c>
      <c r="J305" s="5">
        <v>8</v>
      </c>
      <c r="K305" s="5">
        <v>9</v>
      </c>
      <c r="L305" s="5">
        <v>10</v>
      </c>
      <c r="M305" s="5"/>
      <c r="N305" s="10" t="s">
        <v>1413</v>
      </c>
      <c r="O305" s="11">
        <f>(42754/60669)</f>
        <v>0.70470915953781998</v>
      </c>
    </row>
    <row r="306" spans="1:18" s="2" customFormat="1" ht="16.5" customHeight="1" thickBot="1">
      <c r="A306" s="6" t="s">
        <v>2165</v>
      </c>
      <c r="B306" s="25" t="s">
        <v>1247</v>
      </c>
      <c r="C306" s="36">
        <v>9078</v>
      </c>
      <c r="D306" s="8"/>
      <c r="E306" s="8"/>
      <c r="F306" s="8"/>
      <c r="G306" s="8"/>
      <c r="H306" s="8"/>
      <c r="I306" s="8"/>
      <c r="J306" s="8"/>
      <c r="K306" s="8"/>
      <c r="L306" s="8"/>
      <c r="M306" s="33" t="s">
        <v>1271</v>
      </c>
      <c r="N306" s="14"/>
      <c r="O306" s="10" t="s">
        <v>1248</v>
      </c>
      <c r="P306" s="10" t="s">
        <v>1249</v>
      </c>
      <c r="Q306" s="10" t="s">
        <v>1250</v>
      </c>
    </row>
    <row r="307" spans="1:18" s="2" customFormat="1" ht="16.5" customHeight="1" thickBot="1">
      <c r="A307" s="6" t="s">
        <v>2168</v>
      </c>
      <c r="B307" s="7" t="s">
        <v>1261</v>
      </c>
      <c r="C307" s="36">
        <v>6140</v>
      </c>
      <c r="D307" s="8"/>
      <c r="E307" s="8"/>
      <c r="F307" s="8"/>
      <c r="G307" s="8"/>
      <c r="H307" s="36"/>
      <c r="I307" s="8"/>
      <c r="J307" s="8"/>
      <c r="K307" s="8"/>
      <c r="L307" s="8"/>
      <c r="M307" s="33" t="s">
        <v>1362</v>
      </c>
      <c r="N307" s="19" t="s">
        <v>1247</v>
      </c>
      <c r="O307" s="16">
        <f>(C306+C308+C309+C311+C312)</f>
        <v>24650</v>
      </c>
      <c r="P307" s="17">
        <f>SUM(O307/O313)</f>
        <v>0.58979757859979898</v>
      </c>
      <c r="Q307" s="14">
        <v>4</v>
      </c>
    </row>
    <row r="308" spans="1:18" s="2" customFormat="1" ht="16.5" customHeight="1" thickBot="1">
      <c r="A308" s="6" t="s">
        <v>2166</v>
      </c>
      <c r="B308" s="25" t="s">
        <v>1247</v>
      </c>
      <c r="C308" s="8">
        <v>4711</v>
      </c>
      <c r="D308" s="8">
        <v>5341</v>
      </c>
      <c r="E308" s="8">
        <v>5381</v>
      </c>
      <c r="F308" s="8">
        <v>5384</v>
      </c>
      <c r="G308" s="8">
        <v>5405</v>
      </c>
      <c r="H308" s="8">
        <v>5409</v>
      </c>
      <c r="I308" s="8">
        <v>5422</v>
      </c>
      <c r="J308" s="8">
        <v>5705</v>
      </c>
      <c r="K308" s="36">
        <v>6994</v>
      </c>
      <c r="L308" s="36"/>
      <c r="M308" s="33" t="s">
        <v>1280</v>
      </c>
      <c r="N308" s="18" t="s">
        <v>1257</v>
      </c>
      <c r="O308" s="16">
        <v>1640</v>
      </c>
      <c r="P308" s="17">
        <f>SUM(O308/O313)</f>
        <v>3.9240082308465332E-2</v>
      </c>
      <c r="Q308" s="14"/>
    </row>
    <row r="309" spans="1:18" s="2" customFormat="1" ht="16.5" customHeight="1" thickBot="1">
      <c r="A309" s="6" t="s">
        <v>2169</v>
      </c>
      <c r="B309" s="25" t="s">
        <v>1247</v>
      </c>
      <c r="C309" s="8">
        <v>4330</v>
      </c>
      <c r="D309" s="8">
        <v>4831</v>
      </c>
      <c r="E309" s="8">
        <v>4852</v>
      </c>
      <c r="F309" s="8">
        <v>4856</v>
      </c>
      <c r="G309" s="8">
        <v>4889</v>
      </c>
      <c r="H309" s="8">
        <v>4901</v>
      </c>
      <c r="I309" s="8">
        <v>4910</v>
      </c>
      <c r="J309" s="8">
        <v>5242</v>
      </c>
      <c r="K309" s="8">
        <v>5325</v>
      </c>
      <c r="L309" s="36">
        <v>6328</v>
      </c>
      <c r="M309" s="33" t="s">
        <v>1251</v>
      </c>
      <c r="N309" s="30" t="s">
        <v>1258</v>
      </c>
      <c r="O309" s="16">
        <v>1345</v>
      </c>
      <c r="P309" s="17">
        <f>SUM(O309/O313)</f>
        <v>3.2181652868832844E-2</v>
      </c>
    </row>
    <row r="310" spans="1:18" s="2" customFormat="1" ht="16.5" customHeight="1" thickBot="1">
      <c r="A310" s="6" t="s">
        <v>1941</v>
      </c>
      <c r="B310" s="7" t="s">
        <v>1261</v>
      </c>
      <c r="C310" s="8">
        <v>4280</v>
      </c>
      <c r="D310" s="8">
        <v>4648</v>
      </c>
      <c r="E310" s="8">
        <v>4738</v>
      </c>
      <c r="F310" s="8">
        <v>4839</v>
      </c>
      <c r="G310" s="8">
        <v>5118</v>
      </c>
      <c r="H310" s="8">
        <v>5127</v>
      </c>
      <c r="I310" s="8">
        <v>5234</v>
      </c>
      <c r="J310" s="8">
        <v>5328</v>
      </c>
      <c r="K310" s="8">
        <v>5344</v>
      </c>
      <c r="L310" s="36">
        <v>5350</v>
      </c>
      <c r="M310" s="33" t="s">
        <v>1253</v>
      </c>
      <c r="N310" s="15" t="s">
        <v>1261</v>
      </c>
      <c r="O310" s="21">
        <f>(C307+C310)</f>
        <v>10420</v>
      </c>
      <c r="P310" s="17">
        <f>SUM(O310/O313)</f>
        <v>0.24931808393549312</v>
      </c>
      <c r="Q310" s="2">
        <v>2</v>
      </c>
    </row>
    <row r="311" spans="1:18" s="2" customFormat="1" ht="16.5" customHeight="1" thickBot="1">
      <c r="A311" s="6" t="s">
        <v>2167</v>
      </c>
      <c r="B311" s="25" t="s">
        <v>1247</v>
      </c>
      <c r="C311" s="8">
        <v>3946</v>
      </c>
      <c r="D311" s="8">
        <v>5223</v>
      </c>
      <c r="E311" s="8">
        <v>5235</v>
      </c>
      <c r="F311" s="8">
        <v>5236</v>
      </c>
      <c r="G311" s="8">
        <v>5253</v>
      </c>
      <c r="H311" s="8">
        <v>5263</v>
      </c>
      <c r="I311" s="8">
        <v>5276</v>
      </c>
      <c r="J311" s="36">
        <v>7371</v>
      </c>
      <c r="K311" s="8"/>
      <c r="L311" s="8"/>
      <c r="M311" s="33" t="s">
        <v>1252</v>
      </c>
      <c r="N311" s="31" t="s">
        <v>1269</v>
      </c>
      <c r="O311" s="21">
        <v>129</v>
      </c>
      <c r="P311" s="17">
        <f>SUM(O311/O313)</f>
        <v>3.0865674498731874E-3</v>
      </c>
    </row>
    <row r="312" spans="1:18" s="2" customFormat="1" ht="16.5" customHeight="1" thickBot="1">
      <c r="A312" s="12" t="s">
        <v>1836</v>
      </c>
      <c r="B312" s="13" t="s">
        <v>1247</v>
      </c>
      <c r="C312" s="8">
        <v>2585</v>
      </c>
      <c r="D312" s="8">
        <v>2792</v>
      </c>
      <c r="E312" s="8">
        <v>2838</v>
      </c>
      <c r="F312" s="8">
        <v>2841</v>
      </c>
      <c r="G312" s="8">
        <v>2867</v>
      </c>
      <c r="H312" s="8">
        <v>2872</v>
      </c>
      <c r="I312" s="8">
        <v>2897</v>
      </c>
      <c r="J312" s="36" t="s">
        <v>1326</v>
      </c>
      <c r="N312" s="26" t="s">
        <v>1254</v>
      </c>
      <c r="O312" s="21">
        <f>(C313+C316+C317+C319+C320)</f>
        <v>3610</v>
      </c>
      <c r="P312" s="11">
        <f>SUM(O312/O313)</f>
        <v>8.6376034837536489E-2</v>
      </c>
    </row>
    <row r="313" spans="1:18" s="2" customFormat="1" ht="16.5" customHeight="1" thickBot="1">
      <c r="A313" s="12" t="s">
        <v>1841</v>
      </c>
      <c r="B313" s="63" t="s">
        <v>1276</v>
      </c>
      <c r="C313" s="8">
        <v>2180</v>
      </c>
      <c r="D313" s="8">
        <v>2187</v>
      </c>
      <c r="E313" s="8">
        <v>2207</v>
      </c>
      <c r="F313" s="8">
        <v>2209</v>
      </c>
      <c r="G313" s="8">
        <v>2343</v>
      </c>
      <c r="H313" s="8">
        <v>2716</v>
      </c>
      <c r="I313" s="8" t="s">
        <v>1326</v>
      </c>
      <c r="O313" s="23">
        <v>41794</v>
      </c>
    </row>
    <row r="314" spans="1:18" s="2" customFormat="1" ht="16.5" customHeight="1" thickBot="1">
      <c r="A314" s="12" t="s">
        <v>1839</v>
      </c>
      <c r="B314" s="22" t="s">
        <v>1257</v>
      </c>
      <c r="C314" s="8">
        <v>1640</v>
      </c>
      <c r="D314" s="8">
        <v>1641</v>
      </c>
      <c r="E314" s="8">
        <v>1674</v>
      </c>
      <c r="F314" s="8">
        <v>1676</v>
      </c>
      <c r="G314" s="8">
        <v>1809</v>
      </c>
      <c r="H314" s="8">
        <v>2757</v>
      </c>
      <c r="I314" s="8">
        <v>4827</v>
      </c>
      <c r="J314" s="8">
        <v>4838</v>
      </c>
      <c r="K314" s="8">
        <v>4838</v>
      </c>
      <c r="L314" s="8">
        <v>4838</v>
      </c>
      <c r="M314" s="33"/>
    </row>
    <row r="315" spans="1:18" s="2" customFormat="1" ht="16.5" customHeight="1" thickBot="1">
      <c r="A315" s="12" t="s">
        <v>2170</v>
      </c>
      <c r="B315" s="27" t="s">
        <v>1258</v>
      </c>
      <c r="C315" s="8">
        <v>1345</v>
      </c>
      <c r="D315" s="8">
        <v>1348</v>
      </c>
      <c r="E315" s="8">
        <v>1355</v>
      </c>
      <c r="F315" s="8">
        <v>1355</v>
      </c>
      <c r="G315" s="8">
        <v>1784</v>
      </c>
      <c r="H315" s="8" t="s">
        <v>1326</v>
      </c>
    </row>
    <row r="316" spans="1:18" s="2" customFormat="1" ht="16.5" customHeight="1" thickBot="1">
      <c r="A316" s="12" t="s">
        <v>2171</v>
      </c>
      <c r="B316" s="42" t="s">
        <v>1304</v>
      </c>
      <c r="C316" s="8">
        <v>666</v>
      </c>
      <c r="D316" s="43">
        <v>671</v>
      </c>
      <c r="E316" s="43">
        <v>677</v>
      </c>
      <c r="F316" s="8">
        <v>677</v>
      </c>
      <c r="G316" s="8" t="s">
        <v>1326</v>
      </c>
      <c r="M316" s="17"/>
    </row>
    <row r="317" spans="1:18" s="2" customFormat="1" ht="16.5" customHeight="1" thickBot="1">
      <c r="A317" s="12" t="s">
        <v>1720</v>
      </c>
      <c r="B317" s="37" t="s">
        <v>1286</v>
      </c>
      <c r="C317" s="8">
        <v>607</v>
      </c>
      <c r="D317" s="8">
        <v>630</v>
      </c>
      <c r="E317" s="8">
        <v>657</v>
      </c>
      <c r="F317" s="8">
        <v>661</v>
      </c>
      <c r="G317" s="8" t="s">
        <v>1326</v>
      </c>
      <c r="M317" s="17"/>
      <c r="R317" s="17"/>
    </row>
    <row r="318" spans="1:18" s="2" customFormat="1" ht="16.5" customHeight="1" thickBot="1">
      <c r="A318" s="12" t="s">
        <v>1719</v>
      </c>
      <c r="B318" s="32" t="s">
        <v>1269</v>
      </c>
      <c r="C318" s="8">
        <v>129</v>
      </c>
      <c r="D318" s="8">
        <v>165</v>
      </c>
      <c r="E318" s="8" t="s">
        <v>1326</v>
      </c>
    </row>
    <row r="319" spans="1:18" s="2" customFormat="1" ht="16.5" customHeight="1" thickBot="1">
      <c r="A319" s="12" t="s">
        <v>2172</v>
      </c>
      <c r="B319" s="38" t="s">
        <v>1673</v>
      </c>
      <c r="C319" s="8">
        <v>128</v>
      </c>
      <c r="D319" s="8">
        <v>152</v>
      </c>
      <c r="E319" s="8" t="s">
        <v>1326</v>
      </c>
      <c r="L319" s="14"/>
    </row>
    <row r="320" spans="1:18" s="2" customFormat="1" ht="16.5" customHeight="1" thickBot="1">
      <c r="A320" s="12" t="s">
        <v>2173</v>
      </c>
      <c r="B320" s="38" t="s">
        <v>1958</v>
      </c>
      <c r="C320" s="8">
        <v>29</v>
      </c>
      <c r="D320" s="8">
        <v>31</v>
      </c>
      <c r="E320" s="8" t="s">
        <v>1326</v>
      </c>
      <c r="M320" s="17"/>
      <c r="R320" s="17"/>
    </row>
    <row r="321" spans="1:29" s="2" customFormat="1" ht="12" customHeight="1">
      <c r="A321" s="1"/>
    </row>
    <row r="322" spans="1:29" s="2" customFormat="1" ht="16.5" customHeight="1">
      <c r="A322" s="1" t="s">
        <v>2148</v>
      </c>
    </row>
    <row r="323" spans="1:29" s="2" customFormat="1" ht="9.75" customHeight="1" thickBot="1">
      <c r="A323" s="3"/>
    </row>
    <row r="324" spans="1:29" s="2" customFormat="1" ht="16.5" customHeight="1" thickBot="1">
      <c r="A324" s="4" t="s">
        <v>1244</v>
      </c>
      <c r="B324" s="5" t="s">
        <v>1245</v>
      </c>
      <c r="C324" s="5" t="s">
        <v>1246</v>
      </c>
      <c r="D324" s="5">
        <v>2</v>
      </c>
      <c r="E324" s="5">
        <v>3</v>
      </c>
      <c r="F324" s="5">
        <v>4</v>
      </c>
      <c r="G324" s="5">
        <v>5</v>
      </c>
      <c r="H324" s="5">
        <v>6</v>
      </c>
      <c r="I324" s="5">
        <v>7</v>
      </c>
      <c r="J324" s="5">
        <v>8</v>
      </c>
      <c r="K324" s="5">
        <v>9</v>
      </c>
      <c r="L324" s="5">
        <v>10</v>
      </c>
      <c r="M324" s="5"/>
      <c r="N324" s="10" t="s">
        <v>1413</v>
      </c>
      <c r="O324" s="11">
        <f>(41266/61209)</f>
        <v>0.67418190135437595</v>
      </c>
    </row>
    <row r="325" spans="1:29" s="2" customFormat="1" ht="16.5" customHeight="1" thickBot="1">
      <c r="A325" s="6" t="s">
        <v>2177</v>
      </c>
      <c r="B325" s="7" t="s">
        <v>1261</v>
      </c>
      <c r="C325" s="8">
        <v>4956</v>
      </c>
      <c r="D325" s="8">
        <v>5039</v>
      </c>
      <c r="E325" s="8">
        <v>5042</v>
      </c>
      <c r="F325" s="8">
        <v>5059</v>
      </c>
      <c r="G325" s="8">
        <v>5073</v>
      </c>
      <c r="H325" s="36">
        <v>5963</v>
      </c>
      <c r="I325" s="36"/>
      <c r="J325" s="8"/>
      <c r="K325" s="8"/>
      <c r="L325" s="8"/>
      <c r="M325" s="33" t="s">
        <v>1362</v>
      </c>
      <c r="N325" s="14"/>
      <c r="O325" s="10" t="s">
        <v>1248</v>
      </c>
      <c r="P325" s="10" t="s">
        <v>1249</v>
      </c>
      <c r="Q325" s="10" t="s">
        <v>1250</v>
      </c>
    </row>
    <row r="326" spans="1:29" s="2" customFormat="1" ht="16.5" customHeight="1" thickBot="1">
      <c r="A326" s="6" t="s">
        <v>2174</v>
      </c>
      <c r="B326" s="9" t="s">
        <v>1257</v>
      </c>
      <c r="C326" s="8">
        <v>4938</v>
      </c>
      <c r="D326" s="8">
        <v>5032</v>
      </c>
      <c r="E326" s="8">
        <v>5183</v>
      </c>
      <c r="F326" s="8">
        <v>5358</v>
      </c>
      <c r="G326" s="36">
        <v>5898</v>
      </c>
      <c r="H326" s="8"/>
      <c r="I326" s="8"/>
      <c r="J326" s="8"/>
      <c r="K326" s="8"/>
      <c r="L326" s="8"/>
      <c r="M326" s="33" t="s">
        <v>1271</v>
      </c>
      <c r="N326" s="19" t="s">
        <v>1247</v>
      </c>
      <c r="O326" s="16">
        <v>2605</v>
      </c>
      <c r="P326" s="17">
        <f>SUM(O326/O332)</f>
        <v>6.3967193792358309E-2</v>
      </c>
      <c r="Q326" s="14"/>
    </row>
    <row r="327" spans="1:29" s="2" customFormat="1" ht="16.5" customHeight="1" thickBot="1">
      <c r="A327" s="12" t="s">
        <v>2182</v>
      </c>
      <c r="B327" s="32" t="s">
        <v>1269</v>
      </c>
      <c r="C327" s="8">
        <v>4086</v>
      </c>
      <c r="D327" s="8">
        <v>4187</v>
      </c>
      <c r="E327" s="8">
        <v>4203</v>
      </c>
      <c r="F327" s="8">
        <v>4236</v>
      </c>
      <c r="G327" s="8">
        <v>4331</v>
      </c>
      <c r="H327" s="8">
        <v>4374</v>
      </c>
      <c r="I327" s="8">
        <v>4616</v>
      </c>
      <c r="J327" s="8">
        <v>4670</v>
      </c>
      <c r="K327" s="8">
        <v>4826</v>
      </c>
      <c r="L327" s="8">
        <v>4832</v>
      </c>
      <c r="M327" s="33"/>
      <c r="N327" s="18" t="s">
        <v>1257</v>
      </c>
      <c r="O327" s="16">
        <f>(C326+C330+C336)</f>
        <v>9533</v>
      </c>
      <c r="P327" s="17">
        <f>SUM(O327/O332)</f>
        <v>0.23408800707199687</v>
      </c>
      <c r="Q327" s="14">
        <v>2</v>
      </c>
    </row>
    <row r="328" spans="1:29" s="2" customFormat="1" ht="16.5" customHeight="1" thickBot="1">
      <c r="A328" s="6" t="s">
        <v>2179</v>
      </c>
      <c r="B328" s="81" t="s">
        <v>1267</v>
      </c>
      <c r="C328" s="8">
        <v>3912</v>
      </c>
      <c r="D328" s="8">
        <v>4053</v>
      </c>
      <c r="E328" s="8">
        <v>4067</v>
      </c>
      <c r="F328" s="8">
        <v>4112</v>
      </c>
      <c r="G328" s="8">
        <v>4157</v>
      </c>
      <c r="H328" s="8">
        <v>4675</v>
      </c>
      <c r="I328" s="8">
        <v>5077</v>
      </c>
      <c r="J328" s="8">
        <v>5118</v>
      </c>
      <c r="K328" s="8">
        <v>5238</v>
      </c>
      <c r="L328" s="36">
        <v>5277</v>
      </c>
      <c r="M328" s="33" t="s">
        <v>1251</v>
      </c>
      <c r="N328" s="30" t="s">
        <v>1258</v>
      </c>
      <c r="O328" s="16">
        <f>(C331+C333)</f>
        <v>5321</v>
      </c>
      <c r="P328" s="17">
        <f>SUM(O328/O332)</f>
        <v>0.13066005303997644</v>
      </c>
      <c r="Q328" s="2">
        <v>1</v>
      </c>
    </row>
    <row r="329" spans="1:29" s="2" customFormat="1" ht="16.5" customHeight="1" thickBot="1">
      <c r="A329" s="6" t="s">
        <v>2176</v>
      </c>
      <c r="B329" s="7" t="s">
        <v>1261</v>
      </c>
      <c r="C329" s="8">
        <v>3882</v>
      </c>
      <c r="D329" s="8">
        <v>3923</v>
      </c>
      <c r="E329" s="8">
        <v>3927</v>
      </c>
      <c r="F329" s="8">
        <v>3954</v>
      </c>
      <c r="G329" s="8">
        <v>3968</v>
      </c>
      <c r="H329" s="8">
        <v>4791</v>
      </c>
      <c r="I329" s="8">
        <v>4851</v>
      </c>
      <c r="J329" s="8">
        <v>4866</v>
      </c>
      <c r="K329" s="8">
        <v>4891</v>
      </c>
      <c r="L329" s="36">
        <v>4963</v>
      </c>
      <c r="M329" s="33" t="s">
        <v>1253</v>
      </c>
      <c r="N329" s="15" t="s">
        <v>1261</v>
      </c>
      <c r="O329" s="21">
        <f>(C325+C329)</f>
        <v>8838</v>
      </c>
      <c r="P329" s="17">
        <f>SUM(O329/O332)</f>
        <v>0.21702190354582065</v>
      </c>
      <c r="Q329" s="2">
        <v>2</v>
      </c>
    </row>
    <row r="330" spans="1:29" s="2" customFormat="1" ht="16.5" customHeight="1" thickBot="1">
      <c r="A330" s="6" t="s">
        <v>2178</v>
      </c>
      <c r="B330" s="9" t="s">
        <v>1257</v>
      </c>
      <c r="C330" s="8">
        <v>2875</v>
      </c>
      <c r="D330" s="8">
        <v>2980</v>
      </c>
      <c r="E330" s="8">
        <v>3065</v>
      </c>
      <c r="F330" s="8">
        <v>3499</v>
      </c>
      <c r="G330" s="8">
        <v>4389</v>
      </c>
      <c r="H330" s="8">
        <v>4392</v>
      </c>
      <c r="I330" s="8">
        <v>5367</v>
      </c>
      <c r="J330" s="36">
        <v>5881</v>
      </c>
      <c r="K330" s="8"/>
      <c r="L330" s="8"/>
      <c r="M330" s="33" t="s">
        <v>1280</v>
      </c>
      <c r="N330" s="31" t="s">
        <v>1269</v>
      </c>
      <c r="O330" s="21">
        <v>4086</v>
      </c>
      <c r="P330" s="17">
        <f>SUM(O330/O332)</f>
        <v>0.10033395540713093</v>
      </c>
    </row>
    <row r="331" spans="1:29" s="2" customFormat="1" ht="16.5" customHeight="1" thickBot="1">
      <c r="A331" s="6" t="s">
        <v>2175</v>
      </c>
      <c r="B331" s="28" t="s">
        <v>1258</v>
      </c>
      <c r="C331" s="8">
        <v>2872</v>
      </c>
      <c r="D331" s="8">
        <v>2940</v>
      </c>
      <c r="E331" s="8">
        <v>3484</v>
      </c>
      <c r="F331" s="8">
        <v>3629</v>
      </c>
      <c r="G331" s="8">
        <v>3779</v>
      </c>
      <c r="H331" s="8">
        <v>3781</v>
      </c>
      <c r="I331" s="8">
        <v>4351</v>
      </c>
      <c r="J331" s="36">
        <v>6524</v>
      </c>
      <c r="K331" s="8"/>
      <c r="L331" s="8"/>
      <c r="M331" s="33" t="s">
        <v>1252</v>
      </c>
      <c r="N331" s="26" t="s">
        <v>1254</v>
      </c>
      <c r="O331" s="21">
        <f>(C328+C334+C335+C337+C338+C339+C340+C341+C342+C343)</f>
        <v>10341</v>
      </c>
      <c r="P331" s="11">
        <f>SUM(O331/O332)</f>
        <v>0.25392888714271683</v>
      </c>
      <c r="Q331" s="2">
        <v>1</v>
      </c>
    </row>
    <row r="332" spans="1:29" s="2" customFormat="1" ht="16.5" customHeight="1" thickBot="1">
      <c r="A332" s="12" t="s">
        <v>2180</v>
      </c>
      <c r="B332" s="13" t="s">
        <v>1247</v>
      </c>
      <c r="C332" s="8">
        <v>2605</v>
      </c>
      <c r="D332" s="8">
        <v>2627</v>
      </c>
      <c r="E332" s="8">
        <v>2627</v>
      </c>
      <c r="F332" s="8">
        <v>2653</v>
      </c>
      <c r="G332" s="8">
        <v>2654</v>
      </c>
      <c r="H332" s="8" t="s">
        <v>1326</v>
      </c>
      <c r="O332" s="23">
        <v>40724</v>
      </c>
    </row>
    <row r="333" spans="1:29" s="2" customFormat="1" ht="16.5" customHeight="1" thickBot="1">
      <c r="A333" s="12" t="s">
        <v>2181</v>
      </c>
      <c r="B333" s="27" t="s">
        <v>1258</v>
      </c>
      <c r="C333" s="8">
        <v>2449</v>
      </c>
      <c r="D333" s="8">
        <v>2505</v>
      </c>
      <c r="E333" s="8">
        <v>3011</v>
      </c>
      <c r="F333" s="8">
        <v>3205</v>
      </c>
      <c r="G333" s="8">
        <v>3314</v>
      </c>
      <c r="H333" s="8">
        <v>3318</v>
      </c>
      <c r="I333" s="8">
        <v>3510</v>
      </c>
      <c r="J333" s="8" t="s">
        <v>1326</v>
      </c>
    </row>
    <row r="334" spans="1:29" s="2" customFormat="1" ht="16.5" customHeight="1" thickBot="1">
      <c r="A334" s="12" t="s">
        <v>2185</v>
      </c>
      <c r="B334" s="63" t="s">
        <v>1276</v>
      </c>
      <c r="C334" s="8">
        <v>2112</v>
      </c>
      <c r="D334" s="8">
        <v>2187</v>
      </c>
      <c r="E334" s="8">
        <v>2230</v>
      </c>
      <c r="F334" s="8">
        <v>2721</v>
      </c>
      <c r="G334" s="8">
        <v>2823</v>
      </c>
      <c r="H334" s="8">
        <v>2855</v>
      </c>
      <c r="I334" s="8" t="s">
        <v>1326</v>
      </c>
    </row>
    <row r="335" spans="1:29" s="2" customFormat="1" ht="16.5" customHeight="1" thickBot="1">
      <c r="A335" s="12" t="s">
        <v>2184</v>
      </c>
      <c r="B335" s="38" t="s">
        <v>2012</v>
      </c>
      <c r="C335" s="8">
        <v>1745</v>
      </c>
      <c r="D335" s="43">
        <v>1796</v>
      </c>
      <c r="E335" s="8">
        <v>1855</v>
      </c>
      <c r="F335" s="8" t="s">
        <v>1326</v>
      </c>
      <c r="L335" s="17"/>
      <c r="O335" s="17"/>
    </row>
    <row r="336" spans="1:29" s="2" customFormat="1" ht="16.5" customHeight="1" thickBot="1">
      <c r="A336" s="12" t="s">
        <v>2183</v>
      </c>
      <c r="B336" s="22" t="s">
        <v>1257</v>
      </c>
      <c r="C336" s="8">
        <v>1720</v>
      </c>
      <c r="D336" s="8">
        <v>1793</v>
      </c>
      <c r="E336" s="8">
        <v>1916</v>
      </c>
      <c r="F336" s="8">
        <v>2057</v>
      </c>
      <c r="G336" s="8" t="s">
        <v>1326</v>
      </c>
      <c r="L336" s="17"/>
      <c r="Q336" s="17"/>
      <c r="V336"/>
      <c r="AC336"/>
    </row>
    <row r="337" spans="1:29" s="2" customFormat="1" ht="16.5" customHeight="1" thickBot="1">
      <c r="A337" s="12" t="s">
        <v>2189</v>
      </c>
      <c r="B337" s="42" t="s">
        <v>1304</v>
      </c>
      <c r="C337" s="8">
        <v>1496</v>
      </c>
      <c r="D337" s="8">
        <v>1579</v>
      </c>
      <c r="E337" s="8" t="s">
        <v>1326</v>
      </c>
      <c r="Q337" s="17"/>
      <c r="V337" s="17"/>
    </row>
    <row r="338" spans="1:29" s="2" customFormat="1" ht="16.5" customHeight="1" thickBot="1">
      <c r="A338" s="12" t="s">
        <v>2186</v>
      </c>
      <c r="B338" s="38" t="s">
        <v>2106</v>
      </c>
      <c r="C338" s="8">
        <v>437</v>
      </c>
      <c r="D338" s="8" t="s">
        <v>1326</v>
      </c>
      <c r="L338" s="17"/>
    </row>
    <row r="339" spans="1:29" s="2" customFormat="1" ht="16.5" customHeight="1" thickBot="1">
      <c r="A339" s="12" t="s">
        <v>2187</v>
      </c>
      <c r="B339" s="80" t="s">
        <v>1997</v>
      </c>
      <c r="C339" s="8">
        <v>231</v>
      </c>
      <c r="D339" s="8" t="s">
        <v>1326</v>
      </c>
      <c r="L339" s="14"/>
    </row>
    <row r="340" spans="1:29" s="2" customFormat="1" ht="16.5" customHeight="1" thickBot="1">
      <c r="A340" s="12" t="s">
        <v>1689</v>
      </c>
      <c r="B340" s="37" t="s">
        <v>1286</v>
      </c>
      <c r="C340" s="8">
        <v>176</v>
      </c>
      <c r="D340" s="8" t="s">
        <v>1326</v>
      </c>
      <c r="L340" s="17"/>
      <c r="Q340" s="17"/>
      <c r="V340"/>
      <c r="AC340"/>
    </row>
    <row r="341" spans="1:29" s="2" customFormat="1" ht="16.5" customHeight="1" thickBot="1">
      <c r="A341" s="12" t="s">
        <v>1687</v>
      </c>
      <c r="B341" s="38" t="s">
        <v>1408</v>
      </c>
      <c r="C341" s="8">
        <v>97</v>
      </c>
      <c r="D341" s="8" t="s">
        <v>1326</v>
      </c>
      <c r="Q341" s="17"/>
      <c r="V341" s="17"/>
    </row>
    <row r="342" spans="1:29" s="2" customFormat="1" ht="16.5" customHeight="1" thickBot="1">
      <c r="A342" s="12" t="s">
        <v>2188</v>
      </c>
      <c r="B342" s="38" t="s">
        <v>1958</v>
      </c>
      <c r="C342" s="8">
        <v>73</v>
      </c>
      <c r="D342" s="8" t="s">
        <v>1326</v>
      </c>
      <c r="L342" s="17"/>
      <c r="Q342" s="17"/>
      <c r="V342"/>
      <c r="AC342"/>
    </row>
    <row r="343" spans="1:29" s="2" customFormat="1" ht="16.5" customHeight="1" thickBot="1">
      <c r="A343" s="12" t="s">
        <v>2190</v>
      </c>
      <c r="B343" s="80" t="s">
        <v>1997</v>
      </c>
      <c r="C343" s="8">
        <v>62</v>
      </c>
      <c r="D343" s="8" t="s">
        <v>1326</v>
      </c>
      <c r="Q343" s="17"/>
      <c r="V343" s="17"/>
    </row>
    <row r="344" spans="1:29" s="2" customFormat="1" ht="12" customHeight="1">
      <c r="A344" s="1"/>
    </row>
    <row r="345" spans="1:29" s="2" customFormat="1" ht="16.5" customHeight="1">
      <c r="A345" s="1" t="s">
        <v>2147</v>
      </c>
    </row>
    <row r="346" spans="1:29" s="2" customFormat="1" ht="9.75" customHeight="1" thickBot="1">
      <c r="A346" s="3"/>
    </row>
    <row r="347" spans="1:29" s="2" customFormat="1" ht="16.5" customHeight="1" thickBot="1">
      <c r="A347" s="4" t="s">
        <v>1244</v>
      </c>
      <c r="B347" s="5" t="s">
        <v>1245</v>
      </c>
      <c r="C347" s="5" t="s">
        <v>1246</v>
      </c>
      <c r="D347" s="5">
        <v>2</v>
      </c>
      <c r="E347" s="5">
        <v>3</v>
      </c>
      <c r="F347" s="5">
        <v>4</v>
      </c>
      <c r="G347" s="5">
        <v>5</v>
      </c>
      <c r="H347" s="5">
        <v>6</v>
      </c>
      <c r="I347" s="5">
        <v>7</v>
      </c>
      <c r="J347" s="5">
        <v>8</v>
      </c>
      <c r="K347" s="5">
        <v>9</v>
      </c>
      <c r="L347" s="5">
        <v>10</v>
      </c>
      <c r="M347" s="5">
        <v>11</v>
      </c>
      <c r="N347" s="5">
        <v>12</v>
      </c>
      <c r="O347" s="5">
        <v>13</v>
      </c>
      <c r="P347" s="5">
        <v>14</v>
      </c>
      <c r="Q347" s="5">
        <v>15</v>
      </c>
      <c r="R347" s="5"/>
      <c r="S347" s="10" t="s">
        <v>1413</v>
      </c>
      <c r="T347" s="11">
        <f>(40356/60562)</f>
        <v>0.66635844258776133</v>
      </c>
    </row>
    <row r="348" spans="1:29" s="2" customFormat="1" ht="16.5" customHeight="1" thickBot="1">
      <c r="A348" s="6" t="s">
        <v>2191</v>
      </c>
      <c r="B348" s="28" t="s">
        <v>1258</v>
      </c>
      <c r="C348" s="36">
        <v>11219</v>
      </c>
      <c r="D348" s="8"/>
      <c r="E348" s="8"/>
      <c r="F348" s="8"/>
      <c r="G348" s="8"/>
      <c r="H348" s="8"/>
      <c r="I348" s="36"/>
      <c r="J348" s="8"/>
      <c r="K348" s="8"/>
      <c r="L348" s="8"/>
      <c r="M348" s="8"/>
      <c r="N348" s="8"/>
      <c r="O348" s="8"/>
      <c r="P348" s="8"/>
      <c r="Q348" s="8"/>
      <c r="R348" s="33" t="s">
        <v>1271</v>
      </c>
      <c r="S348" s="14"/>
      <c r="T348" s="10" t="s">
        <v>1248</v>
      </c>
      <c r="U348" s="10" t="s">
        <v>1249</v>
      </c>
      <c r="V348" s="10" t="s">
        <v>1250</v>
      </c>
    </row>
    <row r="349" spans="1:29" s="2" customFormat="1" ht="16.5" customHeight="1" thickBot="1">
      <c r="A349" s="6" t="s">
        <v>2193</v>
      </c>
      <c r="B349" s="45" t="s">
        <v>1269</v>
      </c>
      <c r="C349" s="36">
        <v>6144</v>
      </c>
      <c r="D349" s="8"/>
      <c r="E349" s="8"/>
      <c r="F349" s="8"/>
      <c r="G349" s="8"/>
      <c r="H349" s="8"/>
      <c r="I349" s="36"/>
      <c r="J349" s="8"/>
      <c r="K349" s="8"/>
      <c r="L349" s="8"/>
      <c r="M349" s="8"/>
      <c r="N349" s="8"/>
      <c r="O349" s="8"/>
      <c r="P349" s="8"/>
      <c r="Q349" s="8"/>
      <c r="R349" s="33" t="s">
        <v>1362</v>
      </c>
      <c r="S349" s="19" t="s">
        <v>1247</v>
      </c>
      <c r="T349" s="16">
        <v>917</v>
      </c>
      <c r="U349" s="17">
        <f>SUM(T349/T355)</f>
        <v>2.3160659712575454E-2</v>
      </c>
      <c r="V349" s="14"/>
    </row>
    <row r="350" spans="1:29" s="2" customFormat="1" ht="16.5" customHeight="1" thickBot="1">
      <c r="A350" s="6" t="s">
        <v>1904</v>
      </c>
      <c r="B350" s="9" t="s">
        <v>1257</v>
      </c>
      <c r="C350" s="8">
        <v>5158</v>
      </c>
      <c r="D350" s="8">
        <v>5288</v>
      </c>
      <c r="E350" s="8">
        <v>5325</v>
      </c>
      <c r="F350" s="8">
        <v>5328</v>
      </c>
      <c r="G350" s="8">
        <v>5369</v>
      </c>
      <c r="H350" s="8">
        <v>5372</v>
      </c>
      <c r="I350" s="8">
        <v>5422</v>
      </c>
      <c r="J350" s="8">
        <v>5497</v>
      </c>
      <c r="K350" s="8">
        <v>5591</v>
      </c>
      <c r="L350" s="8">
        <v>5593</v>
      </c>
      <c r="M350" s="8">
        <v>5626</v>
      </c>
      <c r="N350" s="36">
        <v>6109</v>
      </c>
      <c r="O350" s="8"/>
      <c r="P350" s="8"/>
      <c r="Q350" s="36"/>
      <c r="R350" s="33" t="s">
        <v>1280</v>
      </c>
      <c r="S350" s="18" t="s">
        <v>1257</v>
      </c>
      <c r="T350" s="16">
        <f>(C350+C352+C355)</f>
        <v>9620</v>
      </c>
      <c r="U350" s="17">
        <f>SUM(T350/T355)</f>
        <v>0.24297224256813074</v>
      </c>
      <c r="V350" s="14">
        <v>2</v>
      </c>
    </row>
    <row r="351" spans="1:29" s="2" customFormat="1" ht="16.5" customHeight="1" thickBot="1">
      <c r="A351" s="6" t="s">
        <v>2192</v>
      </c>
      <c r="B351" s="62" t="s">
        <v>1276</v>
      </c>
      <c r="C351" s="8">
        <v>5114</v>
      </c>
      <c r="D351" s="8">
        <v>5299</v>
      </c>
      <c r="E351" s="8">
        <v>5538</v>
      </c>
      <c r="F351" s="8">
        <v>5357</v>
      </c>
      <c r="G351" s="8">
        <v>5378</v>
      </c>
      <c r="H351" s="8">
        <v>5599</v>
      </c>
      <c r="I351" s="36">
        <v>5693</v>
      </c>
      <c r="J351" s="8"/>
      <c r="K351" s="8"/>
      <c r="L351" s="8"/>
      <c r="M351" s="8"/>
      <c r="N351" s="8"/>
      <c r="O351" s="8"/>
      <c r="P351" s="8"/>
      <c r="Q351" s="36"/>
      <c r="R351" s="33" t="s">
        <v>1252</v>
      </c>
      <c r="S351" s="30" t="s">
        <v>1258</v>
      </c>
      <c r="T351" s="16">
        <f>(C348+C359+C361)</f>
        <v>12225</v>
      </c>
      <c r="U351" s="17">
        <f>SUM(T351/T355)</f>
        <v>0.30876670118455285</v>
      </c>
      <c r="V351" s="2">
        <v>2</v>
      </c>
    </row>
    <row r="352" spans="1:29" s="2" customFormat="1" ht="16.5" customHeight="1" thickBot="1">
      <c r="A352" s="6" t="s">
        <v>2194</v>
      </c>
      <c r="B352" s="9" t="s">
        <v>1257</v>
      </c>
      <c r="C352" s="8">
        <v>3447</v>
      </c>
      <c r="D352" s="8">
        <v>3510</v>
      </c>
      <c r="E352" s="8">
        <v>3530</v>
      </c>
      <c r="F352" s="8">
        <v>3534</v>
      </c>
      <c r="G352" s="8">
        <v>3582</v>
      </c>
      <c r="H352" s="8">
        <v>3586</v>
      </c>
      <c r="I352" s="8">
        <v>3632</v>
      </c>
      <c r="J352" s="8">
        <v>3682</v>
      </c>
      <c r="K352" s="8">
        <v>3747</v>
      </c>
      <c r="L352" s="8">
        <v>3749</v>
      </c>
      <c r="M352" s="8">
        <v>3774</v>
      </c>
      <c r="N352" s="8">
        <v>4181</v>
      </c>
      <c r="O352" s="8">
        <v>4568</v>
      </c>
      <c r="P352" s="8">
        <v>4636</v>
      </c>
      <c r="Q352" s="36">
        <v>5415</v>
      </c>
      <c r="R352" s="33" t="s">
        <v>1253</v>
      </c>
      <c r="S352" s="15" t="s">
        <v>1261</v>
      </c>
      <c r="T352" s="21">
        <v>1025</v>
      </c>
      <c r="U352" s="17">
        <f>SUM(T352/T355)</f>
        <v>2.5888414618745737E-2</v>
      </c>
    </row>
    <row r="353" spans="1:25" s="2" customFormat="1" ht="16.5" customHeight="1" thickBot="1">
      <c r="A353" s="12" t="s">
        <v>2202</v>
      </c>
      <c r="B353" s="42" t="s">
        <v>1304</v>
      </c>
      <c r="C353" s="8">
        <v>1362</v>
      </c>
      <c r="D353" s="8">
        <v>1674</v>
      </c>
      <c r="E353" s="8">
        <v>1675</v>
      </c>
      <c r="F353" s="8">
        <v>1675</v>
      </c>
      <c r="G353" s="8">
        <v>1704</v>
      </c>
      <c r="H353" s="8">
        <v>1709</v>
      </c>
      <c r="I353" s="8">
        <v>1723</v>
      </c>
      <c r="J353" s="8">
        <v>1756</v>
      </c>
      <c r="K353" s="8">
        <v>1773</v>
      </c>
      <c r="L353" s="8">
        <v>1773</v>
      </c>
      <c r="M353" s="8">
        <v>1880</v>
      </c>
      <c r="N353" s="8">
        <v>2000</v>
      </c>
      <c r="O353" s="8">
        <v>2023</v>
      </c>
      <c r="P353" s="8">
        <v>2026</v>
      </c>
      <c r="Q353" s="8" t="s">
        <v>1326</v>
      </c>
      <c r="S353" s="31" t="s">
        <v>1269</v>
      </c>
      <c r="T353" s="21">
        <f>(C349+C356)</f>
        <v>7144</v>
      </c>
      <c r="U353" s="17">
        <f>SUM(T353/T355)</f>
        <v>0.18043593564518981</v>
      </c>
      <c r="V353" s="2">
        <v>1</v>
      </c>
    </row>
    <row r="354" spans="1:25" s="2" customFormat="1" ht="16.5" customHeight="1" thickBot="1">
      <c r="A354" s="12" t="s">
        <v>2197</v>
      </c>
      <c r="B354" s="20" t="s">
        <v>1261</v>
      </c>
      <c r="C354" s="8">
        <v>1025</v>
      </c>
      <c r="D354" s="8">
        <v>1027</v>
      </c>
      <c r="E354" s="8">
        <v>1035</v>
      </c>
      <c r="F354" s="8">
        <v>1055</v>
      </c>
      <c r="G354" s="8">
        <v>1055</v>
      </c>
      <c r="H354" s="8">
        <v>1057</v>
      </c>
      <c r="I354" s="8">
        <v>1067</v>
      </c>
      <c r="J354" s="8">
        <v>1069</v>
      </c>
      <c r="K354" s="8">
        <v>1225</v>
      </c>
      <c r="L354" s="8">
        <v>1589</v>
      </c>
      <c r="M354" s="8">
        <v>1590</v>
      </c>
      <c r="N354" s="8">
        <v>1593</v>
      </c>
      <c r="O354" s="8">
        <v>1594</v>
      </c>
      <c r="P354" s="8" t="s">
        <v>1326</v>
      </c>
      <c r="S354" s="26" t="s">
        <v>1254</v>
      </c>
      <c r="T354" s="21">
        <f>(C351+C353+C358+C360+C362+C363+C364+C365+C366+C367)</f>
        <v>8662</v>
      </c>
      <c r="U354" s="11">
        <f>SUM(T354/T355)</f>
        <v>0.21877604627080544</v>
      </c>
      <c r="V354" s="2">
        <v>1</v>
      </c>
    </row>
    <row r="355" spans="1:25" s="2" customFormat="1" ht="16.5" customHeight="1" thickBot="1">
      <c r="A355" s="12" t="s">
        <v>1668</v>
      </c>
      <c r="B355" s="22" t="s">
        <v>1257</v>
      </c>
      <c r="C355" s="8">
        <v>1015</v>
      </c>
      <c r="D355" s="8">
        <v>1190</v>
      </c>
      <c r="E355" s="8">
        <v>1195</v>
      </c>
      <c r="F355" s="8">
        <v>1196</v>
      </c>
      <c r="G355" s="8">
        <v>1212</v>
      </c>
      <c r="H355" s="8">
        <v>1221</v>
      </c>
      <c r="I355" s="8">
        <v>1238</v>
      </c>
      <c r="J355" s="8">
        <v>1285</v>
      </c>
      <c r="K355" s="8">
        <v>1313</v>
      </c>
      <c r="L355" s="8">
        <v>1316</v>
      </c>
      <c r="M355" s="8">
        <v>1349</v>
      </c>
      <c r="N355" s="8" t="s">
        <v>1326</v>
      </c>
      <c r="T355" s="23">
        <v>39593</v>
      </c>
    </row>
    <row r="356" spans="1:25" s="2" customFormat="1" ht="16.5" customHeight="1" thickBot="1">
      <c r="A356" s="12" t="s">
        <v>2204</v>
      </c>
      <c r="B356" s="32" t="s">
        <v>1269</v>
      </c>
      <c r="C356" s="8">
        <v>1000</v>
      </c>
      <c r="D356" s="8">
        <v>1010</v>
      </c>
      <c r="E356" s="8">
        <v>1290</v>
      </c>
      <c r="F356" s="8">
        <v>1309</v>
      </c>
      <c r="G356" s="8">
        <v>1325</v>
      </c>
      <c r="H356" s="8">
        <v>1331</v>
      </c>
      <c r="I356" s="8">
        <v>1417</v>
      </c>
      <c r="J356" s="8">
        <v>1440</v>
      </c>
      <c r="K356" s="8">
        <v>1757</v>
      </c>
      <c r="L356" s="8">
        <v>1814</v>
      </c>
      <c r="M356" s="8">
        <v>1824</v>
      </c>
      <c r="N356" s="8">
        <v>1865</v>
      </c>
      <c r="O356" s="8">
        <v>1888</v>
      </c>
      <c r="P356" s="8">
        <v>2864</v>
      </c>
      <c r="Q356" s="8">
        <v>2975</v>
      </c>
      <c r="R356" s="33"/>
    </row>
    <row r="357" spans="1:25" s="2" customFormat="1" ht="16.5" customHeight="1" thickBot="1">
      <c r="A357" s="12" t="s">
        <v>1860</v>
      </c>
      <c r="B357" s="13" t="s">
        <v>1247</v>
      </c>
      <c r="C357" s="8">
        <v>917</v>
      </c>
      <c r="D357" s="8">
        <v>917</v>
      </c>
      <c r="E357" s="8">
        <v>918</v>
      </c>
      <c r="F357" s="8">
        <v>929</v>
      </c>
      <c r="G357" s="8">
        <v>929</v>
      </c>
      <c r="H357" s="8">
        <v>929</v>
      </c>
      <c r="I357" s="8">
        <v>937</v>
      </c>
      <c r="J357" s="8">
        <v>938</v>
      </c>
      <c r="K357" s="8">
        <v>952</v>
      </c>
      <c r="L357" s="8" t="s">
        <v>1326</v>
      </c>
    </row>
    <row r="358" spans="1:25" s="2" customFormat="1" ht="16.5" customHeight="1" thickBot="1">
      <c r="A358" s="12" t="s">
        <v>2203</v>
      </c>
      <c r="B358" s="29" t="s">
        <v>1267</v>
      </c>
      <c r="C358" s="8">
        <v>711</v>
      </c>
      <c r="D358" s="43">
        <v>723</v>
      </c>
      <c r="E358" s="43">
        <v>735</v>
      </c>
      <c r="F358" s="8">
        <v>746</v>
      </c>
      <c r="G358" s="8">
        <v>752</v>
      </c>
      <c r="H358" s="8">
        <v>763</v>
      </c>
      <c r="I358" s="8">
        <v>800</v>
      </c>
      <c r="J358" s="8">
        <v>822</v>
      </c>
      <c r="K358" s="8" t="s">
        <v>1326</v>
      </c>
      <c r="M358" s="17"/>
    </row>
    <row r="359" spans="1:25" s="2" customFormat="1" ht="16.5" customHeight="1" thickBot="1">
      <c r="A359" s="6" t="s">
        <v>2195</v>
      </c>
      <c r="B359" s="28" t="s">
        <v>1258</v>
      </c>
      <c r="C359" s="8">
        <v>633</v>
      </c>
      <c r="D359" s="8">
        <v>4486</v>
      </c>
      <c r="E359" s="8">
        <v>4488</v>
      </c>
      <c r="F359" s="8">
        <v>4488</v>
      </c>
      <c r="G359" s="8">
        <v>4507</v>
      </c>
      <c r="H359" s="8">
        <v>4520</v>
      </c>
      <c r="I359" s="8">
        <v>4530</v>
      </c>
      <c r="J359" s="8">
        <v>4617</v>
      </c>
      <c r="K359" s="8">
        <v>4638</v>
      </c>
      <c r="L359" s="8">
        <v>4641</v>
      </c>
      <c r="M359" s="8">
        <v>5532</v>
      </c>
      <c r="N359" s="36">
        <v>5711</v>
      </c>
      <c r="O359" s="8"/>
      <c r="P359" s="8"/>
      <c r="Q359" s="8"/>
      <c r="R359" s="33" t="s">
        <v>1251</v>
      </c>
      <c r="Y359"/>
    </row>
    <row r="360" spans="1:25" s="2" customFormat="1" ht="16.5" customHeight="1" thickBot="1">
      <c r="A360" s="12" t="s">
        <v>2199</v>
      </c>
      <c r="B360" s="38" t="s">
        <v>2012</v>
      </c>
      <c r="C360" s="8">
        <v>516</v>
      </c>
      <c r="D360" s="8">
        <v>566</v>
      </c>
      <c r="E360" s="8">
        <v>567</v>
      </c>
      <c r="F360" s="8">
        <v>568</v>
      </c>
      <c r="G360" s="8">
        <v>570</v>
      </c>
      <c r="H360" s="8">
        <v>579</v>
      </c>
      <c r="I360" s="8">
        <v>590</v>
      </c>
      <c r="J360" s="8" t="s">
        <v>1326</v>
      </c>
      <c r="Q360" s="17"/>
      <c r="V360" s="17"/>
    </row>
    <row r="361" spans="1:25" s="2" customFormat="1" ht="16.5" customHeight="1" thickBot="1">
      <c r="A361" s="12" t="s">
        <v>2196</v>
      </c>
      <c r="B361" s="27" t="s">
        <v>1258</v>
      </c>
      <c r="C361" s="8">
        <v>373</v>
      </c>
      <c r="D361" s="8">
        <v>1097</v>
      </c>
      <c r="E361" s="8">
        <v>1097</v>
      </c>
      <c r="F361" s="8">
        <v>1098</v>
      </c>
      <c r="G361" s="8">
        <v>1103</v>
      </c>
      <c r="H361" s="8">
        <v>1107</v>
      </c>
      <c r="I361" s="8">
        <v>1111</v>
      </c>
      <c r="J361" s="8">
        <v>1161</v>
      </c>
      <c r="K361" s="8">
        <v>1171</v>
      </c>
      <c r="L361" s="8">
        <v>1172</v>
      </c>
      <c r="M361" s="8" t="s">
        <v>1326</v>
      </c>
    </row>
    <row r="362" spans="1:25" s="2" customFormat="1" ht="16.5" customHeight="1" thickBot="1">
      <c r="A362" s="12" t="s">
        <v>2205</v>
      </c>
      <c r="B362" s="80" t="s">
        <v>1997</v>
      </c>
      <c r="C362" s="8">
        <v>369</v>
      </c>
      <c r="D362" s="8">
        <v>377</v>
      </c>
      <c r="E362" s="8">
        <v>390</v>
      </c>
      <c r="F362" s="8">
        <v>400</v>
      </c>
      <c r="G362" s="8">
        <v>408</v>
      </c>
      <c r="H362" s="8">
        <v>409</v>
      </c>
      <c r="I362" s="8" t="s">
        <v>1326</v>
      </c>
      <c r="L362" s="14"/>
    </row>
    <row r="363" spans="1:25" s="2" customFormat="1" ht="16.5" customHeight="1" thickBot="1">
      <c r="A363" s="12" t="s">
        <v>1664</v>
      </c>
      <c r="B363" s="63" t="s">
        <v>1276</v>
      </c>
      <c r="C363" s="8">
        <v>271</v>
      </c>
      <c r="D363" s="43">
        <v>287</v>
      </c>
      <c r="E363" s="43">
        <v>287</v>
      </c>
      <c r="F363" s="8">
        <v>289</v>
      </c>
      <c r="G363" s="8">
        <v>290</v>
      </c>
      <c r="H363" s="8" t="s">
        <v>1326</v>
      </c>
      <c r="M363" s="17"/>
    </row>
    <row r="364" spans="1:25" s="2" customFormat="1" ht="16.5" customHeight="1" thickBot="1">
      <c r="A364" s="12" t="s">
        <v>2198</v>
      </c>
      <c r="B364" s="38" t="s">
        <v>1408</v>
      </c>
      <c r="C364" s="8">
        <v>203</v>
      </c>
      <c r="D364" s="8">
        <v>222</v>
      </c>
      <c r="E364" s="8">
        <v>224</v>
      </c>
      <c r="F364" s="8">
        <v>227</v>
      </c>
      <c r="G364" s="8" t="s">
        <v>1326</v>
      </c>
      <c r="M364" s="17"/>
      <c r="R364"/>
      <c r="Y364"/>
    </row>
    <row r="365" spans="1:25" s="2" customFormat="1" ht="16.5" customHeight="1" thickBot="1">
      <c r="A365" s="12" t="s">
        <v>1674</v>
      </c>
      <c r="B365" s="37" t="s">
        <v>1286</v>
      </c>
      <c r="C365" s="8">
        <v>79</v>
      </c>
      <c r="D365" s="8">
        <v>80</v>
      </c>
      <c r="E365" s="8">
        <v>82</v>
      </c>
      <c r="F365" s="8" t="s">
        <v>1326</v>
      </c>
      <c r="Q365" s="17"/>
      <c r="V365" s="17"/>
    </row>
    <row r="366" spans="1:25" s="2" customFormat="1" ht="16.5" customHeight="1" thickBot="1">
      <c r="A366" s="12" t="s">
        <v>2200</v>
      </c>
      <c r="B366" s="38" t="s">
        <v>1958</v>
      </c>
      <c r="C366" s="8">
        <v>22</v>
      </c>
      <c r="D366" s="8">
        <v>22</v>
      </c>
      <c r="E366" s="8">
        <v>22</v>
      </c>
      <c r="F366" s="8" t="s">
        <v>1326</v>
      </c>
      <c r="L366" s="17"/>
    </row>
    <row r="367" spans="1:25" s="2" customFormat="1" ht="16.5" customHeight="1" thickBot="1">
      <c r="A367" s="12" t="s">
        <v>2201</v>
      </c>
      <c r="B367" s="38" t="s">
        <v>1270</v>
      </c>
      <c r="C367" s="8">
        <v>15</v>
      </c>
      <c r="D367" s="8">
        <v>15</v>
      </c>
      <c r="E367" s="8">
        <v>15</v>
      </c>
      <c r="F367" s="8" t="s">
        <v>1326</v>
      </c>
      <c r="L367" s="14"/>
    </row>
    <row r="368" spans="1:25">
      <c r="C368" s="24"/>
    </row>
    <row r="369" spans="1:11" s="64" customFormat="1" ht="14.25" customHeight="1">
      <c r="B369" s="52" t="s">
        <v>1255</v>
      </c>
      <c r="C369" s="65" t="s">
        <v>1247</v>
      </c>
      <c r="D369" s="50" t="s">
        <v>1258</v>
      </c>
      <c r="E369" s="48" t="s">
        <v>1261</v>
      </c>
      <c r="F369" s="49" t="s">
        <v>1257</v>
      </c>
      <c r="G369" s="66" t="s">
        <v>1269</v>
      </c>
      <c r="H369" s="67" t="s">
        <v>1254</v>
      </c>
      <c r="J369" s="67"/>
      <c r="K369" s="68"/>
    </row>
    <row r="370" spans="1:11" s="64" customFormat="1" ht="14.25" customHeight="1">
      <c r="A370" s="64" t="s">
        <v>1248</v>
      </c>
      <c r="B370" s="69">
        <f>SUM(P120+M102+N84+M65+K48+N29+O11+T355+O332+O313+P291+Q267+W242+R222+Q200+O182+N163+S141)</f>
        <v>799987</v>
      </c>
      <c r="C370" s="68">
        <f>SUM(P114+M96+N78+M59+K42+N23+O5+T349+O307+O326+P285+W236+R216+Q194+O176+N157+S135)</f>
        <v>143349</v>
      </c>
      <c r="D370" s="68">
        <f>SUM(P116+M98+N80+M61+K44+N25+O7+T351+O328+O309+P287+Q263+W238+R218+Q196+O178+N159+S137)</f>
        <v>150520</v>
      </c>
      <c r="E370" s="68">
        <f>SUM(P117+M99+N81+M62+K45+N26+O8+T352+O329+O310+P288+Q264+W239+R219+Q197+O179+N160+S138)</f>
        <v>177004</v>
      </c>
      <c r="F370" s="68">
        <f>SUM(P115+M97+N79+M60+K43+N24+O6+T350+O327+O308+P286+Q262+W237+R217+Q195+O177+N158+S136)</f>
        <v>173066</v>
      </c>
      <c r="G370" s="68">
        <f>SUM(P118+M100+N82+M63+K46+O9+T353+O330+O311+P289+Q265+W240+R220+Q198+N27+O180+N161+S139)</f>
        <v>50161</v>
      </c>
      <c r="H370" s="68">
        <f>SUM(P119+M101+N83+M64+K47+N28+O10+T354+O331+O312+P290+Q266+W241+R221+Q199+O181+N162+S140)</f>
        <v>111094</v>
      </c>
      <c r="J370" s="52"/>
      <c r="K370" s="69"/>
    </row>
    <row r="371" spans="1:11" s="64" customFormat="1" ht="14.25" customHeight="1">
      <c r="A371" s="64" t="s">
        <v>1249</v>
      </c>
      <c r="B371" s="60">
        <v>1</v>
      </c>
      <c r="C371" s="70">
        <f t="shared" ref="C371:H371" si="0">SUM(C370/$B$370)</f>
        <v>0.17918916182387964</v>
      </c>
      <c r="D371" s="70">
        <f t="shared" si="0"/>
        <v>0.18815305748718417</v>
      </c>
      <c r="E371" s="70">
        <f t="shared" si="0"/>
        <v>0.2212585954521761</v>
      </c>
      <c r="F371" s="70">
        <f t="shared" si="0"/>
        <v>0.21633601546025122</v>
      </c>
      <c r="G371" s="70">
        <f t="shared" si="0"/>
        <v>6.2702268911869821E-2</v>
      </c>
      <c r="H371" s="70">
        <f t="shared" si="0"/>
        <v>0.13886975663354528</v>
      </c>
    </row>
    <row r="372" spans="1:11" s="64" customFormat="1" ht="14.25" customHeight="1">
      <c r="A372" s="64" t="s">
        <v>1250</v>
      </c>
      <c r="B372" s="52">
        <v>108</v>
      </c>
      <c r="C372" s="64">
        <v>18</v>
      </c>
      <c r="D372" s="64">
        <v>20</v>
      </c>
      <c r="E372" s="64">
        <v>24</v>
      </c>
      <c r="F372" s="64">
        <v>28</v>
      </c>
      <c r="G372" s="64">
        <v>6</v>
      </c>
      <c r="H372" s="64">
        <v>12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1"/>
  <dimension ref="A1:AD236"/>
  <sheetViews>
    <sheetView workbookViewId="0">
      <pane xSplit="2" topLeftCell="C1" activePane="topRight" state="frozen"/>
      <selection activeCell="A91" sqref="A91"/>
      <selection pane="topRight" activeCell="O1" sqref="O1"/>
    </sheetView>
  </sheetViews>
  <sheetFormatPr defaultRowHeight="12.75"/>
  <cols>
    <col min="1" max="1" width="25.5703125" customWidth="1"/>
    <col min="2" max="2" width="9.28515625" customWidth="1"/>
    <col min="3" max="3" width="8.85546875" customWidth="1"/>
    <col min="4" max="6" width="8.7109375" customWidth="1"/>
    <col min="7" max="7" width="8.85546875" customWidth="1"/>
    <col min="15" max="15" width="9.42578125" bestFit="1" customWidth="1"/>
    <col min="16" max="16" width="9.42578125" customWidth="1"/>
  </cols>
  <sheetData>
    <row r="1" spans="1:17" s="2" customFormat="1" ht="16.5" customHeight="1">
      <c r="A1" s="1" t="s">
        <v>822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1244</v>
      </c>
      <c r="B3" s="5" t="s">
        <v>1245</v>
      </c>
      <c r="C3" s="5" t="s">
        <v>1246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/>
      <c r="N3" s="10" t="s">
        <v>1413</v>
      </c>
      <c r="O3" s="11">
        <f>(61351/73930)</f>
        <v>0.82985256323549306</v>
      </c>
    </row>
    <row r="4" spans="1:17" s="2" customFormat="1" ht="16.5" customHeight="1" thickBot="1">
      <c r="A4" s="6" t="s">
        <v>2224</v>
      </c>
      <c r="B4" s="25" t="s">
        <v>1247</v>
      </c>
      <c r="C4" s="36">
        <v>14025</v>
      </c>
      <c r="D4" s="8"/>
      <c r="E4" s="8"/>
      <c r="F4" s="8"/>
      <c r="G4" s="36"/>
      <c r="H4" s="8"/>
      <c r="I4" s="8"/>
      <c r="J4" s="8"/>
      <c r="K4" s="8"/>
      <c r="L4" s="8"/>
      <c r="M4" s="33" t="s">
        <v>1271</v>
      </c>
      <c r="N4" s="14"/>
      <c r="O4" s="10" t="s">
        <v>1248</v>
      </c>
      <c r="P4" s="10" t="s">
        <v>1249</v>
      </c>
      <c r="Q4" s="10" t="s">
        <v>1250</v>
      </c>
    </row>
    <row r="5" spans="1:17" s="2" customFormat="1" ht="16.5" customHeight="1" thickBot="1">
      <c r="A5" s="6" t="s">
        <v>2223</v>
      </c>
      <c r="B5" s="9" t="s">
        <v>2206</v>
      </c>
      <c r="C5" s="36">
        <v>10117</v>
      </c>
      <c r="D5" s="8"/>
      <c r="E5" s="8"/>
      <c r="F5" s="8"/>
      <c r="G5" s="36"/>
      <c r="H5" s="8"/>
      <c r="I5" s="36"/>
      <c r="J5" s="8"/>
      <c r="K5" s="36"/>
      <c r="L5" s="8"/>
      <c r="M5" s="33" t="s">
        <v>1362</v>
      </c>
      <c r="N5" s="19" t="s">
        <v>1247</v>
      </c>
      <c r="O5" s="16">
        <f>(C4+C11)</f>
        <v>16725</v>
      </c>
      <c r="P5" s="17">
        <f>SUM(O5/O11)</f>
        <v>0.28261236904359582</v>
      </c>
      <c r="Q5" s="14">
        <v>1</v>
      </c>
    </row>
    <row r="6" spans="1:17" s="2" customFormat="1" ht="16.5" customHeight="1" thickBot="1">
      <c r="A6" s="6" t="s">
        <v>2222</v>
      </c>
      <c r="B6" s="7" t="s">
        <v>1261</v>
      </c>
      <c r="C6" s="8">
        <v>6800</v>
      </c>
      <c r="D6" s="8">
        <v>7093</v>
      </c>
      <c r="E6" s="8">
        <v>7259</v>
      </c>
      <c r="F6" s="8">
        <v>7717</v>
      </c>
      <c r="G6" s="8">
        <v>7758</v>
      </c>
      <c r="H6" s="8">
        <v>8374</v>
      </c>
      <c r="I6" s="8">
        <v>8384</v>
      </c>
      <c r="J6" s="8">
        <v>8388</v>
      </c>
      <c r="K6" s="36">
        <v>12402</v>
      </c>
      <c r="L6" s="8"/>
      <c r="M6" s="33" t="s">
        <v>1280</v>
      </c>
      <c r="N6" s="18" t="s">
        <v>2206</v>
      </c>
      <c r="O6" s="16">
        <f>(C5+C7+C12)</f>
        <v>18591</v>
      </c>
      <c r="P6" s="17">
        <f>SUM(O6/O11)</f>
        <v>0.31414329165258531</v>
      </c>
      <c r="Q6" s="14">
        <v>2</v>
      </c>
    </row>
    <row r="7" spans="1:17" s="2" customFormat="1" ht="16.5" customHeight="1" thickBot="1">
      <c r="A7" s="6" t="s">
        <v>2226</v>
      </c>
      <c r="B7" s="9" t="s">
        <v>2206</v>
      </c>
      <c r="C7" s="8">
        <v>5877</v>
      </c>
      <c r="D7" s="8">
        <v>5884</v>
      </c>
      <c r="E7" s="8">
        <v>6216</v>
      </c>
      <c r="F7" s="8">
        <v>6268</v>
      </c>
      <c r="G7" s="8">
        <v>6966</v>
      </c>
      <c r="H7" s="8">
        <v>6976</v>
      </c>
      <c r="I7" s="8">
        <v>9403</v>
      </c>
      <c r="J7" s="36">
        <v>9921</v>
      </c>
      <c r="K7" s="36"/>
      <c r="L7" s="36"/>
      <c r="M7" s="33" t="s">
        <v>1252</v>
      </c>
      <c r="N7" s="30" t="s">
        <v>1258</v>
      </c>
      <c r="O7" s="16">
        <f>(C8+C9)</f>
        <v>7289</v>
      </c>
      <c r="P7" s="17">
        <f>SUM(O7/O11)</f>
        <v>0.12316661034133153</v>
      </c>
      <c r="Q7" s="2">
        <v>1</v>
      </c>
    </row>
    <row r="8" spans="1:17" s="2" customFormat="1" ht="16.5" customHeight="1" thickBot="1">
      <c r="A8" s="6" t="s">
        <v>2228</v>
      </c>
      <c r="B8" s="28" t="s">
        <v>1258</v>
      </c>
      <c r="C8" s="8">
        <v>4324</v>
      </c>
      <c r="D8" s="8">
        <v>4328</v>
      </c>
      <c r="E8" s="8">
        <v>4342</v>
      </c>
      <c r="F8" s="8">
        <v>4350</v>
      </c>
      <c r="G8" s="8">
        <v>4956</v>
      </c>
      <c r="H8" s="8">
        <v>4957</v>
      </c>
      <c r="I8" s="8">
        <v>5142</v>
      </c>
      <c r="J8" s="8">
        <v>8070</v>
      </c>
      <c r="K8" s="8">
        <v>8114</v>
      </c>
      <c r="L8" s="36">
        <v>8146</v>
      </c>
      <c r="M8" s="33" t="s">
        <v>1251</v>
      </c>
      <c r="N8" s="15" t="s">
        <v>1261</v>
      </c>
      <c r="O8" s="21">
        <f>(C6+C10+C13)</f>
        <v>12000</v>
      </c>
      <c r="P8" s="17">
        <f>SUM(O8/O11)</f>
        <v>0.20277120648867861</v>
      </c>
      <c r="Q8" s="2">
        <v>1</v>
      </c>
    </row>
    <row r="9" spans="1:17" s="2" customFormat="1" ht="16.5" customHeight="1" thickBot="1">
      <c r="A9" s="12" t="s">
        <v>1263</v>
      </c>
      <c r="B9" s="27" t="s">
        <v>1258</v>
      </c>
      <c r="C9" s="8">
        <v>2965</v>
      </c>
      <c r="D9" s="8">
        <v>2966</v>
      </c>
      <c r="E9" s="8">
        <v>2986</v>
      </c>
      <c r="F9" s="8">
        <v>2990</v>
      </c>
      <c r="G9" s="8">
        <v>3336</v>
      </c>
      <c r="H9" s="8">
        <v>3337</v>
      </c>
      <c r="I9" s="8">
        <v>3559</v>
      </c>
      <c r="J9" s="8" t="s">
        <v>1326</v>
      </c>
      <c r="N9" s="31" t="s">
        <v>1269</v>
      </c>
      <c r="O9" s="21">
        <v>1171</v>
      </c>
      <c r="P9" s="17">
        <f>SUM(O9/O11)</f>
        <v>1.9787090233186887E-2</v>
      </c>
    </row>
    <row r="10" spans="1:17" s="2" customFormat="1" ht="16.5" customHeight="1" thickBot="1">
      <c r="A10" s="12" t="s">
        <v>2231</v>
      </c>
      <c r="B10" s="20" t="s">
        <v>1261</v>
      </c>
      <c r="C10" s="8">
        <v>2912</v>
      </c>
      <c r="D10" s="8">
        <v>3060</v>
      </c>
      <c r="E10" s="8">
        <v>3168</v>
      </c>
      <c r="F10" s="8">
        <v>3460</v>
      </c>
      <c r="G10" s="8">
        <v>3467</v>
      </c>
      <c r="H10" s="8">
        <v>5179</v>
      </c>
      <c r="I10" s="8">
        <v>5196</v>
      </c>
      <c r="J10" s="8">
        <v>5202</v>
      </c>
      <c r="K10" s="8" t="s">
        <v>1326</v>
      </c>
      <c r="N10" s="26" t="s">
        <v>1254</v>
      </c>
      <c r="O10" s="21">
        <f>(C14+C15)</f>
        <v>3404</v>
      </c>
      <c r="P10" s="11">
        <f>SUM(O10/O11)</f>
        <v>5.751943224062183E-2</v>
      </c>
    </row>
    <row r="11" spans="1:17" s="2" customFormat="1" ht="16.5" customHeight="1" thickBot="1">
      <c r="A11" s="12" t="s">
        <v>2225</v>
      </c>
      <c r="B11" s="13" t="s">
        <v>1247</v>
      </c>
      <c r="C11" s="8">
        <v>2700</v>
      </c>
      <c r="D11" s="8">
        <v>6096</v>
      </c>
      <c r="E11" s="8">
        <v>6108</v>
      </c>
      <c r="F11" s="8">
        <v>6414</v>
      </c>
      <c r="G11" s="8">
        <v>6427</v>
      </c>
      <c r="H11" s="8">
        <v>6528</v>
      </c>
      <c r="I11" s="8">
        <v>6536</v>
      </c>
      <c r="J11" s="8">
        <v>6540</v>
      </c>
      <c r="K11" s="8">
        <v>6848</v>
      </c>
      <c r="L11" s="8">
        <v>7603</v>
      </c>
      <c r="M11" s="33"/>
      <c r="O11" s="23">
        <v>59180</v>
      </c>
    </row>
    <row r="12" spans="1:17" s="2" customFormat="1" ht="16.5" customHeight="1" thickBot="1">
      <c r="A12" s="12" t="s">
        <v>2227</v>
      </c>
      <c r="B12" s="22" t="s">
        <v>2206</v>
      </c>
      <c r="C12" s="8">
        <v>2597</v>
      </c>
      <c r="D12" s="8">
        <v>2602</v>
      </c>
      <c r="E12" s="8">
        <v>2684</v>
      </c>
      <c r="F12" s="8">
        <v>2706</v>
      </c>
      <c r="G12" s="8">
        <v>2964</v>
      </c>
      <c r="H12" s="8">
        <v>2970</v>
      </c>
      <c r="I12" s="8" t="s">
        <v>1326</v>
      </c>
    </row>
    <row r="13" spans="1:17" s="2" customFormat="1" ht="16.5" customHeight="1" thickBot="1">
      <c r="A13" s="12" t="s">
        <v>2232</v>
      </c>
      <c r="B13" s="20" t="s">
        <v>1261</v>
      </c>
      <c r="C13" s="8">
        <v>2288</v>
      </c>
      <c r="D13" s="8">
        <v>2400</v>
      </c>
      <c r="E13" s="8">
        <v>2448</v>
      </c>
      <c r="F13" s="8">
        <v>2634</v>
      </c>
      <c r="G13" s="8">
        <v>2634</v>
      </c>
      <c r="H13" s="8" t="s">
        <v>1326</v>
      </c>
    </row>
    <row r="14" spans="1:17" s="2" customFormat="1" ht="16.5" customHeight="1" thickBot="1">
      <c r="A14" s="12" t="s">
        <v>2229</v>
      </c>
      <c r="B14" s="83" t="s">
        <v>2230</v>
      </c>
      <c r="C14" s="8">
        <v>2010</v>
      </c>
      <c r="D14" s="8">
        <v>2011</v>
      </c>
      <c r="E14" s="8">
        <v>2040</v>
      </c>
      <c r="F14" s="8">
        <v>2050</v>
      </c>
      <c r="G14" s="8" t="s">
        <v>1326</v>
      </c>
      <c r="L14" s="17"/>
    </row>
    <row r="15" spans="1:17" s="2" customFormat="1" ht="16.5" customHeight="1" thickBot="1">
      <c r="A15" s="12" t="s">
        <v>1975</v>
      </c>
      <c r="B15" s="37" t="s">
        <v>1286</v>
      </c>
      <c r="C15" s="8">
        <v>1394</v>
      </c>
      <c r="D15" s="8">
        <v>1481</v>
      </c>
      <c r="E15" s="8">
        <v>1724</v>
      </c>
      <c r="F15" s="8" t="s">
        <v>1326</v>
      </c>
      <c r="L15" s="17"/>
    </row>
    <row r="16" spans="1:17" s="2" customFormat="1" ht="16.5" customHeight="1" thickBot="1">
      <c r="A16" s="12" t="s">
        <v>2233</v>
      </c>
      <c r="B16" s="32" t="s">
        <v>1269</v>
      </c>
      <c r="C16" s="8">
        <v>1171</v>
      </c>
      <c r="D16" s="8">
        <v>1177</v>
      </c>
      <c r="E16" s="8" t="s">
        <v>1326</v>
      </c>
    </row>
    <row r="17" spans="1:24" s="2" customFormat="1" ht="12" customHeight="1">
      <c r="A17" s="1"/>
      <c r="E17"/>
      <c r="I17" s="30"/>
      <c r="J17" s="21"/>
      <c r="K17" s="11"/>
    </row>
    <row r="18" spans="1:24" s="2" customFormat="1" ht="16.5" customHeight="1">
      <c r="A18" s="1" t="s">
        <v>2221</v>
      </c>
      <c r="E18"/>
      <c r="I18" s="10"/>
      <c r="J18" s="21"/>
      <c r="K18" s="11"/>
    </row>
    <row r="19" spans="1:24" s="2" customFormat="1" ht="9.75" customHeight="1" thickBot="1">
      <c r="A19" s="3"/>
      <c r="J19" s="23"/>
    </row>
    <row r="20" spans="1:24" s="2" customFormat="1" ht="16.5" customHeight="1" thickBot="1">
      <c r="A20" s="4" t="s">
        <v>1244</v>
      </c>
      <c r="B20" s="5" t="s">
        <v>1245</v>
      </c>
      <c r="C20" s="5" t="s">
        <v>1246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5">
        <v>10</v>
      </c>
      <c r="M20" s="5">
        <v>11</v>
      </c>
      <c r="N20" s="5">
        <v>12</v>
      </c>
      <c r="O20" s="5"/>
      <c r="P20" s="10" t="s">
        <v>1413</v>
      </c>
      <c r="Q20" s="11">
        <f>(63943/84699)</f>
        <v>0.75494397808710845</v>
      </c>
      <c r="R20" s="16"/>
    </row>
    <row r="21" spans="1:24" s="2" customFormat="1" ht="16.5" customHeight="1" thickBot="1">
      <c r="A21" s="6" t="s">
        <v>1977</v>
      </c>
      <c r="B21" s="28" t="s">
        <v>1258</v>
      </c>
      <c r="C21" s="36">
        <v>10445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33" t="s">
        <v>1271</v>
      </c>
      <c r="P21" s="21"/>
      <c r="Q21" s="10" t="s">
        <v>1248</v>
      </c>
      <c r="R21" s="10" t="s">
        <v>1249</v>
      </c>
      <c r="S21" s="10" t="s">
        <v>1250</v>
      </c>
      <c r="X21" s="14"/>
    </row>
    <row r="22" spans="1:24" s="2" customFormat="1" ht="16.5" customHeight="1" thickBot="1">
      <c r="A22" s="6" t="s">
        <v>1981</v>
      </c>
      <c r="B22" s="7" t="s">
        <v>1261</v>
      </c>
      <c r="C22" s="8">
        <v>8413</v>
      </c>
      <c r="D22" s="8">
        <v>8414</v>
      </c>
      <c r="E22" s="8">
        <v>8475</v>
      </c>
      <c r="F22" s="8">
        <v>8806</v>
      </c>
      <c r="G22" s="8">
        <v>8828</v>
      </c>
      <c r="H22" s="36">
        <v>10237</v>
      </c>
      <c r="I22" s="36"/>
      <c r="J22" s="36"/>
      <c r="K22" s="36"/>
      <c r="L22" s="36"/>
      <c r="M22" s="36"/>
      <c r="N22" s="36"/>
      <c r="O22" s="33" t="s">
        <v>1362</v>
      </c>
      <c r="P22" s="19" t="s">
        <v>1247</v>
      </c>
      <c r="Q22" s="16">
        <f>(C23+C24)</f>
        <v>12690</v>
      </c>
      <c r="R22" s="17">
        <f>SUM(Q22/Q28)</f>
        <v>0.20478972339670143</v>
      </c>
      <c r="S22" s="14">
        <v>1</v>
      </c>
    </row>
    <row r="23" spans="1:24" s="2" customFormat="1" ht="16.5" customHeight="1" thickBot="1">
      <c r="A23" s="6" t="s">
        <v>2234</v>
      </c>
      <c r="B23" s="25" t="s">
        <v>1247</v>
      </c>
      <c r="C23" s="8">
        <v>6927</v>
      </c>
      <c r="D23" s="8">
        <v>6928</v>
      </c>
      <c r="E23" s="8">
        <v>7023</v>
      </c>
      <c r="F23" s="8">
        <v>7118</v>
      </c>
      <c r="G23" s="8">
        <v>7121</v>
      </c>
      <c r="H23" s="8">
        <v>7212</v>
      </c>
      <c r="I23" s="8">
        <v>7223</v>
      </c>
      <c r="J23" s="8">
        <v>7379</v>
      </c>
      <c r="K23" s="8">
        <v>7388</v>
      </c>
      <c r="L23" s="8">
        <v>7401</v>
      </c>
      <c r="M23" s="8">
        <v>7403</v>
      </c>
      <c r="N23" s="36">
        <v>7415</v>
      </c>
      <c r="O23" s="33" t="s">
        <v>1253</v>
      </c>
      <c r="P23" s="18" t="s">
        <v>2206</v>
      </c>
      <c r="Q23" s="16">
        <f>(C25+C27)</f>
        <v>9689</v>
      </c>
      <c r="R23" s="17">
        <f>SUM(Q23/Q28)</f>
        <v>0.15635993932156345</v>
      </c>
      <c r="S23" s="14">
        <v>1</v>
      </c>
    </row>
    <row r="24" spans="1:24" s="2" customFormat="1" ht="16.5" customHeight="1" thickBot="1">
      <c r="A24" s="12" t="s">
        <v>2236</v>
      </c>
      <c r="B24" s="13" t="s">
        <v>1247</v>
      </c>
      <c r="C24" s="8">
        <v>5763</v>
      </c>
      <c r="D24" s="8">
        <v>5764</v>
      </c>
      <c r="E24" s="8">
        <v>5868</v>
      </c>
      <c r="F24" s="8">
        <v>6076</v>
      </c>
      <c r="G24" s="8">
        <v>6084</v>
      </c>
      <c r="H24" s="8">
        <v>6151</v>
      </c>
      <c r="I24" s="8">
        <v>6162</v>
      </c>
      <c r="J24" s="8">
        <v>6334</v>
      </c>
      <c r="K24" s="8">
        <v>6335</v>
      </c>
      <c r="L24" s="8">
        <v>6335</v>
      </c>
      <c r="M24" s="8">
        <v>6336</v>
      </c>
      <c r="N24" s="8">
        <v>6343</v>
      </c>
      <c r="O24" s="33"/>
      <c r="P24" s="30" t="s">
        <v>1258</v>
      </c>
      <c r="Q24" s="16">
        <f>(C21+C28)</f>
        <v>14426</v>
      </c>
      <c r="R24" s="17">
        <f>SUM(Q24/Q28)</f>
        <v>0.23280508666042668</v>
      </c>
      <c r="S24" s="2">
        <v>2</v>
      </c>
    </row>
    <row r="25" spans="1:24" s="2" customFormat="1" ht="16.5" customHeight="1" thickBot="1">
      <c r="A25" s="6" t="s">
        <v>2370</v>
      </c>
      <c r="B25" s="9" t="s">
        <v>2206</v>
      </c>
      <c r="C25" s="8">
        <v>5546</v>
      </c>
      <c r="D25" s="8">
        <v>5594</v>
      </c>
      <c r="E25" s="8">
        <v>5594</v>
      </c>
      <c r="F25" s="8">
        <v>5597</v>
      </c>
      <c r="G25" s="8">
        <v>5772</v>
      </c>
      <c r="H25" s="8">
        <v>5773</v>
      </c>
      <c r="I25" s="8">
        <v>5773</v>
      </c>
      <c r="J25" s="8">
        <v>6109</v>
      </c>
      <c r="K25" s="8">
        <v>7343</v>
      </c>
      <c r="L25" s="36">
        <v>11830</v>
      </c>
      <c r="M25" s="36"/>
      <c r="N25" s="8"/>
      <c r="O25" s="33" t="s">
        <v>1252</v>
      </c>
      <c r="P25" s="15" t="s">
        <v>1261</v>
      </c>
      <c r="Q25" s="21">
        <f>(C22+C26+C31)</f>
        <v>15444</v>
      </c>
      <c r="R25" s="17">
        <f>SUM(Q25/Q28)</f>
        <v>0.24923345060194299</v>
      </c>
      <c r="S25" s="2">
        <v>2</v>
      </c>
    </row>
    <row r="26" spans="1:24" s="2" customFormat="1" ht="16.5" customHeight="1" thickBot="1">
      <c r="A26" s="6" t="s">
        <v>2237</v>
      </c>
      <c r="B26" s="7" t="s">
        <v>1261</v>
      </c>
      <c r="C26" s="8">
        <v>4169</v>
      </c>
      <c r="D26" s="8">
        <v>4170</v>
      </c>
      <c r="E26" s="8">
        <v>4197</v>
      </c>
      <c r="F26" s="8">
        <v>4367</v>
      </c>
      <c r="G26" s="8">
        <v>4372</v>
      </c>
      <c r="H26" s="8">
        <v>5535</v>
      </c>
      <c r="I26" s="8">
        <v>6788</v>
      </c>
      <c r="J26" s="8">
        <v>7979</v>
      </c>
      <c r="K26" s="8">
        <v>7982</v>
      </c>
      <c r="L26" s="8">
        <v>8019</v>
      </c>
      <c r="M26" s="8">
        <v>8034</v>
      </c>
      <c r="N26" s="36">
        <v>8184</v>
      </c>
      <c r="O26" s="33" t="s">
        <v>1251</v>
      </c>
      <c r="P26" s="31" t="s">
        <v>1269</v>
      </c>
      <c r="Q26" s="21">
        <v>2872</v>
      </c>
      <c r="R26" s="17">
        <f>SUM(Q26/Q28)</f>
        <v>4.6347997288835811E-2</v>
      </c>
    </row>
    <row r="27" spans="1:24" s="2" customFormat="1" ht="16.5" customHeight="1" thickBot="1">
      <c r="A27" s="12" t="s">
        <v>2238</v>
      </c>
      <c r="B27" s="22" t="s">
        <v>2206</v>
      </c>
      <c r="C27" s="8">
        <v>4143</v>
      </c>
      <c r="D27" s="8">
        <v>4158</v>
      </c>
      <c r="E27" s="8">
        <v>4158</v>
      </c>
      <c r="F27" s="8">
        <v>4175</v>
      </c>
      <c r="G27" s="8">
        <v>4715</v>
      </c>
      <c r="H27" s="8">
        <v>4717</v>
      </c>
      <c r="I27" s="8">
        <v>4717</v>
      </c>
      <c r="J27" s="8">
        <v>4954</v>
      </c>
      <c r="K27" s="8">
        <v>6002</v>
      </c>
      <c r="L27" s="8" t="s">
        <v>1326</v>
      </c>
      <c r="P27" s="26" t="s">
        <v>1254</v>
      </c>
      <c r="Q27" s="21">
        <f>(C29+C32+C33+C34)</f>
        <v>6845</v>
      </c>
      <c r="R27" s="11">
        <f>SUM(Q27/Q28)</f>
        <v>0.11046380273052965</v>
      </c>
    </row>
    <row r="28" spans="1:24" s="2" customFormat="1" ht="16.5" customHeight="1" thickBot="1">
      <c r="A28" s="6" t="s">
        <v>2235</v>
      </c>
      <c r="B28" s="28" t="s">
        <v>1258</v>
      </c>
      <c r="C28" s="8">
        <v>3981</v>
      </c>
      <c r="D28" s="8">
        <v>5301</v>
      </c>
      <c r="E28" s="8">
        <v>5307</v>
      </c>
      <c r="F28" s="8">
        <v>5321</v>
      </c>
      <c r="G28" s="8">
        <v>5667</v>
      </c>
      <c r="H28" s="8">
        <v>5573</v>
      </c>
      <c r="I28" s="8">
        <v>5573</v>
      </c>
      <c r="J28" s="8">
        <v>5629</v>
      </c>
      <c r="K28" s="8">
        <v>7075</v>
      </c>
      <c r="L28" s="8">
        <v>8238</v>
      </c>
      <c r="M28" s="36">
        <v>11168</v>
      </c>
      <c r="N28" s="36"/>
      <c r="O28" s="33" t="s">
        <v>1280</v>
      </c>
      <c r="Q28" s="23">
        <v>61966</v>
      </c>
    </row>
    <row r="29" spans="1:24" s="2" customFormat="1" ht="16.5" customHeight="1" thickBot="1">
      <c r="A29" s="12" t="s">
        <v>2239</v>
      </c>
      <c r="B29" s="83" t="s">
        <v>2230</v>
      </c>
      <c r="C29" s="8">
        <v>3056</v>
      </c>
      <c r="D29" s="8">
        <v>3188</v>
      </c>
      <c r="E29" s="8">
        <v>3188</v>
      </c>
      <c r="F29" s="8">
        <v>3192</v>
      </c>
      <c r="G29" s="8">
        <v>3793</v>
      </c>
      <c r="H29" s="8">
        <v>3795</v>
      </c>
      <c r="I29" s="8">
        <v>3795</v>
      </c>
      <c r="J29" s="8">
        <v>3924</v>
      </c>
      <c r="K29" s="8" t="s">
        <v>1326</v>
      </c>
    </row>
    <row r="30" spans="1:24" s="2" customFormat="1" ht="16.5" customHeight="1" thickBot="1">
      <c r="A30" s="12" t="s">
        <v>2240</v>
      </c>
      <c r="B30" s="32" t="s">
        <v>1269</v>
      </c>
      <c r="C30" s="8">
        <v>2872</v>
      </c>
      <c r="D30" s="8">
        <v>2875</v>
      </c>
      <c r="E30" s="8">
        <v>2920</v>
      </c>
      <c r="F30" s="8">
        <v>3185</v>
      </c>
      <c r="G30" s="8">
        <v>3237</v>
      </c>
      <c r="H30" s="8">
        <v>3415</v>
      </c>
      <c r="I30" s="8">
        <v>3478</v>
      </c>
      <c r="J30" s="8" t="s">
        <v>1326</v>
      </c>
    </row>
    <row r="31" spans="1:24" s="2" customFormat="1" ht="16.5" customHeight="1" thickBot="1">
      <c r="A31" s="12" t="s">
        <v>2243</v>
      </c>
      <c r="B31" s="20" t="s">
        <v>1261</v>
      </c>
      <c r="C31" s="8">
        <v>2862</v>
      </c>
      <c r="D31" s="8">
        <v>2863</v>
      </c>
      <c r="E31" s="8">
        <v>2911</v>
      </c>
      <c r="F31" s="8">
        <v>3006</v>
      </c>
      <c r="G31" s="8">
        <v>3015</v>
      </c>
      <c r="H31" s="8" t="s">
        <v>1326</v>
      </c>
    </row>
    <row r="32" spans="1:24" s="2" customFormat="1" ht="16.5" customHeight="1" thickBot="1">
      <c r="A32" s="12" t="s">
        <v>2241</v>
      </c>
      <c r="B32" s="38" t="s">
        <v>1270</v>
      </c>
      <c r="C32" s="8">
        <v>1732</v>
      </c>
      <c r="D32" s="8">
        <v>1769</v>
      </c>
      <c r="E32" s="8">
        <v>1771</v>
      </c>
      <c r="F32" s="8">
        <v>1817</v>
      </c>
      <c r="G32" s="8" t="s">
        <v>1326</v>
      </c>
    </row>
    <row r="33" spans="1:20" s="2" customFormat="1" ht="16.5" customHeight="1" thickBot="1">
      <c r="A33" s="12" t="s">
        <v>1285</v>
      </c>
      <c r="B33" s="37" t="s">
        <v>1286</v>
      </c>
      <c r="C33" s="8">
        <v>1311</v>
      </c>
      <c r="D33" s="8">
        <v>1312</v>
      </c>
      <c r="E33" s="8">
        <v>1621</v>
      </c>
      <c r="F33" s="8" t="s">
        <v>1326</v>
      </c>
    </row>
    <row r="34" spans="1:20" s="2" customFormat="1" ht="16.5" customHeight="1" thickBot="1">
      <c r="A34" s="12" t="s">
        <v>2242</v>
      </c>
      <c r="B34" s="37" t="s">
        <v>1286</v>
      </c>
      <c r="C34" s="8">
        <v>746</v>
      </c>
      <c r="D34" s="8">
        <v>748</v>
      </c>
      <c r="E34" s="8" t="s">
        <v>1326</v>
      </c>
    </row>
    <row r="35" spans="1:20" s="2" customFormat="1" ht="12" customHeight="1">
      <c r="A35" s="1"/>
    </row>
    <row r="36" spans="1:20" s="2" customFormat="1" ht="16.5" customHeight="1">
      <c r="A36" s="1" t="s">
        <v>2220</v>
      </c>
    </row>
    <row r="37" spans="1:20" s="2" customFormat="1" ht="9.75" customHeight="1" thickBot="1">
      <c r="A37" s="3"/>
    </row>
    <row r="38" spans="1:20" s="2" customFormat="1" ht="16.5" customHeight="1" thickBot="1">
      <c r="A38" s="4" t="s">
        <v>1244</v>
      </c>
      <c r="B38" s="5" t="s">
        <v>1245</v>
      </c>
      <c r="C38" s="5" t="s">
        <v>1246</v>
      </c>
      <c r="D38" s="5">
        <v>2</v>
      </c>
      <c r="E38" s="5">
        <v>3</v>
      </c>
      <c r="F38" s="5">
        <v>4</v>
      </c>
      <c r="G38" s="5">
        <v>5</v>
      </c>
      <c r="H38" s="5">
        <v>6</v>
      </c>
      <c r="I38" s="5">
        <v>7</v>
      </c>
      <c r="J38" s="5">
        <v>8</v>
      </c>
      <c r="K38" s="5">
        <v>9</v>
      </c>
      <c r="L38" s="5">
        <v>10</v>
      </c>
      <c r="M38" s="5">
        <v>11</v>
      </c>
      <c r="N38" s="5">
        <v>12</v>
      </c>
      <c r="O38" s="5">
        <v>13</v>
      </c>
      <c r="P38" s="5"/>
      <c r="Q38" s="10" t="s">
        <v>1413</v>
      </c>
      <c r="R38" s="11">
        <f>(66125/100198)</f>
        <v>0.65994331224176128</v>
      </c>
    </row>
    <row r="39" spans="1:20" s="2" customFormat="1" ht="16.5" customHeight="1" thickBot="1">
      <c r="A39" s="6" t="s">
        <v>1991</v>
      </c>
      <c r="B39" s="7" t="s">
        <v>1261</v>
      </c>
      <c r="C39" s="36">
        <v>12282</v>
      </c>
      <c r="D39" s="8"/>
      <c r="E39" s="36"/>
      <c r="F39" s="36"/>
      <c r="G39" s="36"/>
      <c r="H39" s="8"/>
      <c r="I39" s="8"/>
      <c r="J39" s="8"/>
      <c r="K39" s="8"/>
      <c r="L39" s="8"/>
      <c r="M39" s="8"/>
      <c r="N39" s="8"/>
      <c r="O39" s="8"/>
      <c r="P39" s="33" t="s">
        <v>1271</v>
      </c>
      <c r="Q39" s="14"/>
      <c r="R39" s="10" t="s">
        <v>1248</v>
      </c>
      <c r="S39" s="10" t="s">
        <v>1249</v>
      </c>
      <c r="T39" s="10" t="s">
        <v>1250</v>
      </c>
    </row>
    <row r="40" spans="1:20" s="2" customFormat="1" ht="16.5" customHeight="1" thickBot="1">
      <c r="A40" s="6" t="s">
        <v>1978</v>
      </c>
      <c r="B40" s="25" t="s">
        <v>1247</v>
      </c>
      <c r="C40" s="36">
        <v>8207</v>
      </c>
      <c r="D40" s="8"/>
      <c r="E40" s="8"/>
      <c r="F40" s="8"/>
      <c r="G40" s="36"/>
      <c r="H40" s="8"/>
      <c r="I40" s="36"/>
      <c r="J40" s="8"/>
      <c r="K40" s="8"/>
      <c r="L40" s="8"/>
      <c r="M40" s="36"/>
      <c r="N40" s="8"/>
      <c r="O40" s="8"/>
      <c r="P40" s="33" t="s">
        <v>1362</v>
      </c>
      <c r="Q40" s="19" t="s">
        <v>1247</v>
      </c>
      <c r="R40" s="16">
        <f>(C40+C53)</f>
        <v>8763</v>
      </c>
      <c r="S40" s="17">
        <f>SUM(R40/R46)</f>
        <v>0.1359405541249108</v>
      </c>
      <c r="T40" s="14">
        <v>1</v>
      </c>
    </row>
    <row r="41" spans="1:20" s="2" customFormat="1" ht="16.5" customHeight="1" thickBot="1">
      <c r="A41" s="6" t="s">
        <v>2247</v>
      </c>
      <c r="B41" s="28" t="s">
        <v>1258</v>
      </c>
      <c r="C41" s="8">
        <v>6857</v>
      </c>
      <c r="D41" s="8">
        <v>6861</v>
      </c>
      <c r="E41" s="8">
        <v>6864</v>
      </c>
      <c r="F41" s="8">
        <v>6871</v>
      </c>
      <c r="G41" s="8">
        <v>6875</v>
      </c>
      <c r="H41" s="8">
        <v>6876</v>
      </c>
      <c r="I41" s="8">
        <v>7061</v>
      </c>
      <c r="J41" s="8">
        <v>7877</v>
      </c>
      <c r="K41" s="8">
        <v>7992</v>
      </c>
      <c r="L41" s="36">
        <v>8827</v>
      </c>
      <c r="M41" s="36"/>
      <c r="N41" s="8"/>
      <c r="O41" s="36"/>
      <c r="P41" s="33" t="s">
        <v>1280</v>
      </c>
      <c r="Q41" s="18" t="s">
        <v>2206</v>
      </c>
      <c r="R41" s="16">
        <f>(C42+C44+C46+C50)</f>
        <v>16745</v>
      </c>
      <c r="S41" s="17">
        <f>SUM(R41/R46)</f>
        <v>0.25976544320685052</v>
      </c>
      <c r="T41" s="14">
        <v>2</v>
      </c>
    </row>
    <row r="42" spans="1:20" s="2" customFormat="1" ht="16.5" customHeight="1" thickBot="1">
      <c r="A42" s="6" t="s">
        <v>1993</v>
      </c>
      <c r="B42" s="9" t="s">
        <v>2206</v>
      </c>
      <c r="C42" s="8">
        <v>6107</v>
      </c>
      <c r="D42" s="8">
        <v>6110</v>
      </c>
      <c r="E42" s="8">
        <v>6111</v>
      </c>
      <c r="F42" s="8">
        <v>6113</v>
      </c>
      <c r="G42" s="8">
        <v>6149</v>
      </c>
      <c r="H42" s="8">
        <v>6149</v>
      </c>
      <c r="I42" s="8">
        <v>6351</v>
      </c>
      <c r="J42" s="8">
        <v>6409</v>
      </c>
      <c r="K42" s="8">
        <v>6980</v>
      </c>
      <c r="L42" s="36">
        <v>9357</v>
      </c>
      <c r="M42" s="8"/>
      <c r="N42" s="36"/>
      <c r="O42" s="8"/>
      <c r="P42" s="33" t="s">
        <v>1252</v>
      </c>
      <c r="Q42" s="30" t="s">
        <v>1258</v>
      </c>
      <c r="R42" s="16">
        <f>(C41+C43+C49)</f>
        <v>14038</v>
      </c>
      <c r="S42" s="17">
        <f>SUM(R42/R46)</f>
        <v>0.2177717104650802</v>
      </c>
      <c r="T42" s="2">
        <v>2</v>
      </c>
    </row>
    <row r="43" spans="1:20" s="2" customFormat="1" ht="16.5" customHeight="1" thickBot="1">
      <c r="A43" s="6" t="s">
        <v>2002</v>
      </c>
      <c r="B43" s="28" t="s">
        <v>1258</v>
      </c>
      <c r="C43" s="8">
        <v>5305</v>
      </c>
      <c r="D43" s="8">
        <v>5306</v>
      </c>
      <c r="E43" s="8">
        <v>5306</v>
      </c>
      <c r="F43" s="8">
        <v>5311</v>
      </c>
      <c r="G43" s="8">
        <v>5327</v>
      </c>
      <c r="H43" s="8">
        <v>5328</v>
      </c>
      <c r="I43" s="8">
        <v>5337</v>
      </c>
      <c r="J43" s="8">
        <v>5763</v>
      </c>
      <c r="K43" s="8">
        <v>5801</v>
      </c>
      <c r="L43" s="8">
        <v>5889</v>
      </c>
      <c r="M43" s="8">
        <v>5981</v>
      </c>
      <c r="N43" s="8">
        <v>6540</v>
      </c>
      <c r="O43" s="36">
        <v>6945</v>
      </c>
      <c r="P43" s="33" t="s">
        <v>2207</v>
      </c>
      <c r="Q43" s="15" t="s">
        <v>1261</v>
      </c>
      <c r="R43" s="21">
        <f>(C39+C45+C47)</f>
        <v>20279</v>
      </c>
      <c r="S43" s="17">
        <f>SUM(R43/R46)</f>
        <v>0.31458843970090905</v>
      </c>
      <c r="T43" s="2">
        <v>2</v>
      </c>
    </row>
    <row r="44" spans="1:20" s="2" customFormat="1" ht="16.5" customHeight="1" thickBot="1">
      <c r="A44" s="6" t="s">
        <v>2244</v>
      </c>
      <c r="B44" s="9" t="s">
        <v>2206</v>
      </c>
      <c r="C44" s="8">
        <v>5031</v>
      </c>
      <c r="D44" s="8">
        <v>5033</v>
      </c>
      <c r="E44" s="8">
        <v>5035</v>
      </c>
      <c r="F44" s="8">
        <v>5039</v>
      </c>
      <c r="G44" s="8">
        <v>5046</v>
      </c>
      <c r="H44" s="8">
        <v>5047</v>
      </c>
      <c r="I44" s="8">
        <v>5755</v>
      </c>
      <c r="J44" s="8">
        <v>6300</v>
      </c>
      <c r="K44" s="8">
        <v>6488</v>
      </c>
      <c r="L44" s="8">
        <v>8051</v>
      </c>
      <c r="M44" s="36">
        <v>9244</v>
      </c>
      <c r="N44" s="8"/>
      <c r="O44" s="36"/>
      <c r="P44" s="33" t="s">
        <v>1251</v>
      </c>
      <c r="Q44" s="31" t="s">
        <v>1269</v>
      </c>
      <c r="R44" s="21">
        <f>(C48+C51)</f>
        <v>3663</v>
      </c>
      <c r="S44" s="17">
        <f>SUM(R44/R46)</f>
        <v>5.6824175483230432E-2</v>
      </c>
    </row>
    <row r="45" spans="1:20" s="2" customFormat="1" ht="16.5" customHeight="1" thickBot="1">
      <c r="A45" s="6" t="s">
        <v>2245</v>
      </c>
      <c r="B45" s="7" t="s">
        <v>1261</v>
      </c>
      <c r="C45" s="8">
        <v>4828</v>
      </c>
      <c r="D45" s="8">
        <v>6961</v>
      </c>
      <c r="E45" s="8">
        <v>7076</v>
      </c>
      <c r="F45" s="8">
        <v>7350</v>
      </c>
      <c r="G45" s="8">
        <v>7414</v>
      </c>
      <c r="H45" s="8">
        <v>7490</v>
      </c>
      <c r="I45" s="8">
        <v>7496</v>
      </c>
      <c r="J45" s="8">
        <v>7500</v>
      </c>
      <c r="K45" s="8">
        <v>7986</v>
      </c>
      <c r="L45" s="8">
        <v>8005</v>
      </c>
      <c r="M45" s="8">
        <v>8008</v>
      </c>
      <c r="N45" s="8">
        <v>8014</v>
      </c>
      <c r="O45" s="36">
        <v>8017</v>
      </c>
      <c r="P45" s="33" t="s">
        <v>1253</v>
      </c>
      <c r="Q45" s="26" t="s">
        <v>1254</v>
      </c>
      <c r="R45" s="21">
        <f>(C52)</f>
        <v>974</v>
      </c>
      <c r="S45" s="11">
        <f>SUM(R45/R46)</f>
        <v>1.5109677019018957E-2</v>
      </c>
    </row>
    <row r="46" spans="1:20" s="2" customFormat="1" ht="16.5" customHeight="1" thickBot="1">
      <c r="A46" s="12" t="s">
        <v>2253</v>
      </c>
      <c r="B46" s="22" t="s">
        <v>2206</v>
      </c>
      <c r="C46" s="8">
        <v>3766</v>
      </c>
      <c r="D46" s="8">
        <v>3769</v>
      </c>
      <c r="E46" s="8">
        <v>3769</v>
      </c>
      <c r="F46" s="8">
        <v>3772</v>
      </c>
      <c r="G46" s="8">
        <v>3787</v>
      </c>
      <c r="H46" s="8">
        <v>3788</v>
      </c>
      <c r="I46" s="8">
        <v>4483</v>
      </c>
      <c r="J46" s="8">
        <v>4502</v>
      </c>
      <c r="K46" s="8">
        <v>5150</v>
      </c>
      <c r="L46" s="8" t="s">
        <v>1326</v>
      </c>
      <c r="R46" s="23">
        <v>64462</v>
      </c>
    </row>
    <row r="47" spans="1:20" s="2" customFormat="1" ht="16.5" customHeight="1" thickBot="1">
      <c r="A47" s="12" t="s">
        <v>2252</v>
      </c>
      <c r="B47" s="20" t="s">
        <v>1261</v>
      </c>
      <c r="C47" s="8">
        <v>3169</v>
      </c>
      <c r="D47" s="8">
        <v>5028</v>
      </c>
      <c r="E47" s="8">
        <v>5115</v>
      </c>
      <c r="F47" s="8">
        <v>5413</v>
      </c>
      <c r="G47" s="8">
        <v>5528</v>
      </c>
      <c r="H47" s="8">
        <v>5584</v>
      </c>
      <c r="I47" s="8">
        <v>5589</v>
      </c>
      <c r="J47" s="8">
        <v>5590</v>
      </c>
      <c r="K47" s="8">
        <v>5968</v>
      </c>
      <c r="L47" s="8">
        <v>5977</v>
      </c>
      <c r="M47" s="8">
        <v>5978</v>
      </c>
      <c r="N47" s="8">
        <v>5985</v>
      </c>
      <c r="O47" s="8">
        <v>5986</v>
      </c>
      <c r="P47" s="36"/>
    </row>
    <row r="48" spans="1:20" s="2" customFormat="1" ht="16.5" customHeight="1" thickBot="1">
      <c r="A48" s="12" t="s">
        <v>2248</v>
      </c>
      <c r="B48" s="32" t="s">
        <v>1269</v>
      </c>
      <c r="C48" s="8">
        <v>2309</v>
      </c>
      <c r="D48" s="8">
        <v>2348</v>
      </c>
      <c r="E48" s="8">
        <v>2353</v>
      </c>
      <c r="F48" s="8">
        <v>2451</v>
      </c>
      <c r="G48" s="8">
        <v>3620</v>
      </c>
      <c r="H48" s="8">
        <v>3624</v>
      </c>
      <c r="I48" s="8">
        <v>3642</v>
      </c>
      <c r="J48" s="8">
        <v>3651</v>
      </c>
      <c r="K48" s="8" t="s">
        <v>1326</v>
      </c>
    </row>
    <row r="49" spans="1:21" s="2" customFormat="1" ht="16.5" customHeight="1" thickBot="1">
      <c r="A49" s="12" t="s">
        <v>2251</v>
      </c>
      <c r="B49" s="27" t="s">
        <v>1258</v>
      </c>
      <c r="C49" s="8">
        <v>1876</v>
      </c>
      <c r="D49" s="8">
        <v>1877</v>
      </c>
      <c r="E49" s="8">
        <v>1880</v>
      </c>
      <c r="F49" s="8">
        <v>1883</v>
      </c>
      <c r="G49" s="8">
        <v>1885</v>
      </c>
      <c r="H49" s="8">
        <v>1886</v>
      </c>
      <c r="I49" s="8">
        <v>1896</v>
      </c>
      <c r="J49" s="8" t="s">
        <v>1326</v>
      </c>
      <c r="L49" s="17"/>
    </row>
    <row r="50" spans="1:21" s="2" customFormat="1" ht="16.5" customHeight="1" thickBot="1">
      <c r="A50" s="12" t="s">
        <v>2249</v>
      </c>
      <c r="B50" s="22" t="s">
        <v>2206</v>
      </c>
      <c r="C50" s="8">
        <v>1841</v>
      </c>
      <c r="D50" s="43">
        <v>1841</v>
      </c>
      <c r="E50" s="8">
        <v>1842</v>
      </c>
      <c r="F50" s="8">
        <v>1844</v>
      </c>
      <c r="G50" s="8">
        <v>1849</v>
      </c>
      <c r="H50" s="8">
        <v>1849</v>
      </c>
      <c r="I50" s="8" t="s">
        <v>1326</v>
      </c>
    </row>
    <row r="51" spans="1:21" s="2" customFormat="1" ht="16.5" customHeight="1" thickBot="1">
      <c r="A51" s="12" t="s">
        <v>2254</v>
      </c>
      <c r="B51" s="32" t="s">
        <v>1269</v>
      </c>
      <c r="C51" s="8">
        <v>1354</v>
      </c>
      <c r="D51" s="8">
        <v>1396</v>
      </c>
      <c r="E51" s="8">
        <v>1402</v>
      </c>
      <c r="F51" s="8">
        <v>1532</v>
      </c>
      <c r="G51" s="8" t="s">
        <v>1326</v>
      </c>
      <c r="L51" s="17"/>
    </row>
    <row r="52" spans="1:21" s="2" customFormat="1" ht="16.5" customHeight="1" thickBot="1">
      <c r="A52" s="12" t="s">
        <v>2246</v>
      </c>
      <c r="B52" s="37" t="s">
        <v>1286</v>
      </c>
      <c r="C52" s="8">
        <v>974</v>
      </c>
      <c r="D52" s="8">
        <v>1046</v>
      </c>
      <c r="E52" s="8">
        <v>1122</v>
      </c>
      <c r="F52" s="8" t="s">
        <v>1326</v>
      </c>
      <c r="L52" s="17"/>
    </row>
    <row r="53" spans="1:21" s="2" customFormat="1" ht="16.5" customHeight="1" thickBot="1">
      <c r="A53" s="12" t="s">
        <v>2250</v>
      </c>
      <c r="B53" s="13" t="s">
        <v>1247</v>
      </c>
      <c r="C53" s="8">
        <v>556</v>
      </c>
      <c r="D53" s="8">
        <v>606</v>
      </c>
      <c r="E53" s="8" t="s">
        <v>1326</v>
      </c>
      <c r="G53" s="21"/>
      <c r="H53" s="21"/>
      <c r="L53" s="17"/>
    </row>
    <row r="54" spans="1:21" s="2" customFormat="1" ht="12" customHeight="1">
      <c r="A54" s="1"/>
    </row>
    <row r="55" spans="1:21" s="2" customFormat="1" ht="16.5" customHeight="1">
      <c r="A55" s="1" t="s">
        <v>2213</v>
      </c>
    </row>
    <row r="56" spans="1:21" s="2" customFormat="1" ht="9.75" customHeight="1" thickBot="1">
      <c r="A56" s="3"/>
    </row>
    <row r="57" spans="1:21" s="2" customFormat="1" ht="16.5" customHeight="1" thickBot="1">
      <c r="A57" s="4" t="s">
        <v>1244</v>
      </c>
      <c r="B57" s="5" t="s">
        <v>1245</v>
      </c>
      <c r="C57" s="5" t="s">
        <v>1246</v>
      </c>
      <c r="D57" s="5">
        <v>2</v>
      </c>
      <c r="E57" s="5">
        <v>3</v>
      </c>
      <c r="F57" s="5">
        <v>4</v>
      </c>
      <c r="G57" s="5">
        <v>5</v>
      </c>
      <c r="H57" s="5">
        <v>6</v>
      </c>
      <c r="I57" s="5">
        <v>7</v>
      </c>
      <c r="J57" s="5">
        <v>8</v>
      </c>
      <c r="K57" s="5">
        <v>9</v>
      </c>
      <c r="L57" s="5">
        <v>10</v>
      </c>
      <c r="M57" s="5">
        <v>11</v>
      </c>
      <c r="N57" s="5">
        <v>12</v>
      </c>
      <c r="O57" s="5">
        <v>13</v>
      </c>
      <c r="P57" s="5">
        <v>14</v>
      </c>
      <c r="Q57" s="5"/>
      <c r="R57" s="10" t="s">
        <v>1413</v>
      </c>
      <c r="S57" s="11">
        <f>(63982/95610)</f>
        <v>0.66919778265871765</v>
      </c>
    </row>
    <row r="58" spans="1:21" s="2" customFormat="1" ht="16.5" customHeight="1" thickBot="1">
      <c r="A58" s="6" t="s">
        <v>2255</v>
      </c>
      <c r="B58" s="9" t="s">
        <v>2206</v>
      </c>
      <c r="C58" s="36">
        <v>19547</v>
      </c>
      <c r="D58" s="8"/>
      <c r="E58" s="8"/>
      <c r="F58" s="8"/>
      <c r="G58" s="8"/>
      <c r="H58" s="8"/>
      <c r="I58" s="36"/>
      <c r="J58" s="8"/>
      <c r="K58" s="8"/>
      <c r="L58" s="8"/>
      <c r="M58" s="8"/>
      <c r="N58" s="8"/>
      <c r="O58" s="8"/>
      <c r="P58" s="8"/>
      <c r="Q58" s="33" t="s">
        <v>1271</v>
      </c>
      <c r="R58" s="14"/>
      <c r="S58" s="10" t="s">
        <v>1248</v>
      </c>
      <c r="T58" s="10" t="s">
        <v>1249</v>
      </c>
      <c r="U58" s="10" t="s">
        <v>1250</v>
      </c>
    </row>
    <row r="59" spans="1:21" s="2" customFormat="1" ht="16.5" customHeight="1" thickBot="1">
      <c r="A59" s="6" t="s">
        <v>2021</v>
      </c>
      <c r="B59" s="7" t="s">
        <v>1261</v>
      </c>
      <c r="C59" s="36">
        <v>8528</v>
      </c>
      <c r="D59" s="8"/>
      <c r="E59" s="8"/>
      <c r="F59" s="8"/>
      <c r="G59" s="36"/>
      <c r="H59" s="8"/>
      <c r="I59" s="8"/>
      <c r="J59" s="36"/>
      <c r="K59" s="8"/>
      <c r="L59" s="8"/>
      <c r="M59" s="8"/>
      <c r="N59" s="8"/>
      <c r="O59" s="8"/>
      <c r="P59" s="8"/>
      <c r="Q59" s="33" t="s">
        <v>1362</v>
      </c>
      <c r="R59" s="19" t="s">
        <v>1247</v>
      </c>
      <c r="S59" s="16">
        <f>(C60+C62)</f>
        <v>8224</v>
      </c>
      <c r="T59" s="17">
        <f>SUM(S59/S65)</f>
        <v>0.13285086585681055</v>
      </c>
      <c r="U59" s="14">
        <v>1</v>
      </c>
    </row>
    <row r="60" spans="1:21" s="2" customFormat="1" ht="16.5" customHeight="1" thickBot="1">
      <c r="A60" s="6" t="s">
        <v>2257</v>
      </c>
      <c r="B60" s="25" t="s">
        <v>1247</v>
      </c>
      <c r="C60" s="8">
        <v>5182</v>
      </c>
      <c r="D60" s="8">
        <v>5189</v>
      </c>
      <c r="E60" s="8">
        <v>5231</v>
      </c>
      <c r="F60" s="8">
        <v>5247</v>
      </c>
      <c r="G60" s="8">
        <v>5248</v>
      </c>
      <c r="H60" s="8">
        <v>7717</v>
      </c>
      <c r="I60" s="8">
        <v>7720</v>
      </c>
      <c r="J60" s="8">
        <v>7721</v>
      </c>
      <c r="K60" s="36">
        <v>8091</v>
      </c>
      <c r="L60" s="8"/>
      <c r="M60" s="8"/>
      <c r="N60" s="8"/>
      <c r="O60" s="36"/>
      <c r="P60" s="36"/>
      <c r="Q60" s="33" t="s">
        <v>1280</v>
      </c>
      <c r="R60" s="18" t="s">
        <v>2206</v>
      </c>
      <c r="S60" s="16">
        <f>(C58+C66+C69+C72)</f>
        <v>24694</v>
      </c>
      <c r="T60" s="17">
        <f>SUM(S60/S65)</f>
        <v>0.39890798655983456</v>
      </c>
      <c r="U60" s="14">
        <v>3</v>
      </c>
    </row>
    <row r="61" spans="1:21" s="2" customFormat="1" ht="16.5" customHeight="1" thickBot="1">
      <c r="A61" s="12" t="s">
        <v>2262</v>
      </c>
      <c r="B61" s="20" t="s">
        <v>1261</v>
      </c>
      <c r="C61" s="8">
        <v>4231</v>
      </c>
      <c r="D61" s="8">
        <v>4239</v>
      </c>
      <c r="E61" s="8">
        <v>4502</v>
      </c>
      <c r="F61" s="8">
        <v>4689</v>
      </c>
      <c r="G61" s="8">
        <v>4692</v>
      </c>
      <c r="H61" s="8">
        <v>4799</v>
      </c>
      <c r="I61" s="8">
        <v>4800</v>
      </c>
      <c r="J61" s="8">
        <v>4801</v>
      </c>
      <c r="K61" s="8">
        <v>5200</v>
      </c>
      <c r="L61" s="8">
        <v>5245</v>
      </c>
      <c r="M61" s="8">
        <v>5253</v>
      </c>
      <c r="N61" s="8">
        <v>5255</v>
      </c>
      <c r="O61" s="8">
        <v>5255</v>
      </c>
      <c r="P61" s="8">
        <v>5289</v>
      </c>
      <c r="Q61" s="33"/>
      <c r="R61" s="30" t="s">
        <v>1258</v>
      </c>
      <c r="S61" s="16">
        <f>(C65+C67+C71)</f>
        <v>6710</v>
      </c>
      <c r="T61" s="17">
        <f>SUM(S61/S65)</f>
        <v>0.10839364176789869</v>
      </c>
      <c r="U61" s="2">
        <v>1</v>
      </c>
    </row>
    <row r="62" spans="1:21" s="2" customFormat="1" ht="16.5" customHeight="1" thickBot="1">
      <c r="A62" s="12" t="s">
        <v>2259</v>
      </c>
      <c r="B62" s="13" t="s">
        <v>1247</v>
      </c>
      <c r="C62" s="8">
        <v>3042</v>
      </c>
      <c r="D62" s="8">
        <v>3049</v>
      </c>
      <c r="E62" s="8">
        <v>3072</v>
      </c>
      <c r="F62" s="8">
        <v>3089</v>
      </c>
      <c r="G62" s="8">
        <v>3090</v>
      </c>
      <c r="H62" s="8" t="s">
        <v>1326</v>
      </c>
      <c r="R62" s="15" t="s">
        <v>1261</v>
      </c>
      <c r="S62" s="21">
        <f>(C59+C61+C63)</f>
        <v>15630</v>
      </c>
      <c r="T62" s="17">
        <f>SUM(S62/S65)</f>
        <v>0.25248772292582061</v>
      </c>
      <c r="U62" s="2">
        <v>2</v>
      </c>
    </row>
    <row r="63" spans="1:21" s="2" customFormat="1" ht="16.5" customHeight="1" thickBot="1">
      <c r="A63" s="6" t="s">
        <v>2260</v>
      </c>
      <c r="B63" s="7" t="s">
        <v>1261</v>
      </c>
      <c r="C63" s="8">
        <v>2871</v>
      </c>
      <c r="D63" s="8">
        <v>2883</v>
      </c>
      <c r="E63" s="8">
        <v>3257</v>
      </c>
      <c r="F63" s="8">
        <v>3578</v>
      </c>
      <c r="G63" s="8">
        <v>3580</v>
      </c>
      <c r="H63" s="8">
        <v>3778</v>
      </c>
      <c r="I63" s="8">
        <v>3781</v>
      </c>
      <c r="J63" s="8">
        <v>3781</v>
      </c>
      <c r="K63" s="8">
        <v>5460</v>
      </c>
      <c r="L63" s="8">
        <v>5567</v>
      </c>
      <c r="M63" s="8">
        <v>5570</v>
      </c>
      <c r="N63" s="8">
        <v>5571</v>
      </c>
      <c r="O63" s="8">
        <v>5577</v>
      </c>
      <c r="P63" s="36">
        <v>5607</v>
      </c>
      <c r="Q63" s="33" t="s">
        <v>2207</v>
      </c>
      <c r="R63" s="31" t="s">
        <v>1269</v>
      </c>
      <c r="S63" s="21">
        <v>1806</v>
      </c>
      <c r="T63" s="17">
        <f>SUM(S63/S65)</f>
        <v>2.9174205220987334E-2</v>
      </c>
    </row>
    <row r="64" spans="1:21" s="2" customFormat="1" ht="16.5" customHeight="1" thickBot="1">
      <c r="A64" s="12" t="s">
        <v>1754</v>
      </c>
      <c r="B64" s="37" t="s">
        <v>1286</v>
      </c>
      <c r="C64" s="8">
        <v>2826</v>
      </c>
      <c r="D64" s="8">
        <v>2851</v>
      </c>
      <c r="E64" s="8">
        <v>2872</v>
      </c>
      <c r="F64" s="8">
        <v>3270</v>
      </c>
      <c r="G64" s="8">
        <v>3273</v>
      </c>
      <c r="H64" s="8">
        <v>3470</v>
      </c>
      <c r="I64" s="8">
        <v>3494</v>
      </c>
      <c r="J64" s="8">
        <v>3495</v>
      </c>
      <c r="K64" s="8" t="s">
        <v>1326</v>
      </c>
      <c r="R64" s="26" t="s">
        <v>1254</v>
      </c>
      <c r="S64" s="21">
        <f>(C64+C68)</f>
        <v>4840</v>
      </c>
      <c r="T64" s="11">
        <f>SUM(S64/S65)</f>
        <v>7.8185577668648226E-2</v>
      </c>
    </row>
    <row r="65" spans="1:19" s="2" customFormat="1" ht="16.5" customHeight="1" thickBot="1">
      <c r="A65" s="6" t="s">
        <v>1431</v>
      </c>
      <c r="B65" s="28" t="s">
        <v>1258</v>
      </c>
      <c r="C65" s="8">
        <v>2661</v>
      </c>
      <c r="D65" s="8">
        <v>3110</v>
      </c>
      <c r="E65" s="8">
        <v>3110</v>
      </c>
      <c r="F65" s="8">
        <v>3125</v>
      </c>
      <c r="G65" s="8">
        <v>3874</v>
      </c>
      <c r="H65" s="8">
        <v>3874</v>
      </c>
      <c r="I65" s="8">
        <v>4846</v>
      </c>
      <c r="J65" s="8">
        <v>4869</v>
      </c>
      <c r="K65" s="8">
        <v>4888</v>
      </c>
      <c r="L65" s="8">
        <v>4888</v>
      </c>
      <c r="M65" s="8">
        <v>5136</v>
      </c>
      <c r="N65" s="8">
        <v>5310</v>
      </c>
      <c r="O65" s="36">
        <v>9460</v>
      </c>
      <c r="P65" s="8"/>
      <c r="Q65" s="33" t="s">
        <v>1253</v>
      </c>
      <c r="S65" s="23">
        <v>61904</v>
      </c>
    </row>
    <row r="66" spans="1:19" s="2" customFormat="1" ht="16.5" customHeight="1" thickBot="1">
      <c r="A66" s="6" t="s">
        <v>2263</v>
      </c>
      <c r="B66" s="9" t="s">
        <v>2206</v>
      </c>
      <c r="C66" s="8">
        <v>2590</v>
      </c>
      <c r="D66" s="8">
        <v>7155</v>
      </c>
      <c r="E66" s="8">
        <v>7156</v>
      </c>
      <c r="F66" s="8">
        <v>7385</v>
      </c>
      <c r="G66" s="8">
        <v>7473</v>
      </c>
      <c r="H66" s="8">
        <v>7473</v>
      </c>
      <c r="I66" s="36">
        <v>8137</v>
      </c>
      <c r="J66" s="8"/>
      <c r="K66" s="8"/>
      <c r="L66" s="8"/>
      <c r="M66" s="8"/>
      <c r="N66" s="8"/>
      <c r="O66" s="8"/>
      <c r="P66" s="8"/>
      <c r="Q66" s="33" t="s">
        <v>1252</v>
      </c>
    </row>
    <row r="67" spans="1:19" s="2" customFormat="1" ht="16.5" customHeight="1" thickBot="1">
      <c r="A67" s="12" t="s">
        <v>2258</v>
      </c>
      <c r="B67" s="27" t="s">
        <v>1258</v>
      </c>
      <c r="C67" s="8">
        <v>2333</v>
      </c>
      <c r="D67" s="8">
        <v>2894</v>
      </c>
      <c r="E67" s="8">
        <v>2894</v>
      </c>
      <c r="F67" s="8">
        <v>2915</v>
      </c>
      <c r="G67" s="8">
        <v>3631</v>
      </c>
      <c r="H67" s="8">
        <v>3632</v>
      </c>
      <c r="I67" s="8">
        <v>4238</v>
      </c>
      <c r="J67" s="8">
        <v>4260</v>
      </c>
      <c r="K67" s="8">
        <v>4276</v>
      </c>
      <c r="L67" s="8">
        <v>4278</v>
      </c>
      <c r="M67" s="8">
        <v>4742</v>
      </c>
      <c r="N67" s="8">
        <v>5017</v>
      </c>
      <c r="O67" s="8" t="s">
        <v>1326</v>
      </c>
    </row>
    <row r="68" spans="1:19" s="2" customFormat="1" ht="16.5" customHeight="1" thickBot="1">
      <c r="A68" s="12" t="s">
        <v>2256</v>
      </c>
      <c r="B68" s="83" t="s">
        <v>2230</v>
      </c>
      <c r="C68" s="8">
        <v>2014</v>
      </c>
      <c r="D68" s="8">
        <v>2874</v>
      </c>
      <c r="E68" s="8">
        <v>2874</v>
      </c>
      <c r="F68" s="8">
        <v>2942</v>
      </c>
      <c r="G68" s="8">
        <v>3096</v>
      </c>
      <c r="H68" s="8">
        <v>3097</v>
      </c>
      <c r="I68" s="8" t="s">
        <v>1326</v>
      </c>
    </row>
    <row r="69" spans="1:19" s="2" customFormat="1" ht="16.5" customHeight="1" thickBot="1">
      <c r="A69" s="12" t="s">
        <v>2022</v>
      </c>
      <c r="B69" s="22" t="s">
        <v>2206</v>
      </c>
      <c r="C69" s="8">
        <v>1836</v>
      </c>
      <c r="D69" s="8">
        <v>3438</v>
      </c>
      <c r="E69" s="8">
        <v>3438</v>
      </c>
      <c r="F69" s="8">
        <v>3539</v>
      </c>
      <c r="G69" s="8">
        <v>3623</v>
      </c>
      <c r="H69" s="8">
        <v>3625</v>
      </c>
      <c r="I69" s="8">
        <v>3858</v>
      </c>
      <c r="J69" s="8">
        <v>3953</v>
      </c>
      <c r="K69" s="8">
        <v>3982</v>
      </c>
      <c r="L69" s="8">
        <v>3982</v>
      </c>
      <c r="M69" s="8" t="s">
        <v>1326</v>
      </c>
    </row>
    <row r="70" spans="1:19" s="2" customFormat="1" ht="16.5" customHeight="1" thickBot="1">
      <c r="A70" s="12" t="s">
        <v>2261</v>
      </c>
      <c r="B70" s="32" t="s">
        <v>1269</v>
      </c>
      <c r="C70" s="8">
        <v>1806</v>
      </c>
      <c r="D70" s="8">
        <v>1942</v>
      </c>
      <c r="E70" s="8">
        <v>1958</v>
      </c>
      <c r="F70" s="8" t="s">
        <v>1326</v>
      </c>
    </row>
    <row r="71" spans="1:19" s="2" customFormat="1" ht="16.5" customHeight="1" thickBot="1">
      <c r="A71" s="12" t="s">
        <v>2265</v>
      </c>
      <c r="B71" s="27" t="s">
        <v>1258</v>
      </c>
      <c r="C71" s="8">
        <v>1716</v>
      </c>
      <c r="D71" s="8">
        <v>2028</v>
      </c>
      <c r="E71" s="8">
        <v>2028</v>
      </c>
      <c r="F71" s="8">
        <v>2039</v>
      </c>
      <c r="G71" s="8" t="s">
        <v>1326</v>
      </c>
      <c r="M71" s="21"/>
    </row>
    <row r="72" spans="1:19" s="2" customFormat="1" ht="16.5" customHeight="1" thickBot="1">
      <c r="A72" s="6" t="s">
        <v>2264</v>
      </c>
      <c r="B72" s="9" t="s">
        <v>2206</v>
      </c>
      <c r="C72" s="8">
        <v>721</v>
      </c>
      <c r="D72" s="8">
        <v>3838</v>
      </c>
      <c r="E72" s="8">
        <v>3838</v>
      </c>
      <c r="F72" s="8">
        <v>4147</v>
      </c>
      <c r="G72" s="8">
        <v>4360</v>
      </c>
      <c r="H72" s="8">
        <v>4361</v>
      </c>
      <c r="I72" s="8">
        <v>4857</v>
      </c>
      <c r="J72" s="8">
        <v>5107</v>
      </c>
      <c r="K72" s="8">
        <v>5201</v>
      </c>
      <c r="L72" s="8">
        <v>5201</v>
      </c>
      <c r="M72" s="36">
        <v>8213</v>
      </c>
      <c r="N72" s="8"/>
      <c r="O72" s="8"/>
      <c r="P72" s="36"/>
      <c r="Q72" s="33" t="s">
        <v>1280</v>
      </c>
    </row>
    <row r="73" spans="1:19" s="2" customFormat="1" ht="12" customHeight="1">
      <c r="A73" s="1"/>
    </row>
    <row r="74" spans="1:19" s="2" customFormat="1" ht="16.5" customHeight="1">
      <c r="A74" s="1" t="s">
        <v>2219</v>
      </c>
    </row>
    <row r="75" spans="1:19" s="2" customFormat="1" ht="9.75" customHeight="1" thickBot="1">
      <c r="A75" s="3"/>
    </row>
    <row r="76" spans="1:19" s="2" customFormat="1" ht="16.5" customHeight="1" thickBot="1">
      <c r="A76" s="4" t="s">
        <v>1244</v>
      </c>
      <c r="B76" s="5" t="s">
        <v>1245</v>
      </c>
      <c r="C76" s="5" t="s">
        <v>1246</v>
      </c>
      <c r="D76" s="5">
        <v>2</v>
      </c>
      <c r="E76" s="5">
        <v>3</v>
      </c>
      <c r="F76" s="5">
        <v>4</v>
      </c>
      <c r="G76" s="5">
        <v>5</v>
      </c>
      <c r="H76" s="5">
        <v>6</v>
      </c>
      <c r="I76" s="5">
        <v>7</v>
      </c>
      <c r="J76" s="5">
        <v>8</v>
      </c>
      <c r="K76" s="5">
        <v>9</v>
      </c>
      <c r="L76" s="5">
        <v>10</v>
      </c>
      <c r="M76" s="5">
        <v>11</v>
      </c>
      <c r="N76" s="5"/>
      <c r="O76" s="10" t="s">
        <v>1413</v>
      </c>
      <c r="P76" s="11">
        <f>(61192/93261)</f>
        <v>0.65613707766376084</v>
      </c>
    </row>
    <row r="77" spans="1:19" s="2" customFormat="1" ht="16.5" customHeight="1" thickBot="1">
      <c r="A77" s="6" t="s">
        <v>2267</v>
      </c>
      <c r="B77" s="7" t="s">
        <v>1261</v>
      </c>
      <c r="C77" s="36">
        <v>7391</v>
      </c>
      <c r="D77" s="8"/>
      <c r="E77" s="8"/>
      <c r="F77" s="8"/>
      <c r="G77" s="8"/>
      <c r="H77" s="8"/>
      <c r="I77" s="36"/>
      <c r="J77" s="8"/>
      <c r="K77" s="8"/>
      <c r="L77" s="8"/>
      <c r="M77" s="8"/>
      <c r="N77" s="33" t="s">
        <v>1271</v>
      </c>
      <c r="O77" s="14"/>
      <c r="P77" s="10" t="s">
        <v>1248</v>
      </c>
      <c r="Q77" s="10" t="s">
        <v>1249</v>
      </c>
      <c r="R77" s="10" t="s">
        <v>1250</v>
      </c>
    </row>
    <row r="78" spans="1:19" s="2" customFormat="1" ht="16.5" customHeight="1" thickBot="1">
      <c r="A78" s="6" t="s">
        <v>2030</v>
      </c>
      <c r="B78" s="7" t="s">
        <v>1261</v>
      </c>
      <c r="C78" s="8">
        <v>7313</v>
      </c>
      <c r="D78" s="36">
        <v>7636</v>
      </c>
      <c r="E78" s="8"/>
      <c r="F78" s="8"/>
      <c r="G78" s="8"/>
      <c r="H78" s="36"/>
      <c r="I78" s="8"/>
      <c r="J78" s="36"/>
      <c r="K78" s="8"/>
      <c r="L78" s="36"/>
      <c r="M78" s="8"/>
      <c r="N78" s="33" t="s">
        <v>1362</v>
      </c>
      <c r="O78" s="19" t="s">
        <v>1247</v>
      </c>
      <c r="P78" s="16">
        <v>3393</v>
      </c>
      <c r="Q78" s="17">
        <f>SUM(P78/P84)</f>
        <v>5.7454914909829818E-2</v>
      </c>
      <c r="R78" s="14"/>
    </row>
    <row r="79" spans="1:19" s="2" customFormat="1" ht="16.5" customHeight="1" thickBot="1">
      <c r="A79" s="6" t="s">
        <v>2270</v>
      </c>
      <c r="B79" s="7" t="s">
        <v>1261</v>
      </c>
      <c r="C79" s="8">
        <v>5916</v>
      </c>
      <c r="D79" s="8">
        <v>6252</v>
      </c>
      <c r="E79" s="8">
        <v>6440</v>
      </c>
      <c r="F79" s="8">
        <v>6449</v>
      </c>
      <c r="G79" s="8">
        <v>6449</v>
      </c>
      <c r="H79" s="8">
        <v>6455</v>
      </c>
      <c r="I79" s="36">
        <v>8181</v>
      </c>
      <c r="J79" s="8"/>
      <c r="K79" s="8"/>
      <c r="L79" s="36"/>
      <c r="M79" s="36"/>
      <c r="N79" s="33" t="s">
        <v>1280</v>
      </c>
      <c r="O79" s="18" t="s">
        <v>2206</v>
      </c>
      <c r="P79" s="16">
        <f>(C80+C81+C83+C86)</f>
        <v>18371</v>
      </c>
      <c r="Q79" s="17">
        <f>SUM(P79/P84)</f>
        <v>0.31108288883244434</v>
      </c>
      <c r="R79" s="14">
        <v>2</v>
      </c>
    </row>
    <row r="80" spans="1:19" s="2" customFormat="1" ht="16.5" customHeight="1" thickBot="1">
      <c r="A80" s="6" t="s">
        <v>2271</v>
      </c>
      <c r="B80" s="9" t="s">
        <v>2206</v>
      </c>
      <c r="C80" s="8">
        <v>5802</v>
      </c>
      <c r="D80" s="8">
        <v>5808</v>
      </c>
      <c r="E80" s="8">
        <v>5809</v>
      </c>
      <c r="F80" s="8">
        <v>5903</v>
      </c>
      <c r="G80" s="8">
        <v>5903</v>
      </c>
      <c r="H80" s="8">
        <v>6451</v>
      </c>
      <c r="I80" s="8">
        <v>6458</v>
      </c>
      <c r="J80" s="8">
        <v>6471</v>
      </c>
      <c r="K80" s="8">
        <v>6497</v>
      </c>
      <c r="L80" s="36">
        <v>9553</v>
      </c>
      <c r="M80" s="36"/>
      <c r="N80" s="33" t="s">
        <v>1251</v>
      </c>
      <c r="O80" s="30" t="s">
        <v>1258</v>
      </c>
      <c r="P80" s="16">
        <f>(C82+C84+C87)</f>
        <v>11349</v>
      </c>
      <c r="Q80" s="17">
        <f>SUM(P80/P84)</f>
        <v>0.19217678435356872</v>
      </c>
      <c r="R80" s="2">
        <v>2</v>
      </c>
    </row>
    <row r="81" spans="1:30" s="2" customFormat="1" ht="16.5" customHeight="1" thickBot="1">
      <c r="A81" s="6" t="s">
        <v>2268</v>
      </c>
      <c r="B81" s="9" t="s">
        <v>2206</v>
      </c>
      <c r="C81" s="8">
        <v>5220</v>
      </c>
      <c r="D81" s="8">
        <v>5227</v>
      </c>
      <c r="E81" s="8">
        <v>5227</v>
      </c>
      <c r="F81" s="8">
        <v>5441</v>
      </c>
      <c r="G81" s="8">
        <v>5441</v>
      </c>
      <c r="H81" s="36">
        <v>7593</v>
      </c>
      <c r="I81" s="8"/>
      <c r="J81" s="8"/>
      <c r="K81" s="8"/>
      <c r="L81" s="8"/>
      <c r="M81" s="36"/>
      <c r="N81" s="33" t="s">
        <v>1252</v>
      </c>
      <c r="O81" s="15" t="s">
        <v>1261</v>
      </c>
      <c r="P81" s="21">
        <f>SUM(C77:C79)</f>
        <v>20620</v>
      </c>
      <c r="Q81" s="17">
        <f>SUM(P81/P84)</f>
        <v>0.34916603166539667</v>
      </c>
      <c r="R81" s="2">
        <v>3</v>
      </c>
    </row>
    <row r="82" spans="1:30" s="2" customFormat="1" ht="16.5" customHeight="1" thickBot="1">
      <c r="A82" s="6" t="s">
        <v>2036</v>
      </c>
      <c r="B82" s="28" t="s">
        <v>1258</v>
      </c>
      <c r="C82" s="8">
        <v>4075</v>
      </c>
      <c r="D82" s="8">
        <v>4081</v>
      </c>
      <c r="E82" s="8">
        <v>4082</v>
      </c>
      <c r="F82" s="8">
        <v>5366</v>
      </c>
      <c r="G82" s="8">
        <v>5366</v>
      </c>
      <c r="H82" s="8">
        <v>5533</v>
      </c>
      <c r="I82" s="8">
        <v>5543</v>
      </c>
      <c r="J82" s="8">
        <v>5548</v>
      </c>
      <c r="K82" s="8">
        <v>5552</v>
      </c>
      <c r="L82" s="8">
        <v>6518</v>
      </c>
      <c r="M82" s="36">
        <v>7596</v>
      </c>
      <c r="N82" s="33" t="s">
        <v>1253</v>
      </c>
      <c r="O82" s="31" t="s">
        <v>1269</v>
      </c>
      <c r="P82" s="21">
        <v>3646</v>
      </c>
      <c r="Q82" s="17">
        <f>SUM(P82/P84)</f>
        <v>6.1739056811446959E-2</v>
      </c>
    </row>
    <row r="83" spans="1:30" s="2" customFormat="1" ht="16.5" customHeight="1" thickBot="1">
      <c r="A83" s="12" t="s">
        <v>2273</v>
      </c>
      <c r="B83" s="22" t="s">
        <v>2206</v>
      </c>
      <c r="C83" s="8">
        <v>3787</v>
      </c>
      <c r="D83" s="8">
        <v>3794</v>
      </c>
      <c r="E83" s="8">
        <v>3795</v>
      </c>
      <c r="F83" s="8">
        <v>3828</v>
      </c>
      <c r="G83" s="8">
        <v>3828</v>
      </c>
      <c r="H83" s="8">
        <v>4490</v>
      </c>
      <c r="I83" s="8">
        <v>4497</v>
      </c>
      <c r="J83" s="8">
        <v>4508</v>
      </c>
      <c r="K83" s="8">
        <v>4665</v>
      </c>
      <c r="L83" s="8" t="s">
        <v>1326</v>
      </c>
      <c r="O83" s="26" t="s">
        <v>1254</v>
      </c>
      <c r="P83" s="21">
        <v>1676</v>
      </c>
      <c r="Q83" s="11">
        <f>SUM(P83/P84)</f>
        <v>2.838032342731352E-2</v>
      </c>
    </row>
    <row r="84" spans="1:30" s="2" customFormat="1" ht="16.5" customHeight="1" thickBot="1">
      <c r="A84" s="6" t="s">
        <v>1894</v>
      </c>
      <c r="B84" s="28" t="s">
        <v>1258</v>
      </c>
      <c r="C84" s="8">
        <v>3779</v>
      </c>
      <c r="D84" s="8">
        <v>3783</v>
      </c>
      <c r="E84" s="8">
        <v>3783</v>
      </c>
      <c r="F84" s="8">
        <v>5361</v>
      </c>
      <c r="G84" s="8">
        <v>5361</v>
      </c>
      <c r="H84" s="8">
        <v>5474</v>
      </c>
      <c r="I84" s="8">
        <v>5488</v>
      </c>
      <c r="J84" s="8">
        <v>5503</v>
      </c>
      <c r="K84" s="8">
        <v>5505</v>
      </c>
      <c r="L84" s="8">
        <v>5663</v>
      </c>
      <c r="M84" s="36">
        <v>5937</v>
      </c>
      <c r="N84" s="33" t="s">
        <v>2207</v>
      </c>
      <c r="P84" s="23">
        <v>59055</v>
      </c>
    </row>
    <row r="85" spans="1:30" s="2" customFormat="1" ht="16.5" customHeight="1" thickBot="1">
      <c r="A85" s="12" t="s">
        <v>2274</v>
      </c>
      <c r="B85" s="32" t="s">
        <v>1269</v>
      </c>
      <c r="C85" s="8">
        <v>3646</v>
      </c>
      <c r="D85" s="8">
        <v>3999</v>
      </c>
      <c r="E85" s="8">
        <v>4027</v>
      </c>
      <c r="F85" s="8">
        <v>4047</v>
      </c>
      <c r="G85" s="8">
        <v>4047</v>
      </c>
      <c r="H85" s="8">
        <v>4148</v>
      </c>
      <c r="I85" s="8">
        <v>4346</v>
      </c>
      <c r="J85" s="8">
        <v>4707</v>
      </c>
      <c r="K85" s="8">
        <v>4709</v>
      </c>
      <c r="L85" s="8">
        <v>4878</v>
      </c>
      <c r="M85" s="8">
        <v>5101</v>
      </c>
      <c r="N85" s="33"/>
    </row>
    <row r="86" spans="1:30" s="2" customFormat="1" ht="16.5" customHeight="1" thickBot="1">
      <c r="A86" s="12" t="s">
        <v>2272</v>
      </c>
      <c r="B86" s="22" t="s">
        <v>2206</v>
      </c>
      <c r="C86" s="8">
        <v>3562</v>
      </c>
      <c r="D86" s="8">
        <v>3567</v>
      </c>
      <c r="E86" s="8">
        <v>3568</v>
      </c>
      <c r="F86" s="8">
        <v>3798</v>
      </c>
      <c r="G86" s="8">
        <v>3798</v>
      </c>
      <c r="H86" s="8" t="s">
        <v>1326</v>
      </c>
      <c r="M86" s="17"/>
    </row>
    <row r="87" spans="1:30" s="2" customFormat="1" ht="16.5" customHeight="1" thickBot="1">
      <c r="A87" s="12" t="s">
        <v>2269</v>
      </c>
      <c r="B87" s="27" t="s">
        <v>1258</v>
      </c>
      <c r="C87" s="8">
        <v>3495</v>
      </c>
      <c r="D87" s="8">
        <v>3507</v>
      </c>
      <c r="E87" s="8">
        <v>3508</v>
      </c>
      <c r="F87" s="43" t="s">
        <v>1326</v>
      </c>
      <c r="M87" s="17"/>
    </row>
    <row r="88" spans="1:30" s="2" customFormat="1" ht="16.5" customHeight="1" thickBot="1">
      <c r="A88" s="12" t="s">
        <v>2266</v>
      </c>
      <c r="B88" s="13" t="s">
        <v>1247</v>
      </c>
      <c r="C88" s="8">
        <v>3393</v>
      </c>
      <c r="D88" s="8">
        <v>3772</v>
      </c>
      <c r="E88" s="8">
        <v>3795</v>
      </c>
      <c r="F88" s="8">
        <v>3805</v>
      </c>
      <c r="G88" s="8">
        <v>3805</v>
      </c>
      <c r="H88" s="8">
        <v>3806</v>
      </c>
      <c r="I88" s="8" t="s">
        <v>1326</v>
      </c>
    </row>
    <row r="89" spans="1:30" s="2" customFormat="1" ht="16.5" customHeight="1" thickBot="1">
      <c r="A89" s="12" t="s">
        <v>2275</v>
      </c>
      <c r="B89" s="37" t="s">
        <v>1286</v>
      </c>
      <c r="C89" s="8">
        <v>1676</v>
      </c>
      <c r="D89" s="43" t="s">
        <v>1326</v>
      </c>
      <c r="G89" s="17"/>
      <c r="M89" s="21"/>
    </row>
    <row r="90" spans="1:30" s="2" customFormat="1" ht="12" customHeight="1">
      <c r="A90" s="1"/>
    </row>
    <row r="91" spans="1:30" s="2" customFormat="1" ht="16.5" customHeight="1">
      <c r="A91" s="1" t="s">
        <v>2211</v>
      </c>
    </row>
    <row r="92" spans="1:30" s="2" customFormat="1" ht="9.75" customHeight="1" thickBot="1">
      <c r="A92" s="3"/>
    </row>
    <row r="93" spans="1:30" s="2" customFormat="1" ht="16.5" customHeight="1" thickBot="1">
      <c r="A93" s="4" t="s">
        <v>1244</v>
      </c>
      <c r="B93" s="5" t="s">
        <v>1245</v>
      </c>
      <c r="C93" s="5" t="s">
        <v>1246</v>
      </c>
      <c r="D93" s="5">
        <v>2</v>
      </c>
      <c r="E93" s="5">
        <v>3</v>
      </c>
      <c r="F93" s="5">
        <v>4</v>
      </c>
      <c r="G93" s="5">
        <v>5</v>
      </c>
      <c r="H93" s="5">
        <v>6</v>
      </c>
      <c r="I93" s="5">
        <v>7</v>
      </c>
      <c r="J93" s="5">
        <v>8</v>
      </c>
      <c r="K93" s="5">
        <v>9</v>
      </c>
      <c r="L93" s="5">
        <v>10</v>
      </c>
      <c r="M93" s="5">
        <v>11</v>
      </c>
      <c r="N93" s="5">
        <v>12</v>
      </c>
      <c r="O93" s="5">
        <v>13</v>
      </c>
      <c r="P93" s="5">
        <v>14</v>
      </c>
      <c r="Q93" s="5">
        <v>15</v>
      </c>
      <c r="R93" s="5">
        <v>16</v>
      </c>
      <c r="S93" s="5">
        <v>17</v>
      </c>
      <c r="T93" s="5">
        <v>18</v>
      </c>
      <c r="U93" s="5">
        <v>19</v>
      </c>
      <c r="V93" s="5">
        <v>20</v>
      </c>
      <c r="W93" s="5">
        <v>21</v>
      </c>
      <c r="X93" s="5">
        <v>22</v>
      </c>
      <c r="Y93" s="5">
        <v>23</v>
      </c>
      <c r="Z93" s="5"/>
      <c r="AA93" s="10" t="s">
        <v>1413</v>
      </c>
      <c r="AB93" s="11">
        <f>(68519/131734)</f>
        <v>0.5201314770674238</v>
      </c>
    </row>
    <row r="94" spans="1:30" s="2" customFormat="1" ht="16.5" customHeight="1" thickBot="1">
      <c r="A94" s="6" t="s">
        <v>2276</v>
      </c>
      <c r="B94" s="9" t="s">
        <v>2206</v>
      </c>
      <c r="C94" s="36">
        <v>19978</v>
      </c>
      <c r="D94" s="8"/>
      <c r="E94" s="8"/>
      <c r="F94" s="8"/>
      <c r="G94" s="8"/>
      <c r="H94" s="8"/>
      <c r="I94" s="36"/>
      <c r="J94" s="8"/>
      <c r="K94" s="8"/>
      <c r="L94" s="36"/>
      <c r="M94" s="36"/>
      <c r="N94" s="8"/>
      <c r="O94" s="8"/>
      <c r="P94" s="8"/>
      <c r="Q94" s="8"/>
      <c r="R94" s="8"/>
      <c r="S94" s="36"/>
      <c r="T94" s="8"/>
      <c r="U94" s="8"/>
      <c r="V94" s="36"/>
      <c r="W94" s="8"/>
      <c r="X94" s="8"/>
      <c r="Y94" s="36"/>
      <c r="Z94" s="33" t="s">
        <v>1271</v>
      </c>
      <c r="AA94" s="14"/>
      <c r="AB94" s="10" t="s">
        <v>1248</v>
      </c>
      <c r="AC94" s="10" t="s">
        <v>1249</v>
      </c>
      <c r="AD94" s="10" t="s">
        <v>1250</v>
      </c>
    </row>
    <row r="95" spans="1:30" s="2" customFormat="1" ht="16.5" customHeight="1" thickBot="1">
      <c r="A95" s="6" t="s">
        <v>2280</v>
      </c>
      <c r="B95" s="28" t="s">
        <v>1258</v>
      </c>
      <c r="C95" s="36">
        <v>7489</v>
      </c>
      <c r="D95" s="8"/>
      <c r="E95" s="8"/>
      <c r="F95" s="8"/>
      <c r="G95" s="8"/>
      <c r="H95" s="36"/>
      <c r="I95" s="8"/>
      <c r="J95" s="36"/>
      <c r="K95" s="36"/>
      <c r="L95" s="8"/>
      <c r="M95" s="8"/>
      <c r="N95" s="8"/>
      <c r="O95" s="8"/>
      <c r="P95" s="8"/>
      <c r="Q95" s="8"/>
      <c r="R95" s="36"/>
      <c r="S95" s="8"/>
      <c r="T95" s="36"/>
      <c r="U95" s="36"/>
      <c r="V95" s="8"/>
      <c r="W95" s="36"/>
      <c r="X95" s="36"/>
      <c r="Y95" s="8"/>
      <c r="Z95" s="33" t="s">
        <v>1362</v>
      </c>
      <c r="AA95" s="18" t="s">
        <v>2206</v>
      </c>
      <c r="AB95" s="16">
        <f>(C94+C97+C106+C110+C111+C116)</f>
        <v>27327</v>
      </c>
      <c r="AC95" s="17">
        <f>SUM(AB95/AB100)</f>
        <v>0.41128486070767423</v>
      </c>
      <c r="AD95" s="14">
        <v>4</v>
      </c>
    </row>
    <row r="96" spans="1:30" s="2" customFormat="1" ht="16.5" customHeight="1" thickBot="1">
      <c r="A96" s="6" t="s">
        <v>2062</v>
      </c>
      <c r="B96" s="28" t="s">
        <v>1258</v>
      </c>
      <c r="C96" s="8">
        <v>5394</v>
      </c>
      <c r="D96" s="36">
        <v>6170</v>
      </c>
      <c r="E96" s="8"/>
      <c r="F96" s="8"/>
      <c r="G96" s="8"/>
      <c r="H96" s="8"/>
      <c r="I96" s="36"/>
      <c r="J96" s="8"/>
      <c r="K96" s="8"/>
      <c r="L96" s="36"/>
      <c r="M96" s="8"/>
      <c r="N96" s="8"/>
      <c r="O96" s="8"/>
      <c r="P96" s="8"/>
      <c r="Q96" s="8"/>
      <c r="R96" s="8"/>
      <c r="S96" s="36"/>
      <c r="T96" s="8"/>
      <c r="U96" s="8"/>
      <c r="V96" s="36"/>
      <c r="W96" s="8"/>
      <c r="X96" s="8"/>
      <c r="Y96" s="36"/>
      <c r="Z96" s="33" t="s">
        <v>1280</v>
      </c>
      <c r="AA96" s="30" t="s">
        <v>1258</v>
      </c>
      <c r="AB96" s="16">
        <f>(C95+C96+C101+C107+C108)</f>
        <v>18044</v>
      </c>
      <c r="AC96" s="17">
        <f>SUM(AB96/AB100)</f>
        <v>0.27157112111132853</v>
      </c>
      <c r="AD96" s="2">
        <v>3</v>
      </c>
    </row>
    <row r="97" spans="1:30" s="2" customFormat="1" ht="16.5" customHeight="1" thickBot="1">
      <c r="A97" s="6" t="s">
        <v>2153</v>
      </c>
      <c r="B97" s="9" t="s">
        <v>2206</v>
      </c>
      <c r="C97" s="8">
        <v>3302</v>
      </c>
      <c r="D97" s="36">
        <v>6201</v>
      </c>
      <c r="E97" s="8"/>
      <c r="F97" s="8"/>
      <c r="G97" s="8"/>
      <c r="H97" s="8"/>
      <c r="I97" s="8"/>
      <c r="J97" s="36"/>
      <c r="K97" s="8"/>
      <c r="L97" s="8"/>
      <c r="M97" s="8"/>
      <c r="N97" s="8"/>
      <c r="O97" s="8"/>
      <c r="P97" s="8"/>
      <c r="Q97" s="8"/>
      <c r="R97" s="8"/>
      <c r="S97" s="8"/>
      <c r="T97" s="36"/>
      <c r="U97" s="8"/>
      <c r="V97" s="8"/>
      <c r="W97" s="36"/>
      <c r="X97" s="8"/>
      <c r="Y97" s="8"/>
      <c r="Z97" s="33" t="s">
        <v>1252</v>
      </c>
      <c r="AA97" s="15" t="s">
        <v>1261</v>
      </c>
      <c r="AB97" s="21">
        <f>(C99+C103+C104)</f>
        <v>6954</v>
      </c>
      <c r="AC97" s="17">
        <f>SUM(AB97/AB100)</f>
        <v>0.10466113811838719</v>
      </c>
      <c r="AD97" s="2">
        <v>1</v>
      </c>
    </row>
    <row r="98" spans="1:30" s="2" customFormat="1" ht="16.5" customHeight="1" thickBot="1">
      <c r="A98" s="6" t="s">
        <v>2059</v>
      </c>
      <c r="B98" s="45" t="s">
        <v>1269</v>
      </c>
      <c r="C98" s="8">
        <v>2916</v>
      </c>
      <c r="D98" s="8">
        <v>2968</v>
      </c>
      <c r="E98" s="8">
        <v>2975</v>
      </c>
      <c r="F98" s="8">
        <v>2976</v>
      </c>
      <c r="G98" s="8">
        <v>2977</v>
      </c>
      <c r="H98" s="8">
        <v>2979</v>
      </c>
      <c r="I98" s="8">
        <v>2990</v>
      </c>
      <c r="J98" s="8">
        <v>2992</v>
      </c>
      <c r="K98" s="8">
        <v>3034</v>
      </c>
      <c r="L98" s="8">
        <v>3044</v>
      </c>
      <c r="M98" s="8">
        <v>3090</v>
      </c>
      <c r="N98" s="8">
        <v>3139</v>
      </c>
      <c r="O98" s="8">
        <v>3140</v>
      </c>
      <c r="P98" s="8">
        <v>3417</v>
      </c>
      <c r="Q98" s="8">
        <v>3422</v>
      </c>
      <c r="R98" s="8">
        <v>4164</v>
      </c>
      <c r="S98" s="8">
        <v>4240</v>
      </c>
      <c r="T98" s="8">
        <v>4274</v>
      </c>
      <c r="U98" s="8">
        <v>4284</v>
      </c>
      <c r="V98" s="8">
        <v>4286</v>
      </c>
      <c r="W98" s="8">
        <v>4289</v>
      </c>
      <c r="X98" s="8">
        <v>4750</v>
      </c>
      <c r="Y98" s="36">
        <v>5806</v>
      </c>
      <c r="Z98" s="33" t="s">
        <v>2208</v>
      </c>
      <c r="AA98" s="31" t="s">
        <v>1269</v>
      </c>
      <c r="AB98" s="21">
        <f>(C98+C100+C102)</f>
        <v>7683</v>
      </c>
      <c r="AC98" s="17">
        <f>SUM(AB98/AB100)</f>
        <v>0.11563294854235961</v>
      </c>
      <c r="AD98" s="2">
        <v>2</v>
      </c>
    </row>
    <row r="99" spans="1:30" s="2" customFormat="1" ht="16.5" customHeight="1" thickBot="1">
      <c r="A99" s="12" t="s">
        <v>2282</v>
      </c>
      <c r="B99" s="20" t="s">
        <v>1261</v>
      </c>
      <c r="C99" s="8">
        <v>2802</v>
      </c>
      <c r="D99" s="8">
        <v>2806</v>
      </c>
      <c r="E99" s="8">
        <v>2808</v>
      </c>
      <c r="F99" s="8">
        <v>2808</v>
      </c>
      <c r="G99" s="8">
        <v>2809</v>
      </c>
      <c r="H99" s="8">
        <v>2809</v>
      </c>
      <c r="I99" s="8">
        <v>2830</v>
      </c>
      <c r="J99" s="8">
        <v>2830</v>
      </c>
      <c r="K99" s="8">
        <v>2850</v>
      </c>
      <c r="L99" s="8">
        <v>2851</v>
      </c>
      <c r="M99" s="8">
        <v>2887</v>
      </c>
      <c r="N99" s="8">
        <v>3083</v>
      </c>
      <c r="O99" s="8">
        <v>3083</v>
      </c>
      <c r="P99" s="8">
        <v>3297</v>
      </c>
      <c r="Q99" s="8">
        <v>3299</v>
      </c>
      <c r="R99" s="8">
        <v>3318</v>
      </c>
      <c r="S99" s="8">
        <v>4174</v>
      </c>
      <c r="T99" s="8">
        <v>4178</v>
      </c>
      <c r="U99" s="8">
        <v>4189</v>
      </c>
      <c r="V99" s="8">
        <v>4190</v>
      </c>
      <c r="W99" s="8">
        <v>4191</v>
      </c>
      <c r="X99" s="8" t="s">
        <v>1326</v>
      </c>
      <c r="AA99" s="26" t="s">
        <v>1254</v>
      </c>
      <c r="AB99" s="21">
        <f>(C105+C109+C112+C113+C114+C115+C117+C118+C119)</f>
        <v>6435</v>
      </c>
      <c r="AC99" s="11">
        <f>SUM(AB99/AB100)</f>
        <v>9.684993152025044E-2</v>
      </c>
    </row>
    <row r="100" spans="1:30" s="2" customFormat="1" ht="16.5" customHeight="1" thickBot="1">
      <c r="A100" s="6" t="s">
        <v>2288</v>
      </c>
      <c r="B100" s="45" t="s">
        <v>1269</v>
      </c>
      <c r="C100" s="8">
        <v>2660</v>
      </c>
      <c r="D100" s="8">
        <v>2774</v>
      </c>
      <c r="E100" s="8">
        <v>2777</v>
      </c>
      <c r="F100" s="8">
        <v>2778</v>
      </c>
      <c r="G100" s="8">
        <v>2779</v>
      </c>
      <c r="H100" s="8">
        <v>2779</v>
      </c>
      <c r="I100" s="8">
        <v>2785</v>
      </c>
      <c r="J100" s="8">
        <v>2793</v>
      </c>
      <c r="K100" s="8">
        <v>2890</v>
      </c>
      <c r="L100" s="8">
        <v>2916</v>
      </c>
      <c r="M100" s="8">
        <v>2951</v>
      </c>
      <c r="N100" s="8">
        <v>2970</v>
      </c>
      <c r="O100" s="8">
        <v>2976</v>
      </c>
      <c r="P100" s="8">
        <v>3084</v>
      </c>
      <c r="Q100" s="8">
        <v>3102</v>
      </c>
      <c r="R100" s="8">
        <v>4426</v>
      </c>
      <c r="S100" s="8">
        <v>4462</v>
      </c>
      <c r="T100" s="8">
        <v>4586</v>
      </c>
      <c r="U100" s="8">
        <v>4613</v>
      </c>
      <c r="V100" s="8">
        <v>4617</v>
      </c>
      <c r="W100" s="8">
        <v>4626</v>
      </c>
      <c r="X100" s="8">
        <v>4751</v>
      </c>
      <c r="Y100" s="36">
        <v>5100</v>
      </c>
      <c r="Z100" s="33" t="s">
        <v>2210</v>
      </c>
      <c r="AB100" s="23">
        <v>66443</v>
      </c>
    </row>
    <row r="101" spans="1:30" s="2" customFormat="1" ht="16.5" customHeight="1" thickBot="1">
      <c r="A101" s="6" t="s">
        <v>2284</v>
      </c>
      <c r="B101" s="28" t="s">
        <v>1258</v>
      </c>
      <c r="C101" s="8">
        <v>2646</v>
      </c>
      <c r="D101" s="8">
        <v>3035</v>
      </c>
      <c r="E101" s="8">
        <v>3164</v>
      </c>
      <c r="F101" s="8">
        <v>3165</v>
      </c>
      <c r="G101" s="8">
        <v>3171</v>
      </c>
      <c r="H101" s="8">
        <v>3172</v>
      </c>
      <c r="I101" s="8">
        <v>3175</v>
      </c>
      <c r="J101" s="8">
        <v>3192</v>
      </c>
      <c r="K101" s="8">
        <v>3194</v>
      </c>
      <c r="L101" s="8">
        <v>3254</v>
      </c>
      <c r="M101" s="8">
        <v>3256</v>
      </c>
      <c r="N101" s="8">
        <v>3257</v>
      </c>
      <c r="O101" s="8">
        <v>3793</v>
      </c>
      <c r="P101" s="8">
        <v>3803</v>
      </c>
      <c r="Q101" s="8">
        <v>3845</v>
      </c>
      <c r="R101" s="8">
        <v>3868</v>
      </c>
      <c r="S101" s="8">
        <v>3872</v>
      </c>
      <c r="T101" s="8">
        <v>3999</v>
      </c>
      <c r="U101" s="36">
        <v>6419</v>
      </c>
      <c r="V101" s="8"/>
      <c r="W101" s="8"/>
      <c r="X101" s="8"/>
      <c r="Y101" s="8"/>
      <c r="Z101" s="33" t="s">
        <v>1253</v>
      </c>
    </row>
    <row r="102" spans="1:30" s="2" customFormat="1" ht="16.5" customHeight="1" thickBot="1">
      <c r="A102" s="12" t="s">
        <v>2292</v>
      </c>
      <c r="B102" s="32" t="s">
        <v>1269</v>
      </c>
      <c r="C102" s="8">
        <v>2107</v>
      </c>
      <c r="D102" s="8">
        <v>2214</v>
      </c>
      <c r="E102" s="8">
        <v>2216</v>
      </c>
      <c r="F102" s="8">
        <v>2217</v>
      </c>
      <c r="G102" s="8">
        <v>2217</v>
      </c>
      <c r="H102" s="8">
        <v>2217</v>
      </c>
      <c r="I102" s="8">
        <v>2217</v>
      </c>
      <c r="J102" s="8">
        <v>2221</v>
      </c>
      <c r="K102" s="8">
        <v>2290</v>
      </c>
      <c r="L102" s="8">
        <v>2326</v>
      </c>
      <c r="M102" s="8">
        <v>2336</v>
      </c>
      <c r="N102" s="8">
        <v>2352</v>
      </c>
      <c r="O102" s="8">
        <v>2367</v>
      </c>
      <c r="P102" s="8">
        <v>2523</v>
      </c>
      <c r="Q102" s="8">
        <v>2546</v>
      </c>
      <c r="R102" s="8" t="s">
        <v>1326</v>
      </c>
    </row>
    <row r="103" spans="1:30" s="2" customFormat="1" ht="16.5" customHeight="1" thickBot="1">
      <c r="A103" s="12" t="s">
        <v>2294</v>
      </c>
      <c r="B103" s="20" t="s">
        <v>1261</v>
      </c>
      <c r="C103" s="8">
        <v>2081</v>
      </c>
      <c r="D103" s="8">
        <v>2083</v>
      </c>
      <c r="E103" s="8">
        <v>2083</v>
      </c>
      <c r="F103" s="8">
        <v>2083</v>
      </c>
      <c r="G103" s="8">
        <v>2083</v>
      </c>
      <c r="H103" s="8">
        <v>2084</v>
      </c>
      <c r="I103" s="8">
        <v>2097</v>
      </c>
      <c r="J103" s="8">
        <v>2097</v>
      </c>
      <c r="K103" s="8">
        <v>2111</v>
      </c>
      <c r="L103" s="8">
        <v>2115</v>
      </c>
      <c r="M103" s="8">
        <v>2136</v>
      </c>
      <c r="N103" s="8">
        <v>2438</v>
      </c>
      <c r="O103" s="8">
        <v>2441</v>
      </c>
      <c r="P103" s="8">
        <v>2633</v>
      </c>
      <c r="Q103" s="8">
        <v>2633</v>
      </c>
      <c r="R103" s="8">
        <v>2672</v>
      </c>
      <c r="S103" s="8" t="s">
        <v>1326</v>
      </c>
    </row>
    <row r="104" spans="1:30" s="2" customFormat="1" ht="16.5" customHeight="1" thickBot="1">
      <c r="A104" s="6" t="s">
        <v>2281</v>
      </c>
      <c r="B104" s="7" t="s">
        <v>1261</v>
      </c>
      <c r="C104" s="8">
        <v>2071</v>
      </c>
      <c r="D104" s="43">
        <v>2073</v>
      </c>
      <c r="E104" s="8">
        <v>2073</v>
      </c>
      <c r="F104" s="8">
        <v>2073</v>
      </c>
      <c r="G104" s="8">
        <v>2073</v>
      </c>
      <c r="H104" s="8">
        <v>2074</v>
      </c>
      <c r="I104" s="8">
        <v>2091</v>
      </c>
      <c r="J104" s="8">
        <v>2091</v>
      </c>
      <c r="K104" s="8">
        <v>2115</v>
      </c>
      <c r="L104" s="8">
        <v>2115</v>
      </c>
      <c r="M104" s="8">
        <v>2157</v>
      </c>
      <c r="N104" s="8">
        <v>2652</v>
      </c>
      <c r="O104" s="8">
        <v>2653</v>
      </c>
      <c r="P104" s="8">
        <v>2853</v>
      </c>
      <c r="Q104" s="8">
        <v>2853</v>
      </c>
      <c r="R104" s="8">
        <v>2873</v>
      </c>
      <c r="S104" s="8">
        <v>4397</v>
      </c>
      <c r="T104" s="8">
        <v>4400</v>
      </c>
      <c r="U104" s="8">
        <v>4402</v>
      </c>
      <c r="V104" s="8">
        <v>4402</v>
      </c>
      <c r="W104" s="8">
        <v>4402</v>
      </c>
      <c r="X104" s="36">
        <v>7460</v>
      </c>
      <c r="Y104" s="8"/>
      <c r="Z104" s="33" t="s">
        <v>2207</v>
      </c>
    </row>
    <row r="105" spans="1:30" s="2" customFormat="1" ht="16.5" customHeight="1" thickBot="1">
      <c r="A105" s="12" t="s">
        <v>2299</v>
      </c>
      <c r="B105" s="38" t="s">
        <v>1423</v>
      </c>
      <c r="C105" s="8">
        <v>1797</v>
      </c>
      <c r="D105" s="8">
        <v>2237</v>
      </c>
      <c r="E105" s="8">
        <v>2284</v>
      </c>
      <c r="F105" s="8">
        <v>2287</v>
      </c>
      <c r="G105" s="8">
        <v>2291</v>
      </c>
      <c r="H105" s="8">
        <v>2301</v>
      </c>
      <c r="I105" s="8">
        <v>2302</v>
      </c>
      <c r="J105" s="8">
        <v>2345</v>
      </c>
      <c r="K105" s="8">
        <v>2382</v>
      </c>
      <c r="L105" s="8">
        <v>2543</v>
      </c>
      <c r="M105" s="8">
        <v>2545</v>
      </c>
      <c r="N105" s="8">
        <v>2545</v>
      </c>
      <c r="O105" s="8">
        <v>2622</v>
      </c>
      <c r="P105" s="8">
        <v>2632</v>
      </c>
      <c r="Q105" s="8">
        <v>2850</v>
      </c>
      <c r="R105" s="8">
        <v>2891</v>
      </c>
      <c r="S105" s="8">
        <v>2891</v>
      </c>
      <c r="T105" s="8" t="s">
        <v>1326</v>
      </c>
    </row>
    <row r="106" spans="1:30" s="2" customFormat="1" ht="16.5" customHeight="1" thickBot="1">
      <c r="A106" s="6" t="s">
        <v>2285</v>
      </c>
      <c r="B106" s="9" t="s">
        <v>2206</v>
      </c>
      <c r="C106" s="8">
        <v>1612</v>
      </c>
      <c r="D106" s="8">
        <v>4243</v>
      </c>
      <c r="E106" s="8">
        <v>4283</v>
      </c>
      <c r="F106" s="8">
        <v>4306</v>
      </c>
      <c r="G106" s="8">
        <v>4319</v>
      </c>
      <c r="H106" s="8">
        <v>4325</v>
      </c>
      <c r="I106" s="8">
        <v>4327</v>
      </c>
      <c r="J106" s="8">
        <v>4376</v>
      </c>
      <c r="K106" s="8">
        <v>4408</v>
      </c>
      <c r="L106" s="8">
        <v>4559</v>
      </c>
      <c r="M106" s="8">
        <v>4563</v>
      </c>
      <c r="N106" s="8">
        <v>4563</v>
      </c>
      <c r="O106" s="8">
        <v>4642</v>
      </c>
      <c r="P106" s="8">
        <v>4654</v>
      </c>
      <c r="Q106" s="8">
        <v>5437</v>
      </c>
      <c r="R106" s="8">
        <v>5500</v>
      </c>
      <c r="S106" s="8">
        <v>5501</v>
      </c>
      <c r="T106" s="36">
        <v>6249</v>
      </c>
      <c r="U106" s="8"/>
      <c r="V106" s="8"/>
      <c r="W106" s="8"/>
      <c r="X106" s="8"/>
      <c r="Y106" s="8"/>
      <c r="Z106" s="33" t="s">
        <v>1251</v>
      </c>
    </row>
    <row r="107" spans="1:30" s="2" customFormat="1" ht="16.5" customHeight="1" thickBot="1">
      <c r="A107" s="12" t="s">
        <v>2286</v>
      </c>
      <c r="B107" s="27" t="s">
        <v>1258</v>
      </c>
      <c r="C107" s="8">
        <v>1265</v>
      </c>
      <c r="D107" s="8">
        <v>1364</v>
      </c>
      <c r="E107" s="8">
        <v>2142</v>
      </c>
      <c r="F107" s="8">
        <v>2143</v>
      </c>
      <c r="G107" s="8">
        <v>2157</v>
      </c>
      <c r="H107" s="8">
        <v>2165</v>
      </c>
      <c r="I107" s="8">
        <v>2165</v>
      </c>
      <c r="J107" s="8">
        <v>2220</v>
      </c>
      <c r="K107" s="8">
        <v>2242</v>
      </c>
      <c r="L107" s="8">
        <v>2325</v>
      </c>
      <c r="M107" s="8">
        <v>2327</v>
      </c>
      <c r="N107" s="8">
        <v>2328</v>
      </c>
      <c r="O107" s="8">
        <v>3044</v>
      </c>
      <c r="P107" s="8">
        <v>3051</v>
      </c>
      <c r="Q107" s="8">
        <v>3120</v>
      </c>
      <c r="R107" s="8">
        <v>3141</v>
      </c>
      <c r="S107" s="8">
        <v>3141</v>
      </c>
      <c r="T107" s="8">
        <v>3468</v>
      </c>
      <c r="U107" s="8" t="s">
        <v>1326</v>
      </c>
    </row>
    <row r="108" spans="1:30" s="2" customFormat="1" ht="16.5" customHeight="1" thickBot="1">
      <c r="A108" s="12" t="s">
        <v>2295</v>
      </c>
      <c r="B108" s="27" t="s">
        <v>1258</v>
      </c>
      <c r="C108" s="8">
        <v>1250</v>
      </c>
      <c r="D108" s="8">
        <v>1377</v>
      </c>
      <c r="E108" s="8">
        <v>1558</v>
      </c>
      <c r="F108" s="8">
        <v>1558</v>
      </c>
      <c r="G108" s="8">
        <v>1562</v>
      </c>
      <c r="H108" s="8">
        <v>1569</v>
      </c>
      <c r="I108" s="8">
        <v>1569</v>
      </c>
      <c r="J108" s="8">
        <v>1597</v>
      </c>
      <c r="K108" s="8">
        <v>1609</v>
      </c>
      <c r="L108" s="8">
        <v>1672</v>
      </c>
      <c r="M108" s="8">
        <v>1673</v>
      </c>
      <c r="N108" s="8">
        <v>1674</v>
      </c>
      <c r="O108" s="8" t="s">
        <v>1326</v>
      </c>
    </row>
    <row r="109" spans="1:30" s="2" customFormat="1" ht="16.5" customHeight="1" thickBot="1">
      <c r="A109" s="12" t="s">
        <v>2293</v>
      </c>
      <c r="B109" s="38" t="s">
        <v>2278</v>
      </c>
      <c r="C109" s="8">
        <v>1180</v>
      </c>
      <c r="D109" s="8">
        <v>1182</v>
      </c>
      <c r="E109" s="8">
        <v>1182</v>
      </c>
      <c r="F109" s="8">
        <v>1182</v>
      </c>
      <c r="G109" s="8">
        <v>1182</v>
      </c>
      <c r="H109" s="8">
        <v>1182</v>
      </c>
      <c r="I109" s="8">
        <v>1189</v>
      </c>
      <c r="J109" s="8">
        <v>1189</v>
      </c>
      <c r="K109" s="8">
        <v>1203</v>
      </c>
      <c r="L109" s="8">
        <v>1206</v>
      </c>
      <c r="M109" s="8">
        <v>1236</v>
      </c>
      <c r="N109" s="8" t="s">
        <v>1326</v>
      </c>
    </row>
    <row r="110" spans="1:30" s="2" customFormat="1" ht="16.5" customHeight="1" thickBot="1">
      <c r="A110" s="6" t="s">
        <v>2287</v>
      </c>
      <c r="B110" s="9" t="s">
        <v>2206</v>
      </c>
      <c r="C110" s="8">
        <v>979</v>
      </c>
      <c r="D110" s="8">
        <v>2906</v>
      </c>
      <c r="E110" s="8">
        <v>3039</v>
      </c>
      <c r="F110" s="8">
        <v>3116</v>
      </c>
      <c r="G110" s="8">
        <v>3166</v>
      </c>
      <c r="H110" s="8">
        <v>3198</v>
      </c>
      <c r="I110" s="8">
        <v>3200</v>
      </c>
      <c r="J110" s="8">
        <v>3283</v>
      </c>
      <c r="K110" s="8">
        <v>3331</v>
      </c>
      <c r="L110" s="8">
        <v>3413</v>
      </c>
      <c r="M110" s="8">
        <v>3413</v>
      </c>
      <c r="N110" s="8">
        <v>3417</v>
      </c>
      <c r="O110" s="8">
        <v>3495</v>
      </c>
      <c r="P110" s="8">
        <v>3506</v>
      </c>
      <c r="Q110" s="8">
        <v>4049</v>
      </c>
      <c r="R110" s="8">
        <v>4128</v>
      </c>
      <c r="S110" s="8">
        <v>4129</v>
      </c>
      <c r="T110" s="8">
        <v>4898</v>
      </c>
      <c r="U110" s="8">
        <v>5269</v>
      </c>
      <c r="V110" s="8">
        <v>5541</v>
      </c>
      <c r="W110" s="8">
        <v>5678</v>
      </c>
      <c r="X110" s="8">
        <v>5683</v>
      </c>
      <c r="Y110" s="36">
        <v>5683</v>
      </c>
      <c r="Z110" s="33" t="s">
        <v>2209</v>
      </c>
    </row>
    <row r="111" spans="1:30" s="2" customFormat="1" ht="16.5" customHeight="1" thickBot="1">
      <c r="A111" s="12" t="s">
        <v>2289</v>
      </c>
      <c r="B111" s="22" t="s">
        <v>2206</v>
      </c>
      <c r="C111" s="8">
        <v>930</v>
      </c>
      <c r="D111" s="43">
        <v>1827</v>
      </c>
      <c r="E111" s="43">
        <v>1844</v>
      </c>
      <c r="F111" s="8">
        <v>1852</v>
      </c>
      <c r="G111" s="8">
        <v>1859</v>
      </c>
      <c r="H111" s="8">
        <v>1870</v>
      </c>
      <c r="I111" s="8">
        <v>1871</v>
      </c>
      <c r="J111" s="8">
        <v>1957</v>
      </c>
      <c r="K111" s="8">
        <v>1974</v>
      </c>
      <c r="L111" s="8">
        <v>2021</v>
      </c>
      <c r="M111" s="8">
        <v>2023</v>
      </c>
      <c r="N111" s="8">
        <v>2024</v>
      </c>
      <c r="O111" s="8">
        <v>2058</v>
      </c>
      <c r="P111" s="8">
        <v>2061</v>
      </c>
      <c r="Q111" s="8" t="s">
        <v>1326</v>
      </c>
    </row>
    <row r="112" spans="1:30" s="2" customFormat="1" ht="16.5" customHeight="1" thickBot="1">
      <c r="A112" s="12" t="s">
        <v>2283</v>
      </c>
      <c r="B112" s="37" t="s">
        <v>1286</v>
      </c>
      <c r="C112" s="8">
        <v>891</v>
      </c>
      <c r="D112" s="8">
        <v>902</v>
      </c>
      <c r="E112" s="8">
        <v>903</v>
      </c>
      <c r="F112" s="8">
        <v>903</v>
      </c>
      <c r="G112" s="8">
        <v>903</v>
      </c>
      <c r="H112" s="8">
        <v>904</v>
      </c>
      <c r="I112" s="8">
        <v>933</v>
      </c>
      <c r="J112" s="8">
        <v>935</v>
      </c>
      <c r="K112" s="8">
        <v>984</v>
      </c>
      <c r="L112" s="8">
        <v>993</v>
      </c>
      <c r="M112" s="8">
        <v>1626</v>
      </c>
      <c r="N112" s="8">
        <v>1705</v>
      </c>
      <c r="O112" s="8">
        <v>1707</v>
      </c>
      <c r="P112" s="8" t="s">
        <v>1326</v>
      </c>
    </row>
    <row r="113" spans="1:26" s="2" customFormat="1" ht="16.5" customHeight="1" thickBot="1">
      <c r="A113" s="12" t="s">
        <v>2298</v>
      </c>
      <c r="B113" s="37" t="s">
        <v>1286</v>
      </c>
      <c r="C113" s="8">
        <v>775</v>
      </c>
      <c r="D113" s="8">
        <v>779</v>
      </c>
      <c r="E113" s="8">
        <v>780</v>
      </c>
      <c r="F113" s="8">
        <v>780</v>
      </c>
      <c r="G113" s="8">
        <v>781</v>
      </c>
      <c r="H113" s="8">
        <v>781</v>
      </c>
      <c r="I113" s="8">
        <v>822</v>
      </c>
      <c r="J113" s="8">
        <v>822</v>
      </c>
      <c r="K113" s="8">
        <v>890</v>
      </c>
      <c r="L113" s="8">
        <v>906</v>
      </c>
      <c r="M113" s="8" t="s">
        <v>1326</v>
      </c>
    </row>
    <row r="114" spans="1:26" s="2" customFormat="1" ht="16.5" customHeight="1" thickBot="1">
      <c r="A114" s="12" t="s">
        <v>2291</v>
      </c>
      <c r="B114" s="38" t="s">
        <v>2277</v>
      </c>
      <c r="C114" s="8">
        <v>686</v>
      </c>
      <c r="D114" s="8">
        <v>828</v>
      </c>
      <c r="E114" s="8">
        <v>836</v>
      </c>
      <c r="F114" s="8">
        <v>836</v>
      </c>
      <c r="G114" s="8">
        <v>836</v>
      </c>
      <c r="H114" s="8">
        <v>838</v>
      </c>
      <c r="I114" s="8">
        <v>841</v>
      </c>
      <c r="J114" s="8">
        <v>856</v>
      </c>
      <c r="K114" s="8">
        <v>879</v>
      </c>
      <c r="L114" s="8" t="s">
        <v>1326</v>
      </c>
    </row>
    <row r="115" spans="1:26" s="2" customFormat="1" ht="16.5" customHeight="1" thickBot="1">
      <c r="A115" s="12" t="s">
        <v>2296</v>
      </c>
      <c r="B115" s="38" t="s">
        <v>2302</v>
      </c>
      <c r="C115" s="8">
        <v>560</v>
      </c>
      <c r="D115" s="43">
        <v>600</v>
      </c>
      <c r="E115" s="8">
        <v>604</v>
      </c>
      <c r="F115" s="8">
        <v>605</v>
      </c>
      <c r="G115" s="8">
        <v>605</v>
      </c>
      <c r="H115" s="8">
        <v>605</v>
      </c>
      <c r="I115" s="8">
        <v>651</v>
      </c>
      <c r="J115" s="8">
        <v>658</v>
      </c>
      <c r="K115" s="8" t="s">
        <v>1326</v>
      </c>
      <c r="L115" s="17"/>
    </row>
    <row r="116" spans="1:26" s="2" customFormat="1" ht="16.5" customHeight="1" thickBot="1">
      <c r="A116" s="12" t="s">
        <v>2290</v>
      </c>
      <c r="B116" s="22" t="s">
        <v>2206</v>
      </c>
      <c r="C116" s="8">
        <v>526</v>
      </c>
      <c r="D116" s="43">
        <v>3407</v>
      </c>
      <c r="E116" s="8">
        <v>3428</v>
      </c>
      <c r="F116" s="8">
        <v>3435</v>
      </c>
      <c r="G116" s="8">
        <v>3449</v>
      </c>
      <c r="H116" s="8">
        <v>3459</v>
      </c>
      <c r="I116" s="8">
        <v>3460</v>
      </c>
      <c r="J116" s="8">
        <v>3507</v>
      </c>
      <c r="K116" s="8">
        <v>3524</v>
      </c>
      <c r="L116" s="8">
        <v>3606</v>
      </c>
      <c r="M116" s="8">
        <v>3609</v>
      </c>
      <c r="N116" s="8">
        <v>3611</v>
      </c>
      <c r="O116" s="8">
        <v>3675</v>
      </c>
      <c r="P116" s="8">
        <v>3682</v>
      </c>
      <c r="Q116" s="8">
        <v>3947</v>
      </c>
      <c r="R116" s="8">
        <v>3995</v>
      </c>
      <c r="S116" s="8">
        <v>3997</v>
      </c>
      <c r="T116" s="8">
        <v>4332</v>
      </c>
      <c r="U116" s="8">
        <v>4510</v>
      </c>
      <c r="V116" s="8">
        <v>4589</v>
      </c>
      <c r="W116" s="8">
        <v>4647</v>
      </c>
      <c r="X116" s="8">
        <v>4649</v>
      </c>
      <c r="Y116" s="8">
        <v>4652</v>
      </c>
      <c r="Z116" s="33"/>
    </row>
    <row r="117" spans="1:26" s="2" customFormat="1" ht="16.5" customHeight="1" thickBot="1">
      <c r="A117" s="12" t="s">
        <v>2301</v>
      </c>
      <c r="B117" s="38" t="s">
        <v>2279</v>
      </c>
      <c r="C117" s="8">
        <v>247</v>
      </c>
      <c r="D117" s="8">
        <v>250</v>
      </c>
      <c r="E117" s="8">
        <v>250</v>
      </c>
      <c r="F117" s="8">
        <v>250</v>
      </c>
      <c r="G117" s="8">
        <v>250</v>
      </c>
      <c r="H117" s="8">
        <v>251</v>
      </c>
      <c r="I117" s="8" t="s">
        <v>1326</v>
      </c>
      <c r="L117" s="17"/>
    </row>
    <row r="118" spans="1:26" s="2" customFormat="1" ht="16.5" customHeight="1" thickBot="1">
      <c r="A118" s="12" t="s">
        <v>2300</v>
      </c>
      <c r="B118" s="83" t="s">
        <v>2230</v>
      </c>
      <c r="C118" s="8">
        <v>160</v>
      </c>
      <c r="D118" s="8">
        <v>360</v>
      </c>
      <c r="E118" s="8">
        <v>364</v>
      </c>
      <c r="F118" s="8">
        <v>365</v>
      </c>
      <c r="G118" s="8">
        <v>366</v>
      </c>
      <c r="H118" s="8">
        <v>473</v>
      </c>
      <c r="I118" s="8">
        <v>473</v>
      </c>
      <c r="J118" s="8" t="s">
        <v>1326</v>
      </c>
    </row>
    <row r="119" spans="1:26" s="2" customFormat="1" ht="16.5" customHeight="1" thickBot="1">
      <c r="A119" s="12" t="s">
        <v>2297</v>
      </c>
      <c r="B119" s="83" t="s">
        <v>2230</v>
      </c>
      <c r="C119" s="8">
        <v>139</v>
      </c>
      <c r="D119" s="8">
        <v>196</v>
      </c>
      <c r="E119" s="8">
        <v>204</v>
      </c>
      <c r="F119" s="8">
        <v>205</v>
      </c>
      <c r="G119" s="8">
        <v>208</v>
      </c>
      <c r="H119" s="8" t="s">
        <v>1326</v>
      </c>
    </row>
    <row r="120" spans="1:26" s="2" customFormat="1" ht="12" customHeight="1">
      <c r="A120" s="1"/>
      <c r="C120" s="21"/>
      <c r="D120" s="21"/>
      <c r="E120" s="21"/>
    </row>
    <row r="121" spans="1:26" s="2" customFormat="1" ht="16.5" customHeight="1">
      <c r="A121" s="1" t="s">
        <v>2212</v>
      </c>
    </row>
    <row r="122" spans="1:26" s="2" customFormat="1" ht="9.75" customHeight="1" thickBot="1">
      <c r="A122" s="3"/>
    </row>
    <row r="123" spans="1:26" s="2" customFormat="1" ht="16.5" customHeight="1" thickBot="1">
      <c r="A123" s="4" t="s">
        <v>1244</v>
      </c>
      <c r="B123" s="5" t="s">
        <v>1245</v>
      </c>
      <c r="C123" s="5" t="s">
        <v>1246</v>
      </c>
      <c r="D123" s="5">
        <v>2</v>
      </c>
      <c r="E123" s="5">
        <v>3</v>
      </c>
      <c r="F123" s="5">
        <v>4</v>
      </c>
      <c r="G123" s="5">
        <v>5</v>
      </c>
      <c r="H123" s="5">
        <v>6</v>
      </c>
      <c r="I123" s="5">
        <v>7</v>
      </c>
      <c r="J123" s="5">
        <v>8</v>
      </c>
      <c r="K123" s="5">
        <v>9</v>
      </c>
      <c r="L123" s="5">
        <v>10</v>
      </c>
      <c r="M123" s="5">
        <v>11</v>
      </c>
      <c r="N123" s="5"/>
      <c r="O123" s="10" t="s">
        <v>1413</v>
      </c>
      <c r="P123" s="11">
        <f>(60150/104683)</f>
        <v>0.57459186305321786</v>
      </c>
    </row>
    <row r="124" spans="1:26" s="2" customFormat="1" ht="16.5" customHeight="1" thickBot="1">
      <c r="A124" s="6" t="s">
        <v>2083</v>
      </c>
      <c r="B124" s="28" t="s">
        <v>1258</v>
      </c>
      <c r="C124" s="36">
        <v>9231</v>
      </c>
      <c r="D124" s="8"/>
      <c r="E124" s="8"/>
      <c r="F124" s="8"/>
      <c r="G124" s="8"/>
      <c r="H124" s="8"/>
      <c r="I124" s="36"/>
      <c r="J124" s="8"/>
      <c r="K124" s="36"/>
      <c r="L124" s="36"/>
      <c r="M124" s="8"/>
      <c r="N124" s="33" t="s">
        <v>1271</v>
      </c>
      <c r="O124" s="14"/>
      <c r="P124" s="10" t="s">
        <v>1248</v>
      </c>
      <c r="Q124" s="10" t="s">
        <v>1249</v>
      </c>
      <c r="R124" s="10" t="s">
        <v>1250</v>
      </c>
    </row>
    <row r="125" spans="1:26" s="2" customFormat="1" ht="16.5" customHeight="1" thickBot="1">
      <c r="A125" s="6" t="s">
        <v>2306</v>
      </c>
      <c r="B125" s="9" t="s">
        <v>2206</v>
      </c>
      <c r="C125" s="8">
        <v>5856</v>
      </c>
      <c r="D125" s="8">
        <v>5996</v>
      </c>
      <c r="E125" s="8">
        <v>6257</v>
      </c>
      <c r="F125" s="8">
        <v>6273</v>
      </c>
      <c r="G125" s="8">
        <v>6296</v>
      </c>
      <c r="H125" s="36">
        <v>7669</v>
      </c>
      <c r="I125" s="8"/>
      <c r="J125" s="36"/>
      <c r="K125" s="8"/>
      <c r="L125" s="8"/>
      <c r="M125" s="36"/>
      <c r="N125" s="33" t="s">
        <v>1252</v>
      </c>
      <c r="O125" s="18" t="s">
        <v>2206</v>
      </c>
      <c r="P125" s="16">
        <f>(C125+C128+C131+C135)</f>
        <v>16889</v>
      </c>
      <c r="Q125" s="17">
        <f>SUM(P125/P130)</f>
        <v>0.28817376763867797</v>
      </c>
      <c r="R125" s="14">
        <v>2</v>
      </c>
    </row>
    <row r="126" spans="1:26" s="2" customFormat="1" ht="16.5" customHeight="1" thickBot="1">
      <c r="A126" s="6" t="s">
        <v>1914</v>
      </c>
      <c r="B126" s="28" t="s">
        <v>1258</v>
      </c>
      <c r="C126" s="8">
        <v>5835</v>
      </c>
      <c r="D126" s="36">
        <v>7114</v>
      </c>
      <c r="E126" s="8"/>
      <c r="F126" s="8"/>
      <c r="G126" s="8"/>
      <c r="H126" s="8"/>
      <c r="I126" s="8"/>
      <c r="J126" s="8"/>
      <c r="K126" s="8"/>
      <c r="L126" s="36"/>
      <c r="M126" s="8"/>
      <c r="N126" s="33" t="s">
        <v>1362</v>
      </c>
      <c r="O126" s="30" t="s">
        <v>1258</v>
      </c>
      <c r="P126" s="16">
        <f>(C124+C126+C129+C130+C134)</f>
        <v>26867</v>
      </c>
      <c r="Q126" s="17">
        <f>SUM(P126/P130)</f>
        <v>0.45842646782807517</v>
      </c>
      <c r="R126" s="2">
        <v>4</v>
      </c>
    </row>
    <row r="127" spans="1:26" s="2" customFormat="1" ht="16.5" customHeight="1" thickBot="1">
      <c r="A127" s="6" t="s">
        <v>2086</v>
      </c>
      <c r="B127" s="7" t="s">
        <v>1261</v>
      </c>
      <c r="C127" s="8">
        <v>5006</v>
      </c>
      <c r="D127" s="8">
        <v>5007</v>
      </c>
      <c r="E127" s="8">
        <v>5050</v>
      </c>
      <c r="F127" s="8">
        <v>5050</v>
      </c>
      <c r="G127" s="8">
        <v>5142</v>
      </c>
      <c r="H127" s="8">
        <v>5146</v>
      </c>
      <c r="I127" s="8">
        <v>5146</v>
      </c>
      <c r="J127" s="36">
        <v>8175</v>
      </c>
      <c r="K127" s="36"/>
      <c r="L127" s="8"/>
      <c r="M127" s="8"/>
      <c r="N127" s="33" t="s">
        <v>1280</v>
      </c>
      <c r="O127" s="15" t="s">
        <v>1261</v>
      </c>
      <c r="P127" s="21">
        <f>(C127+C132)</f>
        <v>8327</v>
      </c>
      <c r="Q127" s="17">
        <f>SUM(P127/P130)</f>
        <v>0.14208200385619466</v>
      </c>
      <c r="R127" s="2">
        <v>1</v>
      </c>
    </row>
    <row r="128" spans="1:26" s="2" customFormat="1" ht="16.5" customHeight="1" thickBot="1">
      <c r="A128" s="6" t="s">
        <v>2304</v>
      </c>
      <c r="B128" s="9" t="s">
        <v>2206</v>
      </c>
      <c r="C128" s="8">
        <v>4885</v>
      </c>
      <c r="D128" s="8">
        <v>4978</v>
      </c>
      <c r="E128" s="8">
        <v>5075</v>
      </c>
      <c r="F128" s="8">
        <v>5087</v>
      </c>
      <c r="G128" s="8">
        <v>5180</v>
      </c>
      <c r="H128" s="8">
        <v>5763</v>
      </c>
      <c r="I128" s="8">
        <v>6480</v>
      </c>
      <c r="J128" s="8">
        <v>6489</v>
      </c>
      <c r="K128" s="8">
        <v>6498</v>
      </c>
      <c r="L128" s="36">
        <v>6586</v>
      </c>
      <c r="M128" s="8"/>
      <c r="N128" s="33" t="s">
        <v>2207</v>
      </c>
      <c r="O128" s="31" t="s">
        <v>1269</v>
      </c>
      <c r="P128" s="21">
        <f>(C133+C136)</f>
        <v>5428</v>
      </c>
      <c r="Q128" s="17">
        <f>SUM(P128/P130)</f>
        <v>9.2616922893169765E-2</v>
      </c>
      <c r="R128" s="2">
        <v>1</v>
      </c>
    </row>
    <row r="129" spans="1:20" s="2" customFormat="1" ht="16.5" customHeight="1" thickBot="1">
      <c r="A129" s="6" t="s">
        <v>1795</v>
      </c>
      <c r="B129" s="28" t="s">
        <v>1258</v>
      </c>
      <c r="C129" s="8">
        <v>4515</v>
      </c>
      <c r="D129" s="8">
        <v>4857</v>
      </c>
      <c r="E129" s="8">
        <v>4922</v>
      </c>
      <c r="F129" s="8">
        <v>5295</v>
      </c>
      <c r="G129" s="8">
        <v>5306</v>
      </c>
      <c r="H129" s="8">
        <v>5324</v>
      </c>
      <c r="I129" s="8">
        <v>5332</v>
      </c>
      <c r="J129" s="8">
        <v>5344</v>
      </c>
      <c r="K129" s="8">
        <v>5345</v>
      </c>
      <c r="L129" s="36">
        <v>7872</v>
      </c>
      <c r="M129" s="8"/>
      <c r="N129" s="33" t="s">
        <v>1253</v>
      </c>
      <c r="O129" s="26" t="s">
        <v>1254</v>
      </c>
      <c r="P129" s="21">
        <f>(C137+C138+C139)</f>
        <v>1096</v>
      </c>
      <c r="Q129" s="11">
        <f>SUM(P129/P130)</f>
        <v>1.8700837783882471E-2</v>
      </c>
    </row>
    <row r="130" spans="1:20" s="2" customFormat="1" ht="16.5" customHeight="1" thickBot="1">
      <c r="A130" s="6" t="s">
        <v>2305</v>
      </c>
      <c r="B130" s="28" t="s">
        <v>1258</v>
      </c>
      <c r="C130" s="8">
        <v>4133</v>
      </c>
      <c r="D130" s="8">
        <v>4544</v>
      </c>
      <c r="E130" s="8">
        <v>4676</v>
      </c>
      <c r="F130" s="8">
        <v>4778</v>
      </c>
      <c r="G130" s="8">
        <v>4786</v>
      </c>
      <c r="H130" s="8">
        <v>4974</v>
      </c>
      <c r="I130" s="8">
        <v>5032</v>
      </c>
      <c r="J130" s="8">
        <v>5040</v>
      </c>
      <c r="K130" s="8">
        <v>5048</v>
      </c>
      <c r="L130" s="8">
        <v>5540</v>
      </c>
      <c r="M130" s="36">
        <v>6835</v>
      </c>
      <c r="N130" s="33" t="s">
        <v>2208</v>
      </c>
      <c r="P130" s="23">
        <v>58607</v>
      </c>
    </row>
    <row r="131" spans="1:20" s="2" customFormat="1" ht="16.5" customHeight="1" thickBot="1">
      <c r="A131" s="12" t="s">
        <v>2308</v>
      </c>
      <c r="B131" s="22" t="s">
        <v>2206</v>
      </c>
      <c r="C131" s="8">
        <v>3606</v>
      </c>
      <c r="D131" s="8">
        <v>3641</v>
      </c>
      <c r="E131" s="8">
        <v>3698</v>
      </c>
      <c r="F131" s="8">
        <v>3703</v>
      </c>
      <c r="G131" s="8">
        <v>3758</v>
      </c>
      <c r="H131" s="8">
        <v>4227</v>
      </c>
      <c r="I131" s="8">
        <v>4563</v>
      </c>
      <c r="J131" s="8">
        <v>4564</v>
      </c>
      <c r="K131" s="8">
        <v>4573</v>
      </c>
      <c r="L131" s="8">
        <v>4816</v>
      </c>
      <c r="M131" s="8">
        <v>4865</v>
      </c>
      <c r="N131" s="33"/>
    </row>
    <row r="132" spans="1:20" s="2" customFormat="1" ht="16.5" customHeight="1" thickBot="1">
      <c r="A132" s="12" t="s">
        <v>2310</v>
      </c>
      <c r="B132" s="20" t="s">
        <v>1261</v>
      </c>
      <c r="C132" s="8">
        <v>3321</v>
      </c>
      <c r="D132" s="8">
        <v>3324</v>
      </c>
      <c r="E132" s="8">
        <v>3357</v>
      </c>
      <c r="F132" s="8">
        <v>3357</v>
      </c>
      <c r="G132" s="8">
        <v>3374</v>
      </c>
      <c r="H132" s="8">
        <v>3374</v>
      </c>
      <c r="I132" s="8">
        <v>3374</v>
      </c>
      <c r="J132" s="8" t="s">
        <v>1326</v>
      </c>
    </row>
    <row r="133" spans="1:20" s="2" customFormat="1" ht="16.5" customHeight="1" thickBot="1">
      <c r="A133" s="6" t="s">
        <v>2101</v>
      </c>
      <c r="B133" s="45" t="s">
        <v>1269</v>
      </c>
      <c r="C133" s="8">
        <v>3258</v>
      </c>
      <c r="D133" s="8">
        <v>3273</v>
      </c>
      <c r="E133" s="8">
        <v>3384</v>
      </c>
      <c r="F133" s="8">
        <v>3385</v>
      </c>
      <c r="G133" s="8">
        <v>5279</v>
      </c>
      <c r="H133" s="8">
        <v>5311</v>
      </c>
      <c r="I133" s="8">
        <v>5331</v>
      </c>
      <c r="J133" s="8">
        <v>5505</v>
      </c>
      <c r="K133" s="36">
        <v>6830</v>
      </c>
      <c r="L133" s="8"/>
      <c r="M133" s="8"/>
      <c r="N133" s="33" t="s">
        <v>1251</v>
      </c>
    </row>
    <row r="134" spans="1:20" s="2" customFormat="1" ht="16.5" customHeight="1" thickBot="1">
      <c r="A134" s="12" t="s">
        <v>2309</v>
      </c>
      <c r="B134" s="27" t="s">
        <v>1258</v>
      </c>
      <c r="C134" s="8">
        <v>3153</v>
      </c>
      <c r="D134" s="43">
        <v>3340</v>
      </c>
      <c r="E134" s="43">
        <v>3386</v>
      </c>
      <c r="F134" s="8">
        <v>3441</v>
      </c>
      <c r="G134" s="8">
        <v>3448</v>
      </c>
      <c r="H134" s="8">
        <v>3474</v>
      </c>
      <c r="I134" s="8">
        <v>3481</v>
      </c>
      <c r="J134" s="8">
        <v>3487</v>
      </c>
      <c r="K134" s="8">
        <v>3493</v>
      </c>
      <c r="L134" s="8" t="s">
        <v>1326</v>
      </c>
    </row>
    <row r="135" spans="1:20" s="2" customFormat="1" ht="16.5" customHeight="1" thickBot="1">
      <c r="A135" s="12" t="s">
        <v>1770</v>
      </c>
      <c r="B135" s="22" t="s">
        <v>2206</v>
      </c>
      <c r="C135" s="8">
        <v>2542</v>
      </c>
      <c r="D135" s="8">
        <v>2591</v>
      </c>
      <c r="E135" s="8">
        <v>2719</v>
      </c>
      <c r="F135" s="8">
        <v>2724</v>
      </c>
      <c r="G135" s="8">
        <v>2756</v>
      </c>
      <c r="H135" s="8" t="s">
        <v>1326</v>
      </c>
    </row>
    <row r="136" spans="1:20" s="2" customFormat="1" ht="16.5" customHeight="1" thickBot="1">
      <c r="A136" s="12" t="s">
        <v>2117</v>
      </c>
      <c r="B136" s="32" t="s">
        <v>1269</v>
      </c>
      <c r="C136" s="8">
        <v>2170</v>
      </c>
      <c r="D136" s="8">
        <v>2175</v>
      </c>
      <c r="E136" s="8">
        <v>2260</v>
      </c>
      <c r="F136" s="8">
        <v>2261</v>
      </c>
      <c r="G136" s="8" t="s">
        <v>1326</v>
      </c>
    </row>
    <row r="137" spans="1:20" s="2" customFormat="1" ht="16.5" customHeight="1" thickBot="1">
      <c r="A137" s="12" t="s">
        <v>2307</v>
      </c>
      <c r="B137" s="83" t="s">
        <v>2230</v>
      </c>
      <c r="C137" s="8">
        <v>444</v>
      </c>
      <c r="D137" s="8">
        <v>486</v>
      </c>
      <c r="E137" s="8" t="s">
        <v>1326</v>
      </c>
    </row>
    <row r="138" spans="1:20" s="2" customFormat="1" ht="16.5" customHeight="1" thickBot="1">
      <c r="A138" s="12" t="s">
        <v>2311</v>
      </c>
      <c r="B138" s="38" t="s">
        <v>1423</v>
      </c>
      <c r="C138" s="8">
        <v>357</v>
      </c>
      <c r="D138" s="43">
        <v>380</v>
      </c>
      <c r="E138" s="8" t="s">
        <v>1326</v>
      </c>
      <c r="L138" s="17"/>
    </row>
    <row r="139" spans="1:20" s="2" customFormat="1" ht="16.5" customHeight="1" thickBot="1">
      <c r="A139" s="12" t="s">
        <v>2312</v>
      </c>
      <c r="B139" s="39" t="s">
        <v>2303</v>
      </c>
      <c r="C139" s="8">
        <v>295</v>
      </c>
      <c r="D139" s="8">
        <v>298</v>
      </c>
      <c r="E139" s="8" t="s">
        <v>1326</v>
      </c>
    </row>
    <row r="140" spans="1:20" s="2" customFormat="1" ht="12" customHeight="1">
      <c r="A140" s="1"/>
    </row>
    <row r="141" spans="1:20" s="2" customFormat="1" ht="16.5" customHeight="1">
      <c r="A141" s="1" t="s">
        <v>2218</v>
      </c>
    </row>
    <row r="142" spans="1:20" s="2" customFormat="1" ht="9.75" customHeight="1" thickBot="1">
      <c r="A142" s="3"/>
    </row>
    <row r="143" spans="1:20" s="2" customFormat="1" ht="16.5" customHeight="1" thickBot="1">
      <c r="A143" s="4" t="s">
        <v>1244</v>
      </c>
      <c r="B143" s="5" t="s">
        <v>1245</v>
      </c>
      <c r="C143" s="5" t="s">
        <v>1246</v>
      </c>
      <c r="D143" s="5">
        <v>2</v>
      </c>
      <c r="E143" s="5">
        <v>3</v>
      </c>
      <c r="F143" s="5">
        <v>4</v>
      </c>
      <c r="G143" s="5">
        <v>5</v>
      </c>
      <c r="H143" s="5">
        <v>6</v>
      </c>
      <c r="I143" s="5">
        <v>7</v>
      </c>
      <c r="J143" s="5">
        <v>8</v>
      </c>
      <c r="K143" s="5">
        <v>9</v>
      </c>
      <c r="L143" s="5">
        <v>10</v>
      </c>
      <c r="M143" s="5">
        <v>11</v>
      </c>
      <c r="N143" s="5">
        <v>12</v>
      </c>
      <c r="O143" s="5">
        <v>13</v>
      </c>
      <c r="P143" s="5"/>
      <c r="Q143" s="10" t="s">
        <v>1413</v>
      </c>
      <c r="R143" s="11">
        <f>(55801/103619)</f>
        <v>0.53852092762910275</v>
      </c>
    </row>
    <row r="144" spans="1:20" s="2" customFormat="1" ht="16.5" customHeight="1" thickBot="1">
      <c r="A144" s="6" t="s">
        <v>2313</v>
      </c>
      <c r="B144" s="62" t="s">
        <v>2314</v>
      </c>
      <c r="C144" s="36">
        <v>13958</v>
      </c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36"/>
      <c r="O144" s="36"/>
      <c r="P144" s="33" t="s">
        <v>1271</v>
      </c>
      <c r="Q144" s="14"/>
      <c r="R144" s="10" t="s">
        <v>1248</v>
      </c>
      <c r="S144" s="10" t="s">
        <v>1249</v>
      </c>
      <c r="T144" s="10" t="s">
        <v>1250</v>
      </c>
    </row>
    <row r="145" spans="1:20" s="2" customFormat="1" ht="16.5" customHeight="1" thickBot="1">
      <c r="A145" s="6" t="s">
        <v>2115</v>
      </c>
      <c r="B145" s="9" t="s">
        <v>2206</v>
      </c>
      <c r="C145" s="8">
        <v>5852</v>
      </c>
      <c r="D145" s="36">
        <v>7258</v>
      </c>
      <c r="E145" s="8"/>
      <c r="F145" s="8"/>
      <c r="G145" s="8"/>
      <c r="H145" s="36"/>
      <c r="I145" s="8"/>
      <c r="J145" s="8"/>
      <c r="K145" s="8"/>
      <c r="L145" s="8"/>
      <c r="M145" s="8"/>
      <c r="N145" s="8"/>
      <c r="O145" s="8"/>
      <c r="P145" s="33" t="s">
        <v>1362</v>
      </c>
      <c r="Q145" s="18" t="s">
        <v>2206</v>
      </c>
      <c r="R145" s="16">
        <f>(C145+C149+C152+C155+C158)</f>
        <v>14963</v>
      </c>
      <c r="S145" s="17">
        <f>SUM(R145/R150)</f>
        <v>0.27395228766546442</v>
      </c>
      <c r="T145" s="14">
        <v>3</v>
      </c>
    </row>
    <row r="146" spans="1:20" s="2" customFormat="1" ht="16.5" customHeight="1" thickBot="1">
      <c r="A146" s="6" t="s">
        <v>2317</v>
      </c>
      <c r="B146" s="28" t="s">
        <v>1258</v>
      </c>
      <c r="C146" s="8">
        <v>4500</v>
      </c>
      <c r="D146" s="8">
        <v>4856</v>
      </c>
      <c r="E146" s="8">
        <v>4913</v>
      </c>
      <c r="F146" s="8">
        <v>4942</v>
      </c>
      <c r="G146" s="8">
        <v>4985</v>
      </c>
      <c r="H146" s="36">
        <v>6391</v>
      </c>
      <c r="I146" s="8"/>
      <c r="J146" s="8"/>
      <c r="K146" s="8"/>
      <c r="L146" s="8"/>
      <c r="M146" s="8"/>
      <c r="N146" s="8"/>
      <c r="O146" s="8"/>
      <c r="P146" s="33" t="s">
        <v>1252</v>
      </c>
      <c r="Q146" s="30" t="s">
        <v>1258</v>
      </c>
      <c r="R146" s="16">
        <f>(C146+C150+C151+C154)</f>
        <v>12711</v>
      </c>
      <c r="S146" s="17">
        <f>SUM(R146/R150)</f>
        <v>0.23272121422948058</v>
      </c>
      <c r="T146" s="2">
        <v>2</v>
      </c>
    </row>
    <row r="147" spans="1:20" s="2" customFormat="1" ht="16.5" customHeight="1" thickBot="1">
      <c r="A147" s="6" t="s">
        <v>2315</v>
      </c>
      <c r="B147" s="45" t="s">
        <v>1269</v>
      </c>
      <c r="C147" s="8">
        <v>4416</v>
      </c>
      <c r="D147" s="8">
        <v>4492</v>
      </c>
      <c r="E147" s="8">
        <v>4501</v>
      </c>
      <c r="F147" s="8">
        <v>4502</v>
      </c>
      <c r="G147" s="8">
        <v>4936</v>
      </c>
      <c r="H147" s="8">
        <v>4943</v>
      </c>
      <c r="I147" s="8">
        <v>6068</v>
      </c>
      <c r="J147" s="36">
        <v>6069</v>
      </c>
      <c r="K147" s="36"/>
      <c r="L147" s="8"/>
      <c r="M147" s="8"/>
      <c r="N147" s="8"/>
      <c r="O147" s="8"/>
      <c r="P147" s="33" t="s">
        <v>1280</v>
      </c>
      <c r="Q147" s="15" t="s">
        <v>1261</v>
      </c>
      <c r="R147" s="21">
        <v>2536</v>
      </c>
      <c r="S147" s="17">
        <f>SUM(R147/R150)</f>
        <v>4.6430729233416942E-2</v>
      </c>
    </row>
    <row r="148" spans="1:20" s="2" customFormat="1" ht="16.5" customHeight="1" thickBot="1">
      <c r="A148" s="6" t="s">
        <v>2318</v>
      </c>
      <c r="B148" s="45" t="s">
        <v>1269</v>
      </c>
      <c r="C148" s="8">
        <v>3841</v>
      </c>
      <c r="D148" s="8">
        <v>4210</v>
      </c>
      <c r="E148" s="8">
        <v>4284</v>
      </c>
      <c r="F148" s="8">
        <v>4293</v>
      </c>
      <c r="G148" s="8">
        <v>4881</v>
      </c>
      <c r="H148" s="8">
        <v>4918</v>
      </c>
      <c r="I148" s="8">
        <v>5961</v>
      </c>
      <c r="J148" s="8">
        <v>5962</v>
      </c>
      <c r="K148" s="36">
        <v>6162</v>
      </c>
      <c r="L148" s="8"/>
      <c r="M148" s="8"/>
      <c r="N148" s="36"/>
      <c r="O148" s="36"/>
      <c r="P148" s="33" t="s">
        <v>1251</v>
      </c>
      <c r="Q148" s="31" t="s">
        <v>1269</v>
      </c>
      <c r="R148" s="21">
        <f>(C147+C148+C156)</f>
        <v>9312</v>
      </c>
      <c r="S148" s="17">
        <f>SUM(R148/R150)</f>
        <v>0.1704901224848496</v>
      </c>
      <c r="T148" s="2">
        <v>2</v>
      </c>
    </row>
    <row r="149" spans="1:20" s="2" customFormat="1" ht="16.5" customHeight="1" thickBot="1">
      <c r="A149" s="6" t="s">
        <v>1339</v>
      </c>
      <c r="B149" s="9" t="s">
        <v>2206</v>
      </c>
      <c r="C149" s="8">
        <v>3782</v>
      </c>
      <c r="D149" s="8">
        <v>4403</v>
      </c>
      <c r="E149" s="8">
        <v>4584</v>
      </c>
      <c r="F149" s="8">
        <v>4607</v>
      </c>
      <c r="G149" s="8">
        <v>4957</v>
      </c>
      <c r="H149" s="8">
        <v>5015</v>
      </c>
      <c r="I149" s="8">
        <v>5030</v>
      </c>
      <c r="J149" s="8">
        <v>5034</v>
      </c>
      <c r="K149" s="8">
        <v>5860</v>
      </c>
      <c r="L149" s="8">
        <v>5978</v>
      </c>
      <c r="M149" s="36">
        <v>6131</v>
      </c>
      <c r="N149" s="8"/>
      <c r="O149" s="8"/>
      <c r="P149" s="33" t="s">
        <v>2207</v>
      </c>
      <c r="Q149" s="26" t="s">
        <v>1254</v>
      </c>
      <c r="R149" s="21">
        <f>(C144+C157+C159)</f>
        <v>15097</v>
      </c>
      <c r="S149" s="11">
        <f>SUM(R149/R150)</f>
        <v>0.27640564638678849</v>
      </c>
      <c r="T149" s="2">
        <v>1</v>
      </c>
    </row>
    <row r="150" spans="1:20" s="2" customFormat="1" ht="16.5" customHeight="1" thickBot="1">
      <c r="A150" s="6" t="s">
        <v>2319</v>
      </c>
      <c r="B150" s="28" t="s">
        <v>1258</v>
      </c>
      <c r="C150" s="8">
        <v>3340</v>
      </c>
      <c r="D150" s="8">
        <v>3621</v>
      </c>
      <c r="E150" s="8">
        <v>3705</v>
      </c>
      <c r="F150" s="8">
        <v>3723</v>
      </c>
      <c r="G150" s="8">
        <v>3761</v>
      </c>
      <c r="H150" s="8">
        <v>4089</v>
      </c>
      <c r="I150" s="8">
        <v>4097</v>
      </c>
      <c r="J150" s="8">
        <v>4346</v>
      </c>
      <c r="K150" s="8">
        <v>4487</v>
      </c>
      <c r="L150" s="36">
        <v>6931</v>
      </c>
      <c r="M150" s="8"/>
      <c r="N150" s="36"/>
      <c r="O150" s="36"/>
      <c r="P150" s="33" t="s">
        <v>1253</v>
      </c>
      <c r="R150" s="23">
        <v>54619</v>
      </c>
    </row>
    <row r="151" spans="1:20" s="2" customFormat="1" ht="16.5" customHeight="1" thickBot="1">
      <c r="A151" s="12" t="s">
        <v>2324</v>
      </c>
      <c r="B151" s="27" t="s">
        <v>1258</v>
      </c>
      <c r="C151" s="8">
        <v>2811</v>
      </c>
      <c r="D151" s="8">
        <v>3024</v>
      </c>
      <c r="E151" s="8">
        <v>3083</v>
      </c>
      <c r="F151" s="8">
        <v>3100</v>
      </c>
      <c r="G151" s="8">
        <v>3124</v>
      </c>
      <c r="H151" s="8">
        <v>3316</v>
      </c>
      <c r="I151" s="8">
        <v>3318</v>
      </c>
      <c r="J151" s="8">
        <v>3362</v>
      </c>
      <c r="K151" s="8">
        <v>3436</v>
      </c>
      <c r="L151" s="8" t="s">
        <v>1326</v>
      </c>
    </row>
    <row r="152" spans="1:20" s="2" customFormat="1" ht="16.5" customHeight="1" thickBot="1">
      <c r="A152" s="6" t="s">
        <v>2068</v>
      </c>
      <c r="B152" s="9" t="s">
        <v>2206</v>
      </c>
      <c r="C152" s="8">
        <v>2692</v>
      </c>
      <c r="D152" s="8">
        <v>2930</v>
      </c>
      <c r="E152" s="8">
        <v>3027</v>
      </c>
      <c r="F152" s="8">
        <v>3048</v>
      </c>
      <c r="G152" s="8">
        <v>3202</v>
      </c>
      <c r="H152" s="8">
        <v>3242</v>
      </c>
      <c r="I152" s="8">
        <v>3244</v>
      </c>
      <c r="J152" s="8">
        <v>3246</v>
      </c>
      <c r="K152" s="8">
        <v>4402</v>
      </c>
      <c r="L152" s="8">
        <v>4779</v>
      </c>
      <c r="M152" s="8">
        <v>5279</v>
      </c>
      <c r="N152" s="8">
        <v>5337</v>
      </c>
      <c r="O152" s="36">
        <v>5384</v>
      </c>
      <c r="P152" s="33" t="s">
        <v>2208</v>
      </c>
    </row>
    <row r="153" spans="1:20" s="2" customFormat="1" ht="16.5" customHeight="1" thickBot="1">
      <c r="A153" s="12" t="s">
        <v>2316</v>
      </c>
      <c r="B153" s="20" t="s">
        <v>1261</v>
      </c>
      <c r="C153" s="8">
        <v>2536</v>
      </c>
      <c r="D153" s="8">
        <v>2546</v>
      </c>
      <c r="E153" s="8">
        <v>2548</v>
      </c>
      <c r="F153" s="8">
        <v>2549</v>
      </c>
      <c r="G153" s="8">
        <v>2567</v>
      </c>
      <c r="H153" s="8">
        <v>2568</v>
      </c>
      <c r="I153" s="8" t="s">
        <v>1326</v>
      </c>
    </row>
    <row r="154" spans="1:20" s="2" customFormat="1" ht="16.5" customHeight="1" thickBot="1">
      <c r="A154" s="12" t="s">
        <v>2323</v>
      </c>
      <c r="B154" s="27" t="s">
        <v>1258</v>
      </c>
      <c r="C154" s="8">
        <v>2060</v>
      </c>
      <c r="D154" s="43">
        <v>2277</v>
      </c>
      <c r="E154" s="43">
        <v>2315</v>
      </c>
      <c r="F154" s="8">
        <v>2334</v>
      </c>
      <c r="G154" s="8">
        <v>2393</v>
      </c>
      <c r="H154" s="8" t="s">
        <v>1326</v>
      </c>
    </row>
    <row r="155" spans="1:20" s="2" customFormat="1" ht="16.5" customHeight="1" thickBot="1">
      <c r="A155" s="12" t="s">
        <v>2320</v>
      </c>
      <c r="B155" s="22" t="s">
        <v>2206</v>
      </c>
      <c r="C155" s="8">
        <v>1966</v>
      </c>
      <c r="D155" s="8">
        <v>2448</v>
      </c>
      <c r="E155" s="8">
        <v>2694</v>
      </c>
      <c r="F155" s="8">
        <v>2722</v>
      </c>
      <c r="G155" s="8">
        <v>2931</v>
      </c>
      <c r="H155" s="8">
        <v>3028</v>
      </c>
      <c r="I155" s="8">
        <v>3033</v>
      </c>
      <c r="J155" s="8">
        <v>3038</v>
      </c>
      <c r="K155" s="8" t="s">
        <v>1326</v>
      </c>
      <c r="L155" s="17"/>
    </row>
    <row r="156" spans="1:20" s="2" customFormat="1" ht="16.5" customHeight="1" thickBot="1">
      <c r="A156" s="12" t="s">
        <v>1511</v>
      </c>
      <c r="B156" s="32" t="s">
        <v>1269</v>
      </c>
      <c r="C156" s="8">
        <v>1055</v>
      </c>
      <c r="D156" s="8">
        <v>1117</v>
      </c>
      <c r="E156" s="8">
        <v>1135</v>
      </c>
      <c r="F156" s="8">
        <v>1136</v>
      </c>
      <c r="G156" s="8" t="s">
        <v>1326</v>
      </c>
    </row>
    <row r="157" spans="1:20" s="2" customFormat="1" ht="16.5" customHeight="1" thickBot="1">
      <c r="A157" s="12" t="s">
        <v>2321</v>
      </c>
      <c r="B157" s="63" t="s">
        <v>2314</v>
      </c>
      <c r="C157" s="8">
        <v>958</v>
      </c>
      <c r="D157" s="8">
        <v>4266</v>
      </c>
      <c r="E157" s="8">
        <v>4472</v>
      </c>
      <c r="F157" s="8">
        <v>4508</v>
      </c>
      <c r="G157" s="8">
        <v>4596</v>
      </c>
      <c r="H157" s="8">
        <v>4630</v>
      </c>
      <c r="I157" s="8">
        <v>4685</v>
      </c>
      <c r="J157" s="8">
        <v>4690</v>
      </c>
      <c r="K157" s="8">
        <v>4967</v>
      </c>
      <c r="L157" s="8">
        <v>5127</v>
      </c>
      <c r="M157" s="8">
        <v>5331</v>
      </c>
      <c r="N157" s="8">
        <v>5365</v>
      </c>
      <c r="O157" s="8">
        <v>5378</v>
      </c>
      <c r="P157" s="33"/>
    </row>
    <row r="158" spans="1:20" s="2" customFormat="1" ht="16.5" customHeight="1" thickBot="1">
      <c r="A158" s="12" t="s">
        <v>1803</v>
      </c>
      <c r="B158" s="22" t="s">
        <v>2206</v>
      </c>
      <c r="C158" s="8">
        <v>671</v>
      </c>
      <c r="D158" s="43">
        <v>827</v>
      </c>
      <c r="E158" s="8">
        <v>924</v>
      </c>
      <c r="F158" s="8">
        <v>935</v>
      </c>
      <c r="G158" s="8" t="s">
        <v>1326</v>
      </c>
      <c r="L158" s="17"/>
    </row>
    <row r="159" spans="1:20" s="2" customFormat="1" ht="16.5" customHeight="1" thickBot="1">
      <c r="A159" s="12" t="s">
        <v>2322</v>
      </c>
      <c r="B159" s="83" t="s">
        <v>2230</v>
      </c>
      <c r="C159" s="8">
        <v>181</v>
      </c>
      <c r="D159" s="8">
        <v>217</v>
      </c>
      <c r="E159" s="8">
        <v>229</v>
      </c>
      <c r="F159" s="8" t="s">
        <v>1326</v>
      </c>
    </row>
    <row r="160" spans="1:20" s="2" customFormat="1" ht="12" customHeight="1">
      <c r="A160" s="1"/>
      <c r="L160"/>
      <c r="S160"/>
    </row>
    <row r="161" spans="1:21" s="2" customFormat="1" ht="16.5" customHeight="1">
      <c r="A161" s="1" t="s">
        <v>2215</v>
      </c>
    </row>
    <row r="162" spans="1:21" s="2" customFormat="1" ht="9.75" customHeight="1" thickBot="1">
      <c r="A162" s="3"/>
    </row>
    <row r="163" spans="1:21" s="2" customFormat="1" ht="16.5" customHeight="1" thickBot="1">
      <c r="A163" s="4" t="s">
        <v>1244</v>
      </c>
      <c r="B163" s="5" t="s">
        <v>1245</v>
      </c>
      <c r="C163" s="5" t="s">
        <v>1246</v>
      </c>
      <c r="D163" s="5">
        <v>2</v>
      </c>
      <c r="E163" s="5">
        <v>3</v>
      </c>
      <c r="F163" s="5">
        <v>4</v>
      </c>
      <c r="G163" s="5">
        <v>5</v>
      </c>
      <c r="H163" s="5">
        <v>6</v>
      </c>
      <c r="I163" s="5">
        <v>7</v>
      </c>
      <c r="J163" s="5">
        <v>8</v>
      </c>
      <c r="K163" s="5">
        <v>9</v>
      </c>
      <c r="L163" s="5">
        <v>10</v>
      </c>
      <c r="M163" s="5">
        <v>11</v>
      </c>
      <c r="N163" s="5">
        <v>12</v>
      </c>
      <c r="O163" s="5">
        <v>13</v>
      </c>
      <c r="P163" s="5">
        <v>14</v>
      </c>
      <c r="Q163" s="5"/>
      <c r="R163" s="10" t="s">
        <v>1413</v>
      </c>
      <c r="S163" s="11">
        <f>(36905/62391)</f>
        <v>0.59151159622381433</v>
      </c>
    </row>
    <row r="164" spans="1:21" s="2" customFormat="1" ht="16.5" customHeight="1" thickBot="1">
      <c r="A164" s="6" t="s">
        <v>2330</v>
      </c>
      <c r="B164" s="9" t="s">
        <v>2206</v>
      </c>
      <c r="C164" s="36">
        <v>7798</v>
      </c>
      <c r="D164" s="8"/>
      <c r="E164" s="8"/>
      <c r="F164" s="8"/>
      <c r="G164" s="8"/>
      <c r="H164" s="8"/>
      <c r="I164" s="36"/>
      <c r="J164" s="8"/>
      <c r="K164" s="8"/>
      <c r="L164" s="8"/>
      <c r="M164" s="8"/>
      <c r="N164" s="8"/>
      <c r="O164" s="8"/>
      <c r="P164" s="8"/>
      <c r="Q164" s="33" t="s">
        <v>1271</v>
      </c>
      <c r="R164" s="14"/>
      <c r="S164" s="10" t="s">
        <v>1248</v>
      </c>
      <c r="T164" s="10" t="s">
        <v>1249</v>
      </c>
      <c r="U164" s="10" t="s">
        <v>1250</v>
      </c>
    </row>
    <row r="165" spans="1:21" s="2" customFormat="1" ht="16.5" customHeight="1" thickBot="1">
      <c r="A165" s="6" t="s">
        <v>2325</v>
      </c>
      <c r="B165" s="28" t="s">
        <v>1258</v>
      </c>
      <c r="C165" s="8">
        <v>4929</v>
      </c>
      <c r="D165" s="8">
        <v>5012</v>
      </c>
      <c r="E165" s="8">
        <v>5026</v>
      </c>
      <c r="F165" s="8">
        <v>5026</v>
      </c>
      <c r="G165" s="8">
        <v>5044</v>
      </c>
      <c r="H165" s="8">
        <v>5076</v>
      </c>
      <c r="I165" s="8">
        <v>5151</v>
      </c>
      <c r="J165" s="8">
        <v>5360</v>
      </c>
      <c r="K165" s="8">
        <v>5673</v>
      </c>
      <c r="L165" s="8">
        <v>5675</v>
      </c>
      <c r="M165" s="36">
        <v>6119</v>
      </c>
      <c r="N165" s="8"/>
      <c r="O165" s="36"/>
      <c r="P165" s="36"/>
      <c r="Q165" s="33" t="s">
        <v>1362</v>
      </c>
      <c r="R165" s="19" t="s">
        <v>1247</v>
      </c>
      <c r="S165" s="16">
        <v>4029</v>
      </c>
      <c r="T165" s="17">
        <f>SUM(S165/S171)</f>
        <v>0.11273398808024847</v>
      </c>
      <c r="U165" s="14"/>
    </row>
    <row r="166" spans="1:21" s="2" customFormat="1" ht="16.5" customHeight="1" thickBot="1">
      <c r="A166" s="12" t="s">
        <v>2327</v>
      </c>
      <c r="B166" s="13" t="s">
        <v>1247</v>
      </c>
      <c r="C166" s="8">
        <v>4029</v>
      </c>
      <c r="D166" s="8">
        <v>4029</v>
      </c>
      <c r="E166" s="8">
        <v>4029</v>
      </c>
      <c r="F166" s="8">
        <v>4088</v>
      </c>
      <c r="G166" s="8">
        <v>4105</v>
      </c>
      <c r="H166" s="8">
        <v>4105</v>
      </c>
      <c r="I166" s="8">
        <v>4108</v>
      </c>
      <c r="J166" s="8">
        <v>4108</v>
      </c>
      <c r="K166" s="8">
        <v>4114</v>
      </c>
      <c r="L166" s="8">
        <v>4189</v>
      </c>
      <c r="M166" s="8">
        <v>4189</v>
      </c>
      <c r="N166" s="8">
        <v>4557</v>
      </c>
      <c r="O166" s="8">
        <v>4564</v>
      </c>
      <c r="P166" s="8">
        <v>4573</v>
      </c>
      <c r="Q166" s="33"/>
      <c r="R166" s="18" t="s">
        <v>2206</v>
      </c>
      <c r="S166" s="16">
        <f>(C164+C173+C178)</f>
        <v>9151</v>
      </c>
      <c r="T166" s="17">
        <f>SUM(S166/S171)</f>
        <v>0.25605081283751646</v>
      </c>
      <c r="U166" s="14">
        <v>1</v>
      </c>
    </row>
    <row r="167" spans="1:21" s="2" customFormat="1" ht="16.5" customHeight="1" thickBot="1">
      <c r="A167" s="6" t="s">
        <v>2326</v>
      </c>
      <c r="B167" s="7" t="s">
        <v>1261</v>
      </c>
      <c r="C167" s="8">
        <v>3190</v>
      </c>
      <c r="D167" s="8">
        <v>3191</v>
      </c>
      <c r="E167" s="8">
        <v>3191</v>
      </c>
      <c r="F167" s="8">
        <v>3255</v>
      </c>
      <c r="G167" s="8">
        <v>3291</v>
      </c>
      <c r="H167" s="8">
        <v>3291</v>
      </c>
      <c r="I167" s="8">
        <v>3295</v>
      </c>
      <c r="J167" s="8">
        <v>3296</v>
      </c>
      <c r="K167" s="8">
        <v>3296</v>
      </c>
      <c r="L167" s="8">
        <v>4198</v>
      </c>
      <c r="M167" s="8">
        <v>4202</v>
      </c>
      <c r="N167" s="8">
        <v>5031</v>
      </c>
      <c r="O167" s="8">
        <v>5041</v>
      </c>
      <c r="P167" s="36">
        <v>5079</v>
      </c>
      <c r="Q167" s="33" t="s">
        <v>1280</v>
      </c>
      <c r="R167" s="30" t="s">
        <v>1258</v>
      </c>
      <c r="S167" s="16">
        <f>(C165+C168)</f>
        <v>7547</v>
      </c>
      <c r="T167" s="17">
        <f>SUM(S167/S171)</f>
        <v>0.21116987044964886</v>
      </c>
      <c r="U167" s="2">
        <v>1</v>
      </c>
    </row>
    <row r="168" spans="1:21" s="2" customFormat="1" ht="16.5" customHeight="1" thickBot="1">
      <c r="A168" s="12" t="s">
        <v>2332</v>
      </c>
      <c r="B168" s="27" t="s">
        <v>1258</v>
      </c>
      <c r="C168" s="8">
        <v>2618</v>
      </c>
      <c r="D168" s="8">
        <v>2731</v>
      </c>
      <c r="E168" s="8">
        <v>2752</v>
      </c>
      <c r="F168" s="8">
        <v>2752</v>
      </c>
      <c r="G168" s="8">
        <v>2764</v>
      </c>
      <c r="H168" s="8">
        <v>2802</v>
      </c>
      <c r="I168" s="8">
        <v>2855</v>
      </c>
      <c r="J168" s="8">
        <v>3023</v>
      </c>
      <c r="K168" s="8">
        <v>3259</v>
      </c>
      <c r="L168" s="8">
        <v>3261</v>
      </c>
      <c r="M168" s="8">
        <v>3647</v>
      </c>
      <c r="N168" s="8">
        <v>3689</v>
      </c>
      <c r="O168" s="8" t="s">
        <v>1326</v>
      </c>
      <c r="R168" s="15" t="s">
        <v>1261</v>
      </c>
      <c r="S168" s="21">
        <f>(C167+C172)</f>
        <v>4523</v>
      </c>
      <c r="T168" s="17">
        <f>SUM(S168/S171)</f>
        <v>0.12655642295531491</v>
      </c>
      <c r="U168" s="2">
        <v>1</v>
      </c>
    </row>
    <row r="169" spans="1:21" s="2" customFormat="1" ht="16.5" customHeight="1" thickBot="1">
      <c r="A169" s="6" t="s">
        <v>2333</v>
      </c>
      <c r="B169" s="45" t="s">
        <v>1269</v>
      </c>
      <c r="C169" s="8">
        <v>2527</v>
      </c>
      <c r="D169" s="8">
        <v>2565</v>
      </c>
      <c r="E169" s="8">
        <v>2569</v>
      </c>
      <c r="F169" s="8">
        <v>2582</v>
      </c>
      <c r="G169" s="8">
        <v>2693</v>
      </c>
      <c r="H169" s="8">
        <v>2699</v>
      </c>
      <c r="I169" s="8">
        <v>2877</v>
      </c>
      <c r="J169" s="8">
        <v>2906</v>
      </c>
      <c r="K169" s="8">
        <v>2936</v>
      </c>
      <c r="L169" s="8">
        <v>3205</v>
      </c>
      <c r="M169" s="8">
        <v>3421</v>
      </c>
      <c r="N169" s="8">
        <v>4326</v>
      </c>
      <c r="O169" s="8">
        <v>4477</v>
      </c>
      <c r="P169" s="36">
        <v>4757</v>
      </c>
      <c r="Q169" s="33" t="s">
        <v>1251</v>
      </c>
      <c r="R169" s="31" t="s">
        <v>1269</v>
      </c>
      <c r="S169" s="21">
        <v>2527</v>
      </c>
      <c r="T169" s="17">
        <f>SUM(S169/S171)</f>
        <v>7.0707070707070704E-2</v>
      </c>
      <c r="U169" s="2">
        <v>1</v>
      </c>
    </row>
    <row r="170" spans="1:21" s="2" customFormat="1" ht="16.5" customHeight="1" thickBot="1">
      <c r="A170" s="12" t="s">
        <v>2335</v>
      </c>
      <c r="B170" s="37" t="s">
        <v>1286</v>
      </c>
      <c r="C170" s="8">
        <v>2516</v>
      </c>
      <c r="D170" s="8">
        <v>2526</v>
      </c>
      <c r="E170" s="8">
        <v>2531</v>
      </c>
      <c r="F170" s="8">
        <v>2556</v>
      </c>
      <c r="G170" s="8">
        <v>2635</v>
      </c>
      <c r="H170" s="8">
        <v>2642</v>
      </c>
      <c r="I170" s="8">
        <v>2707</v>
      </c>
      <c r="J170" s="8">
        <v>2718</v>
      </c>
      <c r="K170" s="8">
        <v>2758</v>
      </c>
      <c r="L170" s="8">
        <v>2928</v>
      </c>
      <c r="M170" s="8">
        <v>2962</v>
      </c>
      <c r="N170" s="8" t="s">
        <v>1326</v>
      </c>
      <c r="R170" s="26" t="s">
        <v>1254</v>
      </c>
      <c r="S170" s="21">
        <f>(C170+C171+C174+C175+C176+C177+C179+C180)</f>
        <v>7962</v>
      </c>
      <c r="T170" s="11">
        <f>SUM(S170/S171)</f>
        <v>0.22278183497020063</v>
      </c>
      <c r="U170" s="2">
        <v>1</v>
      </c>
    </row>
    <row r="171" spans="1:21" s="2" customFormat="1" ht="16.5" customHeight="1" thickBot="1">
      <c r="A171" s="6" t="s">
        <v>2290</v>
      </c>
      <c r="B171" s="35" t="s">
        <v>1423</v>
      </c>
      <c r="C171" s="8">
        <v>2047</v>
      </c>
      <c r="D171" s="8">
        <v>2285</v>
      </c>
      <c r="E171" s="8">
        <v>2320</v>
      </c>
      <c r="F171" s="8">
        <v>2320</v>
      </c>
      <c r="G171" s="8">
        <v>2341</v>
      </c>
      <c r="H171" s="8">
        <v>2411</v>
      </c>
      <c r="I171" s="8">
        <v>2539</v>
      </c>
      <c r="J171" s="8">
        <v>2813</v>
      </c>
      <c r="K171" s="8">
        <v>3056</v>
      </c>
      <c r="L171" s="8">
        <v>3060</v>
      </c>
      <c r="M171" s="8">
        <v>4101</v>
      </c>
      <c r="N171" s="8">
        <v>4183</v>
      </c>
      <c r="O171" s="36">
        <v>6323</v>
      </c>
      <c r="P171" s="36"/>
      <c r="Q171" s="33" t="s">
        <v>1252</v>
      </c>
      <c r="S171" s="23">
        <v>35739</v>
      </c>
    </row>
    <row r="172" spans="1:21" s="2" customFormat="1" ht="16.5" customHeight="1" thickBot="1">
      <c r="A172" s="12" t="s">
        <v>1937</v>
      </c>
      <c r="B172" s="20" t="s">
        <v>1261</v>
      </c>
      <c r="C172" s="8">
        <v>1333</v>
      </c>
      <c r="D172" s="8">
        <v>1334</v>
      </c>
      <c r="E172" s="8">
        <v>1335</v>
      </c>
      <c r="F172" s="8">
        <v>1450</v>
      </c>
      <c r="G172" s="8">
        <v>1474</v>
      </c>
      <c r="H172" s="8">
        <v>1474</v>
      </c>
      <c r="I172" s="8">
        <v>1479</v>
      </c>
      <c r="J172" s="8">
        <v>1480</v>
      </c>
      <c r="K172" s="8">
        <v>1483</v>
      </c>
      <c r="L172" s="8" t="s">
        <v>1326</v>
      </c>
    </row>
    <row r="173" spans="1:21" s="2" customFormat="1" ht="16.5" customHeight="1" thickBot="1">
      <c r="A173" s="12" t="s">
        <v>2331</v>
      </c>
      <c r="B173" s="22" t="s">
        <v>2206</v>
      </c>
      <c r="C173" s="8">
        <v>984</v>
      </c>
      <c r="D173" s="8">
        <v>1955</v>
      </c>
      <c r="E173" s="8">
        <v>1966</v>
      </c>
      <c r="F173" s="8">
        <v>1967</v>
      </c>
      <c r="G173" s="8">
        <v>1987</v>
      </c>
      <c r="H173" s="8">
        <v>2324</v>
      </c>
      <c r="I173" s="8">
        <v>2413</v>
      </c>
      <c r="J173" s="8">
        <v>2636</v>
      </c>
      <c r="K173" s="8">
        <v>2745</v>
      </c>
      <c r="L173" s="8">
        <v>2745</v>
      </c>
      <c r="M173" s="8" t="s">
        <v>1326</v>
      </c>
    </row>
    <row r="174" spans="1:21" s="2" customFormat="1" ht="16.5" customHeight="1" thickBot="1">
      <c r="A174" s="12" t="s">
        <v>2328</v>
      </c>
      <c r="B174" s="38" t="s">
        <v>1755</v>
      </c>
      <c r="C174" s="8">
        <v>890</v>
      </c>
      <c r="D174" s="43">
        <v>939</v>
      </c>
      <c r="E174" s="43">
        <v>1023</v>
      </c>
      <c r="F174" s="8">
        <v>1024</v>
      </c>
      <c r="G174" s="8">
        <v>1030</v>
      </c>
      <c r="H174" s="8">
        <v>1042</v>
      </c>
      <c r="I174" s="8">
        <v>1135</v>
      </c>
      <c r="J174" s="8">
        <v>1187</v>
      </c>
      <c r="K174" s="8" t="s">
        <v>1326</v>
      </c>
      <c r="N174" s="17"/>
    </row>
    <row r="175" spans="1:21" s="2" customFormat="1" ht="16.5" customHeight="1" thickBot="1">
      <c r="A175" s="12" t="s">
        <v>1826</v>
      </c>
      <c r="B175" s="83" t="s">
        <v>2230</v>
      </c>
      <c r="C175" s="8">
        <v>858</v>
      </c>
      <c r="D175" s="8">
        <v>923</v>
      </c>
      <c r="E175" s="8">
        <v>941</v>
      </c>
      <c r="F175" s="8">
        <v>941</v>
      </c>
      <c r="G175" s="8">
        <v>948</v>
      </c>
      <c r="H175" s="8">
        <v>956</v>
      </c>
      <c r="I175" s="8">
        <v>1014</v>
      </c>
      <c r="J175" s="8" t="s">
        <v>1326</v>
      </c>
      <c r="N175" s="17"/>
      <c r="S175" s="17"/>
    </row>
    <row r="176" spans="1:21" s="2" customFormat="1" ht="16.5" customHeight="1" thickBot="1">
      <c r="A176" s="12" t="s">
        <v>2329</v>
      </c>
      <c r="B176" s="38" t="s">
        <v>1755</v>
      </c>
      <c r="C176" s="8">
        <v>745</v>
      </c>
      <c r="D176" s="8">
        <v>778</v>
      </c>
      <c r="E176" s="8">
        <v>782</v>
      </c>
      <c r="F176" s="8">
        <v>783</v>
      </c>
      <c r="G176" s="8">
        <v>823</v>
      </c>
      <c r="H176" s="8">
        <v>824</v>
      </c>
      <c r="I176" s="8" t="s">
        <v>1326</v>
      </c>
      <c r="L176" s="17"/>
    </row>
    <row r="177" spans="1:15" s="2" customFormat="1" ht="16.5" customHeight="1" thickBot="1">
      <c r="A177" s="12" t="s">
        <v>1704</v>
      </c>
      <c r="B177" s="38" t="s">
        <v>1755</v>
      </c>
      <c r="C177" s="8">
        <v>412</v>
      </c>
      <c r="D177" s="8">
        <v>423</v>
      </c>
      <c r="E177" s="8">
        <v>424</v>
      </c>
      <c r="F177" s="8">
        <v>424</v>
      </c>
      <c r="G177" s="8" t="s">
        <v>1326</v>
      </c>
      <c r="L177" s="14"/>
    </row>
    <row r="178" spans="1:15" s="2" customFormat="1" ht="16.5" customHeight="1" thickBot="1">
      <c r="A178" s="12" t="s">
        <v>2334</v>
      </c>
      <c r="B178" s="22" t="s">
        <v>2206</v>
      </c>
      <c r="C178" s="8">
        <v>369</v>
      </c>
      <c r="D178" s="8">
        <v>509</v>
      </c>
      <c r="E178" s="8">
        <v>518</v>
      </c>
      <c r="F178" s="8">
        <v>519</v>
      </c>
      <c r="G178" s="8">
        <v>525</v>
      </c>
      <c r="H178" s="8" t="s">
        <v>1326</v>
      </c>
      <c r="L178" s="17"/>
    </row>
    <row r="179" spans="1:15" s="2" customFormat="1" ht="16.5" customHeight="1" thickBot="1">
      <c r="A179" s="12" t="s">
        <v>2337</v>
      </c>
      <c r="B179" s="38" t="s">
        <v>2338</v>
      </c>
      <c r="C179" s="8">
        <v>298</v>
      </c>
      <c r="D179" s="8">
        <v>298</v>
      </c>
      <c r="E179" s="8">
        <v>298</v>
      </c>
      <c r="F179" s="8" t="s">
        <v>1326</v>
      </c>
      <c r="L179" s="14"/>
    </row>
    <row r="180" spans="1:15" s="2" customFormat="1" ht="16.5" customHeight="1" thickBot="1">
      <c r="A180" s="12" t="s">
        <v>2336</v>
      </c>
      <c r="B180" s="38" t="s">
        <v>1755</v>
      </c>
      <c r="C180" s="8">
        <v>196</v>
      </c>
      <c r="D180" s="8">
        <v>215</v>
      </c>
      <c r="E180" s="8" t="s">
        <v>1326</v>
      </c>
      <c r="L180" s="17"/>
    </row>
    <row r="181" spans="1:15" s="2" customFormat="1" ht="12" customHeight="1">
      <c r="A181" s="1"/>
    </row>
    <row r="182" spans="1:15" s="2" customFormat="1" ht="16.5" customHeight="1">
      <c r="A182" s="1" t="s">
        <v>2217</v>
      </c>
    </row>
    <row r="183" spans="1:15" s="2" customFormat="1" ht="9.75" customHeight="1" thickBot="1">
      <c r="A183" s="3"/>
    </row>
    <row r="184" spans="1:15" s="2" customFormat="1" ht="16.5" customHeight="1" thickBot="1">
      <c r="A184" s="4" t="s">
        <v>1244</v>
      </c>
      <c r="B184" s="5" t="s">
        <v>1245</v>
      </c>
      <c r="C184" s="5" t="s">
        <v>1246</v>
      </c>
      <c r="D184" s="5">
        <v>2</v>
      </c>
      <c r="E184" s="5">
        <v>3</v>
      </c>
      <c r="F184" s="5">
        <v>4</v>
      </c>
      <c r="G184" s="5">
        <v>5</v>
      </c>
      <c r="H184" s="5">
        <v>6</v>
      </c>
      <c r="I184" s="5">
        <v>7</v>
      </c>
      <c r="J184" s="5">
        <v>8</v>
      </c>
      <c r="K184" s="5"/>
      <c r="L184" s="10" t="s">
        <v>1413</v>
      </c>
      <c r="M184" s="11">
        <f>(36078/57726)</f>
        <v>0.62498700758756887</v>
      </c>
    </row>
    <row r="185" spans="1:15" s="2" customFormat="1" ht="16.5" customHeight="1" thickBot="1">
      <c r="A185" s="6" t="s">
        <v>2165</v>
      </c>
      <c r="B185" s="25" t="s">
        <v>1247</v>
      </c>
      <c r="C185" s="36">
        <v>9740</v>
      </c>
      <c r="D185" s="8"/>
      <c r="E185" s="8"/>
      <c r="F185" s="8"/>
      <c r="G185" s="8"/>
      <c r="H185" s="8"/>
      <c r="I185" s="8"/>
      <c r="J185" s="8"/>
      <c r="K185" s="33" t="s">
        <v>1271</v>
      </c>
      <c r="L185" s="14"/>
      <c r="M185" s="10" t="s">
        <v>1248</v>
      </c>
      <c r="N185" s="10" t="s">
        <v>1249</v>
      </c>
      <c r="O185" s="10" t="s">
        <v>1250</v>
      </c>
    </row>
    <row r="186" spans="1:15" s="2" customFormat="1" ht="16.5" customHeight="1" thickBot="1">
      <c r="A186" s="6" t="s">
        <v>2168</v>
      </c>
      <c r="B186" s="7" t="s">
        <v>1261</v>
      </c>
      <c r="C186" s="8">
        <v>5207</v>
      </c>
      <c r="D186" s="8">
        <v>5309</v>
      </c>
      <c r="E186" s="8">
        <v>6003</v>
      </c>
      <c r="F186" s="8">
        <v>6005</v>
      </c>
      <c r="G186" s="36">
        <v>7965</v>
      </c>
      <c r="H186" s="36"/>
      <c r="I186" s="8"/>
      <c r="J186" s="8"/>
      <c r="K186" s="33" t="s">
        <v>1362</v>
      </c>
      <c r="L186" s="19" t="s">
        <v>1247</v>
      </c>
      <c r="M186" s="16">
        <f>(C185+C194)</f>
        <v>10367</v>
      </c>
      <c r="N186" s="17">
        <f>SUM(M186/M192)</f>
        <v>0.3026066143203246</v>
      </c>
      <c r="O186" s="14">
        <v>1</v>
      </c>
    </row>
    <row r="187" spans="1:15" s="2" customFormat="1" ht="16.5" customHeight="1" thickBot="1">
      <c r="A187" s="6" t="s">
        <v>2342</v>
      </c>
      <c r="B187" s="9" t="s">
        <v>2206</v>
      </c>
      <c r="C187" s="8">
        <v>4505</v>
      </c>
      <c r="D187" s="8">
        <v>4505</v>
      </c>
      <c r="E187" s="8">
        <v>4509</v>
      </c>
      <c r="F187" s="8">
        <v>5128</v>
      </c>
      <c r="G187" s="8">
        <v>5130</v>
      </c>
      <c r="H187" s="8">
        <v>5132</v>
      </c>
      <c r="I187" s="8">
        <v>5152</v>
      </c>
      <c r="J187" s="36">
        <v>5166</v>
      </c>
      <c r="K187" s="33" t="s">
        <v>1252</v>
      </c>
      <c r="L187" s="18" t="s">
        <v>2206</v>
      </c>
      <c r="M187" s="16">
        <v>4505</v>
      </c>
      <c r="N187" s="17">
        <f>SUM(M187/M192)</f>
        <v>0.13149829241951019</v>
      </c>
      <c r="O187" s="14">
        <v>1</v>
      </c>
    </row>
    <row r="188" spans="1:15" s="2" customFormat="1" ht="16.5" customHeight="1" thickBot="1">
      <c r="A188" s="12" t="s">
        <v>2341</v>
      </c>
      <c r="B188" s="27" t="s">
        <v>1258</v>
      </c>
      <c r="C188" s="8">
        <v>4394</v>
      </c>
      <c r="D188" s="8">
        <v>4396</v>
      </c>
      <c r="E188" s="8">
        <v>4399</v>
      </c>
      <c r="F188" s="8">
        <v>4849</v>
      </c>
      <c r="G188" s="8">
        <v>4866</v>
      </c>
      <c r="H188" s="8">
        <v>4869</v>
      </c>
      <c r="I188" s="8">
        <v>4893</v>
      </c>
      <c r="J188" s="8">
        <v>4919</v>
      </c>
      <c r="K188" s="33"/>
      <c r="L188" s="30" t="s">
        <v>1258</v>
      </c>
      <c r="M188" s="16">
        <v>4394</v>
      </c>
      <c r="N188" s="17">
        <f>SUM(M188/M192)</f>
        <v>0.12825826790040573</v>
      </c>
    </row>
    <row r="189" spans="1:15" s="2" customFormat="1" ht="16.5" customHeight="1" thickBot="1">
      <c r="A189" s="6" t="s">
        <v>2340</v>
      </c>
      <c r="B189" s="45" t="s">
        <v>1269</v>
      </c>
      <c r="C189" s="8">
        <v>2733</v>
      </c>
      <c r="D189" s="8">
        <v>2764</v>
      </c>
      <c r="E189" s="8">
        <v>2805</v>
      </c>
      <c r="F189" s="8">
        <v>2847</v>
      </c>
      <c r="G189" s="8">
        <v>3073</v>
      </c>
      <c r="H189" s="8">
        <v>3651</v>
      </c>
      <c r="I189" s="8">
        <v>4726</v>
      </c>
      <c r="J189" s="36">
        <v>5163</v>
      </c>
      <c r="K189" s="33" t="s">
        <v>1280</v>
      </c>
      <c r="L189" s="15" t="s">
        <v>1261</v>
      </c>
      <c r="M189" s="21">
        <f>(C186+C191+C193)</f>
        <v>8368</v>
      </c>
      <c r="N189" s="17">
        <f>SUM(M189/M192)</f>
        <v>0.24425698356636213</v>
      </c>
      <c r="O189" s="2">
        <v>1</v>
      </c>
    </row>
    <row r="190" spans="1:15" s="2" customFormat="1" ht="16.5" customHeight="1" thickBot="1">
      <c r="A190" s="12" t="s">
        <v>2339</v>
      </c>
      <c r="B190" s="37" t="s">
        <v>1286</v>
      </c>
      <c r="C190" s="8">
        <v>2493</v>
      </c>
      <c r="D190" s="8">
        <v>2513</v>
      </c>
      <c r="E190" s="8">
        <v>2567</v>
      </c>
      <c r="F190" s="8">
        <v>2581</v>
      </c>
      <c r="G190" s="8">
        <v>2663</v>
      </c>
      <c r="H190" s="8">
        <v>3017</v>
      </c>
      <c r="I190" s="8" t="s">
        <v>1326</v>
      </c>
      <c r="L190" s="31" t="s">
        <v>1269</v>
      </c>
      <c r="M190" s="21">
        <v>2733</v>
      </c>
      <c r="N190" s="17">
        <f>SUM(M190/M192)</f>
        <v>7.9774657754166783E-2</v>
      </c>
      <c r="O190" s="2">
        <v>1</v>
      </c>
    </row>
    <row r="191" spans="1:15" s="2" customFormat="1" ht="16.5" customHeight="1" thickBot="1">
      <c r="A191" s="12" t="s">
        <v>2344</v>
      </c>
      <c r="B191" s="20" t="s">
        <v>1261</v>
      </c>
      <c r="C191" s="8">
        <v>2145</v>
      </c>
      <c r="D191" s="8">
        <v>2204</v>
      </c>
      <c r="E191" s="8">
        <v>2453</v>
      </c>
      <c r="F191" s="8">
        <v>2455</v>
      </c>
      <c r="G191" s="8" t="s">
        <v>1326</v>
      </c>
      <c r="L191" s="26" t="s">
        <v>1254</v>
      </c>
      <c r="M191" s="21">
        <f>(C190+C192+C195)</f>
        <v>3892</v>
      </c>
      <c r="N191" s="11">
        <f>SUM(M191/M192)</f>
        <v>0.11360518403923056</v>
      </c>
    </row>
    <row r="192" spans="1:15" s="2" customFormat="1" ht="16.5" customHeight="1" thickBot="1">
      <c r="A192" s="12" t="s">
        <v>1841</v>
      </c>
      <c r="B192" s="63" t="s">
        <v>1276</v>
      </c>
      <c r="C192" s="8">
        <v>1255</v>
      </c>
      <c r="D192" s="8">
        <v>1255</v>
      </c>
      <c r="E192" s="8">
        <v>1256</v>
      </c>
      <c r="F192" s="8" t="s">
        <v>1326</v>
      </c>
      <c r="M192" s="23">
        <v>34259</v>
      </c>
    </row>
    <row r="193" spans="1:18" s="2" customFormat="1" ht="16.5" customHeight="1" thickBot="1">
      <c r="A193" s="12" t="s">
        <v>1669</v>
      </c>
      <c r="B193" s="20" t="s">
        <v>1261</v>
      </c>
      <c r="C193" s="8">
        <v>1016</v>
      </c>
      <c r="D193" s="8">
        <v>1024</v>
      </c>
      <c r="E193" s="8" t="s">
        <v>1326</v>
      </c>
    </row>
    <row r="194" spans="1:18" s="2" customFormat="1" ht="16.5" customHeight="1" thickBot="1">
      <c r="A194" s="12" t="s">
        <v>2169</v>
      </c>
      <c r="B194" s="13" t="s">
        <v>1247</v>
      </c>
      <c r="C194" s="8">
        <v>627</v>
      </c>
      <c r="D194" s="8">
        <v>3240</v>
      </c>
      <c r="E194" s="8">
        <v>3326</v>
      </c>
      <c r="F194" s="8">
        <v>3326</v>
      </c>
      <c r="G194" s="8">
        <v>3398</v>
      </c>
      <c r="H194" s="8">
        <v>3566</v>
      </c>
      <c r="I194" s="8">
        <v>3824</v>
      </c>
      <c r="J194" s="8" t="s">
        <v>1326</v>
      </c>
    </row>
    <row r="195" spans="1:18" s="2" customFormat="1" ht="16.5" customHeight="1" thickBot="1">
      <c r="A195" s="12" t="s">
        <v>2343</v>
      </c>
      <c r="B195" s="38" t="s">
        <v>2338</v>
      </c>
      <c r="C195" s="8">
        <v>144</v>
      </c>
      <c r="D195" s="8">
        <v>162</v>
      </c>
      <c r="E195" s="8" t="s">
        <v>1326</v>
      </c>
      <c r="M195" s="17"/>
      <c r="R195" s="17"/>
    </row>
    <row r="196" spans="1:18" s="2" customFormat="1" ht="12" customHeight="1">
      <c r="A196" s="1"/>
    </row>
    <row r="197" spans="1:18" s="2" customFormat="1" ht="16.5" customHeight="1">
      <c r="A197" s="1" t="s">
        <v>2216</v>
      </c>
    </row>
    <row r="198" spans="1:18" s="2" customFormat="1" ht="9.75" customHeight="1" thickBot="1">
      <c r="A198" s="3"/>
    </row>
    <row r="199" spans="1:18" s="2" customFormat="1" ht="16.5" customHeight="1" thickBot="1">
      <c r="A199" s="4" t="s">
        <v>1244</v>
      </c>
      <c r="B199" s="5" t="s">
        <v>1245</v>
      </c>
      <c r="C199" s="5" t="s">
        <v>1246</v>
      </c>
      <c r="D199" s="5">
        <v>2</v>
      </c>
      <c r="E199" s="5">
        <v>3</v>
      </c>
      <c r="F199" s="5">
        <v>4</v>
      </c>
      <c r="G199" s="5">
        <v>5</v>
      </c>
      <c r="H199" s="5">
        <v>6</v>
      </c>
      <c r="I199" s="5"/>
      <c r="J199" s="10" t="s">
        <v>1413</v>
      </c>
      <c r="K199" s="11">
        <f>(38712/66683)</f>
        <v>0.5805377682467795</v>
      </c>
    </row>
    <row r="200" spans="1:18" s="2" customFormat="1" ht="16.5" customHeight="1" thickBot="1">
      <c r="A200" s="6" t="s">
        <v>2347</v>
      </c>
      <c r="B200" s="9" t="s">
        <v>2206</v>
      </c>
      <c r="C200" s="36">
        <v>13337</v>
      </c>
      <c r="D200" s="8"/>
      <c r="E200" s="8"/>
      <c r="F200" s="8"/>
      <c r="G200" s="8"/>
      <c r="H200" s="36"/>
      <c r="I200" s="33" t="s">
        <v>1271</v>
      </c>
      <c r="J200" s="14"/>
      <c r="K200" s="10" t="s">
        <v>1248</v>
      </c>
      <c r="L200" s="10" t="s">
        <v>1249</v>
      </c>
      <c r="M200" s="10" t="s">
        <v>1250</v>
      </c>
    </row>
    <row r="201" spans="1:18" s="2" customFormat="1" ht="16.5" customHeight="1" thickBot="1">
      <c r="A201" s="6" t="s">
        <v>2348</v>
      </c>
      <c r="B201" s="45" t="s">
        <v>1269</v>
      </c>
      <c r="C201" s="36">
        <v>6514</v>
      </c>
      <c r="D201" s="8"/>
      <c r="E201" s="8"/>
      <c r="F201" s="8"/>
      <c r="G201" s="36"/>
      <c r="H201" s="8"/>
      <c r="I201" s="33" t="s">
        <v>1362</v>
      </c>
      <c r="J201" s="18" t="s">
        <v>2206</v>
      </c>
      <c r="K201" s="16">
        <f>(C200+C204+C207)</f>
        <v>17338</v>
      </c>
      <c r="L201" s="17">
        <f>SUM(K201/K206)</f>
        <v>0.46272918946328967</v>
      </c>
      <c r="M201" s="14">
        <v>3</v>
      </c>
    </row>
    <row r="202" spans="1:18" s="2" customFormat="1" ht="16.5" customHeight="1" thickBot="1">
      <c r="A202" s="6" t="s">
        <v>2352</v>
      </c>
      <c r="B202" s="28" t="s">
        <v>1258</v>
      </c>
      <c r="C202" s="8">
        <v>4091</v>
      </c>
      <c r="D202" s="8">
        <v>4695</v>
      </c>
      <c r="E202" s="8">
        <v>4860</v>
      </c>
      <c r="F202" s="36">
        <v>6881</v>
      </c>
      <c r="G202" s="8"/>
      <c r="H202" s="8"/>
      <c r="I202" s="33" t="s">
        <v>1252</v>
      </c>
      <c r="J202" s="30" t="s">
        <v>1258</v>
      </c>
      <c r="K202" s="16">
        <f>(C202+C206)</f>
        <v>6202</v>
      </c>
      <c r="L202" s="17">
        <f>SUM(K202/K206)</f>
        <v>0.16552349942619232</v>
      </c>
      <c r="M202" s="2">
        <v>1</v>
      </c>
    </row>
    <row r="203" spans="1:18" s="2" customFormat="1" ht="16.5" customHeight="1" thickBot="1">
      <c r="A203" s="12" t="s">
        <v>2346</v>
      </c>
      <c r="B203" s="20" t="s">
        <v>1261</v>
      </c>
      <c r="C203" s="8">
        <v>3342</v>
      </c>
      <c r="D203" s="8">
        <v>3344</v>
      </c>
      <c r="E203" s="8">
        <v>3740</v>
      </c>
      <c r="F203" s="8">
        <v>3740</v>
      </c>
      <c r="G203" s="8">
        <v>3741</v>
      </c>
      <c r="H203" s="8">
        <v>4713</v>
      </c>
      <c r="I203" s="33"/>
      <c r="J203" s="15" t="s">
        <v>1261</v>
      </c>
      <c r="K203" s="21">
        <v>3342</v>
      </c>
      <c r="L203" s="17">
        <f>SUM(K203/K206)</f>
        <v>8.9193733486348709E-2</v>
      </c>
    </row>
    <row r="204" spans="1:18" s="2" customFormat="1" ht="16.5" customHeight="1" thickBot="1">
      <c r="A204" s="6" t="s">
        <v>2351</v>
      </c>
      <c r="B204" s="9" t="s">
        <v>2206</v>
      </c>
      <c r="C204" s="8">
        <v>2875</v>
      </c>
      <c r="D204" s="8">
        <v>5210</v>
      </c>
      <c r="E204" s="8">
        <v>5370</v>
      </c>
      <c r="F204" s="8">
        <v>5408</v>
      </c>
      <c r="G204" s="8">
        <v>5734</v>
      </c>
      <c r="H204" s="36">
        <v>6253</v>
      </c>
      <c r="I204" s="33" t="s">
        <v>1280</v>
      </c>
      <c r="J204" s="31" t="s">
        <v>1269</v>
      </c>
      <c r="K204" s="21">
        <f>(C201+C205)</f>
        <v>9007</v>
      </c>
      <c r="L204" s="17">
        <f>SUM(K204/K206)</f>
        <v>0.24038538525180816</v>
      </c>
      <c r="M204" s="2">
        <v>1</v>
      </c>
    </row>
    <row r="205" spans="1:18" s="2" customFormat="1" ht="16.5" customHeight="1" thickBot="1">
      <c r="A205" s="12" t="s">
        <v>2354</v>
      </c>
      <c r="B205" s="32" t="s">
        <v>1269</v>
      </c>
      <c r="C205" s="8">
        <v>2493</v>
      </c>
      <c r="D205" s="8">
        <v>2644</v>
      </c>
      <c r="E205" s="8">
        <v>3260</v>
      </c>
      <c r="F205" s="8">
        <v>3274</v>
      </c>
      <c r="G205" s="8">
        <v>3293</v>
      </c>
      <c r="H205" s="8" t="s">
        <v>1326</v>
      </c>
      <c r="J205" s="26" t="s">
        <v>1254</v>
      </c>
      <c r="K205" s="21">
        <f>SUM(C208:C214)</f>
        <v>1580</v>
      </c>
      <c r="L205" s="11">
        <f>SUM(K205/K206)</f>
        <v>4.2168192372361149E-2</v>
      </c>
    </row>
    <row r="206" spans="1:18" s="2" customFormat="1" ht="16.5" customHeight="1" thickBot="1">
      <c r="A206" s="12" t="s">
        <v>1504</v>
      </c>
      <c r="B206" s="27" t="s">
        <v>1258</v>
      </c>
      <c r="C206" s="8">
        <v>2111</v>
      </c>
      <c r="D206" s="8">
        <v>2408</v>
      </c>
      <c r="E206" s="8">
        <v>2496</v>
      </c>
      <c r="F206" s="8" t="s">
        <v>1326</v>
      </c>
      <c r="K206" s="23">
        <v>37469</v>
      </c>
    </row>
    <row r="207" spans="1:18" s="2" customFormat="1" ht="16.5" customHeight="1" thickBot="1">
      <c r="A207" s="6" t="s">
        <v>2356</v>
      </c>
      <c r="B207" s="9" t="s">
        <v>2206</v>
      </c>
      <c r="C207" s="8">
        <v>1126</v>
      </c>
      <c r="D207" s="8">
        <v>4427</v>
      </c>
      <c r="E207" s="8">
        <v>4617</v>
      </c>
      <c r="F207" s="8">
        <v>4673</v>
      </c>
      <c r="G207" s="8">
        <v>4960</v>
      </c>
      <c r="H207" s="36">
        <v>5416</v>
      </c>
      <c r="I207" s="33" t="s">
        <v>1251</v>
      </c>
    </row>
    <row r="208" spans="1:18" s="2" customFormat="1" ht="16.5" customHeight="1" thickBot="1">
      <c r="A208" s="12" t="s">
        <v>2359</v>
      </c>
      <c r="B208" s="37" t="s">
        <v>1286</v>
      </c>
      <c r="C208" s="8">
        <v>933</v>
      </c>
      <c r="D208" s="8">
        <v>939</v>
      </c>
      <c r="E208" s="8" t="s">
        <v>1326</v>
      </c>
    </row>
    <row r="209" spans="1:29" s="2" customFormat="1" ht="16.5" customHeight="1" thickBot="1">
      <c r="A209" s="12" t="s">
        <v>2349</v>
      </c>
      <c r="B209" s="83" t="s">
        <v>2230</v>
      </c>
      <c r="C209" s="8">
        <v>248</v>
      </c>
      <c r="D209" s="8">
        <v>323</v>
      </c>
      <c r="E209" s="8" t="s">
        <v>1326</v>
      </c>
    </row>
    <row r="210" spans="1:29" s="2" customFormat="1" ht="16.5" customHeight="1" thickBot="1">
      <c r="A210" s="12" t="s">
        <v>2358</v>
      </c>
      <c r="B210" s="38" t="s">
        <v>2345</v>
      </c>
      <c r="C210" s="8">
        <v>168</v>
      </c>
      <c r="D210" s="43">
        <v>170</v>
      </c>
      <c r="E210" s="8" t="s">
        <v>1326</v>
      </c>
      <c r="K210" s="17"/>
    </row>
    <row r="211" spans="1:29" s="2" customFormat="1" ht="16.5" customHeight="1" thickBot="1">
      <c r="A211" s="12" t="s">
        <v>2353</v>
      </c>
      <c r="B211" s="83" t="s">
        <v>2230</v>
      </c>
      <c r="C211" s="8">
        <v>82</v>
      </c>
      <c r="D211" s="8">
        <v>239</v>
      </c>
      <c r="E211" s="8" t="s">
        <v>1326</v>
      </c>
      <c r="M211" s="17"/>
      <c r="R211"/>
      <c r="Y211"/>
    </row>
    <row r="212" spans="1:29" s="2" customFormat="1" ht="16.5" customHeight="1" thickBot="1">
      <c r="A212" s="12" t="s">
        <v>2355</v>
      </c>
      <c r="B212" s="38" t="s">
        <v>1270</v>
      </c>
      <c r="C212" s="8">
        <v>65</v>
      </c>
      <c r="D212" s="8">
        <v>86</v>
      </c>
      <c r="E212" s="8" t="s">
        <v>1326</v>
      </c>
      <c r="L212" s="17"/>
    </row>
    <row r="213" spans="1:29" s="2" customFormat="1" ht="16.5" customHeight="1" thickBot="1">
      <c r="A213" s="12" t="s">
        <v>2357</v>
      </c>
      <c r="B213" s="38" t="s">
        <v>1270</v>
      </c>
      <c r="C213" s="8">
        <v>65</v>
      </c>
      <c r="D213" s="8">
        <v>89</v>
      </c>
      <c r="E213" s="8" t="s">
        <v>1326</v>
      </c>
      <c r="L213" s="14"/>
    </row>
    <row r="214" spans="1:29" s="2" customFormat="1" ht="16.5" customHeight="1" thickBot="1">
      <c r="A214" s="12" t="s">
        <v>2350</v>
      </c>
      <c r="B214" s="38" t="s">
        <v>1270</v>
      </c>
      <c r="C214" s="8">
        <v>19</v>
      </c>
      <c r="D214" s="8">
        <v>21</v>
      </c>
      <c r="E214" s="8" t="s">
        <v>1326</v>
      </c>
      <c r="L214" s="17"/>
      <c r="Q214" s="17"/>
      <c r="V214"/>
      <c r="AC214"/>
    </row>
    <row r="215" spans="1:29" s="2" customFormat="1" ht="12" customHeight="1">
      <c r="A215" s="1"/>
    </row>
    <row r="216" spans="1:29" s="2" customFormat="1" ht="16.5" customHeight="1">
      <c r="A216" s="1" t="s">
        <v>2214</v>
      </c>
    </row>
    <row r="217" spans="1:29" s="2" customFormat="1" ht="9.75" customHeight="1" thickBot="1">
      <c r="A217" s="3"/>
    </row>
    <row r="218" spans="1:29" s="2" customFormat="1" ht="16.5" customHeight="1" thickBot="1">
      <c r="A218" s="4" t="s">
        <v>1244</v>
      </c>
      <c r="B218" s="5" t="s">
        <v>1245</v>
      </c>
      <c r="C218" s="5" t="s">
        <v>1246</v>
      </c>
      <c r="D218" s="5">
        <v>2</v>
      </c>
      <c r="E218" s="5">
        <v>3</v>
      </c>
      <c r="F218" s="5">
        <v>4</v>
      </c>
      <c r="G218" s="5">
        <v>5</v>
      </c>
      <c r="H218" s="5">
        <v>6</v>
      </c>
      <c r="I218" s="5">
        <v>7</v>
      </c>
      <c r="J218" s="5">
        <v>8</v>
      </c>
      <c r="K218" s="5">
        <v>9</v>
      </c>
      <c r="L218" s="5">
        <v>10</v>
      </c>
      <c r="M218" s="5"/>
      <c r="N218" s="10" t="s">
        <v>1413</v>
      </c>
      <c r="O218" s="11">
        <f>(40692/74273)</f>
        <v>0.54787069325326831</v>
      </c>
    </row>
    <row r="219" spans="1:29" s="2" customFormat="1" ht="16.5" customHeight="1" thickBot="1">
      <c r="A219" s="6" t="s">
        <v>2191</v>
      </c>
      <c r="B219" s="28" t="s">
        <v>1258</v>
      </c>
      <c r="C219" s="36">
        <v>15319</v>
      </c>
      <c r="D219" s="8"/>
      <c r="E219" s="8"/>
      <c r="F219" s="8"/>
      <c r="G219" s="8"/>
      <c r="H219" s="8"/>
      <c r="I219" s="36"/>
      <c r="J219" s="8"/>
      <c r="K219" s="8"/>
      <c r="L219" s="8"/>
      <c r="M219" s="33" t="s">
        <v>1271</v>
      </c>
      <c r="N219" s="14"/>
      <c r="O219" s="10" t="s">
        <v>1248</v>
      </c>
      <c r="P219" s="10" t="s">
        <v>1249</v>
      </c>
      <c r="Q219" s="10" t="s">
        <v>1250</v>
      </c>
    </row>
    <row r="220" spans="1:29" s="2" customFormat="1" ht="16.5" customHeight="1" thickBot="1">
      <c r="A220" s="6" t="s">
        <v>2361</v>
      </c>
      <c r="B220" s="9" t="s">
        <v>2206</v>
      </c>
      <c r="C220" s="36">
        <v>7345</v>
      </c>
      <c r="D220" s="8"/>
      <c r="E220" s="8"/>
      <c r="F220" s="8"/>
      <c r="G220" s="8"/>
      <c r="H220" s="8"/>
      <c r="I220" s="36"/>
      <c r="J220" s="8"/>
      <c r="K220" s="8"/>
      <c r="L220" s="8"/>
      <c r="M220" s="33" t="s">
        <v>1362</v>
      </c>
      <c r="N220" s="18" t="s">
        <v>2206</v>
      </c>
      <c r="O220" s="16">
        <f>(C220+C224+C225)</f>
        <v>10014</v>
      </c>
      <c r="P220" s="17">
        <f>SUM(O220/O225)</f>
        <v>0.25405281984930361</v>
      </c>
      <c r="Q220" s="14">
        <v>2</v>
      </c>
    </row>
    <row r="221" spans="1:29" s="2" customFormat="1" ht="16.5" customHeight="1" thickBot="1">
      <c r="A221" s="6" t="s">
        <v>2360</v>
      </c>
      <c r="B221" s="45" t="s">
        <v>1269</v>
      </c>
      <c r="C221" s="36">
        <v>6037</v>
      </c>
      <c r="D221" s="8"/>
      <c r="E221" s="8"/>
      <c r="F221" s="8"/>
      <c r="G221" s="8"/>
      <c r="H221" s="8"/>
      <c r="I221" s="8"/>
      <c r="J221" s="8"/>
      <c r="K221" s="8"/>
      <c r="L221" s="8"/>
      <c r="M221" s="33" t="s">
        <v>1252</v>
      </c>
      <c r="N221" s="30" t="s">
        <v>1258</v>
      </c>
      <c r="O221" s="16">
        <f>(C219+C229+C230)</f>
        <v>15951</v>
      </c>
      <c r="P221" s="17">
        <f>SUM(O221/O225)</f>
        <v>0.40467311058680266</v>
      </c>
      <c r="Q221" s="2">
        <v>2</v>
      </c>
    </row>
    <row r="222" spans="1:29" s="2" customFormat="1" ht="16.5" customHeight="1" thickBot="1">
      <c r="A222" s="6" t="s">
        <v>2366</v>
      </c>
      <c r="B222" s="45" t="s">
        <v>1269</v>
      </c>
      <c r="C222" s="8">
        <v>2966</v>
      </c>
      <c r="D222" s="8">
        <v>3057</v>
      </c>
      <c r="E222" s="8">
        <v>3062</v>
      </c>
      <c r="F222" s="8">
        <v>3088</v>
      </c>
      <c r="G222" s="8">
        <v>3093</v>
      </c>
      <c r="H222" s="8">
        <v>3402</v>
      </c>
      <c r="I222" s="8">
        <v>3740</v>
      </c>
      <c r="J222" s="8">
        <v>3794</v>
      </c>
      <c r="K222" s="8">
        <v>4491</v>
      </c>
      <c r="L222" s="36">
        <v>4881</v>
      </c>
      <c r="M222" s="33" t="s">
        <v>1253</v>
      </c>
      <c r="N222" s="15" t="s">
        <v>1261</v>
      </c>
      <c r="O222" s="21">
        <v>868</v>
      </c>
      <c r="P222" s="17">
        <f>SUM(O222/O225)</f>
        <v>2.2020955425324097E-2</v>
      </c>
    </row>
    <row r="223" spans="1:29" s="2" customFormat="1" ht="16.5" customHeight="1" thickBot="1">
      <c r="A223" s="12" t="s">
        <v>2362</v>
      </c>
      <c r="B223" s="63" t="s">
        <v>496</v>
      </c>
      <c r="C223" s="8">
        <v>2274</v>
      </c>
      <c r="D223" s="8">
        <v>2806</v>
      </c>
      <c r="E223" s="8">
        <v>2826</v>
      </c>
      <c r="F223" s="8">
        <v>2964</v>
      </c>
      <c r="G223" s="8">
        <v>2989</v>
      </c>
      <c r="H223" s="8">
        <v>3000</v>
      </c>
      <c r="I223" s="8">
        <v>3025</v>
      </c>
      <c r="J223" s="8">
        <v>3190</v>
      </c>
      <c r="K223" s="8">
        <v>3361</v>
      </c>
      <c r="L223" s="8" t="s">
        <v>1326</v>
      </c>
      <c r="N223" s="31" t="s">
        <v>1269</v>
      </c>
      <c r="O223" s="21">
        <f>(C221+C222)</f>
        <v>9003</v>
      </c>
      <c r="P223" s="17">
        <f>SUM(O223/O225)</f>
        <v>0.22840398812695031</v>
      </c>
      <c r="Q223" s="2">
        <v>2</v>
      </c>
    </row>
    <row r="224" spans="1:29" s="2" customFormat="1" ht="16.5" customHeight="1" thickBot="1">
      <c r="A224" s="6" t="s">
        <v>2363</v>
      </c>
      <c r="B224" s="9" t="s">
        <v>2206</v>
      </c>
      <c r="C224" s="8">
        <v>1696</v>
      </c>
      <c r="D224" s="8">
        <v>2066</v>
      </c>
      <c r="E224" s="8">
        <v>2087</v>
      </c>
      <c r="F224" s="8">
        <v>3271</v>
      </c>
      <c r="G224" s="8">
        <v>3309</v>
      </c>
      <c r="H224" s="8">
        <v>3323</v>
      </c>
      <c r="I224" s="8">
        <v>3347</v>
      </c>
      <c r="J224" s="8">
        <v>3512</v>
      </c>
      <c r="K224" s="8">
        <v>4565</v>
      </c>
      <c r="L224" s="36">
        <v>5981</v>
      </c>
      <c r="M224" s="33" t="s">
        <v>1251</v>
      </c>
      <c r="N224" s="26" t="s">
        <v>1254</v>
      </c>
      <c r="O224" s="21">
        <f>(C223+C227+C228+C231)</f>
        <v>3581</v>
      </c>
      <c r="P224" s="11">
        <f>SUM(O224/O225)</f>
        <v>9.0849126011619347E-2</v>
      </c>
    </row>
    <row r="225" spans="1:20" s="2" customFormat="1" ht="16.5" customHeight="1" thickBot="1">
      <c r="A225" s="12" t="s">
        <v>2365</v>
      </c>
      <c r="B225" s="22" t="s">
        <v>2206</v>
      </c>
      <c r="C225" s="8">
        <v>973</v>
      </c>
      <c r="D225" s="8">
        <v>1126</v>
      </c>
      <c r="E225" s="8">
        <v>1136</v>
      </c>
      <c r="F225" s="8">
        <v>1377</v>
      </c>
      <c r="G225" s="8">
        <v>1394</v>
      </c>
      <c r="H225" s="8">
        <v>1398</v>
      </c>
      <c r="I225" s="8">
        <v>1408</v>
      </c>
      <c r="J225" s="8">
        <v>1520</v>
      </c>
      <c r="K225" s="8" t="s">
        <v>1326</v>
      </c>
      <c r="O225" s="23">
        <v>39417</v>
      </c>
    </row>
    <row r="226" spans="1:20" s="2" customFormat="1" ht="16.5" customHeight="1" thickBot="1">
      <c r="A226" s="12" t="s">
        <v>2364</v>
      </c>
      <c r="B226" s="20" t="s">
        <v>1261</v>
      </c>
      <c r="C226" s="8">
        <v>868</v>
      </c>
      <c r="D226" s="8">
        <v>873</v>
      </c>
      <c r="E226" s="8">
        <v>875</v>
      </c>
      <c r="F226" s="8">
        <v>875</v>
      </c>
      <c r="G226" s="8">
        <v>875</v>
      </c>
      <c r="H226" s="8">
        <v>881</v>
      </c>
      <c r="I226" s="8">
        <v>1090</v>
      </c>
      <c r="J226" s="8">
        <v>1091</v>
      </c>
      <c r="K226" s="8" t="s">
        <v>1326</v>
      </c>
    </row>
    <row r="227" spans="1:20" s="2" customFormat="1" ht="16.5" customHeight="1" thickBot="1">
      <c r="A227" s="12" t="s">
        <v>2369</v>
      </c>
      <c r="B227" s="37" t="s">
        <v>1286</v>
      </c>
      <c r="C227" s="8">
        <v>681</v>
      </c>
      <c r="D227" s="8">
        <v>696</v>
      </c>
      <c r="E227" s="8">
        <v>697</v>
      </c>
      <c r="F227" s="8">
        <v>704</v>
      </c>
      <c r="G227" s="8">
        <v>707</v>
      </c>
      <c r="H227" s="8">
        <v>712</v>
      </c>
      <c r="I227" s="8" t="s">
        <v>1326</v>
      </c>
    </row>
    <row r="228" spans="1:20" s="2" customFormat="1" ht="16.5" customHeight="1" thickBot="1">
      <c r="A228" s="12" t="s">
        <v>1904</v>
      </c>
      <c r="B228" s="83" t="s">
        <v>2230</v>
      </c>
      <c r="C228" s="8">
        <v>503</v>
      </c>
      <c r="D228" s="8">
        <v>649</v>
      </c>
      <c r="E228" s="8">
        <v>655</v>
      </c>
      <c r="F228" s="8">
        <v>691</v>
      </c>
      <c r="G228" s="8">
        <v>769</v>
      </c>
      <c r="H228" s="8">
        <v>772</v>
      </c>
      <c r="I228" s="8">
        <v>777</v>
      </c>
      <c r="J228" s="8" t="s">
        <v>1326</v>
      </c>
      <c r="T228"/>
    </row>
    <row r="229" spans="1:20" s="2" customFormat="1" ht="16.5" customHeight="1" thickBot="1">
      <c r="A229" s="12" t="s">
        <v>2195</v>
      </c>
      <c r="B229" s="27" t="s">
        <v>1258</v>
      </c>
      <c r="C229" s="8">
        <v>397</v>
      </c>
      <c r="D229" s="8">
        <v>1239</v>
      </c>
      <c r="E229" s="8">
        <v>3024</v>
      </c>
      <c r="F229" s="8">
        <v>3044</v>
      </c>
      <c r="G229" s="8">
        <v>3061</v>
      </c>
      <c r="H229" s="8">
        <v>3065</v>
      </c>
      <c r="I229" s="8">
        <v>3081</v>
      </c>
      <c r="J229" s="8">
        <v>3259</v>
      </c>
      <c r="K229" s="8">
        <v>3400</v>
      </c>
      <c r="L229" s="8">
        <v>4170</v>
      </c>
      <c r="M229" s="33"/>
      <c r="Q229" s="17"/>
    </row>
    <row r="230" spans="1:20" s="2" customFormat="1" ht="16.5" customHeight="1" thickBot="1">
      <c r="A230" s="6" t="s">
        <v>2367</v>
      </c>
      <c r="B230" s="28" t="s">
        <v>1258</v>
      </c>
      <c r="C230" s="8">
        <v>235</v>
      </c>
      <c r="D230" s="36">
        <v>7583</v>
      </c>
      <c r="E230" s="8"/>
      <c r="F230" s="8"/>
      <c r="G230" s="8"/>
      <c r="H230" s="8"/>
      <c r="I230" s="8"/>
      <c r="J230" s="8"/>
      <c r="K230" s="8"/>
      <c r="L230" s="8"/>
      <c r="M230" s="33" t="s">
        <v>1280</v>
      </c>
    </row>
    <row r="231" spans="1:20" s="2" customFormat="1" ht="16.5" customHeight="1" thickBot="1">
      <c r="A231" s="12" t="s">
        <v>2368</v>
      </c>
      <c r="B231" s="83" t="s">
        <v>2230</v>
      </c>
      <c r="C231" s="8">
        <v>123</v>
      </c>
      <c r="D231" s="8">
        <v>185</v>
      </c>
      <c r="E231" s="8">
        <v>187</v>
      </c>
      <c r="F231" s="8">
        <v>199</v>
      </c>
      <c r="G231" s="8" t="s">
        <v>1326</v>
      </c>
      <c r="N231" s="17"/>
      <c r="S231" s="17"/>
    </row>
    <row r="232" spans="1:20">
      <c r="C232" s="24"/>
    </row>
    <row r="233" spans="1:20" s="64" customFormat="1" ht="14.25" customHeight="1">
      <c r="B233" s="52" t="s">
        <v>1255</v>
      </c>
      <c r="C233" s="65" t="s">
        <v>1247</v>
      </c>
      <c r="D233" s="50" t="s">
        <v>1258</v>
      </c>
      <c r="E233" s="48" t="s">
        <v>1261</v>
      </c>
      <c r="F233" s="49" t="s">
        <v>2206</v>
      </c>
      <c r="G233" s="66" t="s">
        <v>1269</v>
      </c>
      <c r="H233" s="67" t="s">
        <v>1254</v>
      </c>
      <c r="J233" s="67"/>
      <c r="K233" s="68"/>
    </row>
    <row r="234" spans="1:20" s="64" customFormat="1" ht="14.25" customHeight="1">
      <c r="A234" s="64" t="s">
        <v>1248</v>
      </c>
      <c r="B234" s="69">
        <f>SUM(P84+R46+Q28+O11+O225+K206+M192+S171+R150+P130+AB100+S65)</f>
        <v>633120</v>
      </c>
      <c r="C234" s="68">
        <f>SUM(P78+R40+Q22+O5+M186+S165+S59)</f>
        <v>64191</v>
      </c>
      <c r="D234" s="68">
        <f>SUM(P80+R42+Q24+O7+O221+K202+M188+S167+R146+P126+AB96+S61)</f>
        <v>145528</v>
      </c>
      <c r="E234" s="68">
        <f>SUM(P81+R43+Q25+O8+O222+K203+M189+S168+R147+P127+AB97+S62)</f>
        <v>118891</v>
      </c>
      <c r="F234" s="68">
        <f>SUM(P79+R41+Q23+O6+O220+K201+M187+S166+R145+P125+AB95+S60)</f>
        <v>188277</v>
      </c>
      <c r="G234" s="68">
        <f>SUM(P82+R44+O9+O223+K204+M190+S169+R148+P128+Q26+AB98+S63)</f>
        <v>58851</v>
      </c>
      <c r="H234" s="68">
        <f>SUM(P83+R45+Q27+O10+O224+K205+M191+S170+R149+P129+AB99+S64)</f>
        <v>57382</v>
      </c>
      <c r="J234" s="52"/>
      <c r="K234" s="69"/>
    </row>
    <row r="235" spans="1:20" s="64" customFormat="1" ht="14.25" customHeight="1">
      <c r="A235" s="64" t="s">
        <v>1249</v>
      </c>
      <c r="B235" s="60">
        <v>1</v>
      </c>
      <c r="C235" s="70">
        <f t="shared" ref="C235:H235" si="0">SUM(C234/$B$234)</f>
        <v>0.10138836239575436</v>
      </c>
      <c r="D235" s="70">
        <f t="shared" si="0"/>
        <v>0.22985847864543846</v>
      </c>
      <c r="E235" s="70">
        <f t="shared" si="0"/>
        <v>0.18778588577204952</v>
      </c>
      <c r="F235" s="70">
        <f t="shared" si="0"/>
        <v>0.29737964366944653</v>
      </c>
      <c r="G235" s="70">
        <f t="shared" si="0"/>
        <v>9.2953942380591362E-2</v>
      </c>
      <c r="H235" s="70">
        <f t="shared" si="0"/>
        <v>9.0633687136719737E-2</v>
      </c>
    </row>
    <row r="236" spans="1:20" s="64" customFormat="1" ht="14.25" customHeight="1">
      <c r="A236" s="64" t="s">
        <v>1250</v>
      </c>
      <c r="B236" s="52">
        <v>78</v>
      </c>
      <c r="C236" s="64">
        <v>5</v>
      </c>
      <c r="D236" s="64">
        <v>21</v>
      </c>
      <c r="E236" s="64">
        <v>14</v>
      </c>
      <c r="F236" s="64">
        <v>26</v>
      </c>
      <c r="G236" s="64">
        <v>10</v>
      </c>
      <c r="H236" s="64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2"/>
  <dimension ref="A1:Y217"/>
  <sheetViews>
    <sheetView topLeftCell="A37" workbookViewId="0">
      <pane xSplit="2" topLeftCell="C1" activePane="topRight" state="frozen"/>
      <selection activeCell="A91" sqref="A91"/>
      <selection pane="topRight" activeCell="O1" sqref="O1"/>
    </sheetView>
  </sheetViews>
  <sheetFormatPr defaultRowHeight="12.75"/>
  <cols>
    <col min="1" max="1" width="25.5703125" customWidth="1"/>
    <col min="2" max="2" width="9.28515625" customWidth="1"/>
    <col min="3" max="3" width="8.85546875" customWidth="1"/>
    <col min="4" max="6" width="8.7109375" customWidth="1"/>
    <col min="7" max="7" width="8.85546875" customWidth="1"/>
    <col min="15" max="15" width="9.42578125" bestFit="1" customWidth="1"/>
    <col min="16" max="16" width="9.42578125" customWidth="1"/>
  </cols>
  <sheetData>
    <row r="1" spans="1:16" s="2" customFormat="1" ht="16.5" customHeight="1">
      <c r="A1" s="1" t="s">
        <v>823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1244</v>
      </c>
      <c r="B3" s="5" t="s">
        <v>1245</v>
      </c>
      <c r="C3" s="5" t="s">
        <v>1246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/>
      <c r="M3" s="10" t="s">
        <v>1413</v>
      </c>
      <c r="N3" s="11">
        <f>(55176/70344)</f>
        <v>0.78437393381098597</v>
      </c>
    </row>
    <row r="4" spans="1:16" s="2" customFormat="1" ht="16.5" customHeight="1" thickBot="1">
      <c r="A4" s="6" t="s">
        <v>333</v>
      </c>
      <c r="B4" s="9" t="s">
        <v>2206</v>
      </c>
      <c r="C4" s="36">
        <v>12922</v>
      </c>
      <c r="D4" s="8"/>
      <c r="E4" s="8"/>
      <c r="F4" s="8"/>
      <c r="G4" s="36"/>
      <c r="H4" s="8"/>
      <c r="I4" s="8"/>
      <c r="J4" s="8"/>
      <c r="K4" s="8"/>
      <c r="L4" s="33" t="s">
        <v>1271</v>
      </c>
      <c r="M4" s="14"/>
      <c r="N4" s="10" t="s">
        <v>1248</v>
      </c>
      <c r="O4" s="10" t="s">
        <v>1249</v>
      </c>
      <c r="P4" s="10" t="s">
        <v>1250</v>
      </c>
    </row>
    <row r="5" spans="1:16" s="2" customFormat="1" ht="16.5" customHeight="1" thickBot="1">
      <c r="A5" s="6" t="s">
        <v>2222</v>
      </c>
      <c r="B5" s="7" t="s">
        <v>1261</v>
      </c>
      <c r="C5" s="36">
        <v>9984</v>
      </c>
      <c r="D5" s="8"/>
      <c r="E5" s="8"/>
      <c r="F5" s="8"/>
      <c r="G5" s="36"/>
      <c r="H5" s="8"/>
      <c r="I5" s="36"/>
      <c r="J5" s="8"/>
      <c r="K5" s="36"/>
      <c r="L5" s="33" t="s">
        <v>1362</v>
      </c>
      <c r="M5" s="18" t="s">
        <v>2206</v>
      </c>
      <c r="N5" s="16">
        <f>(C4+C10)</f>
        <v>16116</v>
      </c>
      <c r="O5" s="17">
        <f>SUM(N5/N11)</f>
        <v>0.30376597429034569</v>
      </c>
      <c r="P5" s="14">
        <v>2</v>
      </c>
    </row>
    <row r="6" spans="1:16" s="2" customFormat="1" ht="16.5" customHeight="1" thickBot="1">
      <c r="A6" s="6" t="s">
        <v>2229</v>
      </c>
      <c r="B6" s="86" t="s">
        <v>496</v>
      </c>
      <c r="C6" s="8">
        <v>8067</v>
      </c>
      <c r="D6" s="36">
        <v>9706</v>
      </c>
      <c r="E6" s="8"/>
      <c r="F6" s="8"/>
      <c r="G6" s="8"/>
      <c r="H6" s="8"/>
      <c r="I6" s="8"/>
      <c r="J6" s="8"/>
      <c r="K6" s="36"/>
      <c r="L6" s="33" t="s">
        <v>1252</v>
      </c>
      <c r="M6" s="30" t="s">
        <v>1258</v>
      </c>
      <c r="N6" s="16">
        <v>3389</v>
      </c>
      <c r="O6" s="17">
        <f>SUM(N6/N11)</f>
        <v>6.3878312662570214E-2</v>
      </c>
    </row>
    <row r="7" spans="1:16" s="2" customFormat="1" ht="16.5" customHeight="1" thickBot="1">
      <c r="A7" s="6" t="s">
        <v>335</v>
      </c>
      <c r="B7" s="7" t="s">
        <v>1261</v>
      </c>
      <c r="C7" s="8">
        <v>7145</v>
      </c>
      <c r="D7" s="8">
        <v>7148</v>
      </c>
      <c r="E7" s="8">
        <v>8064</v>
      </c>
      <c r="F7" s="8">
        <v>8064</v>
      </c>
      <c r="G7" s="8">
        <v>8109</v>
      </c>
      <c r="H7" s="8">
        <v>8709</v>
      </c>
      <c r="I7" s="36">
        <v>9234</v>
      </c>
      <c r="J7" s="36"/>
      <c r="K7" s="36"/>
      <c r="L7" s="33" t="s">
        <v>1280</v>
      </c>
      <c r="M7" s="85" t="s">
        <v>496</v>
      </c>
      <c r="N7" s="16">
        <v>8067</v>
      </c>
      <c r="O7" s="17">
        <f>SUM(N7/N11)</f>
        <v>0.15205262562671995</v>
      </c>
      <c r="P7" s="14">
        <v>1</v>
      </c>
    </row>
    <row r="8" spans="1:16" s="2" customFormat="1" ht="16.5" customHeight="1" thickBot="1">
      <c r="A8" s="12" t="s">
        <v>336</v>
      </c>
      <c r="B8" s="20" t="s">
        <v>1261</v>
      </c>
      <c r="C8" s="8">
        <v>4143</v>
      </c>
      <c r="D8" s="8">
        <v>4154</v>
      </c>
      <c r="E8" s="8">
        <v>4240</v>
      </c>
      <c r="F8" s="8">
        <v>4240</v>
      </c>
      <c r="G8" s="8">
        <v>4255</v>
      </c>
      <c r="H8" s="8">
        <v>4560</v>
      </c>
      <c r="I8" s="8">
        <v>4742</v>
      </c>
      <c r="J8" s="8">
        <v>5108</v>
      </c>
      <c r="K8" s="8">
        <v>5123</v>
      </c>
      <c r="L8" s="33"/>
      <c r="M8" s="15" t="s">
        <v>1261</v>
      </c>
      <c r="N8" s="21">
        <f>(C5+C7+C8)</f>
        <v>21272</v>
      </c>
      <c r="O8" s="17">
        <f>SUM(N8/N11)</f>
        <v>0.40094997549666378</v>
      </c>
      <c r="P8" s="2">
        <v>2</v>
      </c>
    </row>
    <row r="9" spans="1:16" s="2" customFormat="1" ht="16.5" customHeight="1" thickBot="1">
      <c r="A9" s="12" t="s">
        <v>1431</v>
      </c>
      <c r="B9" s="27" t="s">
        <v>1258</v>
      </c>
      <c r="C9" s="8">
        <v>3389</v>
      </c>
      <c r="D9" s="8">
        <v>3636</v>
      </c>
      <c r="E9" s="8">
        <v>3636</v>
      </c>
      <c r="F9" s="8">
        <v>4053</v>
      </c>
      <c r="G9" s="8">
        <v>4212</v>
      </c>
      <c r="H9" s="8">
        <v>4213</v>
      </c>
      <c r="I9" s="8">
        <v>4486</v>
      </c>
      <c r="J9" s="8">
        <v>4495</v>
      </c>
      <c r="K9" s="8" t="s">
        <v>1326</v>
      </c>
      <c r="M9" s="31" t="s">
        <v>1269</v>
      </c>
      <c r="N9" s="21">
        <v>1464</v>
      </c>
      <c r="O9" s="17">
        <f>SUM(N9/N11)</f>
        <v>2.7594526331662081E-2</v>
      </c>
    </row>
    <row r="10" spans="1:16" s="2" customFormat="1" ht="16.5" customHeight="1" thickBot="1">
      <c r="A10" s="6" t="s">
        <v>334</v>
      </c>
      <c r="B10" s="9" t="s">
        <v>2206</v>
      </c>
      <c r="C10" s="8">
        <v>3194</v>
      </c>
      <c r="D10" s="8">
        <v>5112</v>
      </c>
      <c r="E10" s="8">
        <v>5113</v>
      </c>
      <c r="F10" s="8">
        <v>5487</v>
      </c>
      <c r="G10" s="8">
        <v>5817</v>
      </c>
      <c r="H10" s="8">
        <v>5826</v>
      </c>
      <c r="I10" s="8">
        <v>6365</v>
      </c>
      <c r="J10" s="8">
        <v>6376</v>
      </c>
      <c r="K10" s="36">
        <v>9836</v>
      </c>
      <c r="L10" s="33" t="s">
        <v>1251</v>
      </c>
      <c r="M10" s="26" t="s">
        <v>1254</v>
      </c>
      <c r="N10" s="21">
        <f>(C11+C13)</f>
        <v>2746</v>
      </c>
      <c r="O10" s="11">
        <f>SUM(N10/N11)</f>
        <v>5.1758585592038303E-2</v>
      </c>
    </row>
    <row r="11" spans="1:16" s="2" customFormat="1" ht="16.5" customHeight="1" thickBot="1">
      <c r="A11" s="12" t="s">
        <v>339</v>
      </c>
      <c r="B11" s="37" t="s">
        <v>2447</v>
      </c>
      <c r="C11" s="8">
        <v>1501</v>
      </c>
      <c r="D11" s="8">
        <v>1503</v>
      </c>
      <c r="E11" s="8">
        <v>1547</v>
      </c>
      <c r="F11" s="8">
        <v>1548</v>
      </c>
      <c r="G11" s="8">
        <v>1595</v>
      </c>
      <c r="H11" s="8" t="s">
        <v>1326</v>
      </c>
      <c r="N11" s="23">
        <v>53054</v>
      </c>
    </row>
    <row r="12" spans="1:16" s="2" customFormat="1" ht="16.5" customHeight="1" thickBot="1">
      <c r="A12" s="12" t="s">
        <v>340</v>
      </c>
      <c r="B12" s="32" t="s">
        <v>1269</v>
      </c>
      <c r="C12" s="8">
        <v>1464</v>
      </c>
      <c r="D12" s="8">
        <v>1492</v>
      </c>
      <c r="E12" s="8">
        <v>1506</v>
      </c>
      <c r="F12" s="8">
        <v>1515</v>
      </c>
      <c r="G12" s="8">
        <v>2180</v>
      </c>
      <c r="H12" s="8">
        <v>2261</v>
      </c>
      <c r="I12" s="8" t="s">
        <v>1326</v>
      </c>
    </row>
    <row r="13" spans="1:16" s="2" customFormat="1" ht="16.5" customHeight="1" thickBot="1">
      <c r="A13" s="12" t="s">
        <v>338</v>
      </c>
      <c r="B13" s="87" t="s">
        <v>337</v>
      </c>
      <c r="C13" s="8">
        <v>1245</v>
      </c>
      <c r="D13" s="8">
        <v>1358</v>
      </c>
      <c r="E13" s="8">
        <v>1360</v>
      </c>
      <c r="F13" s="8">
        <v>1393</v>
      </c>
      <c r="G13" s="8" t="s">
        <v>1326</v>
      </c>
    </row>
    <row r="14" spans="1:16" s="2" customFormat="1" ht="12" customHeight="1">
      <c r="A14" s="1"/>
      <c r="E14"/>
      <c r="I14" s="30"/>
      <c r="J14" s="21"/>
      <c r="K14" s="11"/>
    </row>
    <row r="15" spans="1:16" s="2" customFormat="1" ht="16.5" customHeight="1">
      <c r="A15" s="1" t="s">
        <v>341</v>
      </c>
      <c r="E15"/>
      <c r="I15" s="10"/>
      <c r="J15" s="21"/>
      <c r="K15" s="11"/>
    </row>
    <row r="16" spans="1:16" s="2" customFormat="1" ht="9.75" customHeight="1" thickBot="1">
      <c r="A16" s="3"/>
      <c r="J16" s="23"/>
    </row>
    <row r="17" spans="1:23" s="2" customFormat="1" ht="16.5" customHeight="1" thickBot="1">
      <c r="A17" s="4" t="s">
        <v>1244</v>
      </c>
      <c r="B17" s="5" t="s">
        <v>1245</v>
      </c>
      <c r="C17" s="5" t="s">
        <v>1246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5">
        <v>10</v>
      </c>
      <c r="M17" s="5">
        <v>11</v>
      </c>
      <c r="N17" s="5"/>
      <c r="O17" s="10" t="s">
        <v>1413</v>
      </c>
      <c r="P17" s="11">
        <f>(58549/80806)</f>
        <v>0.72456253248521152</v>
      </c>
      <c r="Q17" s="16"/>
    </row>
    <row r="18" spans="1:23" s="2" customFormat="1" ht="16.5" customHeight="1" thickBot="1">
      <c r="A18" s="6" t="s">
        <v>2370</v>
      </c>
      <c r="B18" s="9" t="s">
        <v>2206</v>
      </c>
      <c r="C18" s="36">
        <v>9342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33" t="s">
        <v>1271</v>
      </c>
      <c r="O18" s="21"/>
      <c r="P18" s="10" t="s">
        <v>1248</v>
      </c>
      <c r="Q18" s="10" t="s">
        <v>1249</v>
      </c>
      <c r="R18" s="10" t="s">
        <v>1250</v>
      </c>
      <c r="W18" s="14"/>
    </row>
    <row r="19" spans="1:23" s="2" customFormat="1" ht="16.5" customHeight="1" thickBot="1">
      <c r="A19" s="6" t="s">
        <v>343</v>
      </c>
      <c r="B19" s="7" t="s">
        <v>1261</v>
      </c>
      <c r="C19" s="36">
        <v>9073</v>
      </c>
      <c r="D19" s="8"/>
      <c r="E19" s="8"/>
      <c r="F19" s="8"/>
      <c r="G19" s="8"/>
      <c r="H19" s="36"/>
      <c r="I19" s="36"/>
      <c r="J19" s="36"/>
      <c r="K19" s="36"/>
      <c r="L19" s="36"/>
      <c r="M19" s="36"/>
      <c r="N19" s="33" t="s">
        <v>1362</v>
      </c>
      <c r="O19" s="18" t="s">
        <v>2206</v>
      </c>
      <c r="P19" s="16">
        <f>(C18+C22)</f>
        <v>13634</v>
      </c>
      <c r="Q19" s="17">
        <f>SUM(P19/P25)</f>
        <v>0.24144220722874499</v>
      </c>
      <c r="R19" s="14">
        <v>2</v>
      </c>
    </row>
    <row r="20" spans="1:23" s="2" customFormat="1" ht="16.5" customHeight="1" thickBot="1">
      <c r="A20" s="6" t="s">
        <v>342</v>
      </c>
      <c r="B20" s="28" t="s">
        <v>1258</v>
      </c>
      <c r="C20" s="36">
        <v>8250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33" t="s">
        <v>1252</v>
      </c>
      <c r="O20" s="30" t="s">
        <v>1258</v>
      </c>
      <c r="P20" s="16">
        <v>8250</v>
      </c>
      <c r="Q20" s="17">
        <f>SUM(P20/P25)</f>
        <v>0.14609785900228445</v>
      </c>
      <c r="R20" s="2">
        <v>1</v>
      </c>
    </row>
    <row r="21" spans="1:23" s="2" customFormat="1" ht="16.5" customHeight="1" thickBot="1">
      <c r="A21" s="6" t="s">
        <v>2239</v>
      </c>
      <c r="B21" s="86" t="s">
        <v>496</v>
      </c>
      <c r="C21" s="8">
        <v>5573</v>
      </c>
      <c r="D21" s="8">
        <v>5625</v>
      </c>
      <c r="E21" s="8">
        <v>5625</v>
      </c>
      <c r="F21" s="8">
        <v>5627</v>
      </c>
      <c r="G21" s="8">
        <v>5627</v>
      </c>
      <c r="H21" s="8">
        <v>5645</v>
      </c>
      <c r="I21" s="8">
        <v>5968</v>
      </c>
      <c r="J21" s="8">
        <v>5980</v>
      </c>
      <c r="K21" s="8">
        <v>6003</v>
      </c>
      <c r="L21" s="8">
        <v>6206</v>
      </c>
      <c r="M21" s="36">
        <v>6316</v>
      </c>
      <c r="N21" s="33" t="s">
        <v>1253</v>
      </c>
      <c r="O21" s="85" t="s">
        <v>496</v>
      </c>
      <c r="P21" s="16">
        <v>5573</v>
      </c>
      <c r="Q21" s="17">
        <f>SUM(P21/P25)</f>
        <v>9.8691317359967418E-2</v>
      </c>
      <c r="R21" s="14">
        <v>1</v>
      </c>
    </row>
    <row r="22" spans="1:23" s="2" customFormat="1" ht="16.5" customHeight="1" thickBot="1">
      <c r="A22" s="6" t="s">
        <v>344</v>
      </c>
      <c r="B22" s="9" t="s">
        <v>2206</v>
      </c>
      <c r="C22" s="8">
        <v>4292</v>
      </c>
      <c r="D22" s="8">
        <v>5427</v>
      </c>
      <c r="E22" s="8">
        <v>5427</v>
      </c>
      <c r="F22" s="8">
        <v>5430</v>
      </c>
      <c r="G22" s="8">
        <v>5430</v>
      </c>
      <c r="H22" s="8">
        <v>5457</v>
      </c>
      <c r="I22" s="8">
        <v>6655</v>
      </c>
      <c r="J22" s="8">
        <v>6658</v>
      </c>
      <c r="K22" s="8">
        <v>6667</v>
      </c>
      <c r="L22" s="8">
        <v>7222</v>
      </c>
      <c r="M22" s="36">
        <v>7276</v>
      </c>
      <c r="N22" s="33" t="s">
        <v>1251</v>
      </c>
      <c r="O22" s="15" t="s">
        <v>1261</v>
      </c>
      <c r="P22" s="21">
        <f>(C19+C23+C24+C25)</f>
        <v>19776</v>
      </c>
      <c r="Q22" s="17">
        <f>SUM(P22/P25)</f>
        <v>0.35020984965202145</v>
      </c>
      <c r="R22" s="2">
        <v>2</v>
      </c>
    </row>
    <row r="23" spans="1:23" s="2" customFormat="1" ht="16.5" customHeight="1" thickBot="1">
      <c r="A23" s="6" t="s">
        <v>345</v>
      </c>
      <c r="B23" s="7" t="s">
        <v>1261</v>
      </c>
      <c r="C23" s="8">
        <v>4130</v>
      </c>
      <c r="D23" s="8">
        <v>4130</v>
      </c>
      <c r="E23" s="8">
        <v>4809</v>
      </c>
      <c r="F23" s="8">
        <v>4848</v>
      </c>
      <c r="G23" s="8">
        <v>4934</v>
      </c>
      <c r="H23" s="8">
        <v>5130</v>
      </c>
      <c r="I23" s="8">
        <v>5141</v>
      </c>
      <c r="J23" s="8">
        <v>6419</v>
      </c>
      <c r="K23" s="8">
        <v>7003</v>
      </c>
      <c r="L23" s="36">
        <v>8119</v>
      </c>
      <c r="M23" s="8"/>
      <c r="N23" s="33" t="s">
        <v>1280</v>
      </c>
      <c r="O23" s="31" t="s">
        <v>1269</v>
      </c>
      <c r="P23" s="21">
        <f>(C28+C27)</f>
        <v>3368</v>
      </c>
      <c r="Q23" s="17">
        <f>SUM(P23/P25)</f>
        <v>5.9643344135720484E-2</v>
      </c>
    </row>
    <row r="24" spans="1:23" s="2" customFormat="1" ht="16.5" customHeight="1" thickBot="1">
      <c r="A24" s="12" t="s">
        <v>346</v>
      </c>
      <c r="B24" s="20" t="s">
        <v>1261</v>
      </c>
      <c r="C24" s="8">
        <v>3868</v>
      </c>
      <c r="D24" s="8">
        <v>3868</v>
      </c>
      <c r="E24" s="8">
        <v>3960</v>
      </c>
      <c r="F24" s="8">
        <v>3968</v>
      </c>
      <c r="G24" s="8">
        <v>3988</v>
      </c>
      <c r="H24" s="8">
        <v>4031</v>
      </c>
      <c r="I24" s="8">
        <v>4054</v>
      </c>
      <c r="J24" s="8">
        <v>4994</v>
      </c>
      <c r="K24" s="8">
        <v>5305</v>
      </c>
      <c r="L24" s="8">
        <v>6191</v>
      </c>
      <c r="M24" s="8">
        <v>6191</v>
      </c>
      <c r="N24" s="33"/>
      <c r="O24" s="26" t="s">
        <v>1254</v>
      </c>
      <c r="P24" s="21">
        <f>(C29+C26+C30+C31)</f>
        <v>5868</v>
      </c>
      <c r="Q24" s="11">
        <f>SUM(P24/P25)</f>
        <v>0.10391542262126122</v>
      </c>
    </row>
    <row r="25" spans="1:23" s="2" customFormat="1" ht="16.5" customHeight="1" thickBot="1">
      <c r="A25" s="12" t="s">
        <v>350</v>
      </c>
      <c r="B25" s="20" t="s">
        <v>1261</v>
      </c>
      <c r="C25" s="8">
        <v>2705</v>
      </c>
      <c r="D25" s="8">
        <v>2705</v>
      </c>
      <c r="E25" s="8">
        <v>2787</v>
      </c>
      <c r="F25" s="8">
        <v>2797</v>
      </c>
      <c r="G25" s="8">
        <v>2863</v>
      </c>
      <c r="H25" s="8">
        <v>2888</v>
      </c>
      <c r="I25" s="8">
        <v>2892</v>
      </c>
      <c r="J25" s="8" t="s">
        <v>1326</v>
      </c>
      <c r="P25" s="23">
        <v>56469</v>
      </c>
    </row>
    <row r="26" spans="1:23" s="2" customFormat="1" ht="16.5" customHeight="1" thickBot="1">
      <c r="A26" s="12" t="s">
        <v>347</v>
      </c>
      <c r="B26" s="87" t="s">
        <v>337</v>
      </c>
      <c r="C26" s="8">
        <v>2264</v>
      </c>
      <c r="D26" s="8">
        <v>2284</v>
      </c>
      <c r="E26" s="8">
        <v>2285</v>
      </c>
      <c r="F26" s="8">
        <v>2286</v>
      </c>
      <c r="G26" s="8">
        <v>2288</v>
      </c>
      <c r="H26" s="8">
        <v>2356</v>
      </c>
      <c r="I26" s="8" t="s">
        <v>1326</v>
      </c>
    </row>
    <row r="27" spans="1:23" s="2" customFormat="1" ht="16.5" customHeight="1" thickBot="1">
      <c r="A27" s="12" t="s">
        <v>348</v>
      </c>
      <c r="B27" s="32" t="s">
        <v>1269</v>
      </c>
      <c r="C27" s="8">
        <v>1842</v>
      </c>
      <c r="D27" s="8">
        <v>1844</v>
      </c>
      <c r="E27" s="8">
        <v>1866</v>
      </c>
      <c r="F27" s="8">
        <v>1870</v>
      </c>
      <c r="G27" s="8">
        <v>1910</v>
      </c>
      <c r="H27" s="8">
        <v>3018</v>
      </c>
      <c r="I27" s="8">
        <v>3624</v>
      </c>
      <c r="J27" s="8">
        <v>4106</v>
      </c>
      <c r="K27" s="8">
        <v>4425</v>
      </c>
      <c r="L27" s="8" t="s">
        <v>1326</v>
      </c>
    </row>
    <row r="28" spans="1:23" s="2" customFormat="1" ht="16.5" customHeight="1" thickBot="1">
      <c r="A28" s="12" t="s">
        <v>349</v>
      </c>
      <c r="B28" s="32" t="s">
        <v>1269</v>
      </c>
      <c r="C28" s="8">
        <v>1526</v>
      </c>
      <c r="D28" s="8">
        <v>1528</v>
      </c>
      <c r="E28" s="8">
        <v>1569</v>
      </c>
      <c r="F28" s="8">
        <v>1629</v>
      </c>
      <c r="G28" s="8">
        <v>1641</v>
      </c>
      <c r="H28" s="8" t="s">
        <v>1326</v>
      </c>
    </row>
    <row r="29" spans="1:23" s="2" customFormat="1" ht="16.5" customHeight="1" thickBot="1">
      <c r="A29" s="12" t="s">
        <v>1285</v>
      </c>
      <c r="B29" s="37" t="s">
        <v>2447</v>
      </c>
      <c r="C29" s="8">
        <v>1387</v>
      </c>
      <c r="D29" s="8">
        <v>1387</v>
      </c>
      <c r="E29" s="8">
        <v>1415</v>
      </c>
      <c r="F29" s="8">
        <v>2153</v>
      </c>
      <c r="G29" s="8">
        <v>3194</v>
      </c>
      <c r="H29" s="8">
        <v>3276</v>
      </c>
      <c r="I29" s="8">
        <v>3278</v>
      </c>
      <c r="J29" s="8">
        <v>3358</v>
      </c>
      <c r="K29" s="8" t="s">
        <v>1326</v>
      </c>
    </row>
    <row r="30" spans="1:23" s="2" customFormat="1" ht="16.5" customHeight="1" thickBot="1">
      <c r="A30" s="12" t="s">
        <v>351</v>
      </c>
      <c r="B30" s="37" t="s">
        <v>2447</v>
      </c>
      <c r="C30" s="8">
        <v>1270</v>
      </c>
      <c r="D30" s="8">
        <v>1270</v>
      </c>
      <c r="E30" s="8">
        <v>1275</v>
      </c>
      <c r="F30" s="8">
        <v>1338</v>
      </c>
      <c r="G30" s="8" t="s">
        <v>1326</v>
      </c>
    </row>
    <row r="31" spans="1:23" s="2" customFormat="1" ht="16.5" customHeight="1" thickBot="1">
      <c r="A31" s="12" t="s">
        <v>352</v>
      </c>
      <c r="B31" s="37" t="s">
        <v>2447</v>
      </c>
      <c r="C31" s="8">
        <v>947</v>
      </c>
      <c r="D31" s="8">
        <v>947</v>
      </c>
      <c r="E31" s="8">
        <v>963</v>
      </c>
      <c r="F31" s="8" t="s">
        <v>1326</v>
      </c>
    </row>
    <row r="32" spans="1:23" s="2" customFormat="1" ht="12" customHeight="1">
      <c r="A32" s="1"/>
    </row>
    <row r="33" spans="1:19" s="2" customFormat="1" ht="16.5" customHeight="1">
      <c r="A33" s="1" t="s">
        <v>353</v>
      </c>
    </row>
    <row r="34" spans="1:19" s="2" customFormat="1" ht="9.75" customHeight="1" thickBot="1">
      <c r="A34" s="3"/>
    </row>
    <row r="35" spans="1:19" s="2" customFormat="1" ht="16.5" customHeight="1" thickBot="1">
      <c r="A35" s="4" t="s">
        <v>1244</v>
      </c>
      <c r="B35" s="5" t="s">
        <v>1245</v>
      </c>
      <c r="C35" s="5" t="s">
        <v>1246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>
        <v>9</v>
      </c>
      <c r="L35" s="5">
        <v>10</v>
      </c>
      <c r="M35" s="5">
        <v>11</v>
      </c>
      <c r="N35" s="5">
        <v>12</v>
      </c>
      <c r="O35" s="5"/>
      <c r="P35" s="10" t="s">
        <v>1413</v>
      </c>
      <c r="Q35" s="11">
        <f>(64186/92003)</f>
        <v>0.69765116354901469</v>
      </c>
    </row>
    <row r="36" spans="1:19" s="2" customFormat="1" ht="16.5" customHeight="1" thickBot="1">
      <c r="A36" s="6" t="s">
        <v>1991</v>
      </c>
      <c r="B36" s="7" t="s">
        <v>1261</v>
      </c>
      <c r="C36" s="36">
        <v>11941</v>
      </c>
      <c r="D36" s="8"/>
      <c r="E36" s="36"/>
      <c r="F36" s="36"/>
      <c r="G36" s="36"/>
      <c r="H36" s="8"/>
      <c r="I36" s="8"/>
      <c r="J36" s="8"/>
      <c r="K36" s="8"/>
      <c r="L36" s="8"/>
      <c r="M36" s="8"/>
      <c r="N36" s="8"/>
      <c r="O36" s="33" t="s">
        <v>1271</v>
      </c>
      <c r="P36" s="14"/>
      <c r="Q36" s="10" t="s">
        <v>1248</v>
      </c>
      <c r="R36" s="10" t="s">
        <v>1249</v>
      </c>
      <c r="S36" s="10" t="s">
        <v>1250</v>
      </c>
    </row>
    <row r="37" spans="1:19" s="2" customFormat="1" ht="16.5" customHeight="1" thickBot="1">
      <c r="A37" s="6" t="s">
        <v>356</v>
      </c>
      <c r="B37" s="9" t="s">
        <v>2206</v>
      </c>
      <c r="C37" s="36">
        <v>8789</v>
      </c>
      <c r="D37" s="8"/>
      <c r="E37" s="8"/>
      <c r="F37" s="8"/>
      <c r="G37" s="36"/>
      <c r="H37" s="8"/>
      <c r="I37" s="36"/>
      <c r="J37" s="8"/>
      <c r="K37" s="8"/>
      <c r="L37" s="8"/>
      <c r="M37" s="36"/>
      <c r="N37" s="8"/>
      <c r="O37" s="33" t="s">
        <v>1362</v>
      </c>
      <c r="P37" s="18" t="s">
        <v>2206</v>
      </c>
      <c r="Q37" s="16">
        <f>(C37+C40+C43)</f>
        <v>16833</v>
      </c>
      <c r="R37" s="17">
        <f>SUM(Q37/Q43)</f>
        <v>0.26975096952020766</v>
      </c>
      <c r="S37" s="14">
        <v>2</v>
      </c>
    </row>
    <row r="38" spans="1:19" s="2" customFormat="1" ht="16.5" customHeight="1" thickBot="1">
      <c r="A38" s="6" t="s">
        <v>354</v>
      </c>
      <c r="B38" s="86" t="s">
        <v>496</v>
      </c>
      <c r="C38" s="36">
        <v>7883</v>
      </c>
      <c r="D38" s="8"/>
      <c r="E38" s="8"/>
      <c r="F38" s="8"/>
      <c r="G38" s="8"/>
      <c r="H38" s="8"/>
      <c r="I38" s="8"/>
      <c r="J38" s="8"/>
      <c r="K38" s="8"/>
      <c r="L38" s="36"/>
      <c r="M38" s="36"/>
      <c r="N38" s="8"/>
      <c r="O38" s="33" t="s">
        <v>1252</v>
      </c>
      <c r="P38" s="30" t="s">
        <v>1258</v>
      </c>
      <c r="Q38" s="16">
        <v>3436</v>
      </c>
      <c r="R38" s="17">
        <f>SUM(Q38/Q43)</f>
        <v>5.5062337745585076E-2</v>
      </c>
      <c r="S38" s="2">
        <v>1</v>
      </c>
    </row>
    <row r="39" spans="1:19" s="2" customFormat="1" ht="16.5" customHeight="1" thickBot="1">
      <c r="A39" s="6" t="s">
        <v>2245</v>
      </c>
      <c r="B39" s="7" t="s">
        <v>1261</v>
      </c>
      <c r="C39" s="8">
        <v>6661</v>
      </c>
      <c r="D39" s="36">
        <v>8445</v>
      </c>
      <c r="E39" s="8"/>
      <c r="F39" s="8"/>
      <c r="G39" s="8"/>
      <c r="H39" s="8"/>
      <c r="I39" s="8"/>
      <c r="J39" s="8"/>
      <c r="K39" s="8"/>
      <c r="L39" s="36"/>
      <c r="M39" s="8"/>
      <c r="N39" s="36"/>
      <c r="O39" s="33" t="s">
        <v>1280</v>
      </c>
      <c r="P39" s="85" t="s">
        <v>496</v>
      </c>
      <c r="Q39" s="16">
        <f>(C38+C46)</f>
        <v>9904</v>
      </c>
      <c r="R39" s="17">
        <f>SUM(Q39/Q43)</f>
        <v>0.15871286176725105</v>
      </c>
      <c r="S39" s="14">
        <v>1</v>
      </c>
    </row>
    <row r="40" spans="1:19" s="2" customFormat="1" ht="16.5" customHeight="1" thickBot="1">
      <c r="A40" s="6" t="s">
        <v>2244</v>
      </c>
      <c r="B40" s="9" t="s">
        <v>2206</v>
      </c>
      <c r="C40" s="8">
        <v>4939</v>
      </c>
      <c r="D40" s="8">
        <v>4940</v>
      </c>
      <c r="E40" s="8">
        <v>5680</v>
      </c>
      <c r="F40" s="8">
        <v>5680</v>
      </c>
      <c r="G40" s="8">
        <v>5694</v>
      </c>
      <c r="H40" s="8">
        <v>5715</v>
      </c>
      <c r="I40" s="8">
        <v>5727</v>
      </c>
      <c r="J40" s="8">
        <v>5763</v>
      </c>
      <c r="K40" s="8">
        <v>6342</v>
      </c>
      <c r="L40" s="8">
        <v>7049</v>
      </c>
      <c r="M40" s="36">
        <v>10302</v>
      </c>
      <c r="N40" s="8"/>
      <c r="O40" s="33" t="s">
        <v>1251</v>
      </c>
      <c r="P40" s="15" t="s">
        <v>1261</v>
      </c>
      <c r="Q40" s="21">
        <f>(C36+C39+C41)</f>
        <v>23202</v>
      </c>
      <c r="R40" s="17">
        <f>SUM(Q40/Q43)</f>
        <v>0.37181500592929712</v>
      </c>
      <c r="S40" s="2">
        <v>3</v>
      </c>
    </row>
    <row r="41" spans="1:19" s="2" customFormat="1" ht="16.5" customHeight="1" thickBot="1">
      <c r="A41" s="6" t="s">
        <v>366</v>
      </c>
      <c r="B41" s="7" t="s">
        <v>1261</v>
      </c>
      <c r="C41" s="8">
        <v>4600</v>
      </c>
      <c r="D41" s="8">
        <v>6662</v>
      </c>
      <c r="E41" s="8">
        <v>6662</v>
      </c>
      <c r="F41" s="8">
        <v>7230</v>
      </c>
      <c r="G41" s="8">
        <v>7239</v>
      </c>
      <c r="H41" s="8">
        <v>7622</v>
      </c>
      <c r="I41" s="8">
        <v>7622</v>
      </c>
      <c r="J41" s="8">
        <v>7715</v>
      </c>
      <c r="K41" s="8">
        <v>7719</v>
      </c>
      <c r="L41" s="8">
        <v>7761</v>
      </c>
      <c r="M41" s="8">
        <v>7767</v>
      </c>
      <c r="N41" s="36">
        <v>7779</v>
      </c>
      <c r="O41" s="33" t="s">
        <v>1253</v>
      </c>
      <c r="P41" s="31" t="s">
        <v>1269</v>
      </c>
      <c r="Q41" s="21">
        <f>(C44+C47)</f>
        <v>4778</v>
      </c>
      <c r="R41" s="17">
        <f>SUM(Q41/Q43)</f>
        <v>7.6568058716066797E-2</v>
      </c>
    </row>
    <row r="42" spans="1:19" s="2" customFormat="1" ht="16.5" customHeight="1" thickBot="1">
      <c r="A42" s="6" t="s">
        <v>355</v>
      </c>
      <c r="B42" s="28" t="s">
        <v>1258</v>
      </c>
      <c r="C42" s="8">
        <v>3436</v>
      </c>
      <c r="D42" s="8">
        <v>3438</v>
      </c>
      <c r="E42" s="8">
        <v>3463</v>
      </c>
      <c r="F42" s="8">
        <v>3463</v>
      </c>
      <c r="G42" s="8">
        <v>3468</v>
      </c>
      <c r="H42" s="8">
        <v>3484</v>
      </c>
      <c r="I42" s="8">
        <v>3494</v>
      </c>
      <c r="J42" s="8">
        <v>3523</v>
      </c>
      <c r="K42" s="8">
        <v>4589</v>
      </c>
      <c r="L42" s="8">
        <v>4766</v>
      </c>
      <c r="M42" s="8">
        <v>5306</v>
      </c>
      <c r="N42" s="36">
        <v>7510</v>
      </c>
      <c r="O42" s="33" t="s">
        <v>2207</v>
      </c>
      <c r="P42" s="26" t="s">
        <v>1254</v>
      </c>
      <c r="Q42" s="21">
        <f>(C45+C48+C49+C50+C51)</f>
        <v>4249</v>
      </c>
      <c r="R42" s="11">
        <f>SUM(Q42/Q43)</f>
        <v>6.809076632159225E-2</v>
      </c>
    </row>
    <row r="43" spans="1:19" s="2" customFormat="1" ht="16.5" customHeight="1" thickBot="1">
      <c r="A43" s="12" t="s">
        <v>358</v>
      </c>
      <c r="B43" s="22" t="s">
        <v>2206</v>
      </c>
      <c r="C43" s="8">
        <v>3105</v>
      </c>
      <c r="D43" s="8">
        <v>3105</v>
      </c>
      <c r="E43" s="8">
        <v>3241</v>
      </c>
      <c r="F43" s="8">
        <v>3241</v>
      </c>
      <c r="G43" s="8">
        <v>3241</v>
      </c>
      <c r="H43" s="8">
        <v>3257</v>
      </c>
      <c r="I43" s="8">
        <v>3260</v>
      </c>
      <c r="J43" s="8">
        <v>3298</v>
      </c>
      <c r="K43" s="8">
        <v>3511</v>
      </c>
      <c r="L43" s="8">
        <v>4187</v>
      </c>
      <c r="M43" s="8" t="s">
        <v>1326</v>
      </c>
      <c r="Q43" s="23">
        <v>62402</v>
      </c>
    </row>
    <row r="44" spans="1:19" s="2" customFormat="1" ht="16.5" customHeight="1" thickBot="1">
      <c r="A44" s="12" t="s">
        <v>359</v>
      </c>
      <c r="B44" s="32" t="s">
        <v>1269</v>
      </c>
      <c r="C44" s="8">
        <v>2889</v>
      </c>
      <c r="D44" s="8">
        <v>3026</v>
      </c>
      <c r="E44" s="8">
        <v>3030</v>
      </c>
      <c r="F44" s="8">
        <v>3057</v>
      </c>
      <c r="G44" s="8">
        <v>3060</v>
      </c>
      <c r="H44" s="8">
        <v>3236</v>
      </c>
      <c r="I44" s="8">
        <v>3237</v>
      </c>
      <c r="J44" s="8">
        <v>4775</v>
      </c>
      <c r="K44" s="8">
        <v>4808</v>
      </c>
      <c r="L44" s="8">
        <v>5781</v>
      </c>
      <c r="M44" s="8">
        <v>5884</v>
      </c>
      <c r="N44" s="8">
        <v>6080</v>
      </c>
      <c r="O44" s="36"/>
    </row>
    <row r="45" spans="1:19" s="2" customFormat="1" ht="16.5" customHeight="1" thickBot="1">
      <c r="A45" s="12" t="s">
        <v>361</v>
      </c>
      <c r="B45" s="87" t="s">
        <v>337</v>
      </c>
      <c r="C45" s="8">
        <v>2529</v>
      </c>
      <c r="D45" s="8">
        <v>2532</v>
      </c>
      <c r="E45" s="8">
        <v>2550</v>
      </c>
      <c r="F45" s="8">
        <v>2551</v>
      </c>
      <c r="G45" s="8">
        <v>2554</v>
      </c>
      <c r="H45" s="8">
        <v>2579</v>
      </c>
      <c r="I45" s="8">
        <v>2580</v>
      </c>
      <c r="J45" s="8">
        <v>2787</v>
      </c>
      <c r="K45" s="8">
        <v>2921</v>
      </c>
      <c r="L45" s="8" t="s">
        <v>1326</v>
      </c>
      <c r="Q45" s="21"/>
    </row>
    <row r="46" spans="1:19" s="2" customFormat="1" ht="16.5" customHeight="1" thickBot="1">
      <c r="A46" s="12" t="s">
        <v>365</v>
      </c>
      <c r="B46" s="83" t="s">
        <v>496</v>
      </c>
      <c r="C46" s="8">
        <v>2021</v>
      </c>
      <c r="D46" s="8">
        <v>2022</v>
      </c>
      <c r="E46" s="8">
        <v>2056</v>
      </c>
      <c r="F46" s="8">
        <v>2056</v>
      </c>
      <c r="G46" s="8">
        <v>2057</v>
      </c>
      <c r="H46" s="8">
        <v>2100</v>
      </c>
      <c r="I46" s="8">
        <v>2149</v>
      </c>
      <c r="J46" s="8">
        <v>2184</v>
      </c>
      <c r="K46" s="8" t="s">
        <v>1326</v>
      </c>
      <c r="L46" s="17"/>
    </row>
    <row r="47" spans="1:19" s="2" customFormat="1" ht="16.5" customHeight="1" thickBot="1">
      <c r="A47" s="12" t="s">
        <v>2248</v>
      </c>
      <c r="B47" s="32" t="s">
        <v>1269</v>
      </c>
      <c r="C47" s="8">
        <v>1889</v>
      </c>
      <c r="D47" s="43">
        <v>1914</v>
      </c>
      <c r="E47" s="8">
        <v>1919</v>
      </c>
      <c r="F47" s="8">
        <v>1937</v>
      </c>
      <c r="G47" s="8">
        <v>1943</v>
      </c>
      <c r="H47" s="8">
        <v>2059</v>
      </c>
      <c r="I47" s="8">
        <v>2060</v>
      </c>
      <c r="J47" s="8" t="s">
        <v>1326</v>
      </c>
    </row>
    <row r="48" spans="1:19" s="2" customFormat="1" ht="16.5" customHeight="1" thickBot="1">
      <c r="A48" s="12" t="s">
        <v>357</v>
      </c>
      <c r="B48" s="37" t="s">
        <v>2447</v>
      </c>
      <c r="C48" s="8">
        <v>773</v>
      </c>
      <c r="D48" s="8">
        <v>810</v>
      </c>
      <c r="E48" s="8">
        <v>810</v>
      </c>
      <c r="F48" s="8">
        <v>818</v>
      </c>
      <c r="G48" s="8">
        <v>846</v>
      </c>
      <c r="H48" s="8" t="s">
        <v>1326</v>
      </c>
      <c r="L48" s="17"/>
    </row>
    <row r="49" spans="1:16" s="2" customFormat="1" ht="16.5" customHeight="1" thickBot="1">
      <c r="A49" s="12" t="s">
        <v>360</v>
      </c>
      <c r="B49" s="37" t="s">
        <v>2447</v>
      </c>
      <c r="C49" s="8">
        <v>473</v>
      </c>
      <c r="D49" s="8">
        <v>512</v>
      </c>
      <c r="E49" s="8">
        <v>512</v>
      </c>
      <c r="F49" s="8">
        <v>523</v>
      </c>
      <c r="G49" s="8">
        <v>598</v>
      </c>
      <c r="H49" s="8" t="s">
        <v>1326</v>
      </c>
      <c r="L49" s="17"/>
    </row>
    <row r="50" spans="1:16" s="2" customFormat="1" ht="16.5" customHeight="1" thickBot="1">
      <c r="A50" s="12" t="s">
        <v>364</v>
      </c>
      <c r="B50" s="80" t="s">
        <v>363</v>
      </c>
      <c r="C50" s="8">
        <v>328</v>
      </c>
      <c r="D50" s="8">
        <v>334</v>
      </c>
      <c r="E50" s="8">
        <v>335</v>
      </c>
      <c r="F50" s="8">
        <v>338</v>
      </c>
      <c r="G50" s="8">
        <v>339</v>
      </c>
      <c r="H50" s="8" t="s">
        <v>1326</v>
      </c>
      <c r="L50" s="17"/>
    </row>
    <row r="51" spans="1:16" s="2" customFormat="1" ht="16.5" customHeight="1" thickBot="1">
      <c r="A51" s="12" t="s">
        <v>362</v>
      </c>
      <c r="B51" s="37" t="s">
        <v>2447</v>
      </c>
      <c r="C51" s="8">
        <v>146</v>
      </c>
      <c r="D51" s="8">
        <v>151</v>
      </c>
      <c r="E51" s="8">
        <v>152</v>
      </c>
      <c r="F51" s="8">
        <v>158</v>
      </c>
      <c r="G51" s="8" t="s">
        <v>1326</v>
      </c>
      <c r="H51" s="21"/>
      <c r="L51" s="17"/>
    </row>
    <row r="52" spans="1:16" s="2" customFormat="1" ht="12" customHeight="1">
      <c r="A52" s="1"/>
    </row>
    <row r="53" spans="1:16" s="2" customFormat="1" ht="16.5" customHeight="1">
      <c r="A53" s="1" t="s">
        <v>367</v>
      </c>
    </row>
    <row r="54" spans="1:16" s="2" customFormat="1" ht="9.75" customHeight="1" thickBot="1">
      <c r="A54" s="3"/>
    </row>
    <row r="55" spans="1:16" s="2" customFormat="1" ht="16.5" customHeight="1" thickBot="1">
      <c r="A55" s="4" t="s">
        <v>1244</v>
      </c>
      <c r="B55" s="5" t="s">
        <v>1245</v>
      </c>
      <c r="C55" s="5" t="s">
        <v>1246</v>
      </c>
      <c r="D55" s="5">
        <v>2</v>
      </c>
      <c r="E55" s="5">
        <v>3</v>
      </c>
      <c r="F55" s="5">
        <v>4</v>
      </c>
      <c r="G55" s="5">
        <v>5</v>
      </c>
      <c r="H55" s="5">
        <v>6</v>
      </c>
      <c r="I55" s="5">
        <v>7</v>
      </c>
      <c r="J55" s="5">
        <v>8</v>
      </c>
      <c r="K55" s="5">
        <v>9</v>
      </c>
      <c r="L55" s="5"/>
      <c r="M55" s="10" t="s">
        <v>1413</v>
      </c>
      <c r="N55" s="11">
        <f>(61399/90640)</f>
        <v>0.67739408649602828</v>
      </c>
    </row>
    <row r="56" spans="1:16" s="2" customFormat="1" ht="16.5" customHeight="1" thickBot="1">
      <c r="A56" s="6" t="s">
        <v>2021</v>
      </c>
      <c r="B56" s="7" t="s">
        <v>1261</v>
      </c>
      <c r="C56" s="36">
        <v>8999</v>
      </c>
      <c r="D56" s="8"/>
      <c r="E56" s="8"/>
      <c r="F56" s="8"/>
      <c r="G56" s="8"/>
      <c r="H56" s="8"/>
      <c r="I56" s="36"/>
      <c r="J56" s="8"/>
      <c r="K56" s="8"/>
      <c r="L56" s="33" t="s">
        <v>1271</v>
      </c>
      <c r="M56" s="14"/>
      <c r="N56" s="10" t="s">
        <v>1248</v>
      </c>
      <c r="O56" s="10" t="s">
        <v>1249</v>
      </c>
      <c r="P56" s="10" t="s">
        <v>1250</v>
      </c>
    </row>
    <row r="57" spans="1:16" s="2" customFormat="1" ht="16.5" customHeight="1" thickBot="1">
      <c r="A57" s="6" t="s">
        <v>368</v>
      </c>
      <c r="B57" s="9" t="s">
        <v>2206</v>
      </c>
      <c r="C57" s="36">
        <v>8802</v>
      </c>
      <c r="D57" s="8"/>
      <c r="E57" s="8"/>
      <c r="F57" s="8"/>
      <c r="G57" s="36"/>
      <c r="H57" s="8"/>
      <c r="I57" s="8"/>
      <c r="J57" s="36"/>
      <c r="K57" s="8"/>
      <c r="L57" s="33" t="s">
        <v>1362</v>
      </c>
      <c r="M57" s="18" t="s">
        <v>2206</v>
      </c>
      <c r="N57" s="16">
        <f>(C57+C61)</f>
        <v>13645</v>
      </c>
      <c r="O57" s="17">
        <f>SUM(N57/N63)</f>
        <v>0.22976022092005119</v>
      </c>
      <c r="P57" s="14">
        <v>2</v>
      </c>
    </row>
    <row r="58" spans="1:16" s="2" customFormat="1" ht="16.5" customHeight="1" thickBot="1">
      <c r="A58" s="6" t="s">
        <v>2258</v>
      </c>
      <c r="B58" s="28" t="s">
        <v>1258</v>
      </c>
      <c r="C58" s="36">
        <v>7746</v>
      </c>
      <c r="D58" s="8"/>
      <c r="E58" s="8"/>
      <c r="F58" s="8"/>
      <c r="G58" s="8"/>
      <c r="H58" s="8"/>
      <c r="I58" s="8"/>
      <c r="J58" s="8"/>
      <c r="K58" s="36"/>
      <c r="L58" s="33" t="s">
        <v>1252</v>
      </c>
      <c r="M58" s="30" t="s">
        <v>1258</v>
      </c>
      <c r="N58" s="16">
        <v>7746</v>
      </c>
      <c r="O58" s="17">
        <f>SUM(N58/N63)</f>
        <v>0.13043038997777329</v>
      </c>
      <c r="P58" s="2">
        <v>1</v>
      </c>
    </row>
    <row r="59" spans="1:16" s="2" customFormat="1" ht="16.5" customHeight="1" thickBot="1">
      <c r="A59" s="6" t="s">
        <v>369</v>
      </c>
      <c r="B59" s="86" t="s">
        <v>496</v>
      </c>
      <c r="C59" s="8">
        <v>5974</v>
      </c>
      <c r="D59" s="8">
        <v>5974</v>
      </c>
      <c r="E59" s="8">
        <v>6226</v>
      </c>
      <c r="F59" s="8">
        <v>6367</v>
      </c>
      <c r="G59" s="8">
        <v>6371</v>
      </c>
      <c r="H59" s="8">
        <v>6388</v>
      </c>
      <c r="I59" s="8">
        <v>6440</v>
      </c>
      <c r="J59" s="8">
        <v>6449</v>
      </c>
      <c r="K59" s="36">
        <v>6886</v>
      </c>
      <c r="L59" s="33" t="s">
        <v>1251</v>
      </c>
      <c r="M59" s="85" t="s">
        <v>496</v>
      </c>
      <c r="N59" s="16">
        <f>(C59+C60)</f>
        <v>11409</v>
      </c>
      <c r="O59" s="17">
        <f>SUM(N59/N63)</f>
        <v>0.19210951707415638</v>
      </c>
      <c r="P59" s="14">
        <v>2</v>
      </c>
    </row>
    <row r="60" spans="1:16" s="2" customFormat="1" ht="16.5" customHeight="1" thickBot="1">
      <c r="A60" s="6" t="s">
        <v>2256</v>
      </c>
      <c r="B60" s="86" t="s">
        <v>496</v>
      </c>
      <c r="C60" s="8">
        <v>5435</v>
      </c>
      <c r="D60" s="8">
        <v>5435</v>
      </c>
      <c r="E60" s="8">
        <v>6065</v>
      </c>
      <c r="F60" s="8">
        <v>6180</v>
      </c>
      <c r="G60" s="8">
        <v>6188</v>
      </c>
      <c r="H60" s="8">
        <v>6214</v>
      </c>
      <c r="I60" s="8">
        <v>6284</v>
      </c>
      <c r="J60" s="8">
        <v>6287</v>
      </c>
      <c r="K60" s="36">
        <v>6790</v>
      </c>
      <c r="L60" s="33" t="s">
        <v>1253</v>
      </c>
      <c r="M60" s="15" t="s">
        <v>1261</v>
      </c>
      <c r="N60" s="21">
        <f>(C56+C62+C63)</f>
        <v>17012</v>
      </c>
      <c r="O60" s="17">
        <f>SUM(N60/N63)</f>
        <v>0.28645517612985788</v>
      </c>
      <c r="P60" s="2">
        <v>2</v>
      </c>
    </row>
    <row r="61" spans="1:16" s="2" customFormat="1" ht="16.5" customHeight="1" thickBot="1">
      <c r="A61" s="6" t="s">
        <v>372</v>
      </c>
      <c r="B61" s="9" t="s">
        <v>2206</v>
      </c>
      <c r="C61" s="8">
        <v>4843</v>
      </c>
      <c r="D61" s="8">
        <v>4844</v>
      </c>
      <c r="E61" s="8">
        <v>5198</v>
      </c>
      <c r="F61" s="8">
        <v>5241</v>
      </c>
      <c r="G61" s="8">
        <v>5243</v>
      </c>
      <c r="H61" s="8">
        <v>5276</v>
      </c>
      <c r="I61" s="8">
        <v>5331</v>
      </c>
      <c r="J61" s="8">
        <v>5384</v>
      </c>
      <c r="K61" s="36">
        <v>7021</v>
      </c>
      <c r="L61" s="33" t="s">
        <v>1280</v>
      </c>
      <c r="M61" s="31" t="s">
        <v>1269</v>
      </c>
      <c r="N61" s="21">
        <f>(C66+C67)</f>
        <v>3049</v>
      </c>
      <c r="O61" s="17">
        <f>SUM(N61/N63)</f>
        <v>5.1340338115444195E-2</v>
      </c>
    </row>
    <row r="62" spans="1:16" s="2" customFormat="1" ht="16.5" customHeight="1" thickBot="1">
      <c r="A62" s="12" t="s">
        <v>370</v>
      </c>
      <c r="B62" s="20" t="s">
        <v>1261</v>
      </c>
      <c r="C62" s="8">
        <v>4710</v>
      </c>
      <c r="D62" s="8">
        <v>5095</v>
      </c>
      <c r="E62" s="8">
        <v>5095</v>
      </c>
      <c r="F62" s="8">
        <v>5095</v>
      </c>
      <c r="G62" s="8">
        <v>5190</v>
      </c>
      <c r="H62" s="8">
        <v>5206</v>
      </c>
      <c r="I62" s="8">
        <v>5678</v>
      </c>
      <c r="J62" s="8">
        <v>6243</v>
      </c>
      <c r="K62" s="8">
        <v>6361</v>
      </c>
      <c r="L62" s="33"/>
      <c r="M62" s="26" t="s">
        <v>1254</v>
      </c>
      <c r="N62" s="21">
        <f>(C64+C65+C68+C69)</f>
        <v>6527</v>
      </c>
      <c r="O62" s="11">
        <f>SUM(N62/N63)</f>
        <v>0.10990435778271705</v>
      </c>
    </row>
    <row r="63" spans="1:16" s="2" customFormat="1" ht="16.5" customHeight="1" thickBot="1">
      <c r="A63" s="6" t="s">
        <v>2260</v>
      </c>
      <c r="B63" s="7" t="s">
        <v>1261</v>
      </c>
      <c r="C63" s="8">
        <v>3303</v>
      </c>
      <c r="D63" s="8">
        <v>4261</v>
      </c>
      <c r="E63" s="8">
        <v>4262</v>
      </c>
      <c r="F63" s="8">
        <v>4262</v>
      </c>
      <c r="G63" s="8">
        <v>4327</v>
      </c>
      <c r="H63" s="8">
        <v>4375</v>
      </c>
      <c r="I63" s="8">
        <v>5074</v>
      </c>
      <c r="J63" s="8">
        <v>6141</v>
      </c>
      <c r="K63" s="36">
        <v>6457</v>
      </c>
      <c r="L63" s="33" t="s">
        <v>2207</v>
      </c>
      <c r="N63" s="23">
        <v>59388</v>
      </c>
    </row>
    <row r="64" spans="1:16" s="2" customFormat="1" ht="16.5" customHeight="1" thickBot="1">
      <c r="A64" s="12" t="s">
        <v>374</v>
      </c>
      <c r="B64" s="87" t="s">
        <v>337</v>
      </c>
      <c r="C64" s="8">
        <v>2797</v>
      </c>
      <c r="D64" s="8">
        <v>2798</v>
      </c>
      <c r="E64" s="8">
        <v>2860</v>
      </c>
      <c r="F64" s="8">
        <v>2867</v>
      </c>
      <c r="G64" s="8">
        <v>2870</v>
      </c>
      <c r="H64" s="8">
        <v>3002</v>
      </c>
      <c r="I64" s="8">
        <v>3839</v>
      </c>
      <c r="J64" s="8">
        <v>3856</v>
      </c>
      <c r="K64" s="8" t="s">
        <v>1326</v>
      </c>
    </row>
    <row r="65" spans="1:16" s="2" customFormat="1" ht="16.5" customHeight="1" thickBot="1">
      <c r="A65" s="12" t="s">
        <v>371</v>
      </c>
      <c r="B65" s="37" t="s">
        <v>2447</v>
      </c>
      <c r="C65" s="8">
        <v>2577</v>
      </c>
      <c r="D65" s="8">
        <v>2650</v>
      </c>
      <c r="E65" s="8">
        <v>2651</v>
      </c>
      <c r="F65" s="8">
        <v>2651</v>
      </c>
      <c r="G65" s="8">
        <v>3587</v>
      </c>
      <c r="H65" s="8">
        <v>3602</v>
      </c>
      <c r="I65" s="8">
        <v>3761</v>
      </c>
      <c r="J65" s="8" t="s">
        <v>1326</v>
      </c>
    </row>
    <row r="66" spans="1:16" s="2" customFormat="1" ht="16.5" customHeight="1" thickBot="1">
      <c r="A66" s="12" t="s">
        <v>377</v>
      </c>
      <c r="B66" s="32" t="s">
        <v>1269</v>
      </c>
      <c r="C66" s="8">
        <v>1742</v>
      </c>
      <c r="D66" s="8">
        <v>1781</v>
      </c>
      <c r="E66" s="8">
        <v>1788</v>
      </c>
      <c r="F66" s="8">
        <v>1788</v>
      </c>
      <c r="G66" s="8">
        <v>1806</v>
      </c>
      <c r="H66" s="8">
        <v>2829</v>
      </c>
      <c r="I66" s="8" t="s">
        <v>1326</v>
      </c>
    </row>
    <row r="67" spans="1:16" s="2" customFormat="1" ht="16.5" customHeight="1" thickBot="1">
      <c r="A67" s="12" t="s">
        <v>375</v>
      </c>
      <c r="B67" s="32" t="s">
        <v>1269</v>
      </c>
      <c r="C67" s="8">
        <v>1307</v>
      </c>
      <c r="D67" s="8">
        <v>1318</v>
      </c>
      <c r="E67" s="8">
        <v>1328</v>
      </c>
      <c r="F67" s="8">
        <v>1328</v>
      </c>
      <c r="G67" s="8">
        <v>1332</v>
      </c>
      <c r="H67" s="8" t="s">
        <v>1326</v>
      </c>
    </row>
    <row r="68" spans="1:16" s="2" customFormat="1" ht="16.5" customHeight="1" thickBot="1">
      <c r="A68" s="12" t="s">
        <v>373</v>
      </c>
      <c r="B68" s="37" t="s">
        <v>2447</v>
      </c>
      <c r="C68" s="8">
        <v>617</v>
      </c>
      <c r="D68" s="8">
        <v>636</v>
      </c>
      <c r="E68" s="8">
        <v>637</v>
      </c>
      <c r="F68" s="8">
        <v>637</v>
      </c>
      <c r="G68" s="8" t="s">
        <v>1326</v>
      </c>
    </row>
    <row r="69" spans="1:16" s="2" customFormat="1" ht="16.5" customHeight="1" thickBot="1">
      <c r="A69" s="12" t="s">
        <v>376</v>
      </c>
      <c r="B69" s="37" t="s">
        <v>2447</v>
      </c>
      <c r="C69" s="8">
        <v>536</v>
      </c>
      <c r="D69" s="8">
        <v>546</v>
      </c>
      <c r="E69" s="8">
        <v>546</v>
      </c>
      <c r="F69" s="8">
        <v>546</v>
      </c>
      <c r="G69" s="8" t="s">
        <v>1326</v>
      </c>
      <c r="M69" s="21"/>
    </row>
    <row r="70" spans="1:16" s="2" customFormat="1" ht="12" customHeight="1">
      <c r="A70" s="1"/>
    </row>
    <row r="71" spans="1:16" s="2" customFormat="1" ht="16.5" customHeight="1">
      <c r="A71" s="1" t="s">
        <v>378</v>
      </c>
    </row>
    <row r="72" spans="1:16" s="2" customFormat="1" ht="9.75" customHeight="1" thickBot="1">
      <c r="A72" s="3"/>
    </row>
    <row r="73" spans="1:16" s="2" customFormat="1" ht="16.5" customHeight="1" thickBot="1">
      <c r="A73" s="4" t="s">
        <v>1244</v>
      </c>
      <c r="B73" s="5" t="s">
        <v>1245</v>
      </c>
      <c r="C73" s="5" t="s">
        <v>1246</v>
      </c>
      <c r="D73" s="5">
        <v>2</v>
      </c>
      <c r="E73" s="5">
        <v>3</v>
      </c>
      <c r="F73" s="5">
        <v>4</v>
      </c>
      <c r="G73" s="5">
        <v>5</v>
      </c>
      <c r="H73" s="5">
        <v>6</v>
      </c>
      <c r="I73" s="5">
        <v>7</v>
      </c>
      <c r="J73" s="5">
        <v>8</v>
      </c>
      <c r="K73" s="5">
        <v>9</v>
      </c>
      <c r="L73" s="5"/>
      <c r="M73" s="10" t="s">
        <v>1413</v>
      </c>
      <c r="N73" s="11">
        <f>(62873/89912)</f>
        <v>0.69927262211940566</v>
      </c>
    </row>
    <row r="74" spans="1:16" s="2" customFormat="1" ht="16.5" customHeight="1" thickBot="1">
      <c r="A74" s="6" t="s">
        <v>2267</v>
      </c>
      <c r="B74" s="7" t="s">
        <v>1261</v>
      </c>
      <c r="C74" s="36">
        <v>9730</v>
      </c>
      <c r="D74" s="8"/>
      <c r="E74" s="8"/>
      <c r="F74" s="8"/>
      <c r="G74" s="8"/>
      <c r="H74" s="8"/>
      <c r="I74" s="36"/>
      <c r="J74" s="8"/>
      <c r="K74" s="8"/>
      <c r="L74" s="33" t="s">
        <v>1271</v>
      </c>
      <c r="M74" s="14"/>
      <c r="N74" s="10" t="s">
        <v>1248</v>
      </c>
      <c r="O74" s="10" t="s">
        <v>1249</v>
      </c>
      <c r="P74" s="10" t="s">
        <v>1250</v>
      </c>
    </row>
    <row r="75" spans="1:16" s="2" customFormat="1" ht="16.5" customHeight="1" thickBot="1">
      <c r="A75" s="6" t="s">
        <v>386</v>
      </c>
      <c r="B75" s="86" t="s">
        <v>496</v>
      </c>
      <c r="C75" s="36">
        <v>8843</v>
      </c>
      <c r="D75" s="36"/>
      <c r="E75" s="8"/>
      <c r="F75" s="8"/>
      <c r="G75" s="8"/>
      <c r="H75" s="36"/>
      <c r="I75" s="8"/>
      <c r="J75" s="36"/>
      <c r="K75" s="8"/>
      <c r="L75" s="33" t="s">
        <v>1362</v>
      </c>
      <c r="M75" s="18" t="s">
        <v>2206</v>
      </c>
      <c r="N75" s="16">
        <f>(C78+C79)</f>
        <v>12673</v>
      </c>
      <c r="O75" s="17">
        <f>SUM(N75/N81)</f>
        <v>0.2086296588963519</v>
      </c>
      <c r="P75" s="14">
        <v>2</v>
      </c>
    </row>
    <row r="76" spans="1:16" s="2" customFormat="1" ht="16.5" customHeight="1" thickBot="1">
      <c r="A76" s="6" t="s">
        <v>2030</v>
      </c>
      <c r="B76" s="7" t="s">
        <v>1261</v>
      </c>
      <c r="C76" s="8">
        <v>7257</v>
      </c>
      <c r="D76" s="36">
        <v>8560</v>
      </c>
      <c r="E76" s="8"/>
      <c r="F76" s="8"/>
      <c r="G76" s="8"/>
      <c r="H76" s="8"/>
      <c r="I76" s="36"/>
      <c r="J76" s="8"/>
      <c r="K76" s="8"/>
      <c r="L76" s="33" t="s">
        <v>1252</v>
      </c>
      <c r="M76" s="30" t="s">
        <v>1258</v>
      </c>
      <c r="N76" s="16">
        <v>3752</v>
      </c>
      <c r="O76" s="17">
        <f>SUM(N76/N81)</f>
        <v>6.1767417358092977E-2</v>
      </c>
    </row>
    <row r="77" spans="1:16" s="2" customFormat="1" ht="16.5" customHeight="1" thickBot="1">
      <c r="A77" s="6" t="s">
        <v>379</v>
      </c>
      <c r="B77" s="7" t="s">
        <v>1261</v>
      </c>
      <c r="C77" s="8">
        <v>6657</v>
      </c>
      <c r="D77" s="8">
        <v>7335</v>
      </c>
      <c r="E77" s="8">
        <v>7336</v>
      </c>
      <c r="F77" s="36">
        <v>8231</v>
      </c>
      <c r="G77" s="8"/>
      <c r="H77" s="8"/>
      <c r="I77" s="8"/>
      <c r="J77" s="8"/>
      <c r="K77" s="8"/>
      <c r="L77" s="33" t="s">
        <v>1280</v>
      </c>
      <c r="M77" s="85" t="s">
        <v>496</v>
      </c>
      <c r="N77" s="16">
        <v>8843</v>
      </c>
      <c r="O77" s="17">
        <f>SUM(N77/N81)</f>
        <v>0.14557816409851179</v>
      </c>
      <c r="P77" s="14">
        <v>1</v>
      </c>
    </row>
    <row r="78" spans="1:16" s="2" customFormat="1" ht="16.5" customHeight="1" thickBot="1">
      <c r="A78" s="6" t="s">
        <v>380</v>
      </c>
      <c r="B78" s="9" t="s">
        <v>2206</v>
      </c>
      <c r="C78" s="8">
        <v>6380</v>
      </c>
      <c r="D78" s="8">
        <v>6385</v>
      </c>
      <c r="E78" s="8">
        <v>6644</v>
      </c>
      <c r="F78" s="8">
        <v>6644</v>
      </c>
      <c r="G78" s="8">
        <v>6645</v>
      </c>
      <c r="H78" s="8">
        <v>6646</v>
      </c>
      <c r="I78" s="8">
        <v>6726</v>
      </c>
      <c r="J78" s="8">
        <v>6737</v>
      </c>
      <c r="K78" s="36">
        <v>6838</v>
      </c>
      <c r="L78" s="33" t="s">
        <v>2207</v>
      </c>
      <c r="M78" s="15" t="s">
        <v>1261</v>
      </c>
      <c r="N78" s="21">
        <f>(C74+C76+C77)</f>
        <v>23644</v>
      </c>
      <c r="O78" s="17">
        <f>SUM(N78/N81)</f>
        <v>0.38924008955617018</v>
      </c>
      <c r="P78" s="2">
        <v>3</v>
      </c>
    </row>
    <row r="79" spans="1:16" s="2" customFormat="1" ht="16.5" customHeight="1" thickBot="1">
      <c r="A79" s="6" t="s">
        <v>381</v>
      </c>
      <c r="B79" s="9" t="s">
        <v>2206</v>
      </c>
      <c r="C79" s="8">
        <v>6293</v>
      </c>
      <c r="D79" s="8">
        <v>6294</v>
      </c>
      <c r="E79" s="8">
        <v>6521</v>
      </c>
      <c r="F79" s="8">
        <v>6521</v>
      </c>
      <c r="G79" s="8">
        <v>6521</v>
      </c>
      <c r="H79" s="8">
        <v>6521</v>
      </c>
      <c r="I79" s="8">
        <v>6813</v>
      </c>
      <c r="J79" s="8">
        <v>6891</v>
      </c>
      <c r="K79" s="36">
        <v>6995</v>
      </c>
      <c r="L79" s="33" t="s">
        <v>1253</v>
      </c>
      <c r="M79" s="31" t="s">
        <v>1269</v>
      </c>
      <c r="N79" s="21">
        <f>(C82+C83)</f>
        <v>3121</v>
      </c>
      <c r="O79" s="17">
        <f>SUM(N79/N81)</f>
        <v>5.1379560121164229E-2</v>
      </c>
    </row>
    <row r="80" spans="1:16" s="2" customFormat="1" ht="16.5" customHeight="1" thickBot="1">
      <c r="A80" s="6" t="s">
        <v>385</v>
      </c>
      <c r="B80" s="88" t="s">
        <v>337</v>
      </c>
      <c r="C80" s="8">
        <v>6035</v>
      </c>
      <c r="D80" s="8">
        <v>6048</v>
      </c>
      <c r="E80" s="8">
        <v>6076</v>
      </c>
      <c r="F80" s="8">
        <v>6079</v>
      </c>
      <c r="G80" s="8">
        <v>6114</v>
      </c>
      <c r="H80" s="8">
        <v>6127</v>
      </c>
      <c r="I80" s="8">
        <v>6609</v>
      </c>
      <c r="J80" s="8">
        <v>6687</v>
      </c>
      <c r="K80" s="36">
        <v>8512</v>
      </c>
      <c r="L80" s="33" t="s">
        <v>1251</v>
      </c>
      <c r="M80" s="26" t="s">
        <v>1254</v>
      </c>
      <c r="N80" s="21">
        <f>(C80+C84+C86+C85)</f>
        <v>8711</v>
      </c>
      <c r="O80" s="11">
        <f>SUM(N80/N81)</f>
        <v>0.14340510996970895</v>
      </c>
      <c r="P80" s="2">
        <v>1</v>
      </c>
    </row>
    <row r="81" spans="1:19" s="2" customFormat="1" ht="16.5" customHeight="1" thickBot="1">
      <c r="A81" s="12" t="s">
        <v>382</v>
      </c>
      <c r="B81" s="27" t="s">
        <v>1258</v>
      </c>
      <c r="C81" s="8">
        <v>3752</v>
      </c>
      <c r="D81" s="8">
        <v>3757</v>
      </c>
      <c r="E81" s="8">
        <v>4464</v>
      </c>
      <c r="F81" s="8">
        <v>4464</v>
      </c>
      <c r="G81" s="8">
        <v>4464</v>
      </c>
      <c r="H81" s="8">
        <v>4465</v>
      </c>
      <c r="I81" s="8">
        <v>4536</v>
      </c>
      <c r="J81" s="8">
        <v>4552</v>
      </c>
      <c r="K81" s="8">
        <v>4625</v>
      </c>
      <c r="L81" s="33"/>
      <c r="N81" s="23">
        <v>60744</v>
      </c>
    </row>
    <row r="82" spans="1:19" s="2" customFormat="1" ht="16.5" customHeight="1" thickBot="1">
      <c r="A82" s="12" t="s">
        <v>383</v>
      </c>
      <c r="B82" s="32" t="s">
        <v>1269</v>
      </c>
      <c r="C82" s="8">
        <v>1612</v>
      </c>
      <c r="D82" s="8">
        <v>1660</v>
      </c>
      <c r="E82" s="8">
        <v>1660</v>
      </c>
      <c r="F82" s="8">
        <v>1676</v>
      </c>
      <c r="G82" s="8">
        <v>1883</v>
      </c>
      <c r="H82" s="8">
        <v>1931</v>
      </c>
      <c r="I82" s="8">
        <v>1937</v>
      </c>
      <c r="J82" s="8">
        <v>2136</v>
      </c>
      <c r="K82" s="8" t="s">
        <v>1326</v>
      </c>
    </row>
    <row r="83" spans="1:19" s="2" customFormat="1" ht="16.5" customHeight="1" thickBot="1">
      <c r="A83" s="12" t="s">
        <v>384</v>
      </c>
      <c r="B83" s="32" t="s">
        <v>1269</v>
      </c>
      <c r="C83" s="8">
        <v>1509</v>
      </c>
      <c r="D83" s="8">
        <v>1518</v>
      </c>
      <c r="E83" s="8">
        <v>1521</v>
      </c>
      <c r="F83" s="8">
        <v>1529</v>
      </c>
      <c r="G83" s="8">
        <v>1678</v>
      </c>
      <c r="H83" s="8">
        <v>1714</v>
      </c>
      <c r="I83" s="8">
        <v>1757</v>
      </c>
      <c r="J83" s="8">
        <v>1951</v>
      </c>
      <c r="K83" s="8" t="s">
        <v>1326</v>
      </c>
    </row>
    <row r="84" spans="1:19" s="2" customFormat="1" ht="16.5" customHeight="1" thickBot="1">
      <c r="A84" s="12" t="s">
        <v>1319</v>
      </c>
      <c r="B84" s="37" t="s">
        <v>2447</v>
      </c>
      <c r="C84" s="8">
        <v>1002</v>
      </c>
      <c r="D84" s="8">
        <v>1019</v>
      </c>
      <c r="E84" s="8">
        <v>1019</v>
      </c>
      <c r="F84" s="43">
        <v>1022</v>
      </c>
      <c r="G84" s="8">
        <v>1057</v>
      </c>
      <c r="H84" s="8">
        <v>1672</v>
      </c>
      <c r="I84" s="8">
        <v>1673</v>
      </c>
      <c r="J84" s="8" t="s">
        <v>1326</v>
      </c>
    </row>
    <row r="85" spans="1:19" s="2" customFormat="1" ht="16.5" customHeight="1" thickBot="1">
      <c r="A85" s="12" t="s">
        <v>388</v>
      </c>
      <c r="B85" s="87" t="s">
        <v>337</v>
      </c>
      <c r="C85" s="8">
        <v>994</v>
      </c>
      <c r="D85" s="8">
        <v>995</v>
      </c>
      <c r="E85" s="8">
        <v>1002</v>
      </c>
      <c r="F85" s="43">
        <v>1002</v>
      </c>
      <c r="G85" s="8">
        <v>1007</v>
      </c>
      <c r="H85" s="8">
        <v>1007</v>
      </c>
      <c r="I85" s="8" t="s">
        <v>1326</v>
      </c>
    </row>
    <row r="86" spans="1:19" s="2" customFormat="1" ht="16.5" customHeight="1" thickBot="1">
      <c r="A86" s="12" t="s">
        <v>387</v>
      </c>
      <c r="B86" s="37" t="s">
        <v>2447</v>
      </c>
      <c r="C86" s="8">
        <v>680</v>
      </c>
      <c r="D86" s="8">
        <v>706</v>
      </c>
      <c r="E86" s="8">
        <v>706</v>
      </c>
      <c r="F86" s="8">
        <v>721</v>
      </c>
      <c r="G86" s="8">
        <v>843</v>
      </c>
      <c r="H86" s="8" t="s">
        <v>1326</v>
      </c>
    </row>
    <row r="87" spans="1:19" s="2" customFormat="1" ht="12" customHeight="1">
      <c r="A87" s="1"/>
    </row>
    <row r="88" spans="1:19" s="2" customFormat="1" ht="16.5" customHeight="1">
      <c r="A88" s="1" t="s">
        <v>389</v>
      </c>
    </row>
    <row r="89" spans="1:19" s="2" customFormat="1" ht="9.75" customHeight="1" thickBot="1">
      <c r="A89" s="3"/>
    </row>
    <row r="90" spans="1:19" s="2" customFormat="1" ht="16.5" customHeight="1" thickBot="1">
      <c r="A90" s="4" t="s">
        <v>1244</v>
      </c>
      <c r="B90" s="5" t="s">
        <v>1245</v>
      </c>
      <c r="C90" s="5" t="s">
        <v>1246</v>
      </c>
      <c r="D90" s="5">
        <v>2</v>
      </c>
      <c r="E90" s="5">
        <v>3</v>
      </c>
      <c r="F90" s="5">
        <v>4</v>
      </c>
      <c r="G90" s="5">
        <v>5</v>
      </c>
      <c r="H90" s="5">
        <v>6</v>
      </c>
      <c r="I90" s="5">
        <v>7</v>
      </c>
      <c r="J90" s="5">
        <v>8</v>
      </c>
      <c r="K90" s="5">
        <v>9</v>
      </c>
      <c r="L90" s="5">
        <v>10</v>
      </c>
      <c r="M90" s="5">
        <v>11</v>
      </c>
      <c r="N90" s="5">
        <v>12</v>
      </c>
      <c r="O90" s="5"/>
      <c r="P90" s="10" t="s">
        <v>1413</v>
      </c>
      <c r="Q90" s="11">
        <f>(70129/119723)</f>
        <v>0.58576046373712654</v>
      </c>
    </row>
    <row r="91" spans="1:19" s="2" customFormat="1" ht="16.5" customHeight="1" thickBot="1">
      <c r="A91" s="6" t="s">
        <v>2280</v>
      </c>
      <c r="B91" s="28" t="s">
        <v>1258</v>
      </c>
      <c r="C91" s="36">
        <v>11834</v>
      </c>
      <c r="D91" s="8"/>
      <c r="E91" s="8"/>
      <c r="F91" s="8"/>
      <c r="G91" s="8"/>
      <c r="H91" s="8"/>
      <c r="I91" s="36"/>
      <c r="J91" s="8"/>
      <c r="K91" s="8"/>
      <c r="L91" s="36"/>
      <c r="M91" s="36"/>
      <c r="N91" s="8"/>
      <c r="O91" s="33" t="s">
        <v>1271</v>
      </c>
      <c r="P91" s="14"/>
      <c r="Q91" s="10" t="s">
        <v>1248</v>
      </c>
      <c r="R91" s="10" t="s">
        <v>1249</v>
      </c>
      <c r="S91" s="10" t="s">
        <v>1250</v>
      </c>
    </row>
    <row r="92" spans="1:19" s="2" customFormat="1" ht="16.5" customHeight="1" thickBot="1">
      <c r="A92" s="6" t="s">
        <v>390</v>
      </c>
      <c r="B92" s="9" t="s">
        <v>2206</v>
      </c>
      <c r="C92" s="36">
        <v>10895</v>
      </c>
      <c r="D92" s="8"/>
      <c r="E92" s="8"/>
      <c r="F92" s="8"/>
      <c r="G92" s="8"/>
      <c r="H92" s="36"/>
      <c r="I92" s="8"/>
      <c r="J92" s="36"/>
      <c r="K92" s="36"/>
      <c r="L92" s="8"/>
      <c r="M92" s="8"/>
      <c r="N92" s="8"/>
      <c r="O92" s="33" t="s">
        <v>1362</v>
      </c>
      <c r="P92" s="18" t="s">
        <v>2206</v>
      </c>
      <c r="Q92" s="16">
        <f>(C92+C101+C102)</f>
        <v>16303</v>
      </c>
      <c r="R92" s="17">
        <f>SUM(Q92/Q98)</f>
        <v>0.23694154579542481</v>
      </c>
      <c r="S92" s="14">
        <v>1</v>
      </c>
    </row>
    <row r="93" spans="1:19" s="2" customFormat="1" ht="16.5" customHeight="1" thickBot="1">
      <c r="A93" s="6" t="s">
        <v>393</v>
      </c>
      <c r="B93" s="7" t="s">
        <v>1261</v>
      </c>
      <c r="C93" s="8">
        <v>6756</v>
      </c>
      <c r="D93" s="8">
        <v>6756</v>
      </c>
      <c r="E93" s="8">
        <v>6757</v>
      </c>
      <c r="F93" s="36">
        <v>9058</v>
      </c>
      <c r="G93" s="8"/>
      <c r="H93" s="8"/>
      <c r="I93" s="36"/>
      <c r="J93" s="8"/>
      <c r="K93" s="8"/>
      <c r="L93" s="36"/>
      <c r="M93" s="8"/>
      <c r="N93" s="8"/>
      <c r="O93" s="33" t="s">
        <v>1252</v>
      </c>
      <c r="P93" s="30" t="s">
        <v>1258</v>
      </c>
      <c r="Q93" s="16">
        <f>(C91+C99+C103)</f>
        <v>17265</v>
      </c>
      <c r="R93" s="17">
        <f>SUM(Q93/Q98)</f>
        <v>0.25092288463215418</v>
      </c>
      <c r="S93" s="2">
        <v>2</v>
      </c>
    </row>
    <row r="94" spans="1:19" s="2" customFormat="1" ht="16.5" customHeight="1" thickBot="1">
      <c r="A94" s="6" t="s">
        <v>399</v>
      </c>
      <c r="B94" s="88" t="s">
        <v>337</v>
      </c>
      <c r="C94" s="8">
        <v>5723</v>
      </c>
      <c r="D94" s="8">
        <v>5911</v>
      </c>
      <c r="E94" s="8">
        <v>6251</v>
      </c>
      <c r="F94" s="8">
        <v>6278</v>
      </c>
      <c r="G94" s="8">
        <v>6325</v>
      </c>
      <c r="H94" s="8">
        <v>6534</v>
      </c>
      <c r="I94" s="8">
        <v>6677</v>
      </c>
      <c r="J94" s="8">
        <v>7021</v>
      </c>
      <c r="K94" s="36">
        <v>7943</v>
      </c>
      <c r="L94" s="8"/>
      <c r="M94" s="8"/>
      <c r="N94" s="8"/>
      <c r="O94" s="33" t="s">
        <v>1251</v>
      </c>
      <c r="P94" s="85" t="s">
        <v>496</v>
      </c>
      <c r="Q94" s="16">
        <f>(C96+C100)</f>
        <v>7472</v>
      </c>
      <c r="R94" s="17">
        <f>SUM(Q94/Q98)</f>
        <v>0.10859518065285004</v>
      </c>
      <c r="S94" s="14">
        <v>2</v>
      </c>
    </row>
    <row r="95" spans="1:19" s="2" customFormat="1" ht="16.5" customHeight="1" thickBot="1">
      <c r="A95" s="6" t="s">
        <v>392</v>
      </c>
      <c r="B95" s="45" t="s">
        <v>1269</v>
      </c>
      <c r="C95" s="8">
        <v>5294</v>
      </c>
      <c r="D95" s="8">
        <v>5312</v>
      </c>
      <c r="E95" s="8">
        <v>5334</v>
      </c>
      <c r="F95" s="8">
        <v>5444</v>
      </c>
      <c r="G95" s="8">
        <v>6148</v>
      </c>
      <c r="H95" s="8">
        <v>6201</v>
      </c>
      <c r="I95" s="8">
        <v>6227</v>
      </c>
      <c r="J95" s="36">
        <v>9210</v>
      </c>
      <c r="K95" s="8"/>
      <c r="L95" s="8"/>
      <c r="M95" s="8"/>
      <c r="N95" s="8"/>
      <c r="O95" s="33" t="s">
        <v>1280</v>
      </c>
      <c r="P95" s="15" t="s">
        <v>1261</v>
      </c>
      <c r="Q95" s="21">
        <f>(C93+C104)</f>
        <v>8644</v>
      </c>
      <c r="R95" s="17">
        <f>SUM(Q95/Q98)</f>
        <v>0.12562857890300264</v>
      </c>
      <c r="S95" s="2">
        <v>1</v>
      </c>
    </row>
    <row r="96" spans="1:19" s="2" customFormat="1" ht="16.5" customHeight="1" thickBot="1">
      <c r="A96" s="6" t="s">
        <v>2300</v>
      </c>
      <c r="B96" s="86" t="s">
        <v>496</v>
      </c>
      <c r="C96" s="8">
        <v>4529</v>
      </c>
      <c r="D96" s="8">
        <v>5091</v>
      </c>
      <c r="E96" s="8">
        <v>5575</v>
      </c>
      <c r="F96" s="8">
        <v>5601</v>
      </c>
      <c r="G96" s="8">
        <v>5604</v>
      </c>
      <c r="H96" s="8">
        <v>5915</v>
      </c>
      <c r="I96" s="8">
        <v>6661</v>
      </c>
      <c r="J96" s="8">
        <v>6685</v>
      </c>
      <c r="K96" s="8">
        <v>6706</v>
      </c>
      <c r="L96" s="8">
        <v>6709</v>
      </c>
      <c r="M96" s="36">
        <v>7966</v>
      </c>
      <c r="N96" s="8"/>
      <c r="O96" s="33" t="s">
        <v>2207</v>
      </c>
      <c r="P96" s="31" t="s">
        <v>1269</v>
      </c>
      <c r="Q96" s="21">
        <f>(C95+C98)</f>
        <v>8522</v>
      </c>
      <c r="R96" s="17">
        <f>SUM(Q96/Q98)</f>
        <v>0.12385547771996629</v>
      </c>
      <c r="S96" s="2">
        <v>1</v>
      </c>
    </row>
    <row r="97" spans="1:19" s="2" customFormat="1" ht="16.5" customHeight="1" thickBot="1">
      <c r="A97" s="12" t="s">
        <v>401</v>
      </c>
      <c r="B97" s="87" t="s">
        <v>337</v>
      </c>
      <c r="C97" s="8">
        <v>3919</v>
      </c>
      <c r="D97" s="8">
        <v>3968</v>
      </c>
      <c r="E97" s="8">
        <v>4006</v>
      </c>
      <c r="F97" s="8">
        <v>4032</v>
      </c>
      <c r="G97" s="8">
        <v>4082</v>
      </c>
      <c r="H97" s="8">
        <v>4276</v>
      </c>
      <c r="I97" s="8">
        <v>4353</v>
      </c>
      <c r="J97" s="8">
        <v>4509</v>
      </c>
      <c r="K97" s="8">
        <v>5003</v>
      </c>
      <c r="L97" s="8">
        <v>5270</v>
      </c>
      <c r="M97" s="8">
        <v>5812</v>
      </c>
      <c r="N97" s="8">
        <v>5905</v>
      </c>
      <c r="O97" s="33"/>
      <c r="P97" s="26" t="s">
        <v>1254</v>
      </c>
      <c r="Q97" s="21">
        <f>(C94+C97+C105+C106)</f>
        <v>10600</v>
      </c>
      <c r="R97" s="11">
        <f>SUM(Q97/Q98)</f>
        <v>0.15405633229660204</v>
      </c>
      <c r="S97" s="2">
        <v>1</v>
      </c>
    </row>
    <row r="98" spans="1:19" s="2" customFormat="1" ht="16.5" customHeight="1" thickBot="1">
      <c r="A98" s="12" t="s">
        <v>394</v>
      </c>
      <c r="B98" s="32" t="s">
        <v>1269</v>
      </c>
      <c r="C98" s="8">
        <v>3228</v>
      </c>
      <c r="D98" s="8">
        <v>3265</v>
      </c>
      <c r="E98" s="8">
        <v>3340</v>
      </c>
      <c r="F98" s="8">
        <v>3453</v>
      </c>
      <c r="G98" s="8">
        <v>4042</v>
      </c>
      <c r="H98" s="8">
        <v>4061</v>
      </c>
      <c r="I98" s="8">
        <v>4078</v>
      </c>
      <c r="J98" s="8" t="s">
        <v>1326</v>
      </c>
      <c r="Q98" s="23">
        <v>68806</v>
      </c>
    </row>
    <row r="99" spans="1:19" s="2" customFormat="1" ht="16.5" customHeight="1" thickBot="1">
      <c r="A99" s="12" t="s">
        <v>2291</v>
      </c>
      <c r="B99" s="27" t="s">
        <v>1258</v>
      </c>
      <c r="C99" s="8">
        <v>2970</v>
      </c>
      <c r="D99" s="8">
        <v>3336</v>
      </c>
      <c r="E99" s="8">
        <v>3468</v>
      </c>
      <c r="F99" s="8">
        <v>3490</v>
      </c>
      <c r="G99" s="8">
        <v>3499</v>
      </c>
      <c r="H99" s="8">
        <v>3686</v>
      </c>
      <c r="I99" s="8" t="s">
        <v>1326</v>
      </c>
    </row>
    <row r="100" spans="1:19" s="2" customFormat="1" ht="16.5" customHeight="1" thickBot="1">
      <c r="A100" s="6" t="s">
        <v>402</v>
      </c>
      <c r="B100" s="86" t="s">
        <v>496</v>
      </c>
      <c r="C100" s="8">
        <v>2943</v>
      </c>
      <c r="D100" s="8">
        <v>3601</v>
      </c>
      <c r="E100" s="8">
        <v>3692</v>
      </c>
      <c r="F100" s="8">
        <v>3701</v>
      </c>
      <c r="G100" s="8">
        <v>3702</v>
      </c>
      <c r="H100" s="8">
        <v>4669</v>
      </c>
      <c r="I100" s="8">
        <v>5203</v>
      </c>
      <c r="J100" s="8">
        <v>5220</v>
      </c>
      <c r="K100" s="8">
        <v>5248</v>
      </c>
      <c r="L100" s="8">
        <v>5251</v>
      </c>
      <c r="M100" s="8">
        <v>6855</v>
      </c>
      <c r="N100" s="36">
        <v>7724</v>
      </c>
      <c r="O100" s="33" t="s">
        <v>2208</v>
      </c>
    </row>
    <row r="101" spans="1:19" s="2" customFormat="1" ht="16.5" customHeight="1" thickBot="1">
      <c r="A101" s="12" t="s">
        <v>391</v>
      </c>
      <c r="B101" s="22" t="s">
        <v>2206</v>
      </c>
      <c r="C101" s="8">
        <v>2813</v>
      </c>
      <c r="D101" s="43">
        <v>3175</v>
      </c>
      <c r="E101" s="8">
        <v>3394</v>
      </c>
      <c r="F101" s="8">
        <v>3400</v>
      </c>
      <c r="G101" s="8">
        <v>3403</v>
      </c>
      <c r="H101" s="8" t="s">
        <v>1326</v>
      </c>
    </row>
    <row r="102" spans="1:19" s="2" customFormat="1" ht="16.5" customHeight="1" thickBot="1">
      <c r="A102" s="12" t="s">
        <v>400</v>
      </c>
      <c r="B102" s="22" t="s">
        <v>2206</v>
      </c>
      <c r="C102" s="8">
        <v>2595</v>
      </c>
      <c r="D102" s="8">
        <v>2746</v>
      </c>
      <c r="E102" s="8">
        <v>3519</v>
      </c>
      <c r="F102" s="8">
        <v>3523</v>
      </c>
      <c r="G102" s="8">
        <v>3525</v>
      </c>
      <c r="H102" s="8">
        <v>4626</v>
      </c>
      <c r="I102" s="8">
        <v>4930</v>
      </c>
      <c r="J102" s="8">
        <v>4944</v>
      </c>
      <c r="K102" s="8">
        <v>4999</v>
      </c>
      <c r="L102" s="8">
        <v>5010</v>
      </c>
      <c r="M102" s="8" t="s">
        <v>1326</v>
      </c>
      <c r="Q102" s="21"/>
    </row>
    <row r="103" spans="1:19" s="2" customFormat="1" ht="16.5" customHeight="1" thickBot="1">
      <c r="A103" s="6" t="s">
        <v>395</v>
      </c>
      <c r="B103" s="28" t="s">
        <v>1258</v>
      </c>
      <c r="C103" s="8">
        <v>2461</v>
      </c>
      <c r="D103" s="8">
        <v>4178</v>
      </c>
      <c r="E103" s="8">
        <v>5243</v>
      </c>
      <c r="F103" s="8">
        <v>5269</v>
      </c>
      <c r="G103" s="8">
        <v>5271</v>
      </c>
      <c r="H103" s="8">
        <v>5582</v>
      </c>
      <c r="I103" s="8">
        <v>7361</v>
      </c>
      <c r="J103" s="8">
        <v>7414</v>
      </c>
      <c r="K103" s="8">
        <v>7451</v>
      </c>
      <c r="L103" s="8">
        <v>7463</v>
      </c>
      <c r="M103" s="36">
        <v>8612</v>
      </c>
      <c r="N103" s="8"/>
      <c r="O103" s="33" t="s">
        <v>1253</v>
      </c>
    </row>
    <row r="104" spans="1:19" s="2" customFormat="1" ht="16.5" customHeight="1" thickBot="1">
      <c r="A104" s="12" t="s">
        <v>396</v>
      </c>
      <c r="B104" s="20" t="s">
        <v>1261</v>
      </c>
      <c r="C104" s="8">
        <v>1888</v>
      </c>
      <c r="D104" s="43">
        <v>1889</v>
      </c>
      <c r="E104" s="43">
        <v>1889</v>
      </c>
      <c r="F104" s="8" t="s">
        <v>1326</v>
      </c>
    </row>
    <row r="105" spans="1:19" s="2" customFormat="1" ht="16.5" customHeight="1" thickBot="1">
      <c r="A105" s="12" t="s">
        <v>2283</v>
      </c>
      <c r="B105" s="37" t="s">
        <v>2447</v>
      </c>
      <c r="C105" s="8">
        <v>710</v>
      </c>
      <c r="D105" s="8">
        <v>714</v>
      </c>
      <c r="E105" s="8">
        <v>717</v>
      </c>
      <c r="F105" s="8" t="s">
        <v>1326</v>
      </c>
    </row>
    <row r="106" spans="1:19" s="2" customFormat="1" ht="16.5" customHeight="1" thickBot="1">
      <c r="A106" s="12" t="s">
        <v>398</v>
      </c>
      <c r="B106" s="38" t="s">
        <v>397</v>
      </c>
      <c r="C106" s="8">
        <v>248</v>
      </c>
      <c r="D106" s="8">
        <v>249</v>
      </c>
      <c r="E106" s="8">
        <v>249</v>
      </c>
      <c r="F106" s="8" t="s">
        <v>1326</v>
      </c>
    </row>
    <row r="107" spans="1:19" s="2" customFormat="1" ht="12" customHeight="1">
      <c r="A107" s="1"/>
      <c r="C107" s="21"/>
      <c r="D107" s="21"/>
      <c r="E107" s="21"/>
    </row>
    <row r="108" spans="1:19" s="2" customFormat="1" ht="16.5" customHeight="1">
      <c r="A108" s="1" t="s">
        <v>403</v>
      </c>
    </row>
    <row r="109" spans="1:19" s="2" customFormat="1" ht="9.75" customHeight="1" thickBot="1">
      <c r="A109" s="3"/>
    </row>
    <row r="110" spans="1:19" s="2" customFormat="1" ht="16.5" customHeight="1" thickBot="1">
      <c r="A110" s="4" t="s">
        <v>1244</v>
      </c>
      <c r="B110" s="5" t="s">
        <v>1245</v>
      </c>
      <c r="C110" s="5" t="s">
        <v>1246</v>
      </c>
      <c r="D110" s="5">
        <v>2</v>
      </c>
      <c r="E110" s="5">
        <v>3</v>
      </c>
      <c r="F110" s="5">
        <v>4</v>
      </c>
      <c r="G110" s="5">
        <v>5</v>
      </c>
      <c r="H110" s="5">
        <v>6</v>
      </c>
      <c r="I110" s="5">
        <v>7</v>
      </c>
      <c r="J110" s="5">
        <v>8</v>
      </c>
      <c r="K110" s="5">
        <v>9</v>
      </c>
      <c r="L110" s="5">
        <v>10</v>
      </c>
      <c r="M110" s="5">
        <v>11</v>
      </c>
      <c r="N110" s="5">
        <v>12</v>
      </c>
      <c r="O110" s="5"/>
      <c r="P110" s="10" t="s">
        <v>1413</v>
      </c>
      <c r="Q110" s="11">
        <f>(63084/103469)</f>
        <v>0.60968985879828741</v>
      </c>
    </row>
    <row r="111" spans="1:19" s="2" customFormat="1" ht="16.5" customHeight="1" thickBot="1">
      <c r="A111" s="6" t="s">
        <v>2083</v>
      </c>
      <c r="B111" s="28" t="s">
        <v>1258</v>
      </c>
      <c r="C111" s="36">
        <v>19335</v>
      </c>
      <c r="D111" s="8"/>
      <c r="E111" s="8"/>
      <c r="F111" s="8"/>
      <c r="G111" s="8"/>
      <c r="H111" s="8"/>
      <c r="I111" s="36"/>
      <c r="J111" s="8"/>
      <c r="K111" s="36"/>
      <c r="L111" s="36"/>
      <c r="M111" s="8"/>
      <c r="N111" s="8"/>
      <c r="O111" s="33" t="s">
        <v>1271</v>
      </c>
      <c r="P111" s="14"/>
      <c r="Q111" s="10" t="s">
        <v>1248</v>
      </c>
      <c r="R111" s="10" t="s">
        <v>1249</v>
      </c>
      <c r="S111" s="10" t="s">
        <v>1250</v>
      </c>
    </row>
    <row r="112" spans="1:19" s="2" customFormat="1" ht="16.5" customHeight="1" thickBot="1">
      <c r="A112" s="6" t="s">
        <v>405</v>
      </c>
      <c r="B112" s="28" t="s">
        <v>1258</v>
      </c>
      <c r="C112" s="8">
        <v>7658</v>
      </c>
      <c r="D112" s="36">
        <v>11454</v>
      </c>
      <c r="E112" s="8"/>
      <c r="F112" s="8"/>
      <c r="G112" s="8"/>
      <c r="H112" s="36"/>
      <c r="I112" s="8"/>
      <c r="J112" s="36"/>
      <c r="K112" s="8"/>
      <c r="L112" s="8"/>
      <c r="M112" s="36"/>
      <c r="N112" s="36"/>
      <c r="O112" s="33" t="s">
        <v>1362</v>
      </c>
      <c r="P112" s="18" t="s">
        <v>2206</v>
      </c>
      <c r="Q112" s="16">
        <f>(C121+C122)</f>
        <v>3338</v>
      </c>
      <c r="R112" s="17">
        <f>SUM(Q112/Q118)</f>
        <v>5.3650069111832586E-2</v>
      </c>
      <c r="S112" s="14"/>
    </row>
    <row r="113" spans="1:19" s="2" customFormat="1" ht="16.5" customHeight="1" thickBot="1">
      <c r="A113" s="6" t="s">
        <v>408</v>
      </c>
      <c r="B113" s="28" t="s">
        <v>1258</v>
      </c>
      <c r="C113" s="8">
        <v>5806</v>
      </c>
      <c r="D113" s="36">
        <v>10641</v>
      </c>
      <c r="E113" s="8"/>
      <c r="F113" s="8"/>
      <c r="G113" s="8"/>
      <c r="H113" s="8"/>
      <c r="I113" s="8"/>
      <c r="J113" s="8"/>
      <c r="K113" s="8"/>
      <c r="L113" s="36"/>
      <c r="M113" s="8"/>
      <c r="N113" s="8"/>
      <c r="O113" s="33" t="s">
        <v>1252</v>
      </c>
      <c r="P113" s="30" t="s">
        <v>1258</v>
      </c>
      <c r="Q113" s="16">
        <f>(C111+C112+C113)</f>
        <v>32799</v>
      </c>
      <c r="R113" s="17">
        <f>SUM(Q113/Q118)</f>
        <v>0.52716255745925611</v>
      </c>
      <c r="S113" s="2">
        <v>3</v>
      </c>
    </row>
    <row r="114" spans="1:19" s="2" customFormat="1" ht="16.5" customHeight="1" thickBot="1">
      <c r="A114" s="6" t="s">
        <v>406</v>
      </c>
      <c r="B114" s="7" t="s">
        <v>1261</v>
      </c>
      <c r="C114" s="8">
        <v>4888</v>
      </c>
      <c r="D114" s="8">
        <v>4902</v>
      </c>
      <c r="E114" s="8">
        <v>4910</v>
      </c>
      <c r="F114" s="8">
        <v>4913</v>
      </c>
      <c r="G114" s="8">
        <v>5030</v>
      </c>
      <c r="H114" s="8">
        <v>5032</v>
      </c>
      <c r="I114" s="8">
        <v>5967</v>
      </c>
      <c r="J114" s="8">
        <v>5985</v>
      </c>
      <c r="K114" s="8">
        <v>6012</v>
      </c>
      <c r="L114" s="36">
        <v>9240</v>
      </c>
      <c r="M114" s="8"/>
      <c r="N114" s="8"/>
      <c r="O114" s="33" t="s">
        <v>1251</v>
      </c>
      <c r="P114" s="85" t="s">
        <v>496</v>
      </c>
      <c r="Q114" s="16">
        <f>(C118+C120)</f>
        <v>5029</v>
      </c>
      <c r="R114" s="17">
        <f>SUM(Q114/Q118)</f>
        <v>8.0828699090295414E-2</v>
      </c>
      <c r="S114" s="14">
        <v>2</v>
      </c>
    </row>
    <row r="115" spans="1:19" s="2" customFormat="1" ht="16.5" customHeight="1" thickBot="1">
      <c r="A115" s="6" t="s">
        <v>411</v>
      </c>
      <c r="B115" s="45" t="s">
        <v>1269</v>
      </c>
      <c r="C115" s="8">
        <v>4601</v>
      </c>
      <c r="D115" s="8">
        <v>4692</v>
      </c>
      <c r="E115" s="8">
        <v>4720</v>
      </c>
      <c r="F115" s="8">
        <v>4757</v>
      </c>
      <c r="G115" s="8">
        <v>5765</v>
      </c>
      <c r="H115" s="8">
        <v>5965</v>
      </c>
      <c r="I115" s="8">
        <v>6008</v>
      </c>
      <c r="J115" s="8">
        <v>6099</v>
      </c>
      <c r="K115" s="36">
        <v>8244</v>
      </c>
      <c r="L115" s="36"/>
      <c r="M115" s="8"/>
      <c r="N115" s="8"/>
      <c r="O115" s="33" t="s">
        <v>1280</v>
      </c>
      <c r="P115" s="15" t="s">
        <v>1261</v>
      </c>
      <c r="Q115" s="21">
        <f>(C114+C116+C119)</f>
        <v>10577</v>
      </c>
      <c r="R115" s="17">
        <f>SUM(Q115/Q118)</f>
        <v>0.16999903564884761</v>
      </c>
      <c r="S115" s="2">
        <v>1</v>
      </c>
    </row>
    <row r="116" spans="1:19" s="2" customFormat="1" ht="16.5" customHeight="1" thickBot="1">
      <c r="A116" s="12" t="s">
        <v>1981</v>
      </c>
      <c r="B116" s="20" t="s">
        <v>1261</v>
      </c>
      <c r="C116" s="8">
        <v>3371</v>
      </c>
      <c r="D116" s="8">
        <v>3375</v>
      </c>
      <c r="E116" s="8">
        <v>3379</v>
      </c>
      <c r="F116" s="8">
        <v>3380</v>
      </c>
      <c r="G116" s="8">
        <v>3434</v>
      </c>
      <c r="H116" s="8">
        <v>3439</v>
      </c>
      <c r="I116" s="8">
        <v>4781</v>
      </c>
      <c r="J116" s="8">
        <v>4787</v>
      </c>
      <c r="K116" s="8">
        <v>4818</v>
      </c>
      <c r="L116" s="8" t="s">
        <v>1326</v>
      </c>
      <c r="P116" s="31" t="s">
        <v>1269</v>
      </c>
      <c r="Q116" s="21">
        <f>(C115+C124)</f>
        <v>5912</v>
      </c>
      <c r="R116" s="17">
        <f>SUM(Q116/Q118)</f>
        <v>9.5020733549776595E-2</v>
      </c>
      <c r="S116" s="2">
        <v>1</v>
      </c>
    </row>
    <row r="117" spans="1:19" s="2" customFormat="1" ht="16.5" customHeight="1" thickBot="1">
      <c r="A117" s="12" t="s">
        <v>409</v>
      </c>
      <c r="B117" s="87" t="s">
        <v>337</v>
      </c>
      <c r="C117" s="8">
        <v>3138</v>
      </c>
      <c r="D117" s="8">
        <v>3257</v>
      </c>
      <c r="E117" s="8">
        <v>3310</v>
      </c>
      <c r="F117" s="8">
        <v>3371</v>
      </c>
      <c r="G117" s="8">
        <v>3399</v>
      </c>
      <c r="H117" s="8">
        <v>4460</v>
      </c>
      <c r="I117" s="8">
        <v>4464</v>
      </c>
      <c r="J117" s="8">
        <v>4594</v>
      </c>
      <c r="K117" s="8" t="s">
        <v>1326</v>
      </c>
      <c r="P117" s="26" t="s">
        <v>1254</v>
      </c>
      <c r="Q117" s="21">
        <f>(C117+C123)</f>
        <v>4563</v>
      </c>
      <c r="R117" s="11">
        <f>SUM(Q117/Q118)</f>
        <v>7.3338905139991639E-2</v>
      </c>
    </row>
    <row r="118" spans="1:19" s="2" customFormat="1" ht="16.5" customHeight="1" thickBot="1">
      <c r="A118" s="6" t="s">
        <v>2091</v>
      </c>
      <c r="B118" s="86" t="s">
        <v>496</v>
      </c>
      <c r="C118" s="8">
        <v>2761</v>
      </c>
      <c r="D118" s="8">
        <v>3469</v>
      </c>
      <c r="E118" s="8">
        <v>5031</v>
      </c>
      <c r="F118" s="8">
        <v>6082</v>
      </c>
      <c r="G118" s="8">
        <v>6088</v>
      </c>
      <c r="H118" s="8">
        <v>6122</v>
      </c>
      <c r="I118" s="8">
        <v>6127</v>
      </c>
      <c r="J118" s="8">
        <v>6722</v>
      </c>
      <c r="K118" s="8">
        <v>6947</v>
      </c>
      <c r="L118" s="8">
        <v>6970</v>
      </c>
      <c r="M118" s="8">
        <v>7001</v>
      </c>
      <c r="N118" s="36">
        <v>7096</v>
      </c>
      <c r="O118" s="33" t="s">
        <v>1253</v>
      </c>
      <c r="Q118" s="23">
        <v>62218</v>
      </c>
    </row>
    <row r="119" spans="1:19" s="2" customFormat="1" ht="16.5" customHeight="1" thickBot="1">
      <c r="A119" s="12" t="s">
        <v>410</v>
      </c>
      <c r="B119" s="20" t="s">
        <v>1261</v>
      </c>
      <c r="C119" s="8">
        <v>2318</v>
      </c>
      <c r="D119" s="8">
        <v>2324</v>
      </c>
      <c r="E119" s="8">
        <v>2326</v>
      </c>
      <c r="F119" s="8">
        <v>2329</v>
      </c>
      <c r="G119" s="8">
        <v>2375</v>
      </c>
      <c r="H119" s="8">
        <v>2377</v>
      </c>
      <c r="I119" s="8" t="s">
        <v>1326</v>
      </c>
    </row>
    <row r="120" spans="1:19" s="2" customFormat="1" ht="16.5" customHeight="1" thickBot="1">
      <c r="A120" s="6" t="s">
        <v>414</v>
      </c>
      <c r="B120" s="86" t="s">
        <v>496</v>
      </c>
      <c r="C120" s="8">
        <v>2268</v>
      </c>
      <c r="D120" s="8">
        <v>3044</v>
      </c>
      <c r="E120" s="8">
        <v>4018</v>
      </c>
      <c r="F120" s="8">
        <v>4965</v>
      </c>
      <c r="G120" s="8">
        <v>4978</v>
      </c>
      <c r="H120" s="8">
        <v>5033</v>
      </c>
      <c r="I120" s="8">
        <v>5039</v>
      </c>
      <c r="J120" s="8">
        <v>5417</v>
      </c>
      <c r="K120" s="8">
        <v>5940</v>
      </c>
      <c r="L120" s="8">
        <v>5972</v>
      </c>
      <c r="M120" s="8">
        <v>6016</v>
      </c>
      <c r="N120" s="36">
        <v>6114</v>
      </c>
      <c r="O120" s="33" t="s">
        <v>2207</v>
      </c>
    </row>
    <row r="121" spans="1:19" s="2" customFormat="1" ht="16.5" customHeight="1" thickBot="1">
      <c r="A121" s="12" t="s">
        <v>404</v>
      </c>
      <c r="B121" s="22" t="s">
        <v>2206</v>
      </c>
      <c r="C121" s="8">
        <v>1751</v>
      </c>
      <c r="D121" s="43">
        <v>2142</v>
      </c>
      <c r="E121" s="43">
        <v>2654</v>
      </c>
      <c r="F121" s="8">
        <v>3087</v>
      </c>
      <c r="G121" s="8">
        <v>3100</v>
      </c>
      <c r="H121" s="8">
        <v>3153</v>
      </c>
      <c r="I121" s="8">
        <v>3157</v>
      </c>
      <c r="J121" s="8">
        <v>4713</v>
      </c>
      <c r="K121" s="8">
        <v>5670</v>
      </c>
      <c r="L121" s="8">
        <v>5723</v>
      </c>
      <c r="M121" s="8">
        <v>5795</v>
      </c>
      <c r="N121" s="8">
        <v>6006</v>
      </c>
      <c r="O121" s="33"/>
    </row>
    <row r="122" spans="1:19" s="2" customFormat="1" ht="16.5" customHeight="1" thickBot="1">
      <c r="A122" s="12" t="s">
        <v>407</v>
      </c>
      <c r="B122" s="22" t="s">
        <v>2206</v>
      </c>
      <c r="C122" s="8">
        <v>1587</v>
      </c>
      <c r="D122" s="8">
        <v>2204</v>
      </c>
      <c r="E122" s="8">
        <v>2540</v>
      </c>
      <c r="F122" s="8">
        <v>2825</v>
      </c>
      <c r="G122" s="8">
        <v>2838</v>
      </c>
      <c r="H122" s="8">
        <v>2936</v>
      </c>
      <c r="I122" s="8">
        <v>2940</v>
      </c>
      <c r="J122" s="8" t="s">
        <v>1326</v>
      </c>
    </row>
    <row r="123" spans="1:19" s="2" customFormat="1" ht="16.5" customHeight="1" thickBot="1">
      <c r="A123" s="12" t="s">
        <v>412</v>
      </c>
      <c r="B123" s="87" t="s">
        <v>337</v>
      </c>
      <c r="C123" s="8">
        <v>1425</v>
      </c>
      <c r="D123" s="8">
        <v>1498</v>
      </c>
      <c r="E123" s="8">
        <v>1528</v>
      </c>
      <c r="F123" s="8">
        <v>1554</v>
      </c>
      <c r="G123" s="8">
        <v>1581</v>
      </c>
      <c r="H123" s="8" t="s">
        <v>1326</v>
      </c>
    </row>
    <row r="124" spans="1:19" s="2" customFormat="1" ht="16.5" customHeight="1" thickBot="1">
      <c r="A124" s="12" t="s">
        <v>413</v>
      </c>
      <c r="B124" s="32" t="s">
        <v>1269</v>
      </c>
      <c r="C124" s="8">
        <v>1311</v>
      </c>
      <c r="D124" s="8">
        <v>1338</v>
      </c>
      <c r="E124" s="8">
        <v>1348</v>
      </c>
      <c r="F124" s="8">
        <v>1357</v>
      </c>
      <c r="G124" s="8" t="s">
        <v>1326</v>
      </c>
    </row>
    <row r="125" spans="1:19" s="2" customFormat="1" ht="12" customHeight="1">
      <c r="A125" s="1"/>
    </row>
    <row r="126" spans="1:19" s="2" customFormat="1" ht="16.5" customHeight="1">
      <c r="A126" s="1" t="s">
        <v>415</v>
      </c>
    </row>
    <row r="127" spans="1:19" s="2" customFormat="1" ht="9.75" customHeight="1" thickBot="1">
      <c r="A127" s="3"/>
    </row>
    <row r="128" spans="1:19" s="2" customFormat="1" ht="16.5" customHeight="1" thickBot="1">
      <c r="A128" s="4" t="s">
        <v>1244</v>
      </c>
      <c r="B128" s="5" t="s">
        <v>1245</v>
      </c>
      <c r="C128" s="5" t="s">
        <v>1246</v>
      </c>
      <c r="D128" s="5">
        <v>2</v>
      </c>
      <c r="E128" s="5">
        <v>3</v>
      </c>
      <c r="F128" s="5">
        <v>4</v>
      </c>
      <c r="G128" s="5">
        <v>5</v>
      </c>
      <c r="H128" s="5">
        <v>6</v>
      </c>
      <c r="I128" s="5">
        <v>7</v>
      </c>
      <c r="J128" s="5">
        <v>8</v>
      </c>
      <c r="K128" s="5"/>
      <c r="L128" s="10" t="s">
        <v>1413</v>
      </c>
      <c r="M128" s="11">
        <f>(58768/93884)</f>
        <v>0.6259639555195774</v>
      </c>
    </row>
    <row r="129" spans="1:19" s="2" customFormat="1" ht="16.5" customHeight="1" thickBot="1">
      <c r="A129" s="6" t="s">
        <v>2313</v>
      </c>
      <c r="B129" s="9" t="s">
        <v>2206</v>
      </c>
      <c r="C129" s="36">
        <v>21693</v>
      </c>
      <c r="D129" s="8"/>
      <c r="E129" s="8"/>
      <c r="F129" s="8"/>
      <c r="G129" s="8"/>
      <c r="H129" s="8"/>
      <c r="I129" s="8"/>
      <c r="J129" s="8"/>
      <c r="K129" s="33" t="s">
        <v>1271</v>
      </c>
      <c r="L129" s="14"/>
      <c r="M129" s="10" t="s">
        <v>1248</v>
      </c>
      <c r="N129" s="10" t="s">
        <v>1249</v>
      </c>
      <c r="O129" s="10" t="s">
        <v>1250</v>
      </c>
    </row>
    <row r="130" spans="1:19" s="2" customFormat="1" ht="16.5" customHeight="1" thickBot="1">
      <c r="A130" s="6" t="s">
        <v>2115</v>
      </c>
      <c r="B130" s="9" t="s">
        <v>2206</v>
      </c>
      <c r="C130" s="36">
        <v>7238</v>
      </c>
      <c r="D130" s="36"/>
      <c r="E130" s="8"/>
      <c r="F130" s="8"/>
      <c r="G130" s="8"/>
      <c r="H130" s="36"/>
      <c r="I130" s="8"/>
      <c r="J130" s="8"/>
      <c r="K130" s="33" t="s">
        <v>1362</v>
      </c>
      <c r="L130" s="18" t="s">
        <v>2206</v>
      </c>
      <c r="M130" s="16">
        <f>(C129+C130+C139)</f>
        <v>30188</v>
      </c>
      <c r="N130" s="17">
        <f>SUM(M130/M136)</f>
        <v>0.52247356305924297</v>
      </c>
      <c r="O130" s="14">
        <v>2</v>
      </c>
    </row>
    <row r="131" spans="1:19" s="2" customFormat="1" ht="16.5" customHeight="1" thickBot="1">
      <c r="A131" s="6" t="s">
        <v>2318</v>
      </c>
      <c r="B131" s="45" t="s">
        <v>1269</v>
      </c>
      <c r="C131" s="8">
        <v>4616</v>
      </c>
      <c r="D131" s="8">
        <v>5110</v>
      </c>
      <c r="E131" s="8">
        <v>5119</v>
      </c>
      <c r="F131" s="8">
        <v>5202</v>
      </c>
      <c r="G131" s="8">
        <v>5570</v>
      </c>
      <c r="H131" s="8">
        <v>7182</v>
      </c>
      <c r="I131" s="36">
        <v>9226</v>
      </c>
      <c r="J131" s="8"/>
      <c r="K131" s="33" t="s">
        <v>1251</v>
      </c>
      <c r="L131" s="30" t="s">
        <v>1258</v>
      </c>
      <c r="M131" s="16">
        <v>2962</v>
      </c>
      <c r="N131" s="17">
        <f>SUM(M131/M136)</f>
        <v>5.1264300178265457E-2</v>
      </c>
      <c r="O131" s="2">
        <v>1</v>
      </c>
    </row>
    <row r="132" spans="1:19" s="2" customFormat="1" ht="16.5" customHeight="1" thickBot="1">
      <c r="A132" s="6" t="s">
        <v>416</v>
      </c>
      <c r="B132" s="86" t="s">
        <v>496</v>
      </c>
      <c r="C132" s="8">
        <v>4408</v>
      </c>
      <c r="D132" s="36">
        <v>8064</v>
      </c>
      <c r="E132" s="8"/>
      <c r="F132" s="8"/>
      <c r="G132" s="8"/>
      <c r="H132" s="8"/>
      <c r="I132" s="8"/>
      <c r="J132" s="36"/>
      <c r="K132" s="33" t="s">
        <v>1252</v>
      </c>
      <c r="L132" s="85" t="s">
        <v>496</v>
      </c>
      <c r="M132" s="16">
        <v>4408</v>
      </c>
      <c r="N132" s="17">
        <f>SUM(M132/M136)</f>
        <v>7.6290693850706998E-2</v>
      </c>
      <c r="O132" s="14">
        <v>1</v>
      </c>
    </row>
    <row r="133" spans="1:19" s="2" customFormat="1" ht="16.5" customHeight="1" thickBot="1">
      <c r="A133" s="12" t="s">
        <v>419</v>
      </c>
      <c r="B133" s="20" t="s">
        <v>1261</v>
      </c>
      <c r="C133" s="8">
        <v>3988</v>
      </c>
      <c r="D133" s="8">
        <v>4006</v>
      </c>
      <c r="E133" s="8">
        <v>4006</v>
      </c>
      <c r="F133" s="8">
        <v>4014</v>
      </c>
      <c r="G133" s="8">
        <v>4056</v>
      </c>
      <c r="H133" s="8">
        <v>4151</v>
      </c>
      <c r="I133" s="8" t="s">
        <v>1326</v>
      </c>
      <c r="L133" s="15" t="s">
        <v>1261</v>
      </c>
      <c r="M133" s="21">
        <v>3988</v>
      </c>
      <c r="N133" s="17">
        <f>SUM(M133/M136)</f>
        <v>6.9021616850412776E-2</v>
      </c>
    </row>
    <row r="134" spans="1:19" s="2" customFormat="1" ht="16.5" customHeight="1" thickBot="1">
      <c r="A134" s="6" t="s">
        <v>549</v>
      </c>
      <c r="B134" s="88" t="s">
        <v>337</v>
      </c>
      <c r="C134" s="8">
        <v>3555</v>
      </c>
      <c r="D134" s="8">
        <v>4436</v>
      </c>
      <c r="E134" s="8">
        <v>4459</v>
      </c>
      <c r="F134" s="8">
        <v>4874</v>
      </c>
      <c r="G134" s="8">
        <v>6340</v>
      </c>
      <c r="H134" s="8">
        <v>6416</v>
      </c>
      <c r="I134" s="8">
        <v>6481</v>
      </c>
      <c r="J134" s="36">
        <v>6536</v>
      </c>
      <c r="K134" s="33" t="s">
        <v>2207</v>
      </c>
      <c r="L134" s="31" t="s">
        <v>1269</v>
      </c>
      <c r="M134" s="21">
        <f>(C131+C135+C137)</f>
        <v>10139</v>
      </c>
      <c r="N134" s="17">
        <f>SUM(M134/M136)</f>
        <v>0.17547898025234082</v>
      </c>
      <c r="O134" s="2">
        <v>2</v>
      </c>
    </row>
    <row r="135" spans="1:19" s="2" customFormat="1" ht="16.5" customHeight="1" thickBot="1">
      <c r="A135" s="6" t="s">
        <v>417</v>
      </c>
      <c r="B135" s="45" t="s">
        <v>1269</v>
      </c>
      <c r="C135" s="8">
        <v>3099</v>
      </c>
      <c r="D135" s="8">
        <v>3421</v>
      </c>
      <c r="E135" s="8">
        <v>3428</v>
      </c>
      <c r="F135" s="8">
        <v>3550</v>
      </c>
      <c r="G135" s="8">
        <v>3620</v>
      </c>
      <c r="H135" s="8">
        <v>4378</v>
      </c>
      <c r="I135" s="8">
        <v>5710</v>
      </c>
      <c r="J135" s="36">
        <v>7064</v>
      </c>
      <c r="K135" s="33" t="s">
        <v>1253</v>
      </c>
      <c r="L135" s="26" t="s">
        <v>1254</v>
      </c>
      <c r="M135" s="21">
        <f>(C134+C138+C140)</f>
        <v>6094</v>
      </c>
      <c r="N135" s="11">
        <f>SUM(M135/M136)</f>
        <v>0.10547084580903096</v>
      </c>
      <c r="O135" s="2">
        <v>1</v>
      </c>
    </row>
    <row r="136" spans="1:19" s="2" customFormat="1" ht="16.5" customHeight="1" thickBot="1">
      <c r="A136" s="6" t="s">
        <v>2324</v>
      </c>
      <c r="B136" s="28" t="s">
        <v>1258</v>
      </c>
      <c r="C136" s="8">
        <v>2962</v>
      </c>
      <c r="D136" s="8">
        <v>6778</v>
      </c>
      <c r="E136" s="8">
        <v>7072</v>
      </c>
      <c r="F136" s="8">
        <v>7137</v>
      </c>
      <c r="G136" s="8">
        <v>7210</v>
      </c>
      <c r="H136" s="36">
        <v>7229</v>
      </c>
      <c r="I136" s="8"/>
      <c r="J136" s="8"/>
      <c r="K136" s="33" t="s">
        <v>1280</v>
      </c>
      <c r="M136" s="23">
        <v>57779</v>
      </c>
    </row>
    <row r="137" spans="1:19" s="2" customFormat="1" ht="16.5" customHeight="1" thickBot="1">
      <c r="A137" s="12" t="s">
        <v>420</v>
      </c>
      <c r="B137" s="32" t="s">
        <v>1269</v>
      </c>
      <c r="C137" s="8">
        <v>2424</v>
      </c>
      <c r="D137" s="8">
        <v>2550</v>
      </c>
      <c r="E137" s="8">
        <v>2553</v>
      </c>
      <c r="F137" s="8">
        <v>2586</v>
      </c>
      <c r="G137" s="8">
        <v>2646</v>
      </c>
      <c r="H137" s="8" t="s">
        <v>1326</v>
      </c>
    </row>
    <row r="138" spans="1:19" s="2" customFormat="1" ht="16.5" customHeight="1" thickBot="1">
      <c r="A138" s="12" t="s">
        <v>421</v>
      </c>
      <c r="B138" s="87" t="s">
        <v>337</v>
      </c>
      <c r="C138" s="8">
        <v>1638</v>
      </c>
      <c r="D138" s="43">
        <v>1940</v>
      </c>
      <c r="E138" s="43">
        <v>1951</v>
      </c>
      <c r="F138" s="8">
        <v>2282</v>
      </c>
      <c r="G138" s="8" t="s">
        <v>1326</v>
      </c>
    </row>
    <row r="139" spans="1:19" s="2" customFormat="1" ht="16.5" customHeight="1" thickBot="1">
      <c r="A139" s="12" t="s">
        <v>418</v>
      </c>
      <c r="B139" s="22" t="s">
        <v>2206</v>
      </c>
      <c r="C139" s="8">
        <v>1257</v>
      </c>
      <c r="D139" s="8">
        <v>5727</v>
      </c>
      <c r="E139" s="8">
        <v>6180</v>
      </c>
      <c r="F139" s="8">
        <v>6333</v>
      </c>
      <c r="G139" s="8">
        <v>6453</v>
      </c>
      <c r="H139" s="8">
        <v>6494</v>
      </c>
      <c r="I139" s="8">
        <v>6509</v>
      </c>
      <c r="J139" s="8">
        <v>6516</v>
      </c>
      <c r="K139" s="33"/>
    </row>
    <row r="140" spans="1:19" s="2" customFormat="1" ht="16.5" customHeight="1" thickBot="1">
      <c r="A140" s="12" t="s">
        <v>422</v>
      </c>
      <c r="B140" s="87" t="s">
        <v>337</v>
      </c>
      <c r="C140" s="8">
        <v>901</v>
      </c>
      <c r="D140" s="8">
        <v>1263</v>
      </c>
      <c r="E140" s="8">
        <v>1288</v>
      </c>
      <c r="F140" s="8" t="s">
        <v>1326</v>
      </c>
    </row>
    <row r="141" spans="1:19" s="2" customFormat="1" ht="12" customHeight="1">
      <c r="A141" s="1"/>
      <c r="L141"/>
      <c r="S141"/>
    </row>
    <row r="142" spans="1:19" s="2" customFormat="1" ht="16.5" customHeight="1">
      <c r="A142" s="1" t="s">
        <v>423</v>
      </c>
    </row>
    <row r="143" spans="1:19" s="2" customFormat="1" ht="9.75" customHeight="1" thickBot="1">
      <c r="A143" s="3"/>
    </row>
    <row r="144" spans="1:19" s="2" customFormat="1" ht="16.5" customHeight="1" thickBot="1">
      <c r="A144" s="4" t="s">
        <v>1244</v>
      </c>
      <c r="B144" s="5" t="s">
        <v>1245</v>
      </c>
      <c r="C144" s="5" t="s">
        <v>1246</v>
      </c>
      <c r="D144" s="5">
        <v>2</v>
      </c>
      <c r="E144" s="5">
        <v>3</v>
      </c>
      <c r="F144" s="5">
        <v>4</v>
      </c>
      <c r="G144" s="5">
        <v>5</v>
      </c>
      <c r="H144" s="5">
        <v>6</v>
      </c>
      <c r="I144" s="5">
        <v>7</v>
      </c>
      <c r="J144" s="5">
        <v>8</v>
      </c>
      <c r="K144" s="5">
        <v>9</v>
      </c>
      <c r="L144" s="5">
        <v>10</v>
      </c>
      <c r="M144" s="5"/>
      <c r="N144" s="10" t="s">
        <v>1413</v>
      </c>
      <c r="O144" s="11">
        <f>(44739/70673)</f>
        <v>0.63304232167871743</v>
      </c>
    </row>
    <row r="145" spans="1:17" s="2" customFormat="1" ht="16.5" customHeight="1" thickBot="1">
      <c r="A145" s="6" t="s">
        <v>426</v>
      </c>
      <c r="B145" s="7" t="s">
        <v>1261</v>
      </c>
      <c r="C145" s="36">
        <v>6454</v>
      </c>
      <c r="D145" s="8"/>
      <c r="E145" s="8"/>
      <c r="F145" s="8"/>
      <c r="G145" s="8"/>
      <c r="H145" s="8"/>
      <c r="I145" s="36"/>
      <c r="J145" s="8"/>
      <c r="K145" s="8"/>
      <c r="L145" s="8"/>
      <c r="M145" s="33" t="s">
        <v>1271</v>
      </c>
      <c r="N145" s="14"/>
      <c r="O145" s="10" t="s">
        <v>1248</v>
      </c>
      <c r="P145" s="10" t="s">
        <v>1249</v>
      </c>
      <c r="Q145" s="10" t="s">
        <v>1250</v>
      </c>
    </row>
    <row r="146" spans="1:17" s="2" customFormat="1" ht="16.5" customHeight="1" thickBot="1">
      <c r="A146" s="6" t="s">
        <v>2287</v>
      </c>
      <c r="B146" s="9" t="s">
        <v>2206</v>
      </c>
      <c r="C146" s="36">
        <v>6268</v>
      </c>
      <c r="D146" s="8"/>
      <c r="E146" s="8"/>
      <c r="F146" s="8"/>
      <c r="G146" s="8"/>
      <c r="H146" s="8"/>
      <c r="I146" s="8"/>
      <c r="J146" s="8"/>
      <c r="K146" s="8"/>
      <c r="L146" s="8"/>
      <c r="M146" s="33" t="s">
        <v>1362</v>
      </c>
      <c r="N146" s="18" t="s">
        <v>2206</v>
      </c>
      <c r="O146" s="16">
        <f>(C146+C148)</f>
        <v>11826</v>
      </c>
      <c r="P146" s="17">
        <f>SUM(O146/O152)</f>
        <v>0.27118255405994174</v>
      </c>
      <c r="Q146" s="14">
        <v>2</v>
      </c>
    </row>
    <row r="147" spans="1:17" s="2" customFormat="1" ht="16.5" customHeight="1" thickBot="1">
      <c r="A147" s="6" t="s">
        <v>2290</v>
      </c>
      <c r="B147" s="35" t="s">
        <v>424</v>
      </c>
      <c r="C147" s="8">
        <v>5687</v>
      </c>
      <c r="D147" s="8">
        <v>5687</v>
      </c>
      <c r="E147" s="8">
        <v>5687</v>
      </c>
      <c r="F147" s="8">
        <v>5692</v>
      </c>
      <c r="G147" s="8">
        <v>5863</v>
      </c>
      <c r="H147" s="8">
        <v>5944</v>
      </c>
      <c r="I147" s="36">
        <v>6634</v>
      </c>
      <c r="J147" s="8"/>
      <c r="K147" s="8"/>
      <c r="L147" s="8"/>
      <c r="M147" s="33" t="s">
        <v>1252</v>
      </c>
      <c r="N147" s="30" t="s">
        <v>1258</v>
      </c>
      <c r="O147" s="16">
        <v>4132</v>
      </c>
      <c r="P147" s="17">
        <f>SUM(O147/O152)</f>
        <v>9.4751083491939739E-2</v>
      </c>
      <c r="Q147" s="2">
        <v>1</v>
      </c>
    </row>
    <row r="148" spans="1:17" s="2" customFormat="1" ht="16.5" customHeight="1" thickBot="1">
      <c r="A148" s="6" t="s">
        <v>429</v>
      </c>
      <c r="B148" s="9" t="s">
        <v>2206</v>
      </c>
      <c r="C148" s="8">
        <v>5558</v>
      </c>
      <c r="D148" s="8">
        <v>5558</v>
      </c>
      <c r="E148" s="8">
        <v>5558</v>
      </c>
      <c r="F148" s="8">
        <v>5570</v>
      </c>
      <c r="G148" s="8">
        <v>5667</v>
      </c>
      <c r="H148" s="8">
        <v>5758</v>
      </c>
      <c r="I148" s="8">
        <v>6223</v>
      </c>
      <c r="J148" s="36">
        <v>6427</v>
      </c>
      <c r="K148" s="8"/>
      <c r="L148" s="8"/>
      <c r="M148" s="33" t="s">
        <v>1280</v>
      </c>
      <c r="N148" s="85" t="s">
        <v>496</v>
      </c>
      <c r="O148" s="16">
        <v>1884</v>
      </c>
      <c r="P148" s="17">
        <f>SUM(O148/O152)</f>
        <v>4.3202091311426542E-2</v>
      </c>
      <c r="Q148" s="14"/>
    </row>
    <row r="149" spans="1:17" s="2" customFormat="1" ht="16.5" customHeight="1" thickBot="1">
      <c r="A149" s="6" t="s">
        <v>425</v>
      </c>
      <c r="B149" s="28" t="s">
        <v>1258</v>
      </c>
      <c r="C149" s="8">
        <v>4132</v>
      </c>
      <c r="D149" s="8">
        <v>4132</v>
      </c>
      <c r="E149" s="8">
        <v>4132</v>
      </c>
      <c r="F149" s="8">
        <v>4138</v>
      </c>
      <c r="G149" s="8">
        <v>4219</v>
      </c>
      <c r="H149" s="8">
        <v>4271</v>
      </c>
      <c r="I149" s="8">
        <v>4972</v>
      </c>
      <c r="J149" s="8">
        <v>5127</v>
      </c>
      <c r="K149" s="8">
        <v>5603</v>
      </c>
      <c r="L149" s="36">
        <v>5800</v>
      </c>
      <c r="M149" s="33" t="s">
        <v>1253</v>
      </c>
      <c r="N149" s="15" t="s">
        <v>1261</v>
      </c>
      <c r="O149" s="21">
        <f>(C145+C150)</f>
        <v>10050</v>
      </c>
      <c r="P149" s="17">
        <f>SUM(O149/O152)</f>
        <v>0.23045701575362884</v>
      </c>
      <c r="Q149" s="2">
        <v>1</v>
      </c>
    </row>
    <row r="150" spans="1:17" s="2" customFormat="1" ht="16.5" customHeight="1" thickBot="1">
      <c r="A150" s="12" t="s">
        <v>428</v>
      </c>
      <c r="B150" s="20" t="s">
        <v>1261</v>
      </c>
      <c r="C150" s="8">
        <v>3596</v>
      </c>
      <c r="D150" s="8">
        <v>3772</v>
      </c>
      <c r="E150" s="8">
        <v>3772</v>
      </c>
      <c r="F150" s="8">
        <v>3794</v>
      </c>
      <c r="G150" s="8">
        <v>3794</v>
      </c>
      <c r="H150" s="8">
        <v>4108</v>
      </c>
      <c r="I150" s="8">
        <v>4111</v>
      </c>
      <c r="J150" s="8">
        <v>4112</v>
      </c>
      <c r="K150" s="8">
        <v>4213</v>
      </c>
      <c r="L150" s="8">
        <v>5124</v>
      </c>
      <c r="M150" s="33"/>
      <c r="N150" s="31" t="s">
        <v>1269</v>
      </c>
      <c r="O150" s="21">
        <f>(C152+C158)</f>
        <v>2725</v>
      </c>
      <c r="P150" s="17">
        <f>SUM(O150/O152)</f>
        <v>6.2487101286431701E-2</v>
      </c>
    </row>
    <row r="151" spans="1:17" s="2" customFormat="1" ht="16.5" customHeight="1" thickBot="1">
      <c r="A151" s="6" t="s">
        <v>430</v>
      </c>
      <c r="B151" s="88" t="s">
        <v>337</v>
      </c>
      <c r="C151" s="8">
        <v>3577</v>
      </c>
      <c r="D151" s="8">
        <v>3578</v>
      </c>
      <c r="E151" s="8">
        <v>3578</v>
      </c>
      <c r="F151" s="8">
        <v>3602</v>
      </c>
      <c r="G151" s="8">
        <v>3619</v>
      </c>
      <c r="H151" s="8">
        <v>3666</v>
      </c>
      <c r="I151" s="8">
        <v>3742</v>
      </c>
      <c r="J151" s="8">
        <v>3761</v>
      </c>
      <c r="K151" s="8">
        <v>4223</v>
      </c>
      <c r="L151" s="36">
        <v>5870</v>
      </c>
      <c r="M151" s="33" t="s">
        <v>1251</v>
      </c>
      <c r="N151" s="26" t="s">
        <v>1254</v>
      </c>
      <c r="O151" s="21">
        <f>(C147+C151+C154+C155+C156+C157)</f>
        <v>12992</v>
      </c>
      <c r="P151" s="11">
        <f>SUM(O151/O152)</f>
        <v>0.29792015409663142</v>
      </c>
      <c r="Q151" s="2">
        <v>2</v>
      </c>
    </row>
    <row r="152" spans="1:17" s="2" customFormat="1" ht="16.5" customHeight="1" thickBot="1">
      <c r="A152" s="12" t="s">
        <v>427</v>
      </c>
      <c r="B152" s="32" t="s">
        <v>1269</v>
      </c>
      <c r="C152" s="8">
        <v>2207</v>
      </c>
      <c r="D152" s="8">
        <v>2214</v>
      </c>
      <c r="E152" s="8">
        <v>2214</v>
      </c>
      <c r="F152" s="8">
        <v>2604</v>
      </c>
      <c r="G152" s="8">
        <v>2611</v>
      </c>
      <c r="H152" s="8">
        <v>2685</v>
      </c>
      <c r="I152" s="8">
        <v>2706</v>
      </c>
      <c r="J152" s="8">
        <v>2710</v>
      </c>
      <c r="K152" s="8">
        <v>3624</v>
      </c>
      <c r="L152" s="8" t="s">
        <v>1326</v>
      </c>
      <c r="O152" s="23">
        <v>43609</v>
      </c>
    </row>
    <row r="153" spans="1:17" s="2" customFormat="1" ht="16.5" customHeight="1" thickBot="1">
      <c r="A153" s="12" t="s">
        <v>2336</v>
      </c>
      <c r="B153" s="83" t="s">
        <v>496</v>
      </c>
      <c r="C153" s="8">
        <v>1884</v>
      </c>
      <c r="D153" s="8">
        <v>1884</v>
      </c>
      <c r="E153" s="8">
        <v>1884</v>
      </c>
      <c r="F153" s="8">
        <v>1889</v>
      </c>
      <c r="G153" s="8">
        <v>1988</v>
      </c>
      <c r="H153" s="8">
        <v>2057</v>
      </c>
      <c r="I153" s="8" t="s">
        <v>1326</v>
      </c>
    </row>
    <row r="154" spans="1:17" s="2" customFormat="1" ht="16.5" customHeight="1" thickBot="1">
      <c r="A154" s="12" t="s">
        <v>2329</v>
      </c>
      <c r="B154" s="80" t="s">
        <v>363</v>
      </c>
      <c r="C154" s="8">
        <v>1749</v>
      </c>
      <c r="D154" s="8">
        <v>1750</v>
      </c>
      <c r="E154" s="8">
        <v>1750</v>
      </c>
      <c r="F154" s="8">
        <v>1775</v>
      </c>
      <c r="G154" s="8">
        <v>1786</v>
      </c>
      <c r="H154" s="8">
        <v>2360</v>
      </c>
      <c r="I154" s="8">
        <v>2424</v>
      </c>
      <c r="J154" s="8">
        <v>2441</v>
      </c>
      <c r="K154" s="8" t="s">
        <v>1326</v>
      </c>
    </row>
    <row r="155" spans="1:17" s="2" customFormat="1" ht="16.5" customHeight="1" thickBot="1">
      <c r="A155" s="12" t="s">
        <v>432</v>
      </c>
      <c r="B155" s="80" t="s">
        <v>363</v>
      </c>
      <c r="C155" s="8">
        <v>898</v>
      </c>
      <c r="D155" s="43">
        <v>899</v>
      </c>
      <c r="E155" s="43">
        <v>899</v>
      </c>
      <c r="F155" s="8">
        <v>925</v>
      </c>
      <c r="G155" s="8">
        <v>948</v>
      </c>
      <c r="H155" s="8" t="s">
        <v>1326</v>
      </c>
    </row>
    <row r="156" spans="1:17" s="2" customFormat="1" ht="16.5" customHeight="1" thickBot="1">
      <c r="A156" s="12" t="s">
        <v>2335</v>
      </c>
      <c r="B156" s="37" t="s">
        <v>2447</v>
      </c>
      <c r="C156" s="8">
        <v>556</v>
      </c>
      <c r="D156" s="8">
        <v>560</v>
      </c>
      <c r="E156" s="8">
        <v>560</v>
      </c>
      <c r="F156" s="8">
        <v>561</v>
      </c>
      <c r="G156" s="8">
        <v>565</v>
      </c>
      <c r="H156" s="8" t="s">
        <v>1326</v>
      </c>
      <c r="O156" s="17"/>
    </row>
    <row r="157" spans="1:17" s="2" customFormat="1" ht="16.5" customHeight="1" thickBot="1">
      <c r="A157" s="12" t="s">
        <v>431</v>
      </c>
      <c r="B157" s="38" t="s">
        <v>424</v>
      </c>
      <c r="C157" s="8">
        <v>525</v>
      </c>
      <c r="D157" s="8">
        <v>525</v>
      </c>
      <c r="E157" s="8">
        <v>525</v>
      </c>
      <c r="F157" s="8">
        <v>526</v>
      </c>
      <c r="G157" s="8" t="s">
        <v>1326</v>
      </c>
      <c r="L157" s="17"/>
    </row>
    <row r="158" spans="1:17" s="2" customFormat="1" ht="16.5" customHeight="1" thickBot="1">
      <c r="A158" s="12" t="s">
        <v>433</v>
      </c>
      <c r="B158" s="32" t="s">
        <v>1269</v>
      </c>
      <c r="C158" s="8">
        <v>518</v>
      </c>
      <c r="D158" s="8">
        <v>519</v>
      </c>
      <c r="E158" s="8">
        <v>519</v>
      </c>
      <c r="F158" s="8" t="s">
        <v>1326</v>
      </c>
      <c r="L158" s="17"/>
    </row>
    <row r="159" spans="1:17" s="2" customFormat="1" ht="12" customHeight="1">
      <c r="A159" s="1"/>
    </row>
    <row r="160" spans="1:17" s="2" customFormat="1" ht="16.5" customHeight="1">
      <c r="A160" s="1" t="s">
        <v>434</v>
      </c>
    </row>
    <row r="161" spans="1:18" s="2" customFormat="1" ht="9.75" customHeight="1" thickBot="1">
      <c r="A161" s="3"/>
    </row>
    <row r="162" spans="1:18" s="2" customFormat="1" ht="16.5" customHeight="1" thickBot="1">
      <c r="A162" s="4" t="s">
        <v>1244</v>
      </c>
      <c r="B162" s="5" t="s">
        <v>1245</v>
      </c>
      <c r="C162" s="5" t="s">
        <v>1246</v>
      </c>
      <c r="D162" s="5">
        <v>2</v>
      </c>
      <c r="E162" s="5">
        <v>3</v>
      </c>
      <c r="F162" s="5">
        <v>4</v>
      </c>
      <c r="G162" s="5">
        <v>5</v>
      </c>
      <c r="H162" s="5">
        <v>6</v>
      </c>
      <c r="I162" s="5">
        <v>7</v>
      </c>
      <c r="J162" s="5">
        <v>8</v>
      </c>
      <c r="K162" s="5"/>
      <c r="L162" s="10" t="s">
        <v>1413</v>
      </c>
      <c r="M162" s="11">
        <f>(37514/63869)</f>
        <v>0.5873584994285177</v>
      </c>
    </row>
    <row r="163" spans="1:18" s="2" customFormat="1" ht="16.5" customHeight="1" thickBot="1">
      <c r="A163" s="6" t="s">
        <v>436</v>
      </c>
      <c r="B163" s="9" t="s">
        <v>2206</v>
      </c>
      <c r="C163" s="36">
        <v>8433</v>
      </c>
      <c r="D163" s="8"/>
      <c r="E163" s="8"/>
      <c r="F163" s="8"/>
      <c r="G163" s="8"/>
      <c r="H163" s="8"/>
      <c r="I163" s="8"/>
      <c r="J163" s="8"/>
      <c r="K163" s="33" t="s">
        <v>1271</v>
      </c>
      <c r="L163" s="14"/>
      <c r="M163" s="10" t="s">
        <v>1248</v>
      </c>
      <c r="N163" s="10" t="s">
        <v>1249</v>
      </c>
      <c r="O163" s="10" t="s">
        <v>1250</v>
      </c>
    </row>
    <row r="164" spans="1:18" s="2" customFormat="1" ht="16.5" customHeight="1" thickBot="1">
      <c r="A164" s="6" t="s">
        <v>435</v>
      </c>
      <c r="B164" s="7" t="s">
        <v>1261</v>
      </c>
      <c r="C164" s="36">
        <v>6267</v>
      </c>
      <c r="D164" s="8"/>
      <c r="E164" s="8"/>
      <c r="F164" s="8"/>
      <c r="G164" s="36"/>
      <c r="H164" s="36"/>
      <c r="I164" s="8"/>
      <c r="J164" s="8"/>
      <c r="K164" s="33" t="s">
        <v>1362</v>
      </c>
      <c r="L164" s="18" t="s">
        <v>2206</v>
      </c>
      <c r="M164" s="16">
        <f>(C163+C169)</f>
        <v>10758</v>
      </c>
      <c r="N164" s="17">
        <f>SUM(M164/M169)</f>
        <v>0.30117581187010078</v>
      </c>
      <c r="O164" s="14">
        <v>2</v>
      </c>
    </row>
    <row r="165" spans="1:18" s="2" customFormat="1" ht="16.5" customHeight="1" thickBot="1">
      <c r="A165" s="6" t="s">
        <v>438</v>
      </c>
      <c r="B165" s="45" t="s">
        <v>1269</v>
      </c>
      <c r="C165" s="8">
        <v>3293</v>
      </c>
      <c r="D165" s="8">
        <v>3363</v>
      </c>
      <c r="E165" s="8">
        <v>3495</v>
      </c>
      <c r="F165" s="8">
        <v>3680</v>
      </c>
      <c r="G165" s="8">
        <v>4342</v>
      </c>
      <c r="H165" s="8">
        <v>4428</v>
      </c>
      <c r="I165" s="8">
        <v>4473</v>
      </c>
      <c r="J165" s="36">
        <v>4915</v>
      </c>
      <c r="K165" s="33" t="s">
        <v>1280</v>
      </c>
      <c r="L165" s="30" t="s">
        <v>1258</v>
      </c>
      <c r="M165" s="16">
        <v>1958</v>
      </c>
      <c r="N165" s="17">
        <f>SUM(M165/M169)</f>
        <v>5.4815229563269875E-2</v>
      </c>
    </row>
    <row r="166" spans="1:18" s="2" customFormat="1" ht="16.5" customHeight="1" thickBot="1">
      <c r="A166" s="6" t="s">
        <v>2168</v>
      </c>
      <c r="B166" s="7" t="s">
        <v>1261</v>
      </c>
      <c r="C166" s="8">
        <v>2840</v>
      </c>
      <c r="D166" s="8">
        <v>2842</v>
      </c>
      <c r="E166" s="8">
        <v>3059</v>
      </c>
      <c r="F166" s="8">
        <v>3181</v>
      </c>
      <c r="G166" s="8">
        <v>3608</v>
      </c>
      <c r="H166" s="8">
        <v>3611</v>
      </c>
      <c r="I166" s="8">
        <v>3612</v>
      </c>
      <c r="J166" s="36">
        <v>4902</v>
      </c>
      <c r="K166" s="33" t="s">
        <v>1251</v>
      </c>
      <c r="L166" s="15" t="s">
        <v>1261</v>
      </c>
      <c r="M166" s="21">
        <f>(C164+C166+C168+C171)</f>
        <v>13545</v>
      </c>
      <c r="N166" s="17">
        <f>SUM(M166/M169)</f>
        <v>0.37919932810750279</v>
      </c>
      <c r="O166" s="2">
        <v>2</v>
      </c>
    </row>
    <row r="167" spans="1:18" s="2" customFormat="1" ht="16.5" customHeight="1" thickBot="1">
      <c r="A167" s="6" t="s">
        <v>1841</v>
      </c>
      <c r="B167" s="35" t="s">
        <v>1423</v>
      </c>
      <c r="C167" s="8">
        <v>2644</v>
      </c>
      <c r="D167" s="8">
        <v>3236</v>
      </c>
      <c r="E167" s="8">
        <v>3236</v>
      </c>
      <c r="F167" s="8">
        <v>3253</v>
      </c>
      <c r="G167" s="8">
        <v>3256</v>
      </c>
      <c r="H167" s="8">
        <v>4128</v>
      </c>
      <c r="I167" s="8">
        <v>4685</v>
      </c>
      <c r="J167" s="36">
        <v>4694</v>
      </c>
      <c r="K167" s="33" t="s">
        <v>1253</v>
      </c>
      <c r="L167" s="31" t="s">
        <v>1269</v>
      </c>
      <c r="M167" s="21">
        <v>3293</v>
      </c>
      <c r="N167" s="17">
        <f>SUM(M167/M169)</f>
        <v>9.2189249720044789E-2</v>
      </c>
      <c r="O167" s="2">
        <v>1</v>
      </c>
    </row>
    <row r="168" spans="1:18" s="2" customFormat="1" ht="16.5" customHeight="1" thickBot="1">
      <c r="A168" s="12" t="s">
        <v>2326</v>
      </c>
      <c r="B168" s="20" t="s">
        <v>1261</v>
      </c>
      <c r="C168" s="8">
        <v>2452</v>
      </c>
      <c r="D168" s="8">
        <v>2454</v>
      </c>
      <c r="E168" s="8">
        <v>2579</v>
      </c>
      <c r="F168" s="8">
        <v>2691</v>
      </c>
      <c r="G168" s="8">
        <v>3116</v>
      </c>
      <c r="H168" s="8">
        <v>3119</v>
      </c>
      <c r="I168" s="8">
        <v>3121</v>
      </c>
      <c r="J168" s="8" t="s">
        <v>1326</v>
      </c>
      <c r="L168" s="26" t="s">
        <v>1254</v>
      </c>
      <c r="M168" s="21">
        <f>(C167+C170+C173+C174+C175+C176+C177)</f>
        <v>6166</v>
      </c>
      <c r="N168" s="11">
        <f>SUM(M168/M169)</f>
        <v>0.17262038073908176</v>
      </c>
      <c r="O168" s="2">
        <v>1</v>
      </c>
    </row>
    <row r="169" spans="1:18" s="2" customFormat="1" ht="16.5" customHeight="1" thickBot="1">
      <c r="A169" s="6" t="s">
        <v>440</v>
      </c>
      <c r="B169" s="9" t="s">
        <v>2206</v>
      </c>
      <c r="C169" s="8">
        <v>2325</v>
      </c>
      <c r="D169" s="8">
        <v>4209</v>
      </c>
      <c r="E169" s="8">
        <v>4209</v>
      </c>
      <c r="F169" s="8">
        <v>4227</v>
      </c>
      <c r="G169" s="8">
        <v>4236</v>
      </c>
      <c r="H169" s="36">
        <v>5711</v>
      </c>
      <c r="I169" s="8"/>
      <c r="J169" s="8"/>
      <c r="K169" s="33" t="s">
        <v>1252</v>
      </c>
      <c r="M169" s="23">
        <v>35720</v>
      </c>
    </row>
    <row r="170" spans="1:18" s="2" customFormat="1" ht="16.5" customHeight="1" thickBot="1">
      <c r="A170" s="12" t="s">
        <v>443</v>
      </c>
      <c r="B170" s="38" t="s">
        <v>1755</v>
      </c>
      <c r="C170" s="8">
        <v>2052</v>
      </c>
      <c r="D170" s="8">
        <v>2053</v>
      </c>
      <c r="E170" s="8">
        <v>2134</v>
      </c>
      <c r="F170" s="8">
        <v>2302</v>
      </c>
      <c r="G170" s="8" t="s">
        <v>1326</v>
      </c>
    </row>
    <row r="171" spans="1:18" s="2" customFormat="1" ht="16.5" customHeight="1" thickBot="1">
      <c r="A171" s="12" t="s">
        <v>441</v>
      </c>
      <c r="B171" s="20" t="s">
        <v>1261</v>
      </c>
      <c r="C171" s="8">
        <v>1986</v>
      </c>
      <c r="D171" s="8">
        <v>1989</v>
      </c>
      <c r="E171" s="8">
        <v>2507</v>
      </c>
      <c r="F171" s="8">
        <v>2652</v>
      </c>
      <c r="G171" s="8">
        <v>3254</v>
      </c>
      <c r="H171" s="8">
        <v>3257</v>
      </c>
      <c r="I171" s="8">
        <v>3258</v>
      </c>
      <c r="J171" s="8">
        <v>4514</v>
      </c>
      <c r="K171" s="33"/>
    </row>
    <row r="172" spans="1:18" s="2" customFormat="1" ht="16.5" customHeight="1" thickBot="1">
      <c r="A172" s="12" t="s">
        <v>437</v>
      </c>
      <c r="B172" s="27" t="s">
        <v>1258</v>
      </c>
      <c r="C172" s="8">
        <v>1958</v>
      </c>
      <c r="D172" s="8">
        <v>2668</v>
      </c>
      <c r="E172" s="8">
        <v>2670</v>
      </c>
      <c r="F172" s="8">
        <v>2686</v>
      </c>
      <c r="G172" s="8">
        <v>2689</v>
      </c>
      <c r="H172" s="8" t="s">
        <v>1326</v>
      </c>
    </row>
    <row r="173" spans="1:18" s="2" customFormat="1" ht="16.5" customHeight="1" thickBot="1">
      <c r="A173" s="12" t="s">
        <v>439</v>
      </c>
      <c r="B173" s="37" t="s">
        <v>2447</v>
      </c>
      <c r="C173" s="8">
        <v>660</v>
      </c>
      <c r="D173" s="8">
        <v>661</v>
      </c>
      <c r="E173" s="8">
        <v>676</v>
      </c>
      <c r="F173" s="8" t="s">
        <v>1326</v>
      </c>
      <c r="M173" s="17"/>
      <c r="R173" s="17"/>
    </row>
    <row r="174" spans="1:18" s="2" customFormat="1" ht="16.5" customHeight="1" thickBot="1">
      <c r="A174" s="12" t="s">
        <v>444</v>
      </c>
      <c r="B174" s="37" t="s">
        <v>2447</v>
      </c>
      <c r="C174" s="8">
        <v>418</v>
      </c>
      <c r="D174" s="8">
        <v>419</v>
      </c>
      <c r="E174" s="8">
        <v>433</v>
      </c>
      <c r="F174" s="8" t="s">
        <v>1326</v>
      </c>
    </row>
    <row r="175" spans="1:18" s="2" customFormat="1" ht="16.5" customHeight="1" thickBot="1">
      <c r="A175" s="12" t="s">
        <v>445</v>
      </c>
      <c r="B175" s="37" t="s">
        <v>2447</v>
      </c>
      <c r="C175" s="8">
        <v>262</v>
      </c>
      <c r="D175" s="8">
        <v>263</v>
      </c>
      <c r="E175" s="8">
        <v>268</v>
      </c>
      <c r="F175" s="8" t="s">
        <v>1326</v>
      </c>
    </row>
    <row r="176" spans="1:18" s="2" customFormat="1" ht="16.5" customHeight="1" thickBot="1">
      <c r="A176" s="12" t="s">
        <v>446</v>
      </c>
      <c r="B176" s="38" t="s">
        <v>397</v>
      </c>
      <c r="C176" s="8">
        <v>86</v>
      </c>
      <c r="D176" s="8">
        <v>86</v>
      </c>
      <c r="E176" s="8">
        <v>88</v>
      </c>
      <c r="F176" s="8" t="s">
        <v>1326</v>
      </c>
    </row>
    <row r="177" spans="1:18" s="2" customFormat="1" ht="16.5" customHeight="1" thickBot="1">
      <c r="A177" s="12" t="s">
        <v>442</v>
      </c>
      <c r="B177" s="38" t="s">
        <v>397</v>
      </c>
      <c r="C177" s="8">
        <v>44</v>
      </c>
      <c r="D177" s="8">
        <v>45</v>
      </c>
      <c r="E177" s="8">
        <v>46</v>
      </c>
      <c r="F177" s="8" t="s">
        <v>1326</v>
      </c>
      <c r="M177" s="17"/>
      <c r="R177" s="17"/>
    </row>
    <row r="178" spans="1:18" s="2" customFormat="1" ht="12" customHeight="1">
      <c r="A178" s="1"/>
    </row>
    <row r="179" spans="1:18" s="2" customFormat="1" ht="16.5" customHeight="1">
      <c r="A179" s="1" t="s">
        <v>456</v>
      </c>
    </row>
    <row r="180" spans="1:18" s="2" customFormat="1" ht="9.75" customHeight="1" thickBot="1">
      <c r="A180" s="3"/>
    </row>
    <row r="181" spans="1:18" s="2" customFormat="1" ht="16.5" customHeight="1" thickBot="1">
      <c r="A181" s="4" t="s">
        <v>1244</v>
      </c>
      <c r="B181" s="5" t="s">
        <v>1245</v>
      </c>
      <c r="C181" s="5" t="s">
        <v>1246</v>
      </c>
      <c r="D181" s="5">
        <v>2</v>
      </c>
      <c r="E181" s="5">
        <v>3</v>
      </c>
      <c r="F181" s="5">
        <v>4</v>
      </c>
      <c r="G181" s="5">
        <v>5</v>
      </c>
      <c r="H181" s="5">
        <v>6</v>
      </c>
      <c r="I181" s="5">
        <v>7</v>
      </c>
      <c r="J181" s="5">
        <v>8</v>
      </c>
      <c r="K181" s="5">
        <v>9</v>
      </c>
      <c r="L181" s="5">
        <v>10</v>
      </c>
      <c r="M181" s="5">
        <v>11</v>
      </c>
      <c r="N181" s="5"/>
      <c r="O181" s="10" t="s">
        <v>1413</v>
      </c>
      <c r="P181" s="11">
        <f>(48601/73324)</f>
        <v>0.66282526867055802</v>
      </c>
    </row>
    <row r="182" spans="1:18" s="2" customFormat="1" ht="16.5" customHeight="1" thickBot="1">
      <c r="A182" s="6" t="s">
        <v>2347</v>
      </c>
      <c r="B182" s="9" t="s">
        <v>2206</v>
      </c>
      <c r="C182" s="36">
        <v>15061</v>
      </c>
      <c r="D182" s="8"/>
      <c r="E182" s="8"/>
      <c r="F182" s="8"/>
      <c r="G182" s="8"/>
      <c r="H182" s="36"/>
      <c r="I182" s="8"/>
      <c r="J182" s="8"/>
      <c r="K182" s="8"/>
      <c r="L182" s="8"/>
      <c r="M182" s="36"/>
      <c r="N182" s="33" t="s">
        <v>1271</v>
      </c>
      <c r="O182" s="14"/>
      <c r="P182" s="10" t="s">
        <v>1248</v>
      </c>
      <c r="Q182" s="10" t="s">
        <v>1249</v>
      </c>
      <c r="R182" s="10" t="s">
        <v>1250</v>
      </c>
    </row>
    <row r="183" spans="1:18" s="2" customFormat="1" ht="16.5" customHeight="1" thickBot="1">
      <c r="A183" s="6" t="s">
        <v>447</v>
      </c>
      <c r="B183" s="45" t="s">
        <v>1269</v>
      </c>
      <c r="C183" s="36">
        <v>7961</v>
      </c>
      <c r="D183" s="8"/>
      <c r="E183" s="8"/>
      <c r="F183" s="8"/>
      <c r="G183" s="36"/>
      <c r="H183" s="8"/>
      <c r="I183" s="8"/>
      <c r="J183" s="8"/>
      <c r="K183" s="8"/>
      <c r="L183" s="36"/>
      <c r="M183" s="8"/>
      <c r="N183" s="33" t="s">
        <v>1362</v>
      </c>
      <c r="O183" s="18" t="s">
        <v>2206</v>
      </c>
      <c r="P183" s="16">
        <f>(C182+C184)</f>
        <v>19291</v>
      </c>
      <c r="Q183" s="17">
        <f>SUM(P183/P189)</f>
        <v>0.40347611478289969</v>
      </c>
      <c r="R183" s="14">
        <v>2</v>
      </c>
    </row>
    <row r="184" spans="1:18" s="2" customFormat="1" ht="16.5" customHeight="1" thickBot="1">
      <c r="A184" s="6" t="s">
        <v>449</v>
      </c>
      <c r="B184" s="9" t="s">
        <v>2206</v>
      </c>
      <c r="C184" s="8">
        <v>4230</v>
      </c>
      <c r="D184" s="36">
        <v>7751</v>
      </c>
      <c r="E184" s="8"/>
      <c r="F184" s="36"/>
      <c r="G184" s="8"/>
      <c r="H184" s="8"/>
      <c r="I184" s="8"/>
      <c r="J184" s="8"/>
      <c r="K184" s="36"/>
      <c r="L184" s="8"/>
      <c r="M184" s="8"/>
      <c r="N184" s="33" t="s">
        <v>1252</v>
      </c>
      <c r="O184" s="30" t="s">
        <v>1258</v>
      </c>
      <c r="P184" s="16">
        <f>(C187+C193)</f>
        <v>3845</v>
      </c>
      <c r="Q184" s="17">
        <f>SUM(P184/P189)</f>
        <v>8.0419141638082489E-2</v>
      </c>
      <c r="R184" s="2">
        <v>1</v>
      </c>
    </row>
    <row r="185" spans="1:18" s="2" customFormat="1" ht="16.5" customHeight="1" thickBot="1">
      <c r="A185" s="12" t="s">
        <v>452</v>
      </c>
      <c r="B185" s="87" t="s">
        <v>337</v>
      </c>
      <c r="C185" s="8">
        <v>3552</v>
      </c>
      <c r="D185" s="8">
        <v>3819</v>
      </c>
      <c r="E185" s="8">
        <v>3862</v>
      </c>
      <c r="F185" s="8">
        <v>3909</v>
      </c>
      <c r="G185" s="8">
        <v>4076</v>
      </c>
      <c r="H185" s="8">
        <v>4132</v>
      </c>
      <c r="I185" s="8">
        <v>5718</v>
      </c>
      <c r="J185" s="8">
        <v>5779</v>
      </c>
      <c r="K185" s="8">
        <v>5948</v>
      </c>
      <c r="L185" s="8">
        <v>6424</v>
      </c>
      <c r="M185" s="8">
        <v>6448</v>
      </c>
      <c r="N185" s="33"/>
      <c r="O185" s="85" t="s">
        <v>496</v>
      </c>
      <c r="P185" s="16">
        <f>(C189+C190)</f>
        <v>4303</v>
      </c>
      <c r="Q185" s="17">
        <f>SUM(P185/P189)</f>
        <v>8.9998326779887894E-2</v>
      </c>
      <c r="R185" s="14">
        <v>1</v>
      </c>
    </row>
    <row r="186" spans="1:18" s="2" customFormat="1" ht="16.5" customHeight="1" thickBot="1">
      <c r="A186" s="12" t="s">
        <v>2346</v>
      </c>
      <c r="B186" s="20" t="s">
        <v>1261</v>
      </c>
      <c r="C186" s="8">
        <v>3065</v>
      </c>
      <c r="D186" s="8">
        <v>3069</v>
      </c>
      <c r="E186" s="8">
        <v>3126</v>
      </c>
      <c r="F186" s="8">
        <v>3127</v>
      </c>
      <c r="G186" s="8">
        <v>3269</v>
      </c>
      <c r="H186" s="8">
        <v>3271</v>
      </c>
      <c r="I186" s="8">
        <v>3281</v>
      </c>
      <c r="J186" s="8" t="s">
        <v>1326</v>
      </c>
      <c r="O186" s="15" t="s">
        <v>1261</v>
      </c>
      <c r="P186" s="21">
        <v>3065</v>
      </c>
      <c r="Q186" s="17">
        <f>SUM(P186/P189)</f>
        <v>6.4105245545051454E-2</v>
      </c>
    </row>
    <row r="187" spans="1:18" s="2" customFormat="1" ht="16.5" customHeight="1" thickBot="1">
      <c r="A187" s="6" t="s">
        <v>448</v>
      </c>
      <c r="B187" s="28" t="s">
        <v>1258</v>
      </c>
      <c r="C187" s="8">
        <v>2529</v>
      </c>
      <c r="D187" s="8">
        <v>3406</v>
      </c>
      <c r="E187" s="8">
        <v>3413</v>
      </c>
      <c r="F187" s="8">
        <v>3733</v>
      </c>
      <c r="G187" s="8">
        <v>3837</v>
      </c>
      <c r="H187" s="8">
        <v>4965</v>
      </c>
      <c r="I187" s="8">
        <v>5042</v>
      </c>
      <c r="J187" s="8">
        <v>5054</v>
      </c>
      <c r="K187" s="8">
        <v>6117</v>
      </c>
      <c r="L187" s="8">
        <v>6134</v>
      </c>
      <c r="M187" s="36">
        <v>6514</v>
      </c>
      <c r="N187" s="33" t="s">
        <v>1253</v>
      </c>
      <c r="O187" s="31" t="s">
        <v>1269</v>
      </c>
      <c r="P187" s="21">
        <f>(C183+C188)</f>
        <v>10460</v>
      </c>
      <c r="Q187" s="17">
        <f>SUM(P187/P189)</f>
        <v>0.21877352965782648</v>
      </c>
      <c r="R187" s="2">
        <v>2</v>
      </c>
    </row>
    <row r="188" spans="1:18" s="2" customFormat="1" ht="16.5" customHeight="1" thickBot="1">
      <c r="A188" s="6" t="s">
        <v>450</v>
      </c>
      <c r="B188" s="45" t="s">
        <v>1269</v>
      </c>
      <c r="C188" s="8">
        <v>2499</v>
      </c>
      <c r="D188" s="8">
        <v>2536</v>
      </c>
      <c r="E188" s="8">
        <v>3473</v>
      </c>
      <c r="F188" s="8">
        <v>3483</v>
      </c>
      <c r="G188" s="8">
        <v>4282</v>
      </c>
      <c r="H188" s="8">
        <v>4288</v>
      </c>
      <c r="I188" s="8">
        <v>4465</v>
      </c>
      <c r="J188" s="36">
        <v>7329</v>
      </c>
      <c r="K188" s="8"/>
      <c r="L188" s="8"/>
      <c r="M188" s="36"/>
      <c r="N188" s="33" t="s">
        <v>1280</v>
      </c>
      <c r="O188" s="26" t="s">
        <v>1254</v>
      </c>
      <c r="P188" s="21">
        <f>(C185+C191+C192)</f>
        <v>6848</v>
      </c>
      <c r="Q188" s="11">
        <f>SUM(P188/P189)</f>
        <v>0.14322764159625198</v>
      </c>
    </row>
    <row r="189" spans="1:18" s="2" customFormat="1" ht="16.5" customHeight="1" thickBot="1">
      <c r="A189" s="6" t="s">
        <v>2042</v>
      </c>
      <c r="B189" s="86" t="s">
        <v>496</v>
      </c>
      <c r="C189" s="8">
        <v>2429</v>
      </c>
      <c r="D189" s="8">
        <v>4398</v>
      </c>
      <c r="E189" s="8">
        <v>4403</v>
      </c>
      <c r="F189" s="8">
        <v>4638</v>
      </c>
      <c r="G189" s="8">
        <v>4742</v>
      </c>
      <c r="H189" s="8">
        <v>5147</v>
      </c>
      <c r="I189" s="8">
        <v>5217</v>
      </c>
      <c r="J189" s="8">
        <v>5227</v>
      </c>
      <c r="K189" s="36">
        <v>7241</v>
      </c>
      <c r="L189" s="8"/>
      <c r="M189" s="36"/>
      <c r="N189" s="33" t="s">
        <v>1251</v>
      </c>
      <c r="P189" s="23">
        <v>47812</v>
      </c>
    </row>
    <row r="190" spans="1:18" s="2" customFormat="1" ht="16.5" customHeight="1" thickBot="1">
      <c r="A190" s="12" t="s">
        <v>455</v>
      </c>
      <c r="B190" s="83" t="s">
        <v>496</v>
      </c>
      <c r="C190" s="8">
        <v>1874</v>
      </c>
      <c r="D190" s="8">
        <v>2733</v>
      </c>
      <c r="E190" s="8">
        <v>2736</v>
      </c>
      <c r="F190" s="8">
        <v>2907</v>
      </c>
      <c r="G190" s="8">
        <v>2996</v>
      </c>
      <c r="H190" s="8">
        <v>3282</v>
      </c>
      <c r="I190" s="8">
        <v>3351</v>
      </c>
      <c r="J190" s="8">
        <v>3365</v>
      </c>
      <c r="K190" s="8" t="s">
        <v>1326</v>
      </c>
    </row>
    <row r="191" spans="1:18" s="2" customFormat="1" ht="16.5" customHeight="1" thickBot="1">
      <c r="A191" s="12" t="s">
        <v>454</v>
      </c>
      <c r="B191" s="87" t="s">
        <v>337</v>
      </c>
      <c r="C191" s="8">
        <v>1697</v>
      </c>
      <c r="D191" s="8">
        <v>1783</v>
      </c>
      <c r="E191" s="8">
        <v>1800</v>
      </c>
      <c r="F191" s="8">
        <v>1827</v>
      </c>
      <c r="G191" s="8">
        <v>2020</v>
      </c>
      <c r="H191" s="8">
        <v>2051</v>
      </c>
      <c r="I191" s="8" t="s">
        <v>1326</v>
      </c>
    </row>
    <row r="192" spans="1:18" s="2" customFormat="1" ht="16.5" customHeight="1" thickBot="1">
      <c r="A192" s="12" t="s">
        <v>453</v>
      </c>
      <c r="B192" s="80" t="s">
        <v>363</v>
      </c>
      <c r="C192" s="8">
        <v>1599</v>
      </c>
      <c r="D192" s="43">
        <v>1682</v>
      </c>
      <c r="E192" s="8">
        <v>1716</v>
      </c>
      <c r="F192" s="8">
        <v>1726</v>
      </c>
      <c r="G192" s="8" t="s">
        <v>1326</v>
      </c>
      <c r="K192" s="17"/>
    </row>
    <row r="193" spans="1:25" s="2" customFormat="1" ht="16.5" customHeight="1" thickBot="1">
      <c r="A193" s="12" t="s">
        <v>451</v>
      </c>
      <c r="B193" s="27" t="s">
        <v>1258</v>
      </c>
      <c r="C193" s="8">
        <v>1316</v>
      </c>
      <c r="D193" s="8">
        <v>1837</v>
      </c>
      <c r="E193" s="8">
        <v>1839</v>
      </c>
      <c r="F193" s="8">
        <v>1903</v>
      </c>
      <c r="G193" s="8">
        <v>1928</v>
      </c>
      <c r="H193" s="8" t="s">
        <v>1326</v>
      </c>
      <c r="M193" s="17"/>
      <c r="R193"/>
      <c r="Y193"/>
    </row>
    <row r="194" spans="1:25" s="2" customFormat="1" ht="12" customHeight="1">
      <c r="A194" s="1"/>
    </row>
    <row r="195" spans="1:25" s="2" customFormat="1" ht="16.5" customHeight="1">
      <c r="A195" s="1" t="s">
        <v>457</v>
      </c>
    </row>
    <row r="196" spans="1:25" s="2" customFormat="1" ht="9.75" customHeight="1" thickBot="1">
      <c r="A196" s="3"/>
    </row>
    <row r="197" spans="1:25" s="2" customFormat="1" ht="16.5" customHeight="1" thickBot="1">
      <c r="A197" s="4" t="s">
        <v>1244</v>
      </c>
      <c r="B197" s="5" t="s">
        <v>1245</v>
      </c>
      <c r="C197" s="5" t="s">
        <v>1246</v>
      </c>
      <c r="D197" s="5">
        <v>2</v>
      </c>
      <c r="E197" s="5">
        <v>3</v>
      </c>
      <c r="F197" s="5">
        <v>4</v>
      </c>
      <c r="G197" s="5">
        <v>5</v>
      </c>
      <c r="H197" s="5">
        <v>6</v>
      </c>
      <c r="I197" s="5">
        <v>7</v>
      </c>
      <c r="J197" s="5">
        <v>8</v>
      </c>
      <c r="K197" s="5">
        <v>9</v>
      </c>
      <c r="L197" s="5">
        <v>10</v>
      </c>
      <c r="M197" s="5">
        <v>11</v>
      </c>
      <c r="N197" s="5"/>
      <c r="O197" s="10" t="s">
        <v>1413</v>
      </c>
      <c r="P197" s="11">
        <f>(51133/78340)</f>
        <v>0.65270615266785803</v>
      </c>
    </row>
    <row r="198" spans="1:25" s="2" customFormat="1" ht="16.5" customHeight="1" thickBot="1">
      <c r="A198" s="6" t="s">
        <v>2362</v>
      </c>
      <c r="B198" s="86" t="s">
        <v>496</v>
      </c>
      <c r="C198" s="36">
        <v>11958</v>
      </c>
      <c r="D198" s="8"/>
      <c r="E198" s="8"/>
      <c r="F198" s="8"/>
      <c r="G198" s="8"/>
      <c r="H198" s="8"/>
      <c r="I198" s="36"/>
      <c r="J198" s="8"/>
      <c r="K198" s="8"/>
      <c r="L198" s="8"/>
      <c r="M198" s="8"/>
      <c r="N198" s="33" t="s">
        <v>1271</v>
      </c>
      <c r="O198" s="14"/>
      <c r="P198" s="10" t="s">
        <v>1248</v>
      </c>
      <c r="Q198" s="10" t="s">
        <v>1249</v>
      </c>
      <c r="R198" s="10" t="s">
        <v>1250</v>
      </c>
    </row>
    <row r="199" spans="1:25" s="2" customFormat="1" ht="16.5" customHeight="1" thickBot="1">
      <c r="A199" s="6" t="s">
        <v>2360</v>
      </c>
      <c r="B199" s="45" t="s">
        <v>1269</v>
      </c>
      <c r="C199" s="8">
        <v>6341</v>
      </c>
      <c r="D199" s="8">
        <v>6393</v>
      </c>
      <c r="E199" s="8">
        <v>6449</v>
      </c>
      <c r="F199" s="8">
        <v>6469</v>
      </c>
      <c r="G199" s="8">
        <v>6537</v>
      </c>
      <c r="H199" s="36">
        <v>7450</v>
      </c>
      <c r="I199" s="36"/>
      <c r="J199" s="8"/>
      <c r="K199" s="8"/>
      <c r="L199" s="8"/>
      <c r="M199" s="8"/>
      <c r="N199" s="33" t="s">
        <v>1362</v>
      </c>
      <c r="O199" s="18" t="s">
        <v>2206</v>
      </c>
      <c r="P199" s="16">
        <f>(C206+C207)</f>
        <v>5192</v>
      </c>
      <c r="Q199" s="17">
        <f>SUM(P199/P205)</f>
        <v>0.10350877192982456</v>
      </c>
      <c r="R199" s="14"/>
    </row>
    <row r="200" spans="1:25" s="2" customFormat="1" ht="16.5" customHeight="1" thickBot="1">
      <c r="A200" s="6" t="s">
        <v>1904</v>
      </c>
      <c r="B200" s="86" t="s">
        <v>496</v>
      </c>
      <c r="C200" s="8">
        <v>4657</v>
      </c>
      <c r="D200" s="8">
        <v>6825</v>
      </c>
      <c r="E200" s="8">
        <v>6844</v>
      </c>
      <c r="F200" s="8">
        <v>6978</v>
      </c>
      <c r="G200" s="8">
        <v>7064</v>
      </c>
      <c r="H200" s="8">
        <v>7121</v>
      </c>
      <c r="I200" s="8">
        <v>7121</v>
      </c>
      <c r="J200" s="36">
        <v>8297</v>
      </c>
      <c r="K200" s="8"/>
      <c r="L200" s="8"/>
      <c r="M200" s="8"/>
      <c r="N200" s="33" t="s">
        <v>1252</v>
      </c>
      <c r="O200" s="30" t="s">
        <v>1258</v>
      </c>
      <c r="P200" s="16">
        <f>(C202+C203)</f>
        <v>7539</v>
      </c>
      <c r="Q200" s="17">
        <f>SUM(P200/P205)</f>
        <v>0.15029904306220096</v>
      </c>
      <c r="R200" s="2">
        <v>1</v>
      </c>
    </row>
    <row r="201" spans="1:25" s="2" customFormat="1" ht="16.5" customHeight="1" thickBot="1">
      <c r="A201" s="6" t="s">
        <v>2205</v>
      </c>
      <c r="B201" s="89" t="s">
        <v>363</v>
      </c>
      <c r="C201" s="8">
        <v>3998</v>
      </c>
      <c r="D201" s="8">
        <v>4060</v>
      </c>
      <c r="E201" s="8">
        <v>4417</v>
      </c>
      <c r="F201" s="8">
        <v>4473</v>
      </c>
      <c r="G201" s="8">
        <v>4548</v>
      </c>
      <c r="H201" s="8">
        <v>5556</v>
      </c>
      <c r="I201" s="8">
        <v>5784</v>
      </c>
      <c r="J201" s="8">
        <v>5864</v>
      </c>
      <c r="K201" s="8">
        <v>5886</v>
      </c>
      <c r="L201" s="8">
        <v>6258</v>
      </c>
      <c r="M201" s="36">
        <v>6925</v>
      </c>
      <c r="N201" s="33" t="s">
        <v>1253</v>
      </c>
      <c r="O201" s="85" t="s">
        <v>496</v>
      </c>
      <c r="P201" s="16">
        <f>(C198+C200)</f>
        <v>16615</v>
      </c>
      <c r="Q201" s="17">
        <f>SUM(P201/P205)</f>
        <v>0.33124003189792661</v>
      </c>
      <c r="R201" s="14">
        <v>2</v>
      </c>
    </row>
    <row r="202" spans="1:25" s="2" customFormat="1" ht="16.5" customHeight="1" thickBot="1">
      <c r="A202" s="12" t="s">
        <v>2191</v>
      </c>
      <c r="B202" s="27" t="s">
        <v>1258</v>
      </c>
      <c r="C202" s="8">
        <v>3933</v>
      </c>
      <c r="D202" s="8">
        <v>4165</v>
      </c>
      <c r="E202" s="8">
        <v>4174</v>
      </c>
      <c r="F202" s="8">
        <v>4210</v>
      </c>
      <c r="G202" s="8">
        <v>4253</v>
      </c>
      <c r="H202" s="8">
        <v>4283</v>
      </c>
      <c r="I202" s="8">
        <v>4284</v>
      </c>
      <c r="J202" s="8">
        <v>4673</v>
      </c>
      <c r="K202" s="8">
        <v>5157</v>
      </c>
      <c r="L202" s="8">
        <v>5202</v>
      </c>
      <c r="M202" s="8">
        <v>5793</v>
      </c>
      <c r="N202" s="33"/>
      <c r="O202" s="15" t="s">
        <v>1261</v>
      </c>
      <c r="P202" s="21">
        <v>1274</v>
      </c>
      <c r="Q202" s="17">
        <f>SUM(P202/P205)</f>
        <v>2.5398724082934608E-2</v>
      </c>
    </row>
    <row r="203" spans="1:25" s="2" customFormat="1" ht="16.5" customHeight="1" thickBot="1">
      <c r="A203" s="6" t="s">
        <v>458</v>
      </c>
      <c r="B203" s="28" t="s">
        <v>1258</v>
      </c>
      <c r="C203" s="8">
        <v>3606</v>
      </c>
      <c r="D203" s="8">
        <v>4894</v>
      </c>
      <c r="E203" s="8">
        <v>4917</v>
      </c>
      <c r="F203" s="8">
        <v>5073</v>
      </c>
      <c r="G203" s="8">
        <v>5180</v>
      </c>
      <c r="H203" s="8">
        <v>5214</v>
      </c>
      <c r="I203" s="8">
        <v>5214</v>
      </c>
      <c r="J203" s="8">
        <v>6158</v>
      </c>
      <c r="K203" s="8">
        <v>6654</v>
      </c>
      <c r="L203" s="8">
        <v>6730</v>
      </c>
      <c r="M203" s="36">
        <v>7365</v>
      </c>
      <c r="N203" s="33" t="s">
        <v>1251</v>
      </c>
      <c r="O203" s="31" t="s">
        <v>1269</v>
      </c>
      <c r="P203" s="21">
        <f>(C199+C208)</f>
        <v>7826</v>
      </c>
      <c r="Q203" s="17">
        <f>SUM(P203/P205)</f>
        <v>0.15602073365231259</v>
      </c>
      <c r="R203" s="2">
        <v>1</v>
      </c>
    </row>
    <row r="204" spans="1:25" s="2" customFormat="1" ht="16.5" customHeight="1" thickBot="1">
      <c r="A204" s="6" t="s">
        <v>461</v>
      </c>
      <c r="B204" s="88" t="s">
        <v>337</v>
      </c>
      <c r="C204" s="8">
        <v>3039</v>
      </c>
      <c r="D204" s="8">
        <v>3165</v>
      </c>
      <c r="E204" s="8">
        <v>3180</v>
      </c>
      <c r="F204" s="8">
        <v>3221</v>
      </c>
      <c r="G204" s="8">
        <v>3367</v>
      </c>
      <c r="H204" s="8">
        <v>3587</v>
      </c>
      <c r="I204" s="8">
        <v>3606</v>
      </c>
      <c r="J204" s="8">
        <v>3718</v>
      </c>
      <c r="K204" s="8">
        <v>3756</v>
      </c>
      <c r="L204" s="8">
        <v>6210</v>
      </c>
      <c r="M204" s="36">
        <v>7476</v>
      </c>
      <c r="N204" s="33" t="s">
        <v>1280</v>
      </c>
      <c r="O204" s="26" t="s">
        <v>1254</v>
      </c>
      <c r="P204" s="21">
        <f>(C201+C204+C205+C210+C211+C212)</f>
        <v>11714</v>
      </c>
      <c r="Q204" s="11">
        <f>SUM(P204/P205)</f>
        <v>0.23353269537480065</v>
      </c>
      <c r="R204" s="2">
        <v>2</v>
      </c>
    </row>
    <row r="205" spans="1:25" s="2" customFormat="1" ht="16.5" customHeight="1" thickBot="1">
      <c r="A205" s="12" t="s">
        <v>463</v>
      </c>
      <c r="B205" s="87" t="s">
        <v>337</v>
      </c>
      <c r="C205" s="8">
        <v>2863</v>
      </c>
      <c r="D205" s="8">
        <v>2913</v>
      </c>
      <c r="E205" s="8">
        <v>2918</v>
      </c>
      <c r="F205" s="8">
        <v>2930</v>
      </c>
      <c r="G205" s="8">
        <v>3014</v>
      </c>
      <c r="H205" s="8">
        <v>3262</v>
      </c>
      <c r="I205" s="8">
        <v>3288</v>
      </c>
      <c r="J205" s="8">
        <v>3371</v>
      </c>
      <c r="K205" s="8">
        <v>3387</v>
      </c>
      <c r="L205" s="8" t="s">
        <v>1326</v>
      </c>
      <c r="P205" s="23">
        <v>50160</v>
      </c>
    </row>
    <row r="206" spans="1:25" s="2" customFormat="1" ht="16.5" customHeight="1" thickBot="1">
      <c r="A206" s="12" t="s">
        <v>1803</v>
      </c>
      <c r="B206" s="22" t="s">
        <v>2206</v>
      </c>
      <c r="C206" s="8">
        <v>2609</v>
      </c>
      <c r="D206" s="8">
        <v>2942</v>
      </c>
      <c r="E206" s="8">
        <v>2945</v>
      </c>
      <c r="F206" s="8">
        <v>2979</v>
      </c>
      <c r="G206" s="8">
        <v>3066</v>
      </c>
      <c r="H206" s="8">
        <v>3094</v>
      </c>
      <c r="I206" s="8">
        <v>3094</v>
      </c>
      <c r="J206" s="8" t="s">
        <v>1326</v>
      </c>
    </row>
    <row r="207" spans="1:25" s="2" customFormat="1" ht="16.5" customHeight="1" thickBot="1">
      <c r="A207" s="12" t="s">
        <v>460</v>
      </c>
      <c r="B207" s="22" t="s">
        <v>2206</v>
      </c>
      <c r="C207" s="8">
        <v>2583</v>
      </c>
      <c r="D207" s="8">
        <v>2829</v>
      </c>
      <c r="E207" s="8">
        <v>2839</v>
      </c>
      <c r="F207" s="8">
        <v>2874</v>
      </c>
      <c r="G207" s="8">
        <v>2991</v>
      </c>
      <c r="H207" s="8">
        <v>3092</v>
      </c>
      <c r="I207" s="8">
        <v>3097</v>
      </c>
      <c r="J207" s="8">
        <v>3362</v>
      </c>
      <c r="K207" s="8">
        <v>3432</v>
      </c>
      <c r="L207" s="8">
        <v>3758</v>
      </c>
      <c r="M207" s="8" t="s">
        <v>1326</v>
      </c>
      <c r="U207"/>
    </row>
    <row r="208" spans="1:25" s="2" customFormat="1" ht="16.5" customHeight="1" thickBot="1">
      <c r="A208" s="12" t="s">
        <v>459</v>
      </c>
      <c r="B208" s="32" t="s">
        <v>1269</v>
      </c>
      <c r="C208" s="8">
        <v>1485</v>
      </c>
      <c r="D208" s="8">
        <v>1500</v>
      </c>
      <c r="E208" s="8">
        <v>1508</v>
      </c>
      <c r="F208" s="8">
        <v>1511</v>
      </c>
      <c r="G208" s="8">
        <v>1539</v>
      </c>
      <c r="H208" s="8" t="s">
        <v>1326</v>
      </c>
    </row>
    <row r="209" spans="1:21" s="2" customFormat="1" ht="16.5" customHeight="1" thickBot="1">
      <c r="A209" s="12" t="s">
        <v>1937</v>
      </c>
      <c r="B209" s="20" t="s">
        <v>1261</v>
      </c>
      <c r="C209" s="8">
        <v>1274</v>
      </c>
      <c r="D209" s="8">
        <v>1278</v>
      </c>
      <c r="E209" s="8">
        <v>1286</v>
      </c>
      <c r="F209" s="8">
        <v>1287</v>
      </c>
      <c r="G209" s="8">
        <v>1292</v>
      </c>
      <c r="H209" s="8" t="s">
        <v>1326</v>
      </c>
      <c r="U209"/>
    </row>
    <row r="210" spans="1:21" s="2" customFormat="1" ht="16.5" customHeight="1" thickBot="1">
      <c r="A210" s="12" t="s">
        <v>462</v>
      </c>
      <c r="B210" s="38" t="s">
        <v>1423</v>
      </c>
      <c r="C210" s="8">
        <v>775</v>
      </c>
      <c r="D210" s="8">
        <v>855</v>
      </c>
      <c r="E210" s="8">
        <v>861</v>
      </c>
      <c r="F210" s="8">
        <v>887</v>
      </c>
      <c r="G210" s="8" t="s">
        <v>1326</v>
      </c>
      <c r="R210" s="17"/>
    </row>
    <row r="211" spans="1:21" s="2" customFormat="1" ht="16.5" customHeight="1" thickBot="1">
      <c r="A211" s="12" t="s">
        <v>465</v>
      </c>
      <c r="B211" s="80" t="s">
        <v>363</v>
      </c>
      <c r="C211" s="8">
        <v>530</v>
      </c>
      <c r="D211" s="8">
        <v>544</v>
      </c>
      <c r="E211" s="8" t="s">
        <v>1326</v>
      </c>
    </row>
    <row r="212" spans="1:21" s="2" customFormat="1" ht="16.5" customHeight="1" thickBot="1">
      <c r="A212" s="12" t="s">
        <v>464</v>
      </c>
      <c r="B212" s="38" t="s">
        <v>1755</v>
      </c>
      <c r="C212" s="8">
        <v>509</v>
      </c>
      <c r="D212" s="8">
        <v>592</v>
      </c>
      <c r="E212" s="8">
        <v>606</v>
      </c>
      <c r="F212" s="8" t="s">
        <v>1326</v>
      </c>
      <c r="N212" s="17"/>
      <c r="S212" s="17"/>
    </row>
    <row r="213" spans="1:21">
      <c r="C213" s="24"/>
    </row>
    <row r="214" spans="1:21" s="64" customFormat="1" ht="14.25" customHeight="1">
      <c r="B214" s="52" t="s">
        <v>1255</v>
      </c>
      <c r="C214" s="84" t="s">
        <v>496</v>
      </c>
      <c r="D214" s="50" t="s">
        <v>1258</v>
      </c>
      <c r="E214" s="48" t="s">
        <v>1261</v>
      </c>
      <c r="F214" s="49" t="s">
        <v>2206</v>
      </c>
      <c r="G214" s="66" t="s">
        <v>1269</v>
      </c>
      <c r="H214" s="67" t="s">
        <v>1254</v>
      </c>
      <c r="J214" s="67"/>
      <c r="K214" s="68"/>
    </row>
    <row r="215" spans="1:21" s="64" customFormat="1" ht="14.25" customHeight="1">
      <c r="A215" s="64" t="s">
        <v>1248</v>
      </c>
      <c r="B215" s="69">
        <f>SUM(N81+Q43+P25+N11+P205+P189+M169+O152+M136+Q118+Q98+N63)</f>
        <v>658161</v>
      </c>
      <c r="C215" s="68">
        <f>(P201+P185+O148+M132+Q114+Q94+N77+N59+Q39+P21+N7)</f>
        <v>83507</v>
      </c>
      <c r="D215" s="68">
        <f>SUM(N76+Q38+P20+N6+P200+P184+M165+O147+M131+Q113+Q93+N58)</f>
        <v>97073</v>
      </c>
      <c r="E215" s="68">
        <f>SUM(N78+Q40+P22+N8+P202+P186+M166+O149+M133+Q115+Q95+N60)</f>
        <v>156049</v>
      </c>
      <c r="F215" s="68">
        <f>SUM(N75+Q37+P19+N5+P199+P183+M164+O146+M130+Q112+Q92+N57)</f>
        <v>169797</v>
      </c>
      <c r="G215" s="68">
        <f>SUM(N79+Q41+N9+P203+P187+M167+O150+M134+Q116+P23+Q96+N61)</f>
        <v>64657</v>
      </c>
      <c r="H215" s="68">
        <f>SUM(N80+Q42+P24+N10+P204+P188+M168+O151+M135+Q117+Q97+N62)</f>
        <v>87078</v>
      </c>
      <c r="J215" s="69"/>
      <c r="K215" s="69"/>
    </row>
    <row r="216" spans="1:21" s="64" customFormat="1" ht="14.25" customHeight="1">
      <c r="A216" s="64" t="s">
        <v>1249</v>
      </c>
      <c r="B216" s="60">
        <v>1</v>
      </c>
      <c r="C216" s="70">
        <f t="shared" ref="C216:H216" si="0">SUM(C215/$B$215)</f>
        <v>0.12687928941398838</v>
      </c>
      <c r="D216" s="70">
        <f t="shared" si="0"/>
        <v>0.14749126733428447</v>
      </c>
      <c r="E216" s="70">
        <f t="shared" si="0"/>
        <v>0.23709852148638402</v>
      </c>
      <c r="F216" s="70">
        <f t="shared" si="0"/>
        <v>0.25798702749023417</v>
      </c>
      <c r="G216" s="70">
        <f t="shared" si="0"/>
        <v>9.823888076017874E-2</v>
      </c>
      <c r="H216" s="70">
        <f t="shared" si="0"/>
        <v>0.13230501351493024</v>
      </c>
    </row>
    <row r="217" spans="1:21" s="64" customFormat="1" ht="14.25" customHeight="1">
      <c r="A217" s="64" t="s">
        <v>1250</v>
      </c>
      <c r="B217" s="52">
        <v>78</v>
      </c>
      <c r="C217" s="64">
        <v>14</v>
      </c>
      <c r="D217" s="64">
        <v>12</v>
      </c>
      <c r="E217" s="64">
        <v>17</v>
      </c>
      <c r="F217" s="64">
        <v>19</v>
      </c>
      <c r="G217" s="64">
        <v>8</v>
      </c>
      <c r="H217" s="64">
        <v>8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3"/>
  <dimension ref="A1:AC262"/>
  <sheetViews>
    <sheetView workbookViewId="0">
      <pane xSplit="2" topLeftCell="C1" activePane="topRight" state="frozen"/>
      <selection activeCell="A91" sqref="A91"/>
      <selection pane="topRight" activeCell="O1" sqref="O1"/>
    </sheetView>
  </sheetViews>
  <sheetFormatPr defaultRowHeight="12.75"/>
  <cols>
    <col min="1" max="1" width="25.5703125" customWidth="1"/>
    <col min="2" max="2" width="9.28515625" customWidth="1"/>
    <col min="3" max="3" width="8.85546875" customWidth="1"/>
    <col min="4" max="6" width="8.7109375" customWidth="1"/>
    <col min="7" max="7" width="8.85546875" customWidth="1"/>
    <col min="15" max="15" width="9.42578125" bestFit="1" customWidth="1"/>
    <col min="16" max="16" width="9.42578125" customWidth="1"/>
    <col min="19" max="19" width="9.42578125" bestFit="1" customWidth="1"/>
  </cols>
  <sheetData>
    <row r="1" spans="1:14" s="2" customFormat="1" ht="16.5" customHeight="1">
      <c r="A1" s="1" t="s">
        <v>824</v>
      </c>
      <c r="F1" s="98"/>
    </row>
    <row r="2" spans="1:14" s="2" customFormat="1" ht="9.75" customHeight="1" thickBot="1">
      <c r="A2" s="3"/>
    </row>
    <row r="3" spans="1:14" s="2" customFormat="1" ht="16.5" customHeight="1" thickBot="1">
      <c r="A3" s="4" t="s">
        <v>1244</v>
      </c>
      <c r="B3" s="5" t="s">
        <v>1245</v>
      </c>
      <c r="C3" s="5" t="s">
        <v>1246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/>
      <c r="K3" s="10" t="s">
        <v>1413</v>
      </c>
      <c r="L3" s="11">
        <f>(58148/68733)</f>
        <v>0.84599828321184878</v>
      </c>
    </row>
    <row r="4" spans="1:14" s="2" customFormat="1" ht="16.5" customHeight="1" thickBot="1">
      <c r="A4" s="6" t="s">
        <v>2222</v>
      </c>
      <c r="B4" s="7" t="s">
        <v>1261</v>
      </c>
      <c r="C4" s="36">
        <v>11016</v>
      </c>
      <c r="D4" s="8"/>
      <c r="E4" s="8"/>
      <c r="F4" s="8"/>
      <c r="G4" s="36"/>
      <c r="H4" s="8"/>
      <c r="I4" s="8"/>
      <c r="J4" s="33" t="s">
        <v>1271</v>
      </c>
      <c r="K4" s="14"/>
      <c r="L4" s="10" t="s">
        <v>1248</v>
      </c>
      <c r="M4" s="10" t="s">
        <v>1249</v>
      </c>
      <c r="N4" s="10" t="s">
        <v>1250</v>
      </c>
    </row>
    <row r="5" spans="1:14" s="2" customFormat="1" ht="16.5" customHeight="1" thickBot="1">
      <c r="A5" s="6" t="s">
        <v>2229</v>
      </c>
      <c r="B5" s="86" t="s">
        <v>496</v>
      </c>
      <c r="C5" s="8">
        <v>8456</v>
      </c>
      <c r="D5" s="8">
        <v>8517</v>
      </c>
      <c r="E5" s="8">
        <v>8518</v>
      </c>
      <c r="F5" s="36">
        <v>10082</v>
      </c>
      <c r="G5" s="36"/>
      <c r="H5" s="8"/>
      <c r="I5" s="36"/>
      <c r="J5" s="33" t="s">
        <v>1362</v>
      </c>
      <c r="K5" s="85" t="s">
        <v>496</v>
      </c>
      <c r="L5" s="16">
        <v>8456</v>
      </c>
      <c r="M5" s="17">
        <f>SUM(L5/L11)</f>
        <v>0.14854372343041844</v>
      </c>
      <c r="N5" s="14">
        <v>1</v>
      </c>
    </row>
    <row r="6" spans="1:14" s="2" customFormat="1" ht="16.5" customHeight="1" thickBot="1">
      <c r="A6" s="6" t="s">
        <v>2115</v>
      </c>
      <c r="B6" s="9" t="s">
        <v>477</v>
      </c>
      <c r="C6" s="8">
        <v>8410</v>
      </c>
      <c r="D6" s="8">
        <v>8469</v>
      </c>
      <c r="E6" s="8">
        <v>8470</v>
      </c>
      <c r="F6" s="8">
        <v>8713</v>
      </c>
      <c r="G6" s="8">
        <v>9132</v>
      </c>
      <c r="H6" s="8">
        <v>9339</v>
      </c>
      <c r="I6" s="36">
        <v>9780</v>
      </c>
      <c r="J6" s="33" t="s">
        <v>1252</v>
      </c>
      <c r="K6" s="18" t="s">
        <v>1257</v>
      </c>
      <c r="L6" s="16">
        <f>(C6+C7)</f>
        <v>16608</v>
      </c>
      <c r="M6" s="17">
        <f>SUM(L6/L11)</f>
        <v>0.29174718055018795</v>
      </c>
      <c r="N6" s="14">
        <v>2</v>
      </c>
    </row>
    <row r="7" spans="1:14" s="2" customFormat="1" ht="16.5" customHeight="1" thickBot="1">
      <c r="A7" s="6" t="s">
        <v>333</v>
      </c>
      <c r="B7" s="9" t="s">
        <v>477</v>
      </c>
      <c r="C7" s="8">
        <v>8198</v>
      </c>
      <c r="D7" s="8">
        <v>8252</v>
      </c>
      <c r="E7" s="8">
        <v>8253</v>
      </c>
      <c r="F7" s="8">
        <v>8337</v>
      </c>
      <c r="G7" s="8">
        <v>8491</v>
      </c>
      <c r="H7" s="8">
        <v>8674</v>
      </c>
      <c r="I7" s="36">
        <v>9084</v>
      </c>
      <c r="J7" s="33" t="s">
        <v>1280</v>
      </c>
      <c r="K7" s="30" t="s">
        <v>1258</v>
      </c>
      <c r="L7" s="16">
        <v>1974</v>
      </c>
      <c r="M7" s="17">
        <f>SUM(L7/L11)</f>
        <v>3.4676597688226819E-2</v>
      </c>
    </row>
    <row r="8" spans="1:14" s="2" customFormat="1" ht="16.5" customHeight="1" thickBot="1">
      <c r="A8" s="6" t="s">
        <v>335</v>
      </c>
      <c r="B8" s="7" t="s">
        <v>1261</v>
      </c>
      <c r="C8" s="8">
        <v>7511</v>
      </c>
      <c r="D8" s="8">
        <v>7552</v>
      </c>
      <c r="E8" s="8">
        <v>8325</v>
      </c>
      <c r="F8" s="8">
        <v>8329</v>
      </c>
      <c r="G8" s="8">
        <v>8329</v>
      </c>
      <c r="H8" s="8">
        <v>8694</v>
      </c>
      <c r="I8" s="36">
        <v>9360</v>
      </c>
      <c r="J8" s="33" t="s">
        <v>1251</v>
      </c>
      <c r="K8" s="15" t="s">
        <v>1261</v>
      </c>
      <c r="L8" s="21">
        <f>(C4+C8+C9)</f>
        <v>22601</v>
      </c>
      <c r="M8" s="17">
        <f>SUM(L8/L11)</f>
        <v>0.39702420686505285</v>
      </c>
      <c r="N8" s="2">
        <v>2</v>
      </c>
    </row>
    <row r="9" spans="1:14" s="2" customFormat="1" ht="16.5" customHeight="1" thickBot="1">
      <c r="A9" s="12" t="s">
        <v>481</v>
      </c>
      <c r="B9" s="20" t="s">
        <v>1261</v>
      </c>
      <c r="C9" s="8">
        <v>4074</v>
      </c>
      <c r="D9" s="8">
        <v>4080</v>
      </c>
      <c r="E9" s="8">
        <v>4559</v>
      </c>
      <c r="F9" s="8">
        <v>4559</v>
      </c>
      <c r="G9" s="8">
        <v>4559</v>
      </c>
      <c r="H9" s="8">
        <v>4793</v>
      </c>
      <c r="I9" s="8">
        <v>5176</v>
      </c>
      <c r="J9" s="33"/>
      <c r="K9" s="31" t="s">
        <v>1269</v>
      </c>
      <c r="L9" s="21">
        <v>1960</v>
      </c>
      <c r="M9" s="17">
        <f>SUM(L9/L11)</f>
        <v>3.4430664371289041E-2</v>
      </c>
    </row>
    <row r="10" spans="1:14" s="2" customFormat="1" ht="16.5" customHeight="1" thickBot="1">
      <c r="A10" s="12" t="s">
        <v>480</v>
      </c>
      <c r="B10" s="37" t="s">
        <v>2447</v>
      </c>
      <c r="C10" s="8">
        <v>2923</v>
      </c>
      <c r="D10" s="8">
        <v>2930</v>
      </c>
      <c r="E10" s="8">
        <v>3047</v>
      </c>
      <c r="F10" s="8">
        <v>3050</v>
      </c>
      <c r="G10" s="8">
        <v>3050</v>
      </c>
      <c r="H10" s="8">
        <v>3110</v>
      </c>
      <c r="I10" s="8">
        <v>3561</v>
      </c>
      <c r="J10" s="33"/>
      <c r="K10" s="26" t="s">
        <v>1254</v>
      </c>
      <c r="L10" s="21">
        <f>(C11+C10+C14)</f>
        <v>5327</v>
      </c>
      <c r="M10" s="11">
        <f>SUM(L10/L11)</f>
        <v>9.3577627094824867E-2</v>
      </c>
    </row>
    <row r="11" spans="1:14" s="2" customFormat="1" ht="16.5" customHeight="1" thickBot="1">
      <c r="A11" s="12" t="s">
        <v>482</v>
      </c>
      <c r="B11" s="78" t="s">
        <v>484</v>
      </c>
      <c r="C11" s="8">
        <v>2008</v>
      </c>
      <c r="D11" s="8">
        <v>2068</v>
      </c>
      <c r="E11" s="8">
        <v>2190</v>
      </c>
      <c r="F11" s="8">
        <v>2209</v>
      </c>
      <c r="G11" s="8">
        <v>2220</v>
      </c>
      <c r="H11" s="8">
        <v>3077</v>
      </c>
      <c r="I11" s="8" t="s">
        <v>1326</v>
      </c>
      <c r="L11" s="23">
        <v>56926</v>
      </c>
    </row>
    <row r="12" spans="1:14" s="2" customFormat="1" ht="16.5" customHeight="1" thickBot="1">
      <c r="A12" s="12" t="s">
        <v>478</v>
      </c>
      <c r="B12" s="27" t="s">
        <v>1258</v>
      </c>
      <c r="C12" s="8">
        <v>1974</v>
      </c>
      <c r="D12" s="8">
        <v>1992</v>
      </c>
      <c r="E12" s="8">
        <v>1993</v>
      </c>
      <c r="F12" s="8" t="s">
        <v>1326</v>
      </c>
    </row>
    <row r="13" spans="1:14" s="2" customFormat="1" ht="16.5" customHeight="1" thickBot="1">
      <c r="A13" s="12" t="s">
        <v>479</v>
      </c>
      <c r="B13" s="32" t="s">
        <v>1269</v>
      </c>
      <c r="C13" s="8">
        <v>1960</v>
      </c>
      <c r="D13" s="8">
        <v>2028</v>
      </c>
      <c r="E13" s="8">
        <v>2050</v>
      </c>
      <c r="F13" s="8">
        <v>2067</v>
      </c>
      <c r="G13" s="8">
        <v>2071</v>
      </c>
      <c r="H13" s="8" t="s">
        <v>1326</v>
      </c>
    </row>
    <row r="14" spans="1:14" s="2" customFormat="1" ht="16.5" customHeight="1" thickBot="1">
      <c r="A14" s="12" t="s">
        <v>483</v>
      </c>
      <c r="B14" s="78" t="s">
        <v>1270</v>
      </c>
      <c r="C14" s="8">
        <v>396</v>
      </c>
      <c r="D14" s="8" t="s">
        <v>1326</v>
      </c>
    </row>
    <row r="15" spans="1:14" s="2" customFormat="1" ht="12" customHeight="1">
      <c r="A15" s="1"/>
      <c r="E15"/>
      <c r="I15" s="30"/>
      <c r="J15" s="21"/>
      <c r="K15" s="11"/>
    </row>
    <row r="16" spans="1:14" s="2" customFormat="1" ht="16.5" customHeight="1">
      <c r="A16" s="1" t="s">
        <v>476</v>
      </c>
      <c r="E16"/>
      <c r="I16" s="10"/>
      <c r="J16" s="21"/>
      <c r="K16" s="11"/>
    </row>
    <row r="17" spans="1:25" s="2" customFormat="1" ht="9.75" customHeight="1" thickBot="1">
      <c r="A17" s="3"/>
      <c r="J17" s="23"/>
    </row>
    <row r="18" spans="1:25" s="2" customFormat="1" ht="16.5" customHeight="1" thickBot="1">
      <c r="A18" s="4" t="s">
        <v>1244</v>
      </c>
      <c r="B18" s="5" t="s">
        <v>1245</v>
      </c>
      <c r="C18" s="5" t="s">
        <v>1246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>
        <v>10</v>
      </c>
      <c r="M18" s="5">
        <v>11</v>
      </c>
      <c r="N18" s="5">
        <v>12</v>
      </c>
      <c r="O18" s="5">
        <v>13</v>
      </c>
      <c r="P18" s="5"/>
      <c r="Q18" s="10" t="s">
        <v>1413</v>
      </c>
      <c r="R18" s="11">
        <f>(65386/79331)</f>
        <v>0.82421751900265972</v>
      </c>
      <c r="S18" s="16"/>
    </row>
    <row r="19" spans="1:25" s="2" customFormat="1" ht="16.5" customHeight="1" thickBot="1">
      <c r="A19" s="6" t="s">
        <v>343</v>
      </c>
      <c r="B19" s="7" t="s">
        <v>1261</v>
      </c>
      <c r="C19" s="36">
        <v>12614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33" t="s">
        <v>1271</v>
      </c>
      <c r="Q19" s="21"/>
      <c r="R19" s="10" t="s">
        <v>1248</v>
      </c>
      <c r="S19" s="10" t="s">
        <v>1249</v>
      </c>
      <c r="T19" s="10" t="s">
        <v>1250</v>
      </c>
      <c r="Y19" s="14"/>
    </row>
    <row r="20" spans="1:25" s="2" customFormat="1" ht="16.5" customHeight="1" thickBot="1">
      <c r="A20" s="6" t="s">
        <v>487</v>
      </c>
      <c r="B20" s="9" t="s">
        <v>486</v>
      </c>
      <c r="C20" s="36">
        <v>9557</v>
      </c>
      <c r="D20" s="8"/>
      <c r="E20" s="8"/>
      <c r="F20" s="8"/>
      <c r="G20" s="8"/>
      <c r="H20" s="36"/>
      <c r="I20" s="36"/>
      <c r="J20" s="36"/>
      <c r="K20" s="36"/>
      <c r="L20" s="36"/>
      <c r="M20" s="36"/>
      <c r="N20" s="36"/>
      <c r="O20" s="36"/>
      <c r="P20" s="33" t="s">
        <v>1362</v>
      </c>
      <c r="Q20" s="85" t="s">
        <v>496</v>
      </c>
      <c r="R20" s="16">
        <v>7082</v>
      </c>
      <c r="S20" s="17">
        <f>SUM(R20/R26)</f>
        <v>0.11063204923922892</v>
      </c>
      <c r="T20" s="14">
        <v>1</v>
      </c>
    </row>
    <row r="21" spans="1:25" s="2" customFormat="1" ht="16.5" customHeight="1" thickBot="1">
      <c r="A21" s="6" t="s">
        <v>2241</v>
      </c>
      <c r="B21" s="86" t="s">
        <v>496</v>
      </c>
      <c r="C21" s="8">
        <v>7082</v>
      </c>
      <c r="D21" s="8">
        <v>7090</v>
      </c>
      <c r="E21" s="8">
        <v>7096</v>
      </c>
      <c r="F21" s="8">
        <v>7103</v>
      </c>
      <c r="G21" s="8">
        <v>7118</v>
      </c>
      <c r="H21" s="8">
        <v>7126</v>
      </c>
      <c r="I21" s="8">
        <v>7132</v>
      </c>
      <c r="J21" s="8">
        <v>7538</v>
      </c>
      <c r="K21" s="8">
        <v>7597</v>
      </c>
      <c r="L21" s="8">
        <v>7622</v>
      </c>
      <c r="M21" s="36">
        <v>11278</v>
      </c>
      <c r="N21" s="36"/>
      <c r="O21" s="36"/>
      <c r="P21" s="33" t="s">
        <v>1280</v>
      </c>
      <c r="Q21" s="18" t="s">
        <v>1257</v>
      </c>
      <c r="R21" s="16">
        <f>(C20+C22+C26)</f>
        <v>17943</v>
      </c>
      <c r="S21" s="17">
        <f>SUM(R21/R26)</f>
        <v>0.28029805979941885</v>
      </c>
      <c r="T21" s="14">
        <v>2</v>
      </c>
    </row>
    <row r="22" spans="1:25" s="2" customFormat="1" ht="16.5" customHeight="1" thickBot="1">
      <c r="A22" s="6" t="s">
        <v>2370</v>
      </c>
      <c r="B22" s="9" t="s">
        <v>477</v>
      </c>
      <c r="C22" s="8">
        <v>5352</v>
      </c>
      <c r="D22" s="8">
        <v>5353</v>
      </c>
      <c r="E22" s="8">
        <v>5358</v>
      </c>
      <c r="F22" s="8">
        <v>5490</v>
      </c>
      <c r="G22" s="8">
        <v>5518</v>
      </c>
      <c r="H22" s="8">
        <v>5521</v>
      </c>
      <c r="I22" s="8">
        <v>5522</v>
      </c>
      <c r="J22" s="8">
        <v>8049</v>
      </c>
      <c r="K22" s="8">
        <v>8605</v>
      </c>
      <c r="L22" s="8">
        <v>8614</v>
      </c>
      <c r="M22" s="36">
        <v>9551</v>
      </c>
      <c r="N22" s="8"/>
      <c r="O22" s="8"/>
      <c r="P22" s="33" t="s">
        <v>1251</v>
      </c>
      <c r="Q22" s="30" t="s">
        <v>1258</v>
      </c>
      <c r="R22" s="16">
        <v>4454</v>
      </c>
      <c r="S22" s="17">
        <f>SUM(R22/R26)</f>
        <v>6.9578529696628866E-2</v>
      </c>
    </row>
    <row r="23" spans="1:25" s="2" customFormat="1" ht="16.5" customHeight="1" thickBot="1">
      <c r="A23" s="12" t="s">
        <v>485</v>
      </c>
      <c r="B23" s="27" t="s">
        <v>1258</v>
      </c>
      <c r="C23" s="8">
        <v>4454</v>
      </c>
      <c r="D23" s="8">
        <v>4456</v>
      </c>
      <c r="E23" s="8">
        <v>4459</v>
      </c>
      <c r="F23" s="8">
        <v>4485</v>
      </c>
      <c r="G23" s="8">
        <v>4502</v>
      </c>
      <c r="H23" s="8">
        <v>4503</v>
      </c>
      <c r="I23" s="8">
        <v>4507</v>
      </c>
      <c r="J23" s="8">
        <v>4671</v>
      </c>
      <c r="K23" s="8">
        <v>4755</v>
      </c>
      <c r="L23" s="8">
        <v>4783</v>
      </c>
      <c r="M23" s="8" t="s">
        <v>1326</v>
      </c>
      <c r="Q23" s="15" t="s">
        <v>1261</v>
      </c>
      <c r="R23" s="21">
        <f>(C19+C24+C25+C29)</f>
        <v>23540</v>
      </c>
      <c r="S23" s="17">
        <f>SUM(R23/R26)</f>
        <v>0.36773205861217856</v>
      </c>
      <c r="T23" s="2">
        <v>3</v>
      </c>
    </row>
    <row r="24" spans="1:25" s="2" customFormat="1" ht="16.5" customHeight="1" thickBot="1">
      <c r="A24" s="6" t="s">
        <v>345</v>
      </c>
      <c r="B24" s="7" t="s">
        <v>1261</v>
      </c>
      <c r="C24" s="8">
        <v>4437</v>
      </c>
      <c r="D24" s="8">
        <v>6594</v>
      </c>
      <c r="E24" s="8">
        <v>6601</v>
      </c>
      <c r="F24" s="8">
        <v>6601</v>
      </c>
      <c r="G24" s="8">
        <v>6611</v>
      </c>
      <c r="H24" s="8">
        <v>6936</v>
      </c>
      <c r="I24" s="8">
        <v>7446</v>
      </c>
      <c r="J24" s="8">
        <v>7450</v>
      </c>
      <c r="K24" s="8">
        <v>8014</v>
      </c>
      <c r="L24" s="36">
        <v>9491</v>
      </c>
      <c r="M24" s="8"/>
      <c r="N24" s="36"/>
      <c r="O24" s="36"/>
      <c r="P24" s="33" t="s">
        <v>1252</v>
      </c>
      <c r="Q24" s="31" t="s">
        <v>1269</v>
      </c>
      <c r="R24" s="21">
        <f>(C30+C32+C33)</f>
        <v>3783</v>
      </c>
      <c r="S24" s="17">
        <f>SUM(R24/R26)</f>
        <v>5.9096447652076112E-2</v>
      </c>
    </row>
    <row r="25" spans="1:25" s="2" customFormat="1" ht="16.5" customHeight="1" thickBot="1">
      <c r="A25" s="6" t="s">
        <v>346</v>
      </c>
      <c r="B25" s="7" t="s">
        <v>1261</v>
      </c>
      <c r="C25" s="8">
        <v>4045</v>
      </c>
      <c r="D25" s="8">
        <v>4606</v>
      </c>
      <c r="E25" s="8">
        <v>4629</v>
      </c>
      <c r="F25" s="8">
        <v>4629</v>
      </c>
      <c r="G25" s="8">
        <v>4636</v>
      </c>
      <c r="H25" s="8">
        <v>4694</v>
      </c>
      <c r="I25" s="8">
        <v>4918</v>
      </c>
      <c r="J25" s="8">
        <v>4920</v>
      </c>
      <c r="K25" s="8">
        <v>5306</v>
      </c>
      <c r="L25" s="8">
        <v>5987</v>
      </c>
      <c r="M25" s="8">
        <v>5992</v>
      </c>
      <c r="N25" s="8">
        <v>6007</v>
      </c>
      <c r="O25" s="36">
        <v>6018</v>
      </c>
      <c r="P25" s="33" t="s">
        <v>1253</v>
      </c>
      <c r="Q25" s="26" t="s">
        <v>1254</v>
      </c>
      <c r="R25" s="21">
        <f>(C28+C31+C27)</f>
        <v>7212</v>
      </c>
      <c r="S25" s="11">
        <f>SUM(R25/R26)</f>
        <v>0.11266285500046865</v>
      </c>
    </row>
    <row r="26" spans="1:25" s="2" customFormat="1" ht="16.5" customHeight="1" thickBot="1">
      <c r="A26" s="12" t="s">
        <v>488</v>
      </c>
      <c r="B26" s="22" t="s">
        <v>486</v>
      </c>
      <c r="C26" s="8">
        <v>3034</v>
      </c>
      <c r="D26" s="8">
        <v>3035</v>
      </c>
      <c r="E26" s="8">
        <v>3043</v>
      </c>
      <c r="F26" s="8">
        <v>3254</v>
      </c>
      <c r="G26" s="8">
        <v>3333</v>
      </c>
      <c r="H26" s="8">
        <v>3335</v>
      </c>
      <c r="I26" s="8">
        <v>3340</v>
      </c>
      <c r="J26" s="8" t="s">
        <v>1326</v>
      </c>
      <c r="R26" s="23">
        <v>64014</v>
      </c>
    </row>
    <row r="27" spans="1:25" s="2" customFormat="1" ht="16.5" customHeight="1" thickBot="1">
      <c r="A27" s="12" t="s">
        <v>492</v>
      </c>
      <c r="B27" s="37" t="s">
        <v>2447</v>
      </c>
      <c r="C27" s="8">
        <v>2899</v>
      </c>
      <c r="D27" s="8">
        <v>2929</v>
      </c>
      <c r="E27" s="8">
        <v>2935</v>
      </c>
      <c r="F27" s="8">
        <v>2935</v>
      </c>
      <c r="G27" s="8">
        <v>2952</v>
      </c>
      <c r="H27" s="8">
        <v>4149</v>
      </c>
      <c r="I27" s="8">
        <v>4461</v>
      </c>
      <c r="J27" s="8">
        <v>4464</v>
      </c>
      <c r="K27" s="8">
        <v>4663</v>
      </c>
      <c r="L27" s="8" t="s">
        <v>1326</v>
      </c>
    </row>
    <row r="28" spans="1:25" s="2" customFormat="1" ht="16.5" customHeight="1" thickBot="1">
      <c r="A28" s="12" t="s">
        <v>494</v>
      </c>
      <c r="B28" s="90" t="s">
        <v>493</v>
      </c>
      <c r="C28" s="8">
        <v>2558</v>
      </c>
      <c r="D28" s="8">
        <v>2692</v>
      </c>
      <c r="E28" s="8">
        <v>2696</v>
      </c>
      <c r="F28" s="8">
        <v>2696</v>
      </c>
      <c r="G28" s="8">
        <v>2706</v>
      </c>
      <c r="H28" s="8">
        <v>2794</v>
      </c>
      <c r="I28" s="8" t="s">
        <v>1326</v>
      </c>
    </row>
    <row r="29" spans="1:25" s="2" customFormat="1" ht="16.5" customHeight="1" thickBot="1">
      <c r="A29" s="12" t="s">
        <v>350</v>
      </c>
      <c r="B29" s="20" t="s">
        <v>1261</v>
      </c>
      <c r="C29" s="8">
        <v>2444</v>
      </c>
      <c r="D29" s="8">
        <v>2720</v>
      </c>
      <c r="E29" s="8">
        <v>2726</v>
      </c>
      <c r="F29" s="8">
        <v>2726</v>
      </c>
      <c r="G29" s="8">
        <v>2764</v>
      </c>
      <c r="H29" s="8">
        <v>2795</v>
      </c>
      <c r="I29" s="8">
        <v>4128</v>
      </c>
      <c r="J29" s="8">
        <v>4128</v>
      </c>
      <c r="K29" s="8">
        <v>4754</v>
      </c>
      <c r="L29" s="8">
        <v>5360</v>
      </c>
      <c r="M29" s="8">
        <v>5377</v>
      </c>
      <c r="N29" s="8">
        <v>5393</v>
      </c>
      <c r="O29" s="8">
        <v>5402</v>
      </c>
      <c r="P29" s="33"/>
    </row>
    <row r="30" spans="1:25" s="2" customFormat="1" ht="16.5" customHeight="1" thickBot="1">
      <c r="A30" s="12" t="s">
        <v>489</v>
      </c>
      <c r="B30" s="32" t="s">
        <v>1269</v>
      </c>
      <c r="C30" s="8">
        <v>2055</v>
      </c>
      <c r="D30" s="8">
        <v>2148</v>
      </c>
      <c r="E30" s="8">
        <v>2289</v>
      </c>
      <c r="F30" s="8">
        <v>2291</v>
      </c>
      <c r="G30" s="8">
        <v>3581</v>
      </c>
      <c r="H30" s="8">
        <v>3666</v>
      </c>
      <c r="I30" s="8">
        <v>3915</v>
      </c>
      <c r="J30" s="8">
        <v>4029</v>
      </c>
      <c r="K30" s="8" t="s">
        <v>1326</v>
      </c>
    </row>
    <row r="31" spans="1:25" s="2" customFormat="1" ht="16.5" customHeight="1" thickBot="1">
      <c r="A31" s="12" t="s">
        <v>352</v>
      </c>
      <c r="B31" s="37" t="s">
        <v>2447</v>
      </c>
      <c r="C31" s="8">
        <v>1755</v>
      </c>
      <c r="D31" s="8">
        <v>1857</v>
      </c>
      <c r="E31" s="8">
        <v>1859</v>
      </c>
      <c r="F31" s="8">
        <v>1859</v>
      </c>
      <c r="G31" s="8">
        <v>1867</v>
      </c>
      <c r="H31" s="8" t="s">
        <v>1326</v>
      </c>
    </row>
    <row r="32" spans="1:25" s="2" customFormat="1" ht="16.5" customHeight="1" thickBot="1">
      <c r="A32" s="12" t="s">
        <v>490</v>
      </c>
      <c r="B32" s="32" t="s">
        <v>1269</v>
      </c>
      <c r="C32" s="8">
        <v>1389</v>
      </c>
      <c r="D32" s="8">
        <v>1411</v>
      </c>
      <c r="E32" s="8">
        <v>1542</v>
      </c>
      <c r="F32" s="8">
        <v>1544</v>
      </c>
      <c r="G32" s="8" t="s">
        <v>1326</v>
      </c>
    </row>
    <row r="33" spans="1:18" s="2" customFormat="1" ht="16.5" customHeight="1" thickBot="1">
      <c r="A33" s="12" t="s">
        <v>491</v>
      </c>
      <c r="B33" s="32" t="s">
        <v>1269</v>
      </c>
      <c r="C33" s="8">
        <v>339</v>
      </c>
      <c r="D33" s="8">
        <v>347</v>
      </c>
      <c r="E33" s="8" t="s">
        <v>1326</v>
      </c>
    </row>
    <row r="34" spans="1:18" s="2" customFormat="1" ht="12" customHeight="1">
      <c r="A34" s="1"/>
    </row>
    <row r="35" spans="1:18" s="2" customFormat="1" ht="16.5" customHeight="1">
      <c r="A35" s="1" t="s">
        <v>475</v>
      </c>
    </row>
    <row r="36" spans="1:18" s="2" customFormat="1" ht="9.75" customHeight="1" thickBot="1">
      <c r="A36" s="3"/>
    </row>
    <row r="37" spans="1:18" s="2" customFormat="1" ht="16.5" customHeight="1" thickBot="1">
      <c r="A37" s="4" t="s">
        <v>1244</v>
      </c>
      <c r="B37" s="5" t="s">
        <v>1245</v>
      </c>
      <c r="C37" s="5" t="s">
        <v>1246</v>
      </c>
      <c r="D37" s="5">
        <v>2</v>
      </c>
      <c r="E37" s="5">
        <v>3</v>
      </c>
      <c r="F37" s="5">
        <v>4</v>
      </c>
      <c r="G37" s="5">
        <v>5</v>
      </c>
      <c r="H37" s="5">
        <v>6</v>
      </c>
      <c r="I37" s="5">
        <v>7</v>
      </c>
      <c r="J37" s="5">
        <v>8</v>
      </c>
      <c r="K37" s="5">
        <v>9</v>
      </c>
      <c r="L37" s="5">
        <v>10</v>
      </c>
      <c r="M37" s="5">
        <v>11</v>
      </c>
      <c r="N37" s="5"/>
      <c r="O37" s="10" t="s">
        <v>1413</v>
      </c>
      <c r="P37" s="11">
        <f>(68161/89849)</f>
        <v>0.75861723558414673</v>
      </c>
    </row>
    <row r="38" spans="1:18" s="2" customFormat="1" ht="16.5" customHeight="1" thickBot="1">
      <c r="A38" s="6" t="s">
        <v>1991</v>
      </c>
      <c r="B38" s="7" t="s">
        <v>1261</v>
      </c>
      <c r="C38" s="36">
        <v>12596</v>
      </c>
      <c r="D38" s="8"/>
      <c r="E38" s="36"/>
      <c r="F38" s="36"/>
      <c r="G38" s="36"/>
      <c r="H38" s="8"/>
      <c r="I38" s="8"/>
      <c r="J38" s="8"/>
      <c r="K38" s="8"/>
      <c r="L38" s="8"/>
      <c r="M38" s="8"/>
      <c r="N38" s="33" t="s">
        <v>1271</v>
      </c>
      <c r="O38" s="14"/>
      <c r="P38" s="10" t="s">
        <v>1248</v>
      </c>
      <c r="Q38" s="10" t="s">
        <v>1249</v>
      </c>
      <c r="R38" s="10" t="s">
        <v>1250</v>
      </c>
    </row>
    <row r="39" spans="1:18" s="2" customFormat="1" ht="16.5" customHeight="1" thickBot="1">
      <c r="A39" s="6" t="s">
        <v>361</v>
      </c>
      <c r="B39" s="9" t="s">
        <v>486</v>
      </c>
      <c r="C39" s="36">
        <v>9685</v>
      </c>
      <c r="D39" s="8"/>
      <c r="E39" s="8"/>
      <c r="F39" s="8"/>
      <c r="G39" s="36"/>
      <c r="H39" s="8"/>
      <c r="I39" s="36"/>
      <c r="J39" s="8"/>
      <c r="K39" s="8"/>
      <c r="L39" s="8"/>
      <c r="M39" s="36"/>
      <c r="N39" s="33" t="s">
        <v>1362</v>
      </c>
      <c r="O39" s="85" t="s">
        <v>496</v>
      </c>
      <c r="P39" s="16">
        <f>(C43+C48+C50)</f>
        <v>8890</v>
      </c>
      <c r="Q39" s="17">
        <f>SUM(P39/P44)</f>
        <v>0.13375863262266224</v>
      </c>
      <c r="R39" s="14">
        <v>1</v>
      </c>
    </row>
    <row r="40" spans="1:18" s="2" customFormat="1" ht="16.5" customHeight="1" thickBot="1">
      <c r="A40" s="6" t="s">
        <v>2244</v>
      </c>
      <c r="B40" s="9" t="s">
        <v>477</v>
      </c>
      <c r="C40" s="8">
        <v>8245</v>
      </c>
      <c r="D40" s="8">
        <v>8246</v>
      </c>
      <c r="E40" s="36">
        <v>8866</v>
      </c>
      <c r="F40" s="8"/>
      <c r="G40" s="8"/>
      <c r="H40" s="8"/>
      <c r="I40" s="8"/>
      <c r="J40" s="8"/>
      <c r="K40" s="8"/>
      <c r="L40" s="36"/>
      <c r="M40" s="36"/>
      <c r="N40" s="33" t="s">
        <v>1280</v>
      </c>
      <c r="O40" s="18" t="s">
        <v>1257</v>
      </c>
      <c r="P40" s="16">
        <f>(C39+C40+C42)</f>
        <v>24480</v>
      </c>
      <c r="Q40" s="17">
        <f>SUM(P40/P44)</f>
        <v>0.36832523358861319</v>
      </c>
      <c r="R40" s="14">
        <v>3</v>
      </c>
    </row>
    <row r="41" spans="1:18" s="2" customFormat="1" ht="16.5" customHeight="1" thickBot="1">
      <c r="A41" s="6" t="s">
        <v>2245</v>
      </c>
      <c r="B41" s="7" t="s">
        <v>1261</v>
      </c>
      <c r="C41" s="8">
        <v>7230</v>
      </c>
      <c r="D41" s="36">
        <v>8768</v>
      </c>
      <c r="E41" s="8"/>
      <c r="F41" s="8"/>
      <c r="G41" s="8"/>
      <c r="H41" s="8"/>
      <c r="I41" s="8"/>
      <c r="J41" s="8"/>
      <c r="K41" s="8"/>
      <c r="L41" s="36"/>
      <c r="M41" s="8"/>
      <c r="N41" s="33" t="s">
        <v>1252</v>
      </c>
      <c r="O41" s="15" t="s">
        <v>1261</v>
      </c>
      <c r="P41" s="21">
        <f>(C38+C41+C45)</f>
        <v>23473</v>
      </c>
      <c r="Q41" s="17">
        <f>SUM(P41/P44)</f>
        <v>0.35317394640627114</v>
      </c>
      <c r="R41" s="2">
        <v>3</v>
      </c>
    </row>
    <row r="42" spans="1:18" s="2" customFormat="1" ht="16.5" customHeight="1" thickBot="1">
      <c r="A42" s="6" t="s">
        <v>356</v>
      </c>
      <c r="B42" s="9" t="s">
        <v>477</v>
      </c>
      <c r="C42" s="8">
        <v>6550</v>
      </c>
      <c r="D42" s="8">
        <v>6552</v>
      </c>
      <c r="E42" s="8">
        <v>7090</v>
      </c>
      <c r="F42" s="8">
        <v>7580</v>
      </c>
      <c r="G42" s="8">
        <v>7604</v>
      </c>
      <c r="H42" s="8">
        <v>7604</v>
      </c>
      <c r="I42" s="8">
        <v>7677</v>
      </c>
      <c r="J42" s="8">
        <v>7736</v>
      </c>
      <c r="K42" s="8">
        <v>8027</v>
      </c>
      <c r="L42" s="8">
        <v>8076</v>
      </c>
      <c r="M42" s="36">
        <v>8095</v>
      </c>
      <c r="N42" s="33" t="s">
        <v>2207</v>
      </c>
      <c r="O42" s="31" t="s">
        <v>1269</v>
      </c>
      <c r="P42" s="21">
        <f>(C46+C47+C49)</f>
        <v>5548</v>
      </c>
      <c r="Q42" s="17">
        <f>SUM(P42/P44)</f>
        <v>8.3475016174412831E-2</v>
      </c>
    </row>
    <row r="43" spans="1:18" s="2" customFormat="1" ht="16.5" customHeight="1" thickBot="1">
      <c r="A43" s="6" t="s">
        <v>354</v>
      </c>
      <c r="B43" s="86" t="s">
        <v>496</v>
      </c>
      <c r="C43" s="8">
        <v>6511</v>
      </c>
      <c r="D43" s="8">
        <v>6512</v>
      </c>
      <c r="E43" s="8">
        <v>6540</v>
      </c>
      <c r="F43" s="8">
        <v>6552</v>
      </c>
      <c r="G43" s="8">
        <v>6562</v>
      </c>
      <c r="H43" s="8">
        <v>6562</v>
      </c>
      <c r="I43" s="8">
        <v>6931</v>
      </c>
      <c r="J43" s="8">
        <v>6952</v>
      </c>
      <c r="K43" s="36">
        <v>8568</v>
      </c>
      <c r="L43" s="8"/>
      <c r="M43" s="36"/>
      <c r="N43" s="33" t="s">
        <v>1251</v>
      </c>
      <c r="O43" s="26" t="s">
        <v>1254</v>
      </c>
      <c r="P43" s="21">
        <f>(C44+C51)</f>
        <v>4072</v>
      </c>
      <c r="Q43" s="11">
        <f>SUM(P43/P44)</f>
        <v>6.1267171208040566E-2</v>
      </c>
    </row>
    <row r="44" spans="1:18" s="2" customFormat="1" ht="16.5" customHeight="1" thickBot="1">
      <c r="A44" s="12" t="s">
        <v>499</v>
      </c>
      <c r="B44" s="90" t="s">
        <v>493</v>
      </c>
      <c r="C44" s="8">
        <v>3712</v>
      </c>
      <c r="D44" s="8">
        <v>3988</v>
      </c>
      <c r="E44" s="8">
        <v>3989</v>
      </c>
      <c r="F44" s="8">
        <v>3989</v>
      </c>
      <c r="G44" s="8">
        <v>4018</v>
      </c>
      <c r="H44" s="8">
        <v>4061</v>
      </c>
      <c r="I44" s="8">
        <v>4061</v>
      </c>
      <c r="J44" s="8">
        <v>4080</v>
      </c>
      <c r="K44" s="8">
        <v>4084</v>
      </c>
      <c r="L44" s="8">
        <v>4158</v>
      </c>
      <c r="M44" s="8" t="s">
        <v>1326</v>
      </c>
      <c r="P44" s="23">
        <v>66463</v>
      </c>
    </row>
    <row r="45" spans="1:18" s="2" customFormat="1" ht="16.5" customHeight="1" thickBot="1">
      <c r="A45" s="6" t="s">
        <v>366</v>
      </c>
      <c r="B45" s="7" t="s">
        <v>1261</v>
      </c>
      <c r="C45" s="8">
        <v>3647</v>
      </c>
      <c r="D45" s="8">
        <v>5964</v>
      </c>
      <c r="E45" s="8">
        <v>5965</v>
      </c>
      <c r="F45" s="8">
        <v>5965</v>
      </c>
      <c r="G45" s="8">
        <v>6032</v>
      </c>
      <c r="H45" s="8">
        <v>6415</v>
      </c>
      <c r="I45" s="8">
        <v>6417</v>
      </c>
      <c r="J45" s="8">
        <v>6450</v>
      </c>
      <c r="K45" s="8">
        <v>6458</v>
      </c>
      <c r="L45" s="8">
        <v>6613</v>
      </c>
      <c r="M45" s="36">
        <v>8648</v>
      </c>
      <c r="N45" s="33" t="s">
        <v>1253</v>
      </c>
    </row>
    <row r="46" spans="1:18" s="2" customFormat="1" ht="16.5" customHeight="1" thickBot="1">
      <c r="A46" s="12" t="s">
        <v>498</v>
      </c>
      <c r="B46" s="32" t="s">
        <v>1269</v>
      </c>
      <c r="C46" s="8">
        <v>2454</v>
      </c>
      <c r="D46" s="8">
        <v>2484</v>
      </c>
      <c r="E46" s="8">
        <v>2516</v>
      </c>
      <c r="F46" s="8">
        <v>2520</v>
      </c>
      <c r="G46" s="8">
        <v>2615</v>
      </c>
      <c r="H46" s="8">
        <v>2619</v>
      </c>
      <c r="I46" s="8">
        <v>2626</v>
      </c>
      <c r="J46" s="8">
        <v>3285</v>
      </c>
      <c r="K46" s="8">
        <v>3303</v>
      </c>
      <c r="L46" s="8">
        <v>5458</v>
      </c>
      <c r="M46" s="8">
        <v>5712</v>
      </c>
      <c r="N46" s="36"/>
    </row>
    <row r="47" spans="1:18" s="2" customFormat="1" ht="16.5" customHeight="1" thickBot="1">
      <c r="A47" s="12" t="s">
        <v>500</v>
      </c>
      <c r="B47" s="32" t="s">
        <v>1269</v>
      </c>
      <c r="C47" s="8">
        <v>2001</v>
      </c>
      <c r="D47" s="8">
        <v>2063</v>
      </c>
      <c r="E47" s="8">
        <v>2076</v>
      </c>
      <c r="F47" s="8">
        <v>2077</v>
      </c>
      <c r="G47" s="8">
        <v>2149</v>
      </c>
      <c r="H47" s="8">
        <v>2161</v>
      </c>
      <c r="I47" s="8">
        <v>2163</v>
      </c>
      <c r="J47" s="8">
        <v>2524</v>
      </c>
      <c r="K47" s="8">
        <v>2538</v>
      </c>
      <c r="L47" s="8" t="s">
        <v>1326</v>
      </c>
    </row>
    <row r="48" spans="1:18" s="2" customFormat="1" ht="16.5" customHeight="1" thickBot="1">
      <c r="A48" s="12" t="s">
        <v>497</v>
      </c>
      <c r="B48" s="83" t="s">
        <v>496</v>
      </c>
      <c r="C48" s="8">
        <v>1371</v>
      </c>
      <c r="D48" s="8">
        <v>1373</v>
      </c>
      <c r="E48" s="8">
        <v>1402</v>
      </c>
      <c r="F48" s="8">
        <v>1410</v>
      </c>
      <c r="G48" s="8">
        <v>1416</v>
      </c>
      <c r="H48" s="8">
        <v>1417</v>
      </c>
      <c r="I48" s="8">
        <v>1992</v>
      </c>
      <c r="J48" s="8">
        <v>2009</v>
      </c>
      <c r="K48" s="8" t="s">
        <v>1326</v>
      </c>
      <c r="L48" s="17"/>
    </row>
    <row r="49" spans="1:19" s="2" customFormat="1" ht="16.5" customHeight="1" thickBot="1">
      <c r="A49" s="12" t="s">
        <v>501</v>
      </c>
      <c r="B49" s="32" t="s">
        <v>1269</v>
      </c>
      <c r="C49" s="8">
        <v>1093</v>
      </c>
      <c r="D49" s="43">
        <v>1113</v>
      </c>
      <c r="E49" s="8">
        <v>1151</v>
      </c>
      <c r="F49" s="8">
        <v>1154</v>
      </c>
      <c r="G49" s="8">
        <v>1205</v>
      </c>
      <c r="H49" s="8">
        <v>1207</v>
      </c>
      <c r="I49" s="8">
        <v>1214</v>
      </c>
      <c r="J49" s="8" t="s">
        <v>1326</v>
      </c>
    </row>
    <row r="50" spans="1:19" s="2" customFormat="1" ht="16.5" customHeight="1" thickBot="1">
      <c r="A50" s="12" t="s">
        <v>495</v>
      </c>
      <c r="B50" s="83" t="s">
        <v>496</v>
      </c>
      <c r="C50" s="8">
        <v>1008</v>
      </c>
      <c r="D50" s="8">
        <v>1008</v>
      </c>
      <c r="E50" s="8">
        <v>1040</v>
      </c>
      <c r="F50" s="8">
        <v>1047</v>
      </c>
      <c r="G50" s="8">
        <v>1049</v>
      </c>
      <c r="H50" s="8">
        <v>1049</v>
      </c>
      <c r="I50" s="8" t="s">
        <v>1326</v>
      </c>
      <c r="L50" s="17"/>
    </row>
    <row r="51" spans="1:19" s="2" customFormat="1" ht="16.5" customHeight="1" thickBot="1">
      <c r="A51" s="12" t="s">
        <v>502</v>
      </c>
      <c r="B51" s="80" t="s">
        <v>363</v>
      </c>
      <c r="C51" s="8">
        <v>360</v>
      </c>
      <c r="D51" s="8">
        <v>367</v>
      </c>
      <c r="E51" s="8">
        <v>375</v>
      </c>
      <c r="F51" s="8">
        <v>376</v>
      </c>
      <c r="G51" s="8" t="s">
        <v>1326</v>
      </c>
      <c r="H51" s="21"/>
      <c r="L51" s="17"/>
    </row>
    <row r="52" spans="1:19" s="2" customFormat="1" ht="12" customHeight="1">
      <c r="A52" s="1"/>
    </row>
    <row r="53" spans="1:19" s="2" customFormat="1" ht="16.5" customHeight="1">
      <c r="A53" s="1" t="s">
        <v>472</v>
      </c>
    </row>
    <row r="54" spans="1:19" s="2" customFormat="1" ht="9.75" customHeight="1" thickBot="1">
      <c r="A54" s="3"/>
    </row>
    <row r="55" spans="1:19" s="2" customFormat="1" ht="16.5" customHeight="1" thickBot="1">
      <c r="A55" s="4" t="s">
        <v>1244</v>
      </c>
      <c r="B55" s="5" t="s">
        <v>1245</v>
      </c>
      <c r="C55" s="5" t="s">
        <v>1246</v>
      </c>
      <c r="D55" s="5">
        <v>2</v>
      </c>
      <c r="E55" s="5">
        <v>3</v>
      </c>
      <c r="F55" s="5">
        <v>4</v>
      </c>
      <c r="G55" s="5">
        <v>5</v>
      </c>
      <c r="H55" s="5">
        <v>6</v>
      </c>
      <c r="I55" s="5">
        <v>7</v>
      </c>
      <c r="J55" s="5">
        <v>8</v>
      </c>
      <c r="K55" s="5">
        <v>9</v>
      </c>
      <c r="L55" s="5">
        <v>10</v>
      </c>
      <c r="M55" s="5">
        <v>11</v>
      </c>
      <c r="N55" s="5">
        <v>12</v>
      </c>
      <c r="O55" s="5"/>
      <c r="P55" s="10" t="s">
        <v>1413</v>
      </c>
      <c r="Q55" s="11">
        <f>(63355/89056)</f>
        <v>0.71140630614444844</v>
      </c>
    </row>
    <row r="56" spans="1:19" s="2" customFormat="1" ht="16.5" customHeight="1" thickBot="1">
      <c r="A56" s="6" t="s">
        <v>370</v>
      </c>
      <c r="B56" s="7" t="s">
        <v>1261</v>
      </c>
      <c r="C56" s="36">
        <v>8219</v>
      </c>
      <c r="D56" s="8"/>
      <c r="E56" s="8"/>
      <c r="F56" s="8"/>
      <c r="G56" s="8"/>
      <c r="H56" s="8"/>
      <c r="I56" s="36"/>
      <c r="J56" s="8"/>
      <c r="K56" s="8"/>
      <c r="L56" s="8"/>
      <c r="M56" s="8"/>
      <c r="N56" s="8"/>
      <c r="O56" s="33" t="s">
        <v>1271</v>
      </c>
      <c r="P56" s="14"/>
      <c r="Q56" s="10" t="s">
        <v>1248</v>
      </c>
      <c r="R56" s="10" t="s">
        <v>1249</v>
      </c>
      <c r="S56" s="10" t="s">
        <v>1250</v>
      </c>
    </row>
    <row r="57" spans="1:19" s="2" customFormat="1" ht="16.5" customHeight="1" thickBot="1">
      <c r="A57" s="6" t="s">
        <v>2021</v>
      </c>
      <c r="B57" s="7" t="s">
        <v>1261</v>
      </c>
      <c r="C57" s="36">
        <v>7995</v>
      </c>
      <c r="D57" s="8"/>
      <c r="E57" s="8"/>
      <c r="F57" s="8"/>
      <c r="G57" s="36"/>
      <c r="H57" s="8"/>
      <c r="I57" s="8"/>
      <c r="J57" s="36"/>
      <c r="K57" s="8"/>
      <c r="L57" s="8"/>
      <c r="M57" s="8"/>
      <c r="N57" s="8"/>
      <c r="O57" s="33" t="s">
        <v>1362</v>
      </c>
      <c r="P57" s="85" t="s">
        <v>496</v>
      </c>
      <c r="Q57" s="16">
        <f>(C59+C67+C68)</f>
        <v>11349</v>
      </c>
      <c r="R57" s="17">
        <f>SUM(Q57/Q63)</f>
        <v>0.18483713355048859</v>
      </c>
      <c r="S57" s="14">
        <v>1</v>
      </c>
    </row>
    <row r="58" spans="1:19" s="2" customFormat="1" ht="16.5" customHeight="1" thickBot="1">
      <c r="A58" s="6" t="s">
        <v>372</v>
      </c>
      <c r="B58" s="9" t="s">
        <v>486</v>
      </c>
      <c r="C58" s="8">
        <v>6891</v>
      </c>
      <c r="D58" s="8">
        <v>6891</v>
      </c>
      <c r="E58" s="8">
        <v>7127</v>
      </c>
      <c r="F58" s="8">
        <v>7128</v>
      </c>
      <c r="G58" s="8">
        <v>7209</v>
      </c>
      <c r="H58" s="8">
        <v>7285</v>
      </c>
      <c r="I58" s="36">
        <v>8141</v>
      </c>
      <c r="J58" s="8"/>
      <c r="K58" s="36"/>
      <c r="L58" s="8"/>
      <c r="M58" s="8"/>
      <c r="N58" s="8"/>
      <c r="O58" s="33" t="s">
        <v>1252</v>
      </c>
      <c r="P58" s="18" t="s">
        <v>1257</v>
      </c>
      <c r="Q58" s="16">
        <f>(C58+C62+C63+C66)</f>
        <v>16447</v>
      </c>
      <c r="R58" s="17">
        <f>SUM(Q58/Q63)</f>
        <v>0.26786644951140065</v>
      </c>
      <c r="S58" s="14">
        <v>2</v>
      </c>
    </row>
    <row r="59" spans="1:19" s="2" customFormat="1" ht="16.5" customHeight="1" thickBot="1">
      <c r="A59" s="6" t="s">
        <v>369</v>
      </c>
      <c r="B59" s="86" t="s">
        <v>496</v>
      </c>
      <c r="C59" s="8">
        <v>6866</v>
      </c>
      <c r="D59" s="8">
        <v>6867</v>
      </c>
      <c r="E59" s="8">
        <v>6937</v>
      </c>
      <c r="F59" s="8">
        <v>6937</v>
      </c>
      <c r="G59" s="8">
        <v>6956</v>
      </c>
      <c r="H59" s="8">
        <v>7433</v>
      </c>
      <c r="I59" s="8">
        <v>7506</v>
      </c>
      <c r="J59" s="36">
        <v>7811</v>
      </c>
      <c r="K59" s="8"/>
      <c r="L59" s="8"/>
      <c r="M59" s="8"/>
      <c r="N59" s="8"/>
      <c r="O59" s="33" t="s">
        <v>1280</v>
      </c>
      <c r="P59" s="30" t="s">
        <v>1258</v>
      </c>
      <c r="Q59" s="16">
        <f>(C61+C64)</f>
        <v>7168</v>
      </c>
      <c r="R59" s="17">
        <f>SUM(Q59/Q63)</f>
        <v>0.11674267100977198</v>
      </c>
      <c r="S59" s="2">
        <v>1</v>
      </c>
    </row>
    <row r="60" spans="1:19" s="2" customFormat="1" ht="16.5" customHeight="1" thickBot="1">
      <c r="A60" s="6" t="s">
        <v>2260</v>
      </c>
      <c r="B60" s="7" t="s">
        <v>1261</v>
      </c>
      <c r="C60" s="8">
        <v>4731</v>
      </c>
      <c r="D60" s="8">
        <v>5163</v>
      </c>
      <c r="E60" s="8">
        <v>5278</v>
      </c>
      <c r="F60" s="8">
        <v>5565</v>
      </c>
      <c r="G60" s="8">
        <v>5670</v>
      </c>
      <c r="H60" s="8">
        <v>5672</v>
      </c>
      <c r="I60" s="8">
        <v>5677</v>
      </c>
      <c r="J60" s="8">
        <v>5677</v>
      </c>
      <c r="K60" s="8">
        <v>5678</v>
      </c>
      <c r="L60" s="8">
        <v>5689</v>
      </c>
      <c r="M60" s="8">
        <v>5691</v>
      </c>
      <c r="N60" s="36">
        <v>7832</v>
      </c>
      <c r="O60" s="33" t="s">
        <v>1253</v>
      </c>
      <c r="P60" s="15" t="s">
        <v>1261</v>
      </c>
      <c r="Q60" s="21">
        <f>(C56+C57+C60)</f>
        <v>20945</v>
      </c>
      <c r="R60" s="17">
        <f>SUM(Q60/Q63)</f>
        <v>0.34112377850162867</v>
      </c>
      <c r="S60" s="2">
        <v>3</v>
      </c>
    </row>
    <row r="61" spans="1:19" s="2" customFormat="1" ht="16.5" customHeight="1" thickBot="1">
      <c r="A61" s="6" t="s">
        <v>2258</v>
      </c>
      <c r="B61" s="28" t="s">
        <v>1258</v>
      </c>
      <c r="C61" s="8">
        <v>4552</v>
      </c>
      <c r="D61" s="8">
        <v>4552</v>
      </c>
      <c r="E61" s="8">
        <v>4598</v>
      </c>
      <c r="F61" s="8">
        <v>4598</v>
      </c>
      <c r="G61" s="8">
        <v>4612</v>
      </c>
      <c r="H61" s="8">
        <v>4821</v>
      </c>
      <c r="I61" s="8">
        <v>4902</v>
      </c>
      <c r="J61" s="8">
        <v>6620</v>
      </c>
      <c r="K61" s="8">
        <v>6645</v>
      </c>
      <c r="L61" s="8">
        <v>6887</v>
      </c>
      <c r="M61" s="8">
        <v>7237</v>
      </c>
      <c r="N61" s="36">
        <v>7431</v>
      </c>
      <c r="O61" s="33" t="s">
        <v>2207</v>
      </c>
      <c r="P61" s="31" t="s">
        <v>1269</v>
      </c>
      <c r="Q61" s="21">
        <f>(C65+C69)</f>
        <v>4209</v>
      </c>
      <c r="R61" s="17">
        <f>SUM(Q61/Q63)</f>
        <v>6.8550488599348536E-2</v>
      </c>
    </row>
    <row r="62" spans="1:19" s="2" customFormat="1" ht="16.5" customHeight="1" thickBot="1">
      <c r="A62" s="6" t="s">
        <v>505</v>
      </c>
      <c r="B62" s="9" t="s">
        <v>486</v>
      </c>
      <c r="C62" s="8">
        <v>4355</v>
      </c>
      <c r="D62" s="8">
        <v>4356</v>
      </c>
      <c r="E62" s="8">
        <v>4459</v>
      </c>
      <c r="F62" s="8">
        <v>4459</v>
      </c>
      <c r="G62" s="8">
        <v>4525</v>
      </c>
      <c r="H62" s="8">
        <v>4538</v>
      </c>
      <c r="I62" s="8">
        <v>5236</v>
      </c>
      <c r="J62" s="8">
        <v>5384</v>
      </c>
      <c r="K62" s="8">
        <v>5627</v>
      </c>
      <c r="L62" s="36">
        <v>8694</v>
      </c>
      <c r="M62" s="8"/>
      <c r="N62" s="8"/>
      <c r="O62" s="33" t="s">
        <v>1251</v>
      </c>
      <c r="P62" s="26" t="s">
        <v>1254</v>
      </c>
      <c r="Q62" s="21">
        <f>(C70+C71)</f>
        <v>1282</v>
      </c>
      <c r="R62" s="11">
        <f>SUM(Q62/Q63)</f>
        <v>2.0879478827361565E-2</v>
      </c>
    </row>
    <row r="63" spans="1:19" s="2" customFormat="1" ht="16.5" customHeight="1" thickBot="1">
      <c r="A63" s="12" t="s">
        <v>508</v>
      </c>
      <c r="B63" s="22" t="s">
        <v>486</v>
      </c>
      <c r="C63" s="8">
        <v>2630</v>
      </c>
      <c r="D63" s="8">
        <v>2630</v>
      </c>
      <c r="E63" s="8">
        <v>2689</v>
      </c>
      <c r="F63" s="8">
        <v>2689</v>
      </c>
      <c r="G63" s="8">
        <v>2763</v>
      </c>
      <c r="H63" s="8">
        <v>2772</v>
      </c>
      <c r="I63" s="8">
        <v>3604</v>
      </c>
      <c r="J63" s="8">
        <v>3698</v>
      </c>
      <c r="K63" s="8">
        <v>3870</v>
      </c>
      <c r="L63" s="8" t="s">
        <v>1326</v>
      </c>
      <c r="Q63" s="23">
        <v>61400</v>
      </c>
    </row>
    <row r="64" spans="1:19" s="2" customFormat="1" ht="16.5" customHeight="1" thickBot="1">
      <c r="A64" s="12" t="s">
        <v>506</v>
      </c>
      <c r="B64" s="27" t="s">
        <v>1258</v>
      </c>
      <c r="C64" s="8">
        <v>2616</v>
      </c>
      <c r="D64" s="8">
        <v>2616</v>
      </c>
      <c r="E64" s="8">
        <v>2639</v>
      </c>
      <c r="F64" s="8">
        <v>2639</v>
      </c>
      <c r="G64" s="8">
        <v>2642</v>
      </c>
      <c r="H64" s="8">
        <v>2726</v>
      </c>
      <c r="I64" s="8">
        <v>2773</v>
      </c>
      <c r="J64" s="8" t="s">
        <v>1326</v>
      </c>
    </row>
    <row r="65" spans="1:24" s="2" customFormat="1" ht="16.5" customHeight="1" thickBot="1">
      <c r="A65" s="12" t="s">
        <v>511</v>
      </c>
      <c r="B65" s="32" t="s">
        <v>1269</v>
      </c>
      <c r="C65" s="8">
        <v>2572</v>
      </c>
      <c r="D65" s="8">
        <v>2590</v>
      </c>
      <c r="E65" s="8">
        <v>2763</v>
      </c>
      <c r="F65" s="8">
        <v>2780</v>
      </c>
      <c r="G65" s="8">
        <v>3269</v>
      </c>
      <c r="H65" s="8">
        <v>4276</v>
      </c>
      <c r="I65" s="8">
        <v>4293</v>
      </c>
      <c r="J65" s="8">
        <v>4303</v>
      </c>
      <c r="K65" s="8">
        <v>4304</v>
      </c>
      <c r="L65" s="8">
        <v>4429</v>
      </c>
      <c r="M65" s="8">
        <v>4630</v>
      </c>
      <c r="N65" s="8" t="s">
        <v>1326</v>
      </c>
    </row>
    <row r="66" spans="1:24" s="2" customFormat="1" ht="16.5" customHeight="1" thickBot="1">
      <c r="A66" s="12" t="s">
        <v>509</v>
      </c>
      <c r="B66" s="22" t="s">
        <v>486</v>
      </c>
      <c r="C66" s="8">
        <v>2571</v>
      </c>
      <c r="D66" s="8">
        <v>2571</v>
      </c>
      <c r="E66" s="8">
        <v>2625</v>
      </c>
      <c r="F66" s="8">
        <v>2626</v>
      </c>
      <c r="G66" s="8">
        <v>2654</v>
      </c>
      <c r="H66" s="8">
        <v>2674</v>
      </c>
      <c r="I66" s="8" t="s">
        <v>1326</v>
      </c>
    </row>
    <row r="67" spans="1:24" s="2" customFormat="1" ht="16.5" customHeight="1" thickBot="1">
      <c r="A67" s="12" t="s">
        <v>503</v>
      </c>
      <c r="B67" s="83" t="s">
        <v>496</v>
      </c>
      <c r="C67" s="8">
        <v>2465</v>
      </c>
      <c r="D67" s="8">
        <v>2465</v>
      </c>
      <c r="E67" s="8">
        <v>2492</v>
      </c>
      <c r="F67" s="8">
        <v>2492</v>
      </c>
      <c r="G67" s="8">
        <v>2503</v>
      </c>
      <c r="H67" s="8">
        <v>3639</v>
      </c>
      <c r="I67" s="8">
        <v>3689</v>
      </c>
      <c r="J67" s="8">
        <v>4168</v>
      </c>
      <c r="K67" s="8">
        <v>4191</v>
      </c>
      <c r="L67" s="8">
        <v>4447</v>
      </c>
      <c r="M67" s="8">
        <v>4904</v>
      </c>
      <c r="N67" s="8">
        <v>5093</v>
      </c>
      <c r="O67" s="33"/>
    </row>
    <row r="68" spans="1:24" s="2" customFormat="1" ht="16.5" customHeight="1" thickBot="1">
      <c r="A68" s="12" t="s">
        <v>510</v>
      </c>
      <c r="B68" s="83" t="s">
        <v>496</v>
      </c>
      <c r="C68" s="8">
        <v>2018</v>
      </c>
      <c r="D68" s="8">
        <v>2018</v>
      </c>
      <c r="E68" s="8">
        <v>2034</v>
      </c>
      <c r="F68" s="8">
        <v>2034</v>
      </c>
      <c r="G68" s="8">
        <v>2040</v>
      </c>
      <c r="H68" s="8" t="s">
        <v>1326</v>
      </c>
    </row>
    <row r="69" spans="1:24" s="2" customFormat="1" ht="16.5" customHeight="1" thickBot="1">
      <c r="A69" s="12" t="s">
        <v>512</v>
      </c>
      <c r="B69" s="32" t="s">
        <v>1269</v>
      </c>
      <c r="C69" s="8">
        <v>1637</v>
      </c>
      <c r="D69" s="8">
        <v>1643</v>
      </c>
      <c r="E69" s="8">
        <v>1941</v>
      </c>
      <c r="F69" s="8">
        <v>1945</v>
      </c>
      <c r="G69" s="8" t="s">
        <v>1326</v>
      </c>
    </row>
    <row r="70" spans="1:24" s="2" customFormat="1" ht="16.5" customHeight="1" thickBot="1">
      <c r="A70" s="12" t="s">
        <v>504</v>
      </c>
      <c r="B70" s="80" t="s">
        <v>363</v>
      </c>
      <c r="C70" s="8">
        <v>1044</v>
      </c>
      <c r="D70" s="8">
        <v>1054</v>
      </c>
      <c r="E70" s="8" t="s">
        <v>1326</v>
      </c>
    </row>
    <row r="71" spans="1:24" s="2" customFormat="1" ht="16.5" customHeight="1" thickBot="1">
      <c r="A71" s="12" t="s">
        <v>507</v>
      </c>
      <c r="B71" s="78" t="s">
        <v>1270</v>
      </c>
      <c r="C71" s="8">
        <v>238</v>
      </c>
      <c r="D71" s="8">
        <v>244</v>
      </c>
      <c r="E71" s="8" t="s">
        <v>1326</v>
      </c>
    </row>
    <row r="72" spans="1:24" s="2" customFormat="1" ht="12" customHeight="1">
      <c r="A72" s="1"/>
    </row>
    <row r="73" spans="1:24" s="2" customFormat="1" ht="16.5" customHeight="1">
      <c r="A73" s="1" t="s">
        <v>474</v>
      </c>
    </row>
    <row r="74" spans="1:24" s="2" customFormat="1" ht="9.75" customHeight="1" thickBot="1">
      <c r="A74" s="3"/>
    </row>
    <row r="75" spans="1:24" s="2" customFormat="1" ht="16.5" customHeight="1" thickBot="1">
      <c r="A75" s="4" t="s">
        <v>1244</v>
      </c>
      <c r="B75" s="5" t="s">
        <v>1245</v>
      </c>
      <c r="C75" s="5" t="s">
        <v>1246</v>
      </c>
      <c r="D75" s="5">
        <v>2</v>
      </c>
      <c r="E75" s="5">
        <v>3</v>
      </c>
      <c r="F75" s="5">
        <v>4</v>
      </c>
      <c r="G75" s="5">
        <v>5</v>
      </c>
      <c r="H75" s="5">
        <v>6</v>
      </c>
      <c r="I75" s="5">
        <v>7</v>
      </c>
      <c r="J75" s="5">
        <v>8</v>
      </c>
      <c r="K75" s="5">
        <v>9</v>
      </c>
      <c r="L75" s="5">
        <v>10</v>
      </c>
      <c r="M75" s="5">
        <v>11</v>
      </c>
      <c r="N75" s="5">
        <v>12</v>
      </c>
      <c r="O75" s="5">
        <v>13</v>
      </c>
      <c r="P75" s="5">
        <v>14</v>
      </c>
      <c r="Q75" s="5">
        <v>15</v>
      </c>
      <c r="R75" s="5">
        <v>16</v>
      </c>
      <c r="S75" s="5">
        <v>17</v>
      </c>
      <c r="T75" s="5"/>
      <c r="U75" s="10" t="s">
        <v>1413</v>
      </c>
      <c r="V75" s="11">
        <f>(65397/89324)</f>
        <v>0.73213246160046574</v>
      </c>
    </row>
    <row r="76" spans="1:24" s="2" customFormat="1" ht="16.5" customHeight="1" thickBot="1">
      <c r="A76" s="6" t="s">
        <v>385</v>
      </c>
      <c r="B76" s="9" t="s">
        <v>486</v>
      </c>
      <c r="C76" s="36">
        <v>16287</v>
      </c>
      <c r="D76" s="8"/>
      <c r="E76" s="8"/>
      <c r="F76" s="8"/>
      <c r="G76" s="8"/>
      <c r="H76" s="8"/>
      <c r="I76" s="36"/>
      <c r="J76" s="8"/>
      <c r="K76" s="8"/>
      <c r="L76" s="8"/>
      <c r="M76" s="8"/>
      <c r="N76" s="8"/>
      <c r="O76" s="36"/>
      <c r="P76" s="8"/>
      <c r="Q76" s="8"/>
      <c r="R76" s="8"/>
      <c r="S76" s="8"/>
      <c r="T76" s="33" t="s">
        <v>1271</v>
      </c>
      <c r="U76" s="14"/>
      <c r="V76" s="10" t="s">
        <v>1248</v>
      </c>
      <c r="W76" s="10" t="s">
        <v>1249</v>
      </c>
      <c r="X76" s="10" t="s">
        <v>1250</v>
      </c>
    </row>
    <row r="77" spans="1:24" s="2" customFormat="1" ht="16.5" customHeight="1" thickBot="1">
      <c r="A77" s="6" t="s">
        <v>2030</v>
      </c>
      <c r="B77" s="7" t="s">
        <v>1261</v>
      </c>
      <c r="C77" s="8">
        <v>7870</v>
      </c>
      <c r="D77" s="8">
        <v>7895</v>
      </c>
      <c r="E77" s="8">
        <v>7913</v>
      </c>
      <c r="F77" s="8">
        <v>7926</v>
      </c>
      <c r="G77" s="8">
        <v>7927</v>
      </c>
      <c r="H77" s="8">
        <v>7972</v>
      </c>
      <c r="I77" s="36">
        <v>8050</v>
      </c>
      <c r="J77" s="36"/>
      <c r="K77" s="8"/>
      <c r="L77" s="8"/>
      <c r="M77" s="8"/>
      <c r="N77" s="8"/>
      <c r="O77" s="8"/>
      <c r="P77" s="36"/>
      <c r="Q77" s="8"/>
      <c r="R77" s="36"/>
      <c r="S77" s="8"/>
      <c r="T77" s="33" t="s">
        <v>1362</v>
      </c>
      <c r="U77" s="85" t="s">
        <v>496</v>
      </c>
      <c r="V77" s="16">
        <v>5006</v>
      </c>
      <c r="W77" s="17">
        <f>SUM(V77/V83)</f>
        <v>7.817233517598926E-2</v>
      </c>
      <c r="X77" s="14">
        <v>1</v>
      </c>
    </row>
    <row r="78" spans="1:24" s="2" customFormat="1" ht="16.5" customHeight="1" thickBot="1">
      <c r="A78" s="6" t="s">
        <v>2267</v>
      </c>
      <c r="B78" s="7" t="s">
        <v>1261</v>
      </c>
      <c r="C78" s="8">
        <v>6857</v>
      </c>
      <c r="D78" s="8">
        <v>6869</v>
      </c>
      <c r="E78" s="8">
        <v>6896</v>
      </c>
      <c r="F78" s="8">
        <v>6930</v>
      </c>
      <c r="G78" s="8">
        <v>6932</v>
      </c>
      <c r="H78" s="8">
        <v>6950</v>
      </c>
      <c r="I78" s="8">
        <v>7056</v>
      </c>
      <c r="J78" s="8">
        <v>7345</v>
      </c>
      <c r="K78" s="8">
        <v>7353</v>
      </c>
      <c r="L78" s="8">
        <v>7423</v>
      </c>
      <c r="M78" s="8">
        <v>7760</v>
      </c>
      <c r="N78" s="8">
        <v>7761</v>
      </c>
      <c r="O78" s="8">
        <v>7762</v>
      </c>
      <c r="P78" s="36">
        <v>9190</v>
      </c>
      <c r="Q78" s="8"/>
      <c r="R78" s="36"/>
      <c r="S78" s="36"/>
      <c r="T78" s="33" t="s">
        <v>1280</v>
      </c>
      <c r="U78" s="18" t="s">
        <v>1257</v>
      </c>
      <c r="V78" s="16">
        <f>(C76+C82+C85+C86)</f>
        <v>23636</v>
      </c>
      <c r="W78" s="17">
        <f>SUM(V78/V83)</f>
        <v>0.36909335082294886</v>
      </c>
      <c r="X78" s="14">
        <v>3</v>
      </c>
    </row>
    <row r="79" spans="1:24" s="2" customFormat="1" ht="16.5" customHeight="1" thickBot="1">
      <c r="A79" s="6" t="s">
        <v>386</v>
      </c>
      <c r="B79" s="86" t="s">
        <v>496</v>
      </c>
      <c r="C79" s="8">
        <v>5006</v>
      </c>
      <c r="D79" s="8">
        <v>5435</v>
      </c>
      <c r="E79" s="8">
        <v>5442</v>
      </c>
      <c r="F79" s="8">
        <v>5445</v>
      </c>
      <c r="G79" s="8">
        <v>5672</v>
      </c>
      <c r="H79" s="8">
        <v>5672</v>
      </c>
      <c r="I79" s="8">
        <v>5679</v>
      </c>
      <c r="J79" s="8">
        <v>5683</v>
      </c>
      <c r="K79" s="8">
        <v>5689</v>
      </c>
      <c r="L79" s="8">
        <v>5689</v>
      </c>
      <c r="M79" s="8">
        <v>5691</v>
      </c>
      <c r="N79" s="8">
        <v>5932</v>
      </c>
      <c r="O79" s="8">
        <v>6095</v>
      </c>
      <c r="P79" s="8">
        <v>6099</v>
      </c>
      <c r="Q79" s="8">
        <v>6102</v>
      </c>
      <c r="R79" s="8">
        <v>6106</v>
      </c>
      <c r="S79" s="36">
        <v>9486</v>
      </c>
      <c r="T79" s="33" t="s">
        <v>1253</v>
      </c>
      <c r="U79" s="30" t="s">
        <v>1258</v>
      </c>
      <c r="V79" s="16">
        <v>4016</v>
      </c>
      <c r="W79" s="17">
        <f>SUM(V79/V83)</f>
        <v>6.2712764296199125E-2</v>
      </c>
    </row>
    <row r="80" spans="1:24" s="2" customFormat="1" ht="16.5" customHeight="1" thickBot="1">
      <c r="A80" s="6" t="s">
        <v>379</v>
      </c>
      <c r="B80" s="7" t="s">
        <v>1261</v>
      </c>
      <c r="C80" s="8">
        <v>4322</v>
      </c>
      <c r="D80" s="8">
        <v>4327</v>
      </c>
      <c r="E80" s="8">
        <v>4343</v>
      </c>
      <c r="F80" s="8">
        <v>4346</v>
      </c>
      <c r="G80" s="8">
        <v>4347</v>
      </c>
      <c r="H80" s="8">
        <v>4406</v>
      </c>
      <c r="I80" s="8">
        <v>4508</v>
      </c>
      <c r="J80" s="8">
        <v>4609</v>
      </c>
      <c r="K80" s="8">
        <v>4630</v>
      </c>
      <c r="L80" s="8">
        <v>4746</v>
      </c>
      <c r="M80" s="8">
        <v>5710</v>
      </c>
      <c r="N80" s="8">
        <v>5712</v>
      </c>
      <c r="O80" s="8">
        <v>5713</v>
      </c>
      <c r="P80" s="8">
        <v>7181</v>
      </c>
      <c r="Q80" s="36">
        <v>8226</v>
      </c>
      <c r="R80" s="8"/>
      <c r="S80" s="36"/>
      <c r="T80" s="33" t="s">
        <v>1251</v>
      </c>
      <c r="U80" s="15" t="s">
        <v>1261</v>
      </c>
      <c r="V80" s="21">
        <f>(C77+C78+C80)</f>
        <v>19049</v>
      </c>
      <c r="W80" s="17">
        <f>SUM(V80/V83)</f>
        <v>0.29746400574658799</v>
      </c>
      <c r="X80" s="2">
        <v>3</v>
      </c>
    </row>
    <row r="81" spans="1:23" s="2" customFormat="1" ht="16.5" customHeight="1" thickBot="1">
      <c r="A81" s="12" t="s">
        <v>382</v>
      </c>
      <c r="B81" s="27" t="s">
        <v>1258</v>
      </c>
      <c r="C81" s="8">
        <v>4016</v>
      </c>
      <c r="D81" s="8">
        <v>4328</v>
      </c>
      <c r="E81" s="8">
        <v>4332</v>
      </c>
      <c r="F81" s="8">
        <v>4332</v>
      </c>
      <c r="G81" s="8">
        <v>4454</v>
      </c>
      <c r="H81" s="8">
        <v>4454</v>
      </c>
      <c r="I81" s="8">
        <v>4462</v>
      </c>
      <c r="J81" s="8">
        <v>4465</v>
      </c>
      <c r="K81" s="8">
        <v>4471</v>
      </c>
      <c r="L81" s="8">
        <v>4472</v>
      </c>
      <c r="M81" s="8">
        <v>4474</v>
      </c>
      <c r="N81" s="8">
        <v>4667</v>
      </c>
      <c r="O81" s="8">
        <v>4811</v>
      </c>
      <c r="P81" s="8">
        <v>4816</v>
      </c>
      <c r="Q81" s="8">
        <v>4818</v>
      </c>
      <c r="R81" s="8">
        <v>4819</v>
      </c>
      <c r="S81" s="8" t="s">
        <v>1326</v>
      </c>
      <c r="U81" s="31" t="s">
        <v>1269</v>
      </c>
      <c r="V81" s="21">
        <f>(C87+C88+C89)</f>
        <v>4280</v>
      </c>
      <c r="W81" s="17">
        <f>SUM(V81/V83)</f>
        <v>6.6835316530809832E-2</v>
      </c>
    </row>
    <row r="82" spans="1:23" s="2" customFormat="1" ht="16.5" customHeight="1" thickBot="1">
      <c r="A82" s="6" t="s">
        <v>380</v>
      </c>
      <c r="B82" s="9" t="s">
        <v>477</v>
      </c>
      <c r="C82" s="8">
        <v>3838</v>
      </c>
      <c r="D82" s="8">
        <v>4709</v>
      </c>
      <c r="E82" s="8">
        <v>4716</v>
      </c>
      <c r="F82" s="8">
        <v>4716</v>
      </c>
      <c r="G82" s="8">
        <v>4759</v>
      </c>
      <c r="H82" s="8">
        <v>4761</v>
      </c>
      <c r="I82" s="8">
        <v>4766</v>
      </c>
      <c r="J82" s="8">
        <v>4769</v>
      </c>
      <c r="K82" s="8">
        <v>4777</v>
      </c>
      <c r="L82" s="8">
        <v>4780</v>
      </c>
      <c r="M82" s="8">
        <v>4781</v>
      </c>
      <c r="N82" s="8">
        <v>5360</v>
      </c>
      <c r="O82" s="8">
        <v>5960</v>
      </c>
      <c r="P82" s="8">
        <v>5967</v>
      </c>
      <c r="Q82" s="8">
        <v>5969</v>
      </c>
      <c r="R82" s="8">
        <v>5971</v>
      </c>
      <c r="S82" s="36">
        <v>7177</v>
      </c>
      <c r="T82" s="33" t="s">
        <v>2207</v>
      </c>
      <c r="U82" s="26" t="s">
        <v>1254</v>
      </c>
      <c r="V82" s="21">
        <f>(C83+C84+C90+C91+C92+C93+C94+C95)</f>
        <v>8051</v>
      </c>
      <c r="W82" s="11">
        <f>SUM(V82/V83)</f>
        <v>0.12572222742746494</v>
      </c>
    </row>
    <row r="83" spans="1:23" s="2" customFormat="1" ht="16.5" customHeight="1" thickBot="1">
      <c r="A83" s="12" t="s">
        <v>513</v>
      </c>
      <c r="B83" s="78" t="s">
        <v>1270</v>
      </c>
      <c r="C83" s="8">
        <v>2785</v>
      </c>
      <c r="D83" s="8">
        <v>2790</v>
      </c>
      <c r="E83" s="8">
        <v>2800</v>
      </c>
      <c r="F83" s="8">
        <v>2828</v>
      </c>
      <c r="G83" s="8">
        <v>2828</v>
      </c>
      <c r="H83" s="8">
        <v>2882</v>
      </c>
      <c r="I83" s="8">
        <v>2980</v>
      </c>
      <c r="J83" s="8">
        <v>3312</v>
      </c>
      <c r="K83" s="8">
        <v>3326</v>
      </c>
      <c r="L83" s="8">
        <v>3340</v>
      </c>
      <c r="M83" s="8">
        <v>4059</v>
      </c>
      <c r="N83" s="8">
        <v>4061</v>
      </c>
      <c r="O83" s="8">
        <v>4061</v>
      </c>
      <c r="P83" s="8" t="s">
        <v>1326</v>
      </c>
      <c r="V83" s="23">
        <v>64038</v>
      </c>
    </row>
    <row r="84" spans="1:23" s="2" customFormat="1" ht="16.5" customHeight="1" thickBot="1">
      <c r="A84" s="12" t="s">
        <v>514</v>
      </c>
      <c r="B84" s="78" t="s">
        <v>2093</v>
      </c>
      <c r="C84" s="8">
        <v>2000</v>
      </c>
      <c r="D84" s="8">
        <v>2001</v>
      </c>
      <c r="E84" s="8">
        <v>2008</v>
      </c>
      <c r="F84" s="8">
        <v>2016</v>
      </c>
      <c r="G84" s="8">
        <v>2018</v>
      </c>
      <c r="H84" s="8">
        <v>2092</v>
      </c>
      <c r="I84" s="8">
        <v>2269</v>
      </c>
      <c r="J84" s="8">
        <v>2398</v>
      </c>
      <c r="K84" s="8">
        <v>2405</v>
      </c>
      <c r="L84" s="8">
        <v>2447</v>
      </c>
      <c r="M84" s="36" t="s">
        <v>1326</v>
      </c>
    </row>
    <row r="85" spans="1:23" s="2" customFormat="1" ht="16.5" customHeight="1" thickBot="1">
      <c r="A85" s="12" t="s">
        <v>2272</v>
      </c>
      <c r="B85" s="22" t="s">
        <v>486</v>
      </c>
      <c r="C85" s="8">
        <v>1996</v>
      </c>
      <c r="D85" s="8">
        <v>3761</v>
      </c>
      <c r="E85" s="8">
        <v>3766</v>
      </c>
      <c r="F85" s="8">
        <v>3766</v>
      </c>
      <c r="G85" s="8">
        <v>3811</v>
      </c>
      <c r="H85" s="8">
        <v>3813</v>
      </c>
      <c r="I85" s="8">
        <v>3817</v>
      </c>
      <c r="J85" s="8">
        <v>3821</v>
      </c>
      <c r="K85" s="8">
        <v>3851</v>
      </c>
      <c r="L85" s="8">
        <v>3865</v>
      </c>
      <c r="M85" s="8">
        <v>3865</v>
      </c>
      <c r="N85" s="8" t="s">
        <v>1326</v>
      </c>
    </row>
    <row r="86" spans="1:23" s="2" customFormat="1" ht="16.5" customHeight="1" thickBot="1">
      <c r="A86" s="6" t="s">
        <v>388</v>
      </c>
      <c r="B86" s="9" t="s">
        <v>486</v>
      </c>
      <c r="C86" s="8">
        <v>1515</v>
      </c>
      <c r="D86" s="8">
        <v>6049</v>
      </c>
      <c r="E86" s="8">
        <v>6075</v>
      </c>
      <c r="F86" s="8">
        <v>6075</v>
      </c>
      <c r="G86" s="8">
        <v>6267</v>
      </c>
      <c r="H86" s="8">
        <v>6268</v>
      </c>
      <c r="I86" s="8">
        <v>6270</v>
      </c>
      <c r="J86" s="8">
        <v>6274</v>
      </c>
      <c r="K86" s="8">
        <v>6344</v>
      </c>
      <c r="L86" s="8">
        <v>6371</v>
      </c>
      <c r="M86" s="8">
        <v>6374</v>
      </c>
      <c r="N86" s="36">
        <v>9109</v>
      </c>
      <c r="O86" s="8"/>
      <c r="P86" s="8"/>
      <c r="Q86" s="8"/>
      <c r="R86" s="8"/>
      <c r="S86" s="36"/>
      <c r="T86" s="33" t="s">
        <v>1252</v>
      </c>
    </row>
    <row r="87" spans="1:23" s="2" customFormat="1" ht="16.5" customHeight="1" thickBot="1">
      <c r="A87" s="12" t="s">
        <v>383</v>
      </c>
      <c r="B87" s="32" t="s">
        <v>1269</v>
      </c>
      <c r="C87" s="8">
        <v>1489</v>
      </c>
      <c r="D87" s="8">
        <v>1519</v>
      </c>
      <c r="E87" s="8">
        <v>1543</v>
      </c>
      <c r="F87" s="8">
        <v>1546</v>
      </c>
      <c r="G87" s="8">
        <v>1548</v>
      </c>
      <c r="H87" s="8">
        <v>1550</v>
      </c>
      <c r="I87" s="8">
        <v>1590</v>
      </c>
      <c r="J87" s="8">
        <v>1598</v>
      </c>
      <c r="K87" s="8">
        <v>2283</v>
      </c>
      <c r="L87" s="8">
        <v>4156</v>
      </c>
      <c r="M87" s="8">
        <v>4261</v>
      </c>
      <c r="N87" s="8">
        <v>4297</v>
      </c>
      <c r="O87" s="8">
        <v>4398</v>
      </c>
      <c r="P87" s="8">
        <v>4665</v>
      </c>
      <c r="Q87" s="8">
        <v>4712</v>
      </c>
      <c r="R87" s="8">
        <v>4924</v>
      </c>
      <c r="S87" s="8">
        <v>4955</v>
      </c>
      <c r="T87" s="33"/>
    </row>
    <row r="88" spans="1:23" s="2" customFormat="1" ht="16.5" customHeight="1" thickBot="1">
      <c r="A88" s="12" t="s">
        <v>518</v>
      </c>
      <c r="B88" s="32" t="s">
        <v>1269</v>
      </c>
      <c r="C88" s="8">
        <v>1475</v>
      </c>
      <c r="D88" s="43">
        <v>1503</v>
      </c>
      <c r="E88" s="8">
        <v>1557</v>
      </c>
      <c r="F88" s="8">
        <v>1558</v>
      </c>
      <c r="G88" s="8">
        <v>1561</v>
      </c>
      <c r="H88" s="8">
        <v>1565</v>
      </c>
      <c r="I88" s="8">
        <v>1589</v>
      </c>
      <c r="J88" s="8">
        <v>1606</v>
      </c>
      <c r="K88" s="8">
        <v>2209</v>
      </c>
      <c r="L88" s="8" t="s">
        <v>1326</v>
      </c>
      <c r="M88" s="21"/>
    </row>
    <row r="89" spans="1:23" s="2" customFormat="1" ht="16.5" customHeight="1" thickBot="1">
      <c r="A89" s="12" t="s">
        <v>384</v>
      </c>
      <c r="B89" s="32" t="s">
        <v>1269</v>
      </c>
      <c r="C89" s="8">
        <v>1316</v>
      </c>
      <c r="D89" s="8">
        <v>1428</v>
      </c>
      <c r="E89" s="8">
        <v>1464</v>
      </c>
      <c r="F89" s="43">
        <v>1465</v>
      </c>
      <c r="G89" s="8">
        <v>1468</v>
      </c>
      <c r="H89" s="8">
        <v>1469</v>
      </c>
      <c r="I89" s="8">
        <v>1480</v>
      </c>
      <c r="J89" s="8">
        <v>1483</v>
      </c>
      <c r="K89" s="8" t="s">
        <v>1326</v>
      </c>
      <c r="U89" s="26"/>
      <c r="V89" s="21"/>
      <c r="W89" s="11"/>
    </row>
    <row r="90" spans="1:23" s="2" customFormat="1" ht="16.5" customHeight="1" thickBot="1">
      <c r="A90" s="12" t="s">
        <v>517</v>
      </c>
      <c r="B90" s="78" t="s">
        <v>1270</v>
      </c>
      <c r="C90" s="8">
        <v>653</v>
      </c>
      <c r="D90" s="8">
        <v>658</v>
      </c>
      <c r="E90" s="8">
        <v>679</v>
      </c>
      <c r="F90" s="8">
        <v>687</v>
      </c>
      <c r="G90" s="8">
        <v>696</v>
      </c>
      <c r="H90" s="8">
        <v>705</v>
      </c>
      <c r="I90" s="8" t="s">
        <v>1326</v>
      </c>
      <c r="V90" s="23"/>
    </row>
    <row r="91" spans="1:23" s="2" customFormat="1" ht="16.5" customHeight="1" thickBot="1">
      <c r="A91" s="12" t="s">
        <v>515</v>
      </c>
      <c r="B91" s="37" t="s">
        <v>2447</v>
      </c>
      <c r="C91" s="8">
        <v>648</v>
      </c>
      <c r="D91" s="8">
        <v>652</v>
      </c>
      <c r="E91" s="8">
        <v>652</v>
      </c>
      <c r="F91" s="8">
        <v>959</v>
      </c>
      <c r="G91" s="8">
        <v>965</v>
      </c>
      <c r="H91" s="8">
        <v>1378</v>
      </c>
      <c r="I91" s="8">
        <v>1402</v>
      </c>
      <c r="J91" s="8" t="s">
        <v>1326</v>
      </c>
    </row>
    <row r="92" spans="1:23" s="2" customFormat="1" ht="16.5" customHeight="1" thickBot="1">
      <c r="A92" s="12" t="s">
        <v>516</v>
      </c>
      <c r="B92" s="37" t="s">
        <v>2447</v>
      </c>
      <c r="C92" s="8">
        <v>612</v>
      </c>
      <c r="D92" s="8">
        <v>613</v>
      </c>
      <c r="E92" s="8">
        <v>614</v>
      </c>
      <c r="F92" s="8">
        <v>695</v>
      </c>
      <c r="G92" s="8">
        <v>696</v>
      </c>
      <c r="H92" s="8" t="s">
        <v>1326</v>
      </c>
      <c r="M92" s="17"/>
    </row>
    <row r="93" spans="1:23" s="2" customFormat="1" ht="16.5" customHeight="1" thickBot="1">
      <c r="A93" s="12" t="s">
        <v>519</v>
      </c>
      <c r="B93" s="78" t="s">
        <v>520</v>
      </c>
      <c r="C93" s="8">
        <v>591</v>
      </c>
      <c r="D93" s="8">
        <v>669</v>
      </c>
      <c r="E93" s="8">
        <v>673</v>
      </c>
      <c r="F93" s="8">
        <v>673</v>
      </c>
      <c r="G93" s="8" t="s">
        <v>1326</v>
      </c>
      <c r="M93" s="17"/>
    </row>
    <row r="94" spans="1:23" s="2" customFormat="1" ht="16.5" customHeight="1" thickBot="1">
      <c r="A94" s="12" t="s">
        <v>521</v>
      </c>
      <c r="B94" s="37" t="s">
        <v>2447</v>
      </c>
      <c r="C94" s="8">
        <v>499</v>
      </c>
      <c r="D94" s="8">
        <v>499</v>
      </c>
      <c r="E94" s="8">
        <v>502</v>
      </c>
      <c r="F94" s="8" t="s">
        <v>1326</v>
      </c>
    </row>
    <row r="95" spans="1:23" s="2" customFormat="1" ht="16.5" customHeight="1" thickBot="1">
      <c r="A95" s="12" t="s">
        <v>523</v>
      </c>
      <c r="B95" s="91" t="s">
        <v>522</v>
      </c>
      <c r="C95" s="8">
        <v>263</v>
      </c>
      <c r="D95" s="43">
        <v>279</v>
      </c>
      <c r="E95" s="8" t="s">
        <v>1326</v>
      </c>
      <c r="G95" s="17"/>
      <c r="M95" s="21"/>
    </row>
    <row r="96" spans="1:23" s="2" customFormat="1" ht="12" customHeight="1">
      <c r="A96" s="1"/>
    </row>
    <row r="97" spans="1:25" s="2" customFormat="1" ht="16.5" customHeight="1">
      <c r="A97" s="1" t="s">
        <v>471</v>
      </c>
    </row>
    <row r="98" spans="1:25" s="2" customFormat="1" ht="9.75" customHeight="1" thickBot="1">
      <c r="A98" s="3"/>
    </row>
    <row r="99" spans="1:25" s="2" customFormat="1" ht="16.5" customHeight="1" thickBot="1">
      <c r="A99" s="4" t="s">
        <v>1244</v>
      </c>
      <c r="B99" s="5" t="s">
        <v>1245</v>
      </c>
      <c r="C99" s="5" t="s">
        <v>1246</v>
      </c>
      <c r="D99" s="5">
        <v>2</v>
      </c>
      <c r="E99" s="5">
        <v>3</v>
      </c>
      <c r="F99" s="5">
        <v>4</v>
      </c>
      <c r="G99" s="5">
        <v>5</v>
      </c>
      <c r="H99" s="5">
        <v>6</v>
      </c>
      <c r="I99" s="5">
        <v>7</v>
      </c>
      <c r="J99" s="5">
        <v>8</v>
      </c>
      <c r="K99" s="5">
        <v>9</v>
      </c>
      <c r="L99" s="5">
        <v>10</v>
      </c>
      <c r="M99" s="5">
        <v>11</v>
      </c>
      <c r="N99" s="5">
        <v>12</v>
      </c>
      <c r="O99" s="5">
        <v>13</v>
      </c>
      <c r="P99" s="5">
        <v>14</v>
      </c>
      <c r="Q99" s="5">
        <v>15</v>
      </c>
      <c r="R99" s="5">
        <v>16</v>
      </c>
      <c r="S99" s="5">
        <v>17</v>
      </c>
      <c r="T99" s="5">
        <v>18</v>
      </c>
      <c r="U99" s="5"/>
      <c r="V99" s="10" t="s">
        <v>1413</v>
      </c>
      <c r="W99" s="11">
        <f>(76519/114240)</f>
        <v>0.66980917366946779</v>
      </c>
    </row>
    <row r="100" spans="1:25" s="2" customFormat="1" ht="16.5" customHeight="1" thickBot="1">
      <c r="A100" s="6" t="s">
        <v>2280</v>
      </c>
      <c r="B100" s="28" t="s">
        <v>1258</v>
      </c>
      <c r="C100" s="36">
        <v>10126</v>
      </c>
      <c r="D100" s="8"/>
      <c r="E100" s="8"/>
      <c r="F100" s="8"/>
      <c r="G100" s="8"/>
      <c r="H100" s="8"/>
      <c r="I100" s="36"/>
      <c r="J100" s="8"/>
      <c r="K100" s="8"/>
      <c r="L100" s="36"/>
      <c r="M100" s="36"/>
      <c r="N100" s="8"/>
      <c r="O100" s="8"/>
      <c r="P100" s="8"/>
      <c r="Q100" s="8"/>
      <c r="R100" s="8"/>
      <c r="S100" s="36"/>
      <c r="T100" s="8"/>
      <c r="U100" s="33" t="s">
        <v>1271</v>
      </c>
      <c r="V100" s="14"/>
      <c r="W100" s="10" t="s">
        <v>1248</v>
      </c>
      <c r="X100" s="10" t="s">
        <v>1249</v>
      </c>
      <c r="Y100" s="10" t="s">
        <v>1250</v>
      </c>
    </row>
    <row r="101" spans="1:25" s="2" customFormat="1" ht="16.5" customHeight="1" thickBot="1">
      <c r="A101" s="6" t="s">
        <v>399</v>
      </c>
      <c r="B101" s="35" t="s">
        <v>1423</v>
      </c>
      <c r="C101" s="36">
        <v>9033</v>
      </c>
      <c r="D101" s="8"/>
      <c r="E101" s="8"/>
      <c r="F101" s="8"/>
      <c r="G101" s="8"/>
      <c r="H101" s="36"/>
      <c r="I101" s="8"/>
      <c r="J101" s="36"/>
      <c r="K101" s="36"/>
      <c r="L101" s="8"/>
      <c r="M101" s="8"/>
      <c r="N101" s="8"/>
      <c r="O101" s="8"/>
      <c r="P101" s="8"/>
      <c r="Q101" s="8"/>
      <c r="R101" s="36"/>
      <c r="S101" s="8"/>
      <c r="T101" s="36"/>
      <c r="U101" s="33" t="s">
        <v>1362</v>
      </c>
      <c r="V101" s="85" t="s">
        <v>496</v>
      </c>
      <c r="W101" s="16">
        <f>(C109+C110+C111)</f>
        <v>8348</v>
      </c>
      <c r="X101" s="17">
        <f>SUM(W101/W107)</f>
        <v>0.11125771327282662</v>
      </c>
      <c r="Y101" s="14">
        <v>1</v>
      </c>
    </row>
    <row r="102" spans="1:25" s="2" customFormat="1" ht="16.5" customHeight="1" thickBot="1">
      <c r="A102" s="6" t="s">
        <v>527</v>
      </c>
      <c r="B102" s="7" t="s">
        <v>1261</v>
      </c>
      <c r="C102" s="8">
        <v>7899</v>
      </c>
      <c r="D102" s="8">
        <v>7900</v>
      </c>
      <c r="E102" s="8">
        <v>7901</v>
      </c>
      <c r="F102" s="8">
        <v>7915</v>
      </c>
      <c r="G102" s="8">
        <v>7977</v>
      </c>
      <c r="H102" s="8">
        <v>7979</v>
      </c>
      <c r="I102" s="8">
        <v>8060</v>
      </c>
      <c r="J102" s="8">
        <v>8178</v>
      </c>
      <c r="K102" s="36">
        <v>8552</v>
      </c>
      <c r="L102" s="36"/>
      <c r="M102" s="8"/>
      <c r="N102" s="8"/>
      <c r="O102" s="8"/>
      <c r="P102" s="8"/>
      <c r="Q102" s="8"/>
      <c r="R102" s="8"/>
      <c r="S102" s="36"/>
      <c r="T102" s="8"/>
      <c r="U102" s="33" t="s">
        <v>1252</v>
      </c>
      <c r="V102" s="18" t="s">
        <v>1257</v>
      </c>
      <c r="W102" s="16">
        <f>(C104+C105+C107+C108+C112+C113+C118)</f>
        <v>23644</v>
      </c>
      <c r="X102" s="17">
        <f>SUM(W102/W107)</f>
        <v>0.31511468287286926</v>
      </c>
      <c r="Y102" s="14">
        <v>3</v>
      </c>
    </row>
    <row r="103" spans="1:25" s="2" customFormat="1" ht="16.5" customHeight="1" thickBot="1">
      <c r="A103" s="6" t="s">
        <v>526</v>
      </c>
      <c r="B103" s="45" t="s">
        <v>1269</v>
      </c>
      <c r="C103" s="8">
        <v>5975</v>
      </c>
      <c r="D103" s="8">
        <v>5983</v>
      </c>
      <c r="E103" s="8">
        <v>6020</v>
      </c>
      <c r="F103" s="8">
        <v>6038</v>
      </c>
      <c r="G103" s="8">
        <v>6166</v>
      </c>
      <c r="H103" s="8">
        <v>6176</v>
      </c>
      <c r="I103" s="8">
        <v>6299</v>
      </c>
      <c r="J103" s="8">
        <v>6928</v>
      </c>
      <c r="K103" s="8">
        <v>7435</v>
      </c>
      <c r="L103" s="8">
        <v>7536</v>
      </c>
      <c r="M103" s="8">
        <v>7597</v>
      </c>
      <c r="N103" s="8">
        <v>7600</v>
      </c>
      <c r="O103" s="36">
        <v>10234</v>
      </c>
      <c r="P103" s="8"/>
      <c r="Q103" s="8"/>
      <c r="R103" s="8"/>
      <c r="S103" s="8"/>
      <c r="T103" s="36"/>
      <c r="U103" s="33" t="s">
        <v>1280</v>
      </c>
      <c r="V103" s="30" t="s">
        <v>1258</v>
      </c>
      <c r="W103" s="16">
        <f>(C100+C106)</f>
        <v>14358</v>
      </c>
      <c r="X103" s="17">
        <f>SUM(W103/W107)</f>
        <v>0.19135580344648354</v>
      </c>
      <c r="Y103" s="2">
        <v>1</v>
      </c>
    </row>
    <row r="104" spans="1:25" s="2" customFormat="1" ht="16.5" customHeight="1" thickBot="1">
      <c r="A104" s="6" t="s">
        <v>525</v>
      </c>
      <c r="B104" s="9" t="s">
        <v>486</v>
      </c>
      <c r="C104" s="8">
        <v>5289</v>
      </c>
      <c r="D104" s="8">
        <v>5324</v>
      </c>
      <c r="E104" s="8">
        <v>5452</v>
      </c>
      <c r="F104" s="8">
        <v>5453</v>
      </c>
      <c r="G104" s="8">
        <v>5454</v>
      </c>
      <c r="H104" s="8">
        <v>5499</v>
      </c>
      <c r="I104" s="8">
        <v>5525</v>
      </c>
      <c r="J104" s="8">
        <v>5539</v>
      </c>
      <c r="K104" s="8">
        <v>5595</v>
      </c>
      <c r="L104" s="8">
        <v>5597</v>
      </c>
      <c r="M104" s="8">
        <v>5836</v>
      </c>
      <c r="N104" s="8">
        <v>5877</v>
      </c>
      <c r="O104" s="8">
        <v>5934</v>
      </c>
      <c r="P104" s="8">
        <v>6266</v>
      </c>
      <c r="Q104" s="8">
        <v>6886</v>
      </c>
      <c r="R104" s="8">
        <v>7016</v>
      </c>
      <c r="S104" s="36">
        <v>9076</v>
      </c>
      <c r="T104" s="8"/>
      <c r="U104" s="33" t="s">
        <v>1251</v>
      </c>
      <c r="V104" s="15" t="s">
        <v>1261</v>
      </c>
      <c r="W104" s="21">
        <v>7899</v>
      </c>
      <c r="X104" s="17">
        <f>SUM(W104/W107)</f>
        <v>0.10527367958098437</v>
      </c>
      <c r="Y104" s="2">
        <v>1</v>
      </c>
    </row>
    <row r="105" spans="1:25" s="2" customFormat="1" ht="16.5" customHeight="1" thickBot="1">
      <c r="A105" s="6" t="s">
        <v>390</v>
      </c>
      <c r="B105" s="9" t="s">
        <v>477</v>
      </c>
      <c r="C105" s="8">
        <v>5234</v>
      </c>
      <c r="D105" s="8">
        <v>5337</v>
      </c>
      <c r="E105" s="8">
        <v>5397</v>
      </c>
      <c r="F105" s="8">
        <v>5400</v>
      </c>
      <c r="G105" s="8">
        <v>5401</v>
      </c>
      <c r="H105" s="8">
        <v>5496</v>
      </c>
      <c r="I105" s="8">
        <v>5500</v>
      </c>
      <c r="J105" s="8">
        <v>5510</v>
      </c>
      <c r="K105" s="8">
        <v>5534</v>
      </c>
      <c r="L105" s="8">
        <v>5536</v>
      </c>
      <c r="M105" s="8">
        <v>6368</v>
      </c>
      <c r="N105" s="8">
        <v>6431</v>
      </c>
      <c r="O105" s="8">
        <v>6466</v>
      </c>
      <c r="P105" s="8">
        <v>6628</v>
      </c>
      <c r="Q105" s="8">
        <v>7823</v>
      </c>
      <c r="R105" s="8">
        <v>8128</v>
      </c>
      <c r="S105" s="36">
        <v>8645</v>
      </c>
      <c r="T105" s="8"/>
      <c r="U105" s="33" t="s">
        <v>1253</v>
      </c>
      <c r="V105" s="31" t="s">
        <v>1269</v>
      </c>
      <c r="W105" s="21">
        <f>(C114+C115+C103)</f>
        <v>9256</v>
      </c>
      <c r="X105" s="17">
        <f>SUM(W105/W107)</f>
        <v>0.12335905534897978</v>
      </c>
      <c r="Y105" s="2">
        <v>1</v>
      </c>
    </row>
    <row r="106" spans="1:25" s="2" customFormat="1" ht="16.5" customHeight="1" thickBot="1">
      <c r="A106" s="12" t="s">
        <v>524</v>
      </c>
      <c r="B106" s="27" t="s">
        <v>1258</v>
      </c>
      <c r="C106" s="8">
        <v>4232</v>
      </c>
      <c r="D106" s="8">
        <v>5321</v>
      </c>
      <c r="E106" s="8">
        <v>5332</v>
      </c>
      <c r="F106" s="8">
        <v>5333</v>
      </c>
      <c r="G106" s="8">
        <v>5334</v>
      </c>
      <c r="H106" s="8">
        <v>5357</v>
      </c>
      <c r="I106" s="8">
        <v>5365</v>
      </c>
      <c r="J106" s="8">
        <v>5370</v>
      </c>
      <c r="K106" s="8">
        <v>5397</v>
      </c>
      <c r="L106" s="8">
        <v>5397</v>
      </c>
      <c r="M106" s="8">
        <v>5504</v>
      </c>
      <c r="N106" s="8">
        <v>5685</v>
      </c>
      <c r="O106" s="8">
        <v>5698</v>
      </c>
      <c r="P106" s="8">
        <v>5733</v>
      </c>
      <c r="Q106" s="8">
        <v>5943</v>
      </c>
      <c r="R106" s="8">
        <v>6488</v>
      </c>
      <c r="S106" s="8">
        <v>6621</v>
      </c>
      <c r="T106" s="8">
        <v>6663</v>
      </c>
      <c r="U106" s="33"/>
      <c r="V106" s="26" t="s">
        <v>1254</v>
      </c>
      <c r="W106" s="21">
        <f>(C101+C116+C117+C119+C120)</f>
        <v>11528</v>
      </c>
      <c r="X106" s="11">
        <f>SUM(W106/W107)</f>
        <v>0.15363906547785641</v>
      </c>
      <c r="Y106" s="2">
        <v>1</v>
      </c>
    </row>
    <row r="107" spans="1:25" s="2" customFormat="1" ht="16.5" customHeight="1" thickBot="1">
      <c r="A107" s="6" t="s">
        <v>401</v>
      </c>
      <c r="B107" s="9" t="s">
        <v>486</v>
      </c>
      <c r="C107" s="8">
        <v>3983</v>
      </c>
      <c r="D107" s="8">
        <v>4002</v>
      </c>
      <c r="E107" s="8">
        <v>4107</v>
      </c>
      <c r="F107" s="8">
        <v>4109</v>
      </c>
      <c r="G107" s="8">
        <v>4110</v>
      </c>
      <c r="H107" s="8">
        <v>4144</v>
      </c>
      <c r="I107" s="8">
        <v>4156</v>
      </c>
      <c r="J107" s="8">
        <v>4163</v>
      </c>
      <c r="K107" s="8">
        <v>4202</v>
      </c>
      <c r="L107" s="8">
        <v>4202</v>
      </c>
      <c r="M107" s="8">
        <v>4313</v>
      </c>
      <c r="N107" s="8">
        <v>4327</v>
      </c>
      <c r="O107" s="8">
        <v>4366</v>
      </c>
      <c r="P107" s="8">
        <v>4536</v>
      </c>
      <c r="Q107" s="8">
        <v>5456</v>
      </c>
      <c r="R107" s="8">
        <v>5517</v>
      </c>
      <c r="S107" s="8">
        <v>7324</v>
      </c>
      <c r="T107" s="36">
        <v>7997</v>
      </c>
      <c r="U107" s="33" t="s">
        <v>2208</v>
      </c>
      <c r="W107" s="23">
        <v>75033</v>
      </c>
    </row>
    <row r="108" spans="1:25" s="2" customFormat="1" ht="16.5" customHeight="1" thickBot="1">
      <c r="A108" s="12" t="s">
        <v>529</v>
      </c>
      <c r="B108" s="22" t="s">
        <v>486</v>
      </c>
      <c r="C108" s="8">
        <v>3742</v>
      </c>
      <c r="D108" s="8">
        <v>3754</v>
      </c>
      <c r="E108" s="8">
        <v>3815</v>
      </c>
      <c r="F108" s="8">
        <v>3816</v>
      </c>
      <c r="G108" s="8">
        <v>3816</v>
      </c>
      <c r="H108" s="8">
        <v>3856</v>
      </c>
      <c r="I108" s="8">
        <v>3864</v>
      </c>
      <c r="J108" s="8">
        <v>3895</v>
      </c>
      <c r="K108" s="8">
        <v>3920</v>
      </c>
      <c r="L108" s="8">
        <v>3923</v>
      </c>
      <c r="M108" s="8">
        <v>4226</v>
      </c>
      <c r="N108" s="8">
        <v>4266</v>
      </c>
      <c r="O108" s="8">
        <v>4316</v>
      </c>
      <c r="P108" s="8">
        <v>4628</v>
      </c>
      <c r="Q108" s="8">
        <v>4949</v>
      </c>
      <c r="R108" s="8">
        <v>5012</v>
      </c>
      <c r="S108" s="8" t="s">
        <v>1326</v>
      </c>
    </row>
    <row r="109" spans="1:25" s="2" customFormat="1" ht="16.5" customHeight="1" thickBot="1">
      <c r="A109" s="6" t="s">
        <v>2300</v>
      </c>
      <c r="B109" s="86" t="s">
        <v>496</v>
      </c>
      <c r="C109" s="8">
        <v>3055</v>
      </c>
      <c r="D109" s="8">
        <v>3148</v>
      </c>
      <c r="E109" s="8">
        <v>3154</v>
      </c>
      <c r="F109" s="8">
        <v>3157</v>
      </c>
      <c r="G109" s="8">
        <v>3157</v>
      </c>
      <c r="H109" s="8">
        <v>3181</v>
      </c>
      <c r="I109" s="8">
        <v>3186</v>
      </c>
      <c r="J109" s="8">
        <v>3186</v>
      </c>
      <c r="K109" s="8">
        <v>3207</v>
      </c>
      <c r="L109" s="8">
        <v>3207</v>
      </c>
      <c r="M109" s="8">
        <v>3305</v>
      </c>
      <c r="N109" s="8">
        <v>5037</v>
      </c>
      <c r="O109" s="8">
        <v>5047</v>
      </c>
      <c r="P109" s="8">
        <v>5066</v>
      </c>
      <c r="Q109" s="8">
        <v>5209</v>
      </c>
      <c r="R109" s="8">
        <v>7829</v>
      </c>
      <c r="S109" s="8">
        <v>8011</v>
      </c>
      <c r="T109" s="36">
        <v>8033</v>
      </c>
      <c r="U109" s="33" t="s">
        <v>2207</v>
      </c>
    </row>
    <row r="110" spans="1:25" s="2" customFormat="1" ht="16.5" customHeight="1" thickBot="1">
      <c r="A110" s="12" t="s">
        <v>535</v>
      </c>
      <c r="B110" s="83" t="s">
        <v>496</v>
      </c>
      <c r="C110" s="8">
        <v>2706</v>
      </c>
      <c r="D110" s="43">
        <v>2731</v>
      </c>
      <c r="E110" s="8">
        <v>2735</v>
      </c>
      <c r="F110" s="8">
        <v>2736</v>
      </c>
      <c r="G110" s="8">
        <v>2736</v>
      </c>
      <c r="H110" s="8">
        <v>2748</v>
      </c>
      <c r="I110" s="8">
        <v>2757</v>
      </c>
      <c r="J110" s="8">
        <v>2765</v>
      </c>
      <c r="K110" s="8">
        <v>2789</v>
      </c>
      <c r="L110" s="8">
        <v>2789</v>
      </c>
      <c r="M110" s="8">
        <v>2809</v>
      </c>
      <c r="N110" s="8" t="s">
        <v>1326</v>
      </c>
    </row>
    <row r="111" spans="1:25" s="2" customFormat="1" ht="16.5" customHeight="1" thickBot="1">
      <c r="A111" s="12" t="s">
        <v>536</v>
      </c>
      <c r="B111" s="83" t="s">
        <v>496</v>
      </c>
      <c r="C111" s="8">
        <v>2587</v>
      </c>
      <c r="D111" s="8">
        <v>2883</v>
      </c>
      <c r="E111" s="8">
        <v>2890</v>
      </c>
      <c r="F111" s="8">
        <v>2891</v>
      </c>
      <c r="G111" s="8">
        <v>2894</v>
      </c>
      <c r="H111" s="8">
        <v>2907</v>
      </c>
      <c r="I111" s="8">
        <v>2918</v>
      </c>
      <c r="J111" s="8">
        <v>2922</v>
      </c>
      <c r="K111" s="8">
        <v>2943</v>
      </c>
      <c r="L111" s="8">
        <v>2943</v>
      </c>
      <c r="M111" s="8">
        <v>3080</v>
      </c>
      <c r="N111" s="8">
        <v>3740</v>
      </c>
      <c r="O111" s="8">
        <v>3752</v>
      </c>
      <c r="P111" s="8">
        <v>3774</v>
      </c>
      <c r="Q111" s="8">
        <v>3891</v>
      </c>
      <c r="R111" s="8" t="s">
        <v>1326</v>
      </c>
    </row>
    <row r="112" spans="1:25" s="2" customFormat="1" ht="16.5" customHeight="1" thickBot="1">
      <c r="A112" s="12" t="s">
        <v>531</v>
      </c>
      <c r="B112" s="22" t="s">
        <v>477</v>
      </c>
      <c r="C112" s="8">
        <v>2375</v>
      </c>
      <c r="D112" s="8">
        <v>2438</v>
      </c>
      <c r="E112" s="8">
        <v>2493</v>
      </c>
      <c r="F112" s="8">
        <v>2496</v>
      </c>
      <c r="G112" s="8">
        <v>2499</v>
      </c>
      <c r="H112" s="8">
        <v>2655</v>
      </c>
      <c r="I112" s="8">
        <v>2659</v>
      </c>
      <c r="J112" s="8">
        <v>2663</v>
      </c>
      <c r="K112" s="8">
        <v>2697</v>
      </c>
      <c r="L112" s="8">
        <v>2700</v>
      </c>
      <c r="M112" s="8" t="s">
        <v>1326</v>
      </c>
    </row>
    <row r="113" spans="1:22" s="2" customFormat="1" ht="16.5" customHeight="1" thickBot="1">
      <c r="A113" s="12" t="s">
        <v>532</v>
      </c>
      <c r="B113" s="22" t="s">
        <v>477</v>
      </c>
      <c r="C113" s="8">
        <v>2327</v>
      </c>
      <c r="D113" s="8">
        <v>2343</v>
      </c>
      <c r="E113" s="8">
        <v>2389</v>
      </c>
      <c r="F113" s="8">
        <v>2390</v>
      </c>
      <c r="G113" s="8">
        <v>2392</v>
      </c>
      <c r="H113" s="8">
        <v>2686</v>
      </c>
      <c r="I113" s="8">
        <v>2693</v>
      </c>
      <c r="J113" s="8">
        <v>2700</v>
      </c>
      <c r="K113" s="8">
        <v>2746</v>
      </c>
      <c r="L113" s="8">
        <v>2747</v>
      </c>
      <c r="M113" s="8">
        <v>3382</v>
      </c>
      <c r="N113" s="8">
        <v>3436</v>
      </c>
      <c r="O113" s="8">
        <v>3487</v>
      </c>
      <c r="P113" s="8">
        <v>3659</v>
      </c>
      <c r="Q113" s="8" t="s">
        <v>1326</v>
      </c>
    </row>
    <row r="114" spans="1:22" s="2" customFormat="1" ht="16.5" customHeight="1" thickBot="1">
      <c r="A114" s="12" t="s">
        <v>528</v>
      </c>
      <c r="B114" s="32" t="s">
        <v>1269</v>
      </c>
      <c r="C114" s="8">
        <v>1709</v>
      </c>
      <c r="D114" s="8">
        <v>1711</v>
      </c>
      <c r="E114" s="8">
        <v>1731</v>
      </c>
      <c r="F114" s="8">
        <v>1741</v>
      </c>
      <c r="G114" s="8">
        <v>1783</v>
      </c>
      <c r="H114" s="8">
        <v>1787</v>
      </c>
      <c r="I114" s="8">
        <v>1828</v>
      </c>
      <c r="J114" s="8">
        <v>2591</v>
      </c>
      <c r="K114" s="8">
        <v>2918</v>
      </c>
      <c r="L114" s="8">
        <v>3018</v>
      </c>
      <c r="M114" s="8">
        <v>3059</v>
      </c>
      <c r="N114" s="8">
        <v>3069</v>
      </c>
      <c r="O114" s="8" t="s">
        <v>1326</v>
      </c>
    </row>
    <row r="115" spans="1:22" s="2" customFormat="1" ht="16.5" customHeight="1" thickBot="1">
      <c r="A115" s="12" t="s">
        <v>2292</v>
      </c>
      <c r="B115" s="32" t="s">
        <v>1269</v>
      </c>
      <c r="C115" s="8">
        <v>1572</v>
      </c>
      <c r="D115" s="8">
        <v>1573</v>
      </c>
      <c r="E115" s="8">
        <v>1585</v>
      </c>
      <c r="F115" s="8">
        <v>1596</v>
      </c>
      <c r="G115" s="8">
        <v>1608</v>
      </c>
      <c r="H115" s="8">
        <v>1612</v>
      </c>
      <c r="I115" s="8">
        <v>1685</v>
      </c>
      <c r="J115" s="8" t="s">
        <v>1326</v>
      </c>
    </row>
    <row r="116" spans="1:22" s="2" customFormat="1" ht="16.5" customHeight="1" thickBot="1">
      <c r="A116" s="12" t="s">
        <v>465</v>
      </c>
      <c r="B116" s="80" t="s">
        <v>363</v>
      </c>
      <c r="C116" s="8">
        <v>854</v>
      </c>
      <c r="D116" s="43">
        <v>856</v>
      </c>
      <c r="E116" s="43">
        <v>861</v>
      </c>
      <c r="F116" s="8">
        <v>909</v>
      </c>
      <c r="G116" s="8">
        <v>969</v>
      </c>
      <c r="H116" s="8">
        <v>971</v>
      </c>
      <c r="I116" s="8" t="s">
        <v>1326</v>
      </c>
    </row>
    <row r="117" spans="1:22" s="2" customFormat="1" ht="16.5" customHeight="1" thickBot="1">
      <c r="A117" s="12" t="s">
        <v>2296</v>
      </c>
      <c r="B117" s="80" t="s">
        <v>363</v>
      </c>
      <c r="C117" s="8">
        <v>740</v>
      </c>
      <c r="D117" s="8">
        <v>742</v>
      </c>
      <c r="E117" s="8">
        <v>747</v>
      </c>
      <c r="F117" s="8">
        <v>921</v>
      </c>
      <c r="G117" s="8">
        <v>1204</v>
      </c>
      <c r="H117" s="8">
        <v>1207</v>
      </c>
      <c r="I117" s="8">
        <v>1734</v>
      </c>
      <c r="J117" s="8">
        <v>1791</v>
      </c>
      <c r="K117" s="8" t="s">
        <v>1326</v>
      </c>
    </row>
    <row r="118" spans="1:22" s="2" customFormat="1" ht="16.5" customHeight="1" thickBot="1">
      <c r="A118" s="12" t="s">
        <v>533</v>
      </c>
      <c r="B118" s="22" t="s">
        <v>477</v>
      </c>
      <c r="C118" s="8">
        <v>694</v>
      </c>
      <c r="D118" s="43">
        <v>708</v>
      </c>
      <c r="E118" s="8">
        <v>768</v>
      </c>
      <c r="F118" s="8">
        <v>771</v>
      </c>
      <c r="G118" s="8">
        <v>771</v>
      </c>
      <c r="H118" s="8" t="s">
        <v>1326</v>
      </c>
    </row>
    <row r="119" spans="1:22" s="2" customFormat="1" ht="16.5" customHeight="1" thickBot="1">
      <c r="A119" s="12" t="s">
        <v>530</v>
      </c>
      <c r="B119" s="80" t="s">
        <v>363</v>
      </c>
      <c r="C119" s="8">
        <v>559</v>
      </c>
      <c r="D119" s="8">
        <v>561</v>
      </c>
      <c r="E119" s="8">
        <v>562</v>
      </c>
      <c r="F119" s="8">
        <v>608</v>
      </c>
      <c r="G119" s="8" t="s">
        <v>1326</v>
      </c>
      <c r="L119" s="17"/>
    </row>
    <row r="120" spans="1:22" s="2" customFormat="1" ht="16.5" customHeight="1" thickBot="1">
      <c r="A120" s="12" t="s">
        <v>534</v>
      </c>
      <c r="B120" s="80" t="s">
        <v>363</v>
      </c>
      <c r="C120" s="8">
        <v>342</v>
      </c>
      <c r="D120" s="8">
        <v>343</v>
      </c>
      <c r="E120" s="8">
        <v>345</v>
      </c>
      <c r="F120" s="8" t="s">
        <v>1326</v>
      </c>
    </row>
    <row r="121" spans="1:22" s="2" customFormat="1" ht="12" customHeight="1">
      <c r="A121" s="1"/>
      <c r="C121" s="21"/>
      <c r="D121" s="21"/>
      <c r="E121" s="21"/>
    </row>
    <row r="122" spans="1:22" s="2" customFormat="1" ht="16.5" customHeight="1">
      <c r="A122" s="1" t="s">
        <v>470</v>
      </c>
    </row>
    <row r="123" spans="1:22" s="2" customFormat="1" ht="9.75" customHeight="1" thickBot="1">
      <c r="A123" s="3"/>
    </row>
    <row r="124" spans="1:22" s="2" customFormat="1" ht="16.5" customHeight="1" thickBot="1">
      <c r="A124" s="4" t="s">
        <v>1244</v>
      </c>
      <c r="B124" s="5" t="s">
        <v>1245</v>
      </c>
      <c r="C124" s="5" t="s">
        <v>1246</v>
      </c>
      <c r="D124" s="5">
        <v>2</v>
      </c>
      <c r="E124" s="5">
        <v>3</v>
      </c>
      <c r="F124" s="5">
        <v>4</v>
      </c>
      <c r="G124" s="5">
        <v>5</v>
      </c>
      <c r="H124" s="5">
        <v>6</v>
      </c>
      <c r="I124" s="5">
        <v>7</v>
      </c>
      <c r="J124" s="5">
        <v>8</v>
      </c>
      <c r="K124" s="5">
        <v>9</v>
      </c>
      <c r="L124" s="5">
        <v>10</v>
      </c>
      <c r="M124" s="5">
        <v>11</v>
      </c>
      <c r="N124" s="5">
        <v>12</v>
      </c>
      <c r="O124" s="5">
        <v>13</v>
      </c>
      <c r="P124" s="5">
        <v>14</v>
      </c>
      <c r="Q124" s="5">
        <v>15</v>
      </c>
      <c r="R124" s="5"/>
      <c r="S124" s="10" t="s">
        <v>1413</v>
      </c>
      <c r="T124" s="11">
        <f>(72289/99635)</f>
        <v>0.72553821448286249</v>
      </c>
    </row>
    <row r="125" spans="1:22" s="2" customFormat="1" ht="16.5" customHeight="1" thickBot="1">
      <c r="A125" s="6" t="s">
        <v>2083</v>
      </c>
      <c r="B125" s="28" t="s">
        <v>1258</v>
      </c>
      <c r="C125" s="36">
        <v>14533</v>
      </c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36"/>
      <c r="P125" s="36"/>
      <c r="Q125" s="8"/>
      <c r="R125" s="33" t="s">
        <v>1271</v>
      </c>
      <c r="S125" s="14"/>
      <c r="T125" s="10" t="s">
        <v>1248</v>
      </c>
      <c r="U125" s="10" t="s">
        <v>1249</v>
      </c>
      <c r="V125" s="10" t="s">
        <v>1250</v>
      </c>
    </row>
    <row r="126" spans="1:22" s="2" customFormat="1" ht="16.5" customHeight="1" thickBot="1">
      <c r="A126" s="6" t="s">
        <v>537</v>
      </c>
      <c r="B126" s="9" t="s">
        <v>486</v>
      </c>
      <c r="C126" s="36">
        <v>9009</v>
      </c>
      <c r="D126" s="8"/>
      <c r="E126" s="8"/>
      <c r="F126" s="8"/>
      <c r="G126" s="8"/>
      <c r="H126" s="36"/>
      <c r="I126" s="8"/>
      <c r="J126" s="8"/>
      <c r="K126" s="8"/>
      <c r="L126" s="8"/>
      <c r="M126" s="8"/>
      <c r="N126" s="36"/>
      <c r="O126" s="8"/>
      <c r="P126" s="8"/>
      <c r="Q126" s="36"/>
      <c r="R126" s="33" t="s">
        <v>1362</v>
      </c>
      <c r="S126" s="85" t="s">
        <v>496</v>
      </c>
      <c r="T126" s="16">
        <f>(C127+C138+C141)</f>
        <v>10358</v>
      </c>
      <c r="U126" s="17">
        <f>SUM(T126/T132)</f>
        <v>0.14537747898216116</v>
      </c>
      <c r="V126" s="14">
        <v>1</v>
      </c>
    </row>
    <row r="127" spans="1:22" s="2" customFormat="1" ht="16.5" customHeight="1" thickBot="1">
      <c r="A127" s="6" t="s">
        <v>2362</v>
      </c>
      <c r="B127" s="86" t="s">
        <v>496</v>
      </c>
      <c r="C127" s="8">
        <v>8538</v>
      </c>
      <c r="D127" s="36">
        <v>10025</v>
      </c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36"/>
      <c r="Q127" s="8"/>
      <c r="R127" s="33" t="s">
        <v>1252</v>
      </c>
      <c r="S127" s="18" t="s">
        <v>1257</v>
      </c>
      <c r="T127" s="16">
        <f>(C126+C129+C131+C133)</f>
        <v>21365</v>
      </c>
      <c r="U127" s="17">
        <f>SUM(T127/T132)</f>
        <v>0.29986385773835422</v>
      </c>
      <c r="V127" s="14">
        <v>2</v>
      </c>
    </row>
    <row r="128" spans="1:22" s="2" customFormat="1" ht="16.5" customHeight="1" thickBot="1">
      <c r="A128" s="6" t="s">
        <v>539</v>
      </c>
      <c r="B128" s="7" t="s">
        <v>1261</v>
      </c>
      <c r="C128" s="8">
        <v>6204</v>
      </c>
      <c r="D128" s="8">
        <v>6209</v>
      </c>
      <c r="E128" s="8">
        <v>6210</v>
      </c>
      <c r="F128" s="8">
        <v>6218</v>
      </c>
      <c r="G128" s="8">
        <v>6218</v>
      </c>
      <c r="H128" s="8">
        <v>6218</v>
      </c>
      <c r="I128" s="8">
        <v>6550</v>
      </c>
      <c r="J128" s="8">
        <v>6714</v>
      </c>
      <c r="K128" s="8">
        <v>6715</v>
      </c>
      <c r="L128" s="8">
        <v>6827</v>
      </c>
      <c r="M128" s="8">
        <v>6828</v>
      </c>
      <c r="N128" s="36">
        <v>11101</v>
      </c>
      <c r="O128" s="36"/>
      <c r="P128" s="8"/>
      <c r="Q128" s="8"/>
      <c r="R128" s="33" t="s">
        <v>1280</v>
      </c>
      <c r="S128" s="30" t="s">
        <v>1258</v>
      </c>
      <c r="T128" s="16">
        <f>(C125+C132+C135)</f>
        <v>20976</v>
      </c>
      <c r="U128" s="17">
        <f>SUM(T128/T132)</f>
        <v>0.2944041319878174</v>
      </c>
      <c r="V128" s="2">
        <v>2</v>
      </c>
    </row>
    <row r="129" spans="1:22" s="2" customFormat="1" ht="16.5" customHeight="1" thickBot="1">
      <c r="A129" s="6" t="s">
        <v>540</v>
      </c>
      <c r="B129" s="9" t="s">
        <v>486</v>
      </c>
      <c r="C129" s="8">
        <v>5125</v>
      </c>
      <c r="D129" s="8">
        <v>5270</v>
      </c>
      <c r="E129" s="8">
        <v>5322</v>
      </c>
      <c r="F129" s="8">
        <v>5331</v>
      </c>
      <c r="G129" s="8">
        <v>5384</v>
      </c>
      <c r="H129" s="8">
        <v>5402</v>
      </c>
      <c r="I129" s="8">
        <v>5451</v>
      </c>
      <c r="J129" s="8">
        <v>5462</v>
      </c>
      <c r="K129" s="8">
        <v>5554</v>
      </c>
      <c r="L129" s="8">
        <v>5618</v>
      </c>
      <c r="M129" s="8">
        <v>6931</v>
      </c>
      <c r="N129" s="8">
        <v>6936</v>
      </c>
      <c r="O129" s="8">
        <v>6946</v>
      </c>
      <c r="P129" s="36">
        <v>11704</v>
      </c>
      <c r="Q129" s="8"/>
      <c r="R129" s="33" t="s">
        <v>1251</v>
      </c>
      <c r="S129" s="15" t="s">
        <v>1261</v>
      </c>
      <c r="T129" s="21">
        <f>(C128+C130)</f>
        <v>10580</v>
      </c>
      <c r="U129" s="17">
        <f>SUM(T129/T132)</f>
        <v>0.1484933121868377</v>
      </c>
      <c r="V129" s="2">
        <v>1</v>
      </c>
    </row>
    <row r="130" spans="1:22" s="2" customFormat="1" ht="16.5" customHeight="1" thickBot="1">
      <c r="A130" s="12" t="s">
        <v>406</v>
      </c>
      <c r="B130" s="20" t="s">
        <v>1261</v>
      </c>
      <c r="C130" s="8">
        <v>4376</v>
      </c>
      <c r="D130" s="8">
        <v>4379</v>
      </c>
      <c r="E130" s="8">
        <v>4379</v>
      </c>
      <c r="F130" s="8">
        <v>4381</v>
      </c>
      <c r="G130" s="8">
        <v>4381</v>
      </c>
      <c r="H130" s="8">
        <v>4381</v>
      </c>
      <c r="I130" s="8">
        <v>4523</v>
      </c>
      <c r="J130" s="8">
        <v>4603</v>
      </c>
      <c r="K130" s="8">
        <v>4605</v>
      </c>
      <c r="L130" s="8">
        <v>4749</v>
      </c>
      <c r="M130" s="8">
        <v>4751</v>
      </c>
      <c r="N130" s="8" t="s">
        <v>1326</v>
      </c>
      <c r="S130" s="31" t="s">
        <v>1269</v>
      </c>
      <c r="T130" s="21">
        <f>(C134+C136+C137+C140)</f>
        <v>6900</v>
      </c>
      <c r="U130" s="17">
        <f>SUM(T130/T132)</f>
        <v>9.6843464469676774E-2</v>
      </c>
      <c r="V130" s="2">
        <v>1</v>
      </c>
    </row>
    <row r="131" spans="1:22" s="2" customFormat="1" ht="16.5" customHeight="1" thickBot="1">
      <c r="A131" s="12" t="s">
        <v>541</v>
      </c>
      <c r="B131" s="22" t="s">
        <v>486</v>
      </c>
      <c r="C131" s="8">
        <v>3937</v>
      </c>
      <c r="D131" s="8">
        <v>4050</v>
      </c>
      <c r="E131" s="8">
        <v>4075</v>
      </c>
      <c r="F131" s="8">
        <v>4077</v>
      </c>
      <c r="G131" s="8">
        <v>4086</v>
      </c>
      <c r="H131" s="8">
        <v>4094</v>
      </c>
      <c r="I131" s="8">
        <v>4120</v>
      </c>
      <c r="J131" s="8">
        <v>4129</v>
      </c>
      <c r="K131" s="8">
        <v>4169</v>
      </c>
      <c r="L131" s="8">
        <v>4198</v>
      </c>
      <c r="M131" s="8">
        <v>5895</v>
      </c>
      <c r="N131" s="8">
        <v>5903</v>
      </c>
      <c r="O131" s="8">
        <v>5909</v>
      </c>
      <c r="P131" s="8" t="s">
        <v>1326</v>
      </c>
      <c r="S131" s="26" t="s">
        <v>1254</v>
      </c>
      <c r="T131" s="21">
        <f>(C142+C139)</f>
        <v>1070</v>
      </c>
      <c r="U131" s="11">
        <f>SUM(T131/T132)</f>
        <v>1.5017754635152774E-2</v>
      </c>
    </row>
    <row r="132" spans="1:22" s="2" customFormat="1" ht="16.5" customHeight="1" thickBot="1">
      <c r="A132" s="6" t="s">
        <v>538</v>
      </c>
      <c r="B132" s="28" t="s">
        <v>1258</v>
      </c>
      <c r="C132" s="8">
        <v>3871</v>
      </c>
      <c r="D132" s="8">
        <v>5118</v>
      </c>
      <c r="E132" s="8">
        <v>5415</v>
      </c>
      <c r="F132" s="8">
        <v>5420</v>
      </c>
      <c r="G132" s="8">
        <v>5422</v>
      </c>
      <c r="H132" s="8">
        <v>5533</v>
      </c>
      <c r="I132" s="8">
        <v>5548</v>
      </c>
      <c r="J132" s="8">
        <v>5562</v>
      </c>
      <c r="K132" s="8">
        <v>6538</v>
      </c>
      <c r="L132" s="8">
        <v>6553</v>
      </c>
      <c r="M132" s="8">
        <v>6772</v>
      </c>
      <c r="N132" s="8">
        <v>6774</v>
      </c>
      <c r="O132" s="8">
        <v>6776</v>
      </c>
      <c r="P132" s="8">
        <v>7082</v>
      </c>
      <c r="Q132" s="36">
        <v>7829</v>
      </c>
      <c r="R132" s="33" t="s">
        <v>2207</v>
      </c>
      <c r="T132" s="23">
        <v>71249</v>
      </c>
    </row>
    <row r="133" spans="1:22" s="2" customFormat="1" ht="16.5" customHeight="1" thickBot="1">
      <c r="A133" s="12" t="s">
        <v>544</v>
      </c>
      <c r="B133" s="22" t="s">
        <v>477</v>
      </c>
      <c r="C133" s="8">
        <v>3294</v>
      </c>
      <c r="D133" s="8">
        <v>3359</v>
      </c>
      <c r="E133" s="8">
        <v>3378</v>
      </c>
      <c r="F133" s="8">
        <v>3382</v>
      </c>
      <c r="G133" s="8">
        <v>3395</v>
      </c>
      <c r="H133" s="8">
        <v>3427</v>
      </c>
      <c r="I133" s="8">
        <v>3460</v>
      </c>
      <c r="J133" s="8">
        <v>3473</v>
      </c>
      <c r="K133" s="8">
        <v>3533</v>
      </c>
      <c r="L133" s="8">
        <v>3590</v>
      </c>
      <c r="M133" s="8" t="s">
        <v>1326</v>
      </c>
    </row>
    <row r="134" spans="1:22" s="2" customFormat="1" ht="16.5" customHeight="1" thickBot="1">
      <c r="A134" s="6" t="s">
        <v>411</v>
      </c>
      <c r="B134" s="45" t="s">
        <v>1269</v>
      </c>
      <c r="C134" s="8">
        <v>2876</v>
      </c>
      <c r="D134" s="8">
        <v>2896</v>
      </c>
      <c r="E134" s="8">
        <v>2900</v>
      </c>
      <c r="F134" s="8">
        <v>2914</v>
      </c>
      <c r="G134" s="8">
        <v>2916</v>
      </c>
      <c r="H134" s="8">
        <v>2931</v>
      </c>
      <c r="I134" s="8">
        <v>3252</v>
      </c>
      <c r="J134" s="8">
        <v>4123</v>
      </c>
      <c r="K134" s="8">
        <v>4133</v>
      </c>
      <c r="L134" s="8">
        <v>6431</v>
      </c>
      <c r="M134" s="8">
        <v>6594</v>
      </c>
      <c r="N134" s="8">
        <v>6939</v>
      </c>
      <c r="O134" s="8">
        <v>8667</v>
      </c>
      <c r="P134" s="36">
        <v>8907</v>
      </c>
      <c r="Q134" s="8"/>
      <c r="R134" s="33" t="s">
        <v>1253</v>
      </c>
      <c r="T134" s="21"/>
    </row>
    <row r="135" spans="1:22" s="2" customFormat="1" ht="16.5" customHeight="1" thickBot="1">
      <c r="A135" s="12" t="s">
        <v>408</v>
      </c>
      <c r="B135" s="27" t="s">
        <v>1258</v>
      </c>
      <c r="C135" s="8">
        <v>2572</v>
      </c>
      <c r="D135" s="43">
        <v>4750</v>
      </c>
      <c r="E135" s="43">
        <v>5088</v>
      </c>
      <c r="F135" s="8">
        <v>5091</v>
      </c>
      <c r="G135" s="8">
        <v>5093</v>
      </c>
      <c r="H135" s="8">
        <v>5297</v>
      </c>
      <c r="I135" s="8">
        <v>5320</v>
      </c>
      <c r="J135" s="8">
        <v>5332</v>
      </c>
      <c r="K135" s="8">
        <v>6008</v>
      </c>
      <c r="L135" s="8">
        <v>6023</v>
      </c>
      <c r="M135" s="8">
        <v>6118</v>
      </c>
      <c r="N135" s="8">
        <v>6119</v>
      </c>
      <c r="O135" s="8">
        <v>6122</v>
      </c>
      <c r="P135" s="8">
        <v>6335</v>
      </c>
      <c r="Q135" s="8">
        <v>6829</v>
      </c>
      <c r="R135" s="33"/>
    </row>
    <row r="136" spans="1:22" s="2" customFormat="1" ht="16.5" customHeight="1" thickBot="1">
      <c r="A136" s="12" t="s">
        <v>542</v>
      </c>
      <c r="B136" s="32" t="s">
        <v>1269</v>
      </c>
      <c r="C136" s="8">
        <v>1701</v>
      </c>
      <c r="D136" s="8">
        <v>1714</v>
      </c>
      <c r="E136" s="8">
        <v>1715</v>
      </c>
      <c r="F136" s="8">
        <v>1717</v>
      </c>
      <c r="G136" s="8">
        <v>1718</v>
      </c>
      <c r="H136" s="8">
        <v>1721</v>
      </c>
      <c r="I136" s="8">
        <v>2096</v>
      </c>
      <c r="J136" s="8">
        <v>2868</v>
      </c>
      <c r="K136" s="8">
        <v>2879</v>
      </c>
      <c r="L136" s="8" t="s">
        <v>1326</v>
      </c>
    </row>
    <row r="137" spans="1:22" s="2" customFormat="1" ht="16.5" customHeight="1" thickBot="1">
      <c r="A137" s="12" t="s">
        <v>543</v>
      </c>
      <c r="B137" s="32" t="s">
        <v>1269</v>
      </c>
      <c r="C137" s="8">
        <v>1672</v>
      </c>
      <c r="D137" s="8">
        <v>1685</v>
      </c>
      <c r="E137" s="8">
        <v>1689</v>
      </c>
      <c r="F137" s="8">
        <v>1720</v>
      </c>
      <c r="G137" s="8">
        <v>1721</v>
      </c>
      <c r="H137" s="8">
        <v>1732</v>
      </c>
      <c r="I137" s="8">
        <v>1997</v>
      </c>
      <c r="J137" s="8" t="s">
        <v>1326</v>
      </c>
    </row>
    <row r="138" spans="1:22" s="2" customFormat="1" ht="16.5" customHeight="1" thickBot="1">
      <c r="A138" s="12" t="s">
        <v>1770</v>
      </c>
      <c r="B138" s="83" t="s">
        <v>496</v>
      </c>
      <c r="C138" s="8">
        <v>1505</v>
      </c>
      <c r="D138" s="8">
        <v>1634</v>
      </c>
      <c r="E138" s="8">
        <v>1840</v>
      </c>
      <c r="F138" s="8">
        <v>1850</v>
      </c>
      <c r="G138" s="8">
        <v>1855</v>
      </c>
      <c r="H138" s="8">
        <v>2029</v>
      </c>
      <c r="I138" s="8">
        <v>2040</v>
      </c>
      <c r="J138" s="8">
        <v>2046</v>
      </c>
      <c r="K138" s="8" t="s">
        <v>1326</v>
      </c>
    </row>
    <row r="139" spans="1:22" s="2" customFormat="1" ht="16.5" customHeight="1" thickBot="1">
      <c r="A139" s="12" t="s">
        <v>547</v>
      </c>
      <c r="B139" s="80" t="s">
        <v>363</v>
      </c>
      <c r="C139" s="8">
        <v>830</v>
      </c>
      <c r="D139" s="43">
        <v>840</v>
      </c>
      <c r="E139" s="8">
        <v>842</v>
      </c>
      <c r="F139" s="8">
        <v>989</v>
      </c>
      <c r="G139" s="8">
        <v>989</v>
      </c>
      <c r="H139" s="8">
        <v>994</v>
      </c>
      <c r="I139" s="8" t="s">
        <v>1326</v>
      </c>
      <c r="L139" s="17"/>
    </row>
    <row r="140" spans="1:22" s="2" customFormat="1" ht="16.5" customHeight="1" thickBot="1">
      <c r="A140" s="12" t="s">
        <v>545</v>
      </c>
      <c r="B140" s="32" t="s">
        <v>1269</v>
      </c>
      <c r="C140" s="8">
        <v>651</v>
      </c>
      <c r="D140" s="8">
        <v>672</v>
      </c>
      <c r="E140" s="8">
        <v>677</v>
      </c>
      <c r="F140" s="8">
        <v>681</v>
      </c>
      <c r="G140" s="8">
        <v>681</v>
      </c>
      <c r="H140" s="8">
        <v>682</v>
      </c>
      <c r="I140" s="8" t="s">
        <v>1326</v>
      </c>
    </row>
    <row r="141" spans="1:22" s="2" customFormat="1" ht="16.5" customHeight="1" thickBot="1">
      <c r="A141" s="12" t="s">
        <v>546</v>
      </c>
      <c r="B141" s="83" t="s">
        <v>496</v>
      </c>
      <c r="C141" s="8">
        <v>315</v>
      </c>
      <c r="D141" s="43">
        <v>479</v>
      </c>
      <c r="E141" s="8">
        <v>606</v>
      </c>
      <c r="F141" s="8">
        <v>609</v>
      </c>
      <c r="G141" s="8">
        <v>610</v>
      </c>
      <c r="H141" s="8" t="s">
        <v>1326</v>
      </c>
      <c r="L141" s="17"/>
    </row>
    <row r="142" spans="1:22" s="2" customFormat="1" ht="16.5" customHeight="1" thickBot="1">
      <c r="A142" s="12" t="s">
        <v>548</v>
      </c>
      <c r="B142" s="80" t="s">
        <v>363</v>
      </c>
      <c r="C142" s="8">
        <v>240</v>
      </c>
      <c r="D142" s="8">
        <v>246</v>
      </c>
      <c r="E142" s="8">
        <v>248</v>
      </c>
      <c r="F142" s="8" t="s">
        <v>1326</v>
      </c>
    </row>
    <row r="143" spans="1:22" s="2" customFormat="1" ht="12" customHeight="1">
      <c r="A143" s="1"/>
    </row>
    <row r="144" spans="1:22" s="2" customFormat="1" ht="16.5" customHeight="1">
      <c r="A144" s="1" t="s">
        <v>473</v>
      </c>
    </row>
    <row r="145" spans="1:20" s="2" customFormat="1" ht="9.75" customHeight="1" thickBot="1">
      <c r="A145" s="3"/>
    </row>
    <row r="146" spans="1:20" s="2" customFormat="1" ht="16.5" customHeight="1" thickBot="1">
      <c r="A146" s="4" t="s">
        <v>1244</v>
      </c>
      <c r="B146" s="5" t="s">
        <v>1245</v>
      </c>
      <c r="C146" s="5" t="s">
        <v>1246</v>
      </c>
      <c r="D146" s="5">
        <v>2</v>
      </c>
      <c r="E146" s="5">
        <v>3</v>
      </c>
      <c r="F146" s="5">
        <v>4</v>
      </c>
      <c r="G146" s="5">
        <v>5</v>
      </c>
      <c r="H146" s="5">
        <v>6</v>
      </c>
      <c r="I146" s="5">
        <v>7</v>
      </c>
      <c r="J146" s="5">
        <v>8</v>
      </c>
      <c r="K146" s="5">
        <v>9</v>
      </c>
      <c r="L146" s="5">
        <v>10</v>
      </c>
      <c r="M146" s="5">
        <v>11</v>
      </c>
      <c r="N146" s="5">
        <v>12</v>
      </c>
      <c r="O146" s="5">
        <v>13</v>
      </c>
      <c r="P146" s="5"/>
      <c r="Q146" s="10" t="s">
        <v>1413</v>
      </c>
      <c r="R146" s="11">
        <f>(62210/89682)</f>
        <v>0.6936732008652795</v>
      </c>
    </row>
    <row r="147" spans="1:20" s="2" customFormat="1" ht="16.5" customHeight="1" thickBot="1">
      <c r="A147" s="6" t="s">
        <v>2313</v>
      </c>
      <c r="B147" s="9" t="s">
        <v>477</v>
      </c>
      <c r="C147" s="36">
        <v>20684</v>
      </c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36"/>
      <c r="O147" s="36"/>
      <c r="P147" s="33" t="s">
        <v>1271</v>
      </c>
      <c r="Q147" s="14"/>
      <c r="R147" s="10" t="s">
        <v>1248</v>
      </c>
      <c r="S147" s="10" t="s">
        <v>1249</v>
      </c>
      <c r="T147" s="10" t="s">
        <v>1250</v>
      </c>
    </row>
    <row r="148" spans="1:20" s="2" customFormat="1" ht="16.5" customHeight="1" thickBot="1">
      <c r="A148" s="6" t="s">
        <v>549</v>
      </c>
      <c r="B148" s="9" t="s">
        <v>486</v>
      </c>
      <c r="C148" s="8">
        <v>6160</v>
      </c>
      <c r="D148" s="36">
        <v>9168</v>
      </c>
      <c r="E148" s="8"/>
      <c r="F148" s="8"/>
      <c r="G148" s="8"/>
      <c r="H148" s="36"/>
      <c r="I148" s="8"/>
      <c r="J148" s="8"/>
      <c r="K148" s="8"/>
      <c r="L148" s="8"/>
      <c r="M148" s="8"/>
      <c r="N148" s="8"/>
      <c r="O148" s="8"/>
      <c r="P148" s="33" t="s">
        <v>1362</v>
      </c>
      <c r="Q148" s="85" t="s">
        <v>496</v>
      </c>
      <c r="R148" s="16">
        <f>(C155+C160+C164)</f>
        <v>4161</v>
      </c>
      <c r="S148" s="17">
        <f>SUM(R148/R154)</f>
        <v>6.7708079082255304E-2</v>
      </c>
      <c r="T148" s="14"/>
    </row>
    <row r="149" spans="1:20" s="2" customFormat="1" ht="16.5" customHeight="1" thickBot="1">
      <c r="A149" s="6" t="s">
        <v>2318</v>
      </c>
      <c r="B149" s="45" t="s">
        <v>1269</v>
      </c>
      <c r="C149" s="8">
        <v>4482</v>
      </c>
      <c r="D149" s="8">
        <v>4726</v>
      </c>
      <c r="E149" s="8">
        <v>4755</v>
      </c>
      <c r="F149" s="8">
        <v>4781</v>
      </c>
      <c r="G149" s="8">
        <v>4921</v>
      </c>
      <c r="H149" s="8">
        <v>5691</v>
      </c>
      <c r="I149" s="8">
        <v>6230</v>
      </c>
      <c r="J149" s="8">
        <v>6240</v>
      </c>
      <c r="K149" s="8">
        <v>6305</v>
      </c>
      <c r="L149" s="8">
        <v>7364</v>
      </c>
      <c r="M149" s="8">
        <v>7557</v>
      </c>
      <c r="N149" s="8">
        <v>7625</v>
      </c>
      <c r="O149" s="36">
        <v>7663</v>
      </c>
      <c r="P149" s="33" t="s">
        <v>1280</v>
      </c>
      <c r="Q149" s="18" t="s">
        <v>1257</v>
      </c>
      <c r="R149" s="16">
        <f>(C147+C148+C151+C154+C156+C157+C161)</f>
        <v>38197</v>
      </c>
      <c r="S149" s="17">
        <f>SUM(R149/R154)</f>
        <v>0.62154421934749005</v>
      </c>
      <c r="T149" s="14">
        <v>4</v>
      </c>
    </row>
    <row r="150" spans="1:20" s="2" customFormat="1" ht="16.5" customHeight="1" thickBot="1">
      <c r="A150" s="6" t="s">
        <v>2324</v>
      </c>
      <c r="B150" s="28" t="s">
        <v>1258</v>
      </c>
      <c r="C150" s="8">
        <v>4364</v>
      </c>
      <c r="D150" s="8">
        <v>6488</v>
      </c>
      <c r="E150" s="8">
        <v>6543</v>
      </c>
      <c r="F150" s="8">
        <v>6547</v>
      </c>
      <c r="G150" s="8">
        <v>6711</v>
      </c>
      <c r="H150" s="8">
        <v>6714</v>
      </c>
      <c r="I150" s="8">
        <v>6794</v>
      </c>
      <c r="J150" s="8">
        <v>7355</v>
      </c>
      <c r="K150" s="8">
        <v>7512</v>
      </c>
      <c r="L150" s="8">
        <v>7520</v>
      </c>
      <c r="M150" s="8">
        <v>7678</v>
      </c>
      <c r="N150" s="36">
        <v>10253</v>
      </c>
      <c r="O150" s="8"/>
      <c r="P150" s="33" t="s">
        <v>1252</v>
      </c>
      <c r="Q150" s="30" t="s">
        <v>1258</v>
      </c>
      <c r="R150" s="16">
        <v>4364</v>
      </c>
      <c r="S150" s="17">
        <f>SUM(R150/R154)</f>
        <v>7.101130908795053E-2</v>
      </c>
      <c r="T150" s="2">
        <v>2</v>
      </c>
    </row>
    <row r="151" spans="1:20" s="2" customFormat="1" ht="16.5" customHeight="1" thickBot="1">
      <c r="A151" s="6" t="s">
        <v>422</v>
      </c>
      <c r="B151" s="9" t="s">
        <v>486</v>
      </c>
      <c r="C151" s="8">
        <v>3760</v>
      </c>
      <c r="D151" s="8">
        <v>4936</v>
      </c>
      <c r="E151" s="8">
        <v>5213</v>
      </c>
      <c r="F151" s="8">
        <v>5215</v>
      </c>
      <c r="G151" s="8">
        <v>5238</v>
      </c>
      <c r="H151" s="8">
        <v>5250</v>
      </c>
      <c r="I151" s="8">
        <v>5331</v>
      </c>
      <c r="J151" s="8">
        <v>5365</v>
      </c>
      <c r="K151" s="8">
        <v>5639</v>
      </c>
      <c r="L151" s="8">
        <v>5645</v>
      </c>
      <c r="M151" s="8">
        <v>6371</v>
      </c>
      <c r="N151" s="8">
        <v>6966</v>
      </c>
      <c r="O151" s="36">
        <v>7307</v>
      </c>
      <c r="P151" s="33" t="s">
        <v>1251</v>
      </c>
      <c r="Q151" s="15" t="s">
        <v>1261</v>
      </c>
      <c r="R151" s="21">
        <v>2833</v>
      </c>
      <c r="S151" s="17">
        <f>SUM(R151/R154)</f>
        <v>4.6098771458790988E-2</v>
      </c>
    </row>
    <row r="152" spans="1:20" s="2" customFormat="1" ht="16.5" customHeight="1" thickBot="1">
      <c r="A152" s="6" t="s">
        <v>417</v>
      </c>
      <c r="B152" s="45" t="s">
        <v>1269</v>
      </c>
      <c r="C152" s="8">
        <v>3271</v>
      </c>
      <c r="D152" s="8">
        <v>3374</v>
      </c>
      <c r="E152" s="8">
        <v>3382</v>
      </c>
      <c r="F152" s="8">
        <v>3444</v>
      </c>
      <c r="G152" s="8">
        <v>3708</v>
      </c>
      <c r="H152" s="8">
        <v>4557</v>
      </c>
      <c r="I152" s="8">
        <v>5052</v>
      </c>
      <c r="J152" s="8">
        <v>5060</v>
      </c>
      <c r="K152" s="8">
        <v>5098</v>
      </c>
      <c r="L152" s="8">
        <v>6127</v>
      </c>
      <c r="M152" s="8">
        <v>6258</v>
      </c>
      <c r="N152" s="8">
        <v>6311</v>
      </c>
      <c r="O152" s="36">
        <v>6331</v>
      </c>
      <c r="P152" s="33" t="s">
        <v>2207</v>
      </c>
      <c r="Q152" s="31" t="s">
        <v>1269</v>
      </c>
      <c r="R152" s="21">
        <f>(C149+C152+C158+C162)</f>
        <v>9945</v>
      </c>
      <c r="S152" s="17">
        <f>SUM(R152/R154)</f>
        <v>0.16182572614107885</v>
      </c>
      <c r="T152" s="2">
        <v>1</v>
      </c>
    </row>
    <row r="153" spans="1:20" s="2" customFormat="1" ht="16.5" customHeight="1" thickBot="1">
      <c r="A153" s="12" t="s">
        <v>552</v>
      </c>
      <c r="B153" s="20" t="s">
        <v>1261</v>
      </c>
      <c r="C153" s="8">
        <v>2833</v>
      </c>
      <c r="D153" s="8">
        <v>2835</v>
      </c>
      <c r="E153" s="8">
        <v>2835</v>
      </c>
      <c r="F153" s="8">
        <v>2846</v>
      </c>
      <c r="G153" s="8">
        <v>2861</v>
      </c>
      <c r="H153" s="8">
        <v>2917</v>
      </c>
      <c r="I153" s="8">
        <v>3121</v>
      </c>
      <c r="J153" s="8">
        <v>3123</v>
      </c>
      <c r="K153" s="8">
        <v>3125</v>
      </c>
      <c r="L153" s="36" t="s">
        <v>1326</v>
      </c>
      <c r="Q153" s="26" t="s">
        <v>1254</v>
      </c>
      <c r="R153" s="21">
        <f>(C159+C163)</f>
        <v>1955</v>
      </c>
      <c r="S153" s="11">
        <f>SUM(R153/R154)</f>
        <v>3.18118948824343E-2</v>
      </c>
    </row>
    <row r="154" spans="1:20" s="2" customFormat="1" ht="16.5" customHeight="1" thickBot="1">
      <c r="A154" s="6" t="s">
        <v>421</v>
      </c>
      <c r="B154" s="9" t="s">
        <v>486</v>
      </c>
      <c r="C154" s="8">
        <v>2620</v>
      </c>
      <c r="D154" s="8">
        <v>3776</v>
      </c>
      <c r="E154" s="8">
        <v>4425</v>
      </c>
      <c r="F154" s="8">
        <v>4427</v>
      </c>
      <c r="G154" s="8">
        <v>4445</v>
      </c>
      <c r="H154" s="8">
        <v>4456</v>
      </c>
      <c r="I154" s="8">
        <v>4643</v>
      </c>
      <c r="J154" s="8">
        <v>4698</v>
      </c>
      <c r="K154" s="8">
        <v>5100</v>
      </c>
      <c r="L154" s="8">
        <v>5168</v>
      </c>
      <c r="M154" s="8">
        <v>6098</v>
      </c>
      <c r="N154" s="8">
        <v>6524</v>
      </c>
      <c r="O154" s="36">
        <v>6630</v>
      </c>
      <c r="P154" s="33" t="s">
        <v>1253</v>
      </c>
      <c r="R154" s="23">
        <v>61455</v>
      </c>
    </row>
    <row r="155" spans="1:20" s="2" customFormat="1" ht="16.5" customHeight="1" thickBot="1">
      <c r="A155" s="12" t="s">
        <v>416</v>
      </c>
      <c r="B155" s="83" t="s">
        <v>496</v>
      </c>
      <c r="C155" s="8">
        <v>2425</v>
      </c>
      <c r="D155" s="8">
        <v>3304</v>
      </c>
      <c r="E155" s="8">
        <v>3336</v>
      </c>
      <c r="F155" s="8">
        <v>3341</v>
      </c>
      <c r="G155" s="8">
        <v>3536</v>
      </c>
      <c r="H155" s="8">
        <v>3542</v>
      </c>
      <c r="I155" s="8">
        <v>3579</v>
      </c>
      <c r="J155" s="8">
        <v>4934</v>
      </c>
      <c r="K155" s="8">
        <v>5053</v>
      </c>
      <c r="L155" s="8">
        <v>5061</v>
      </c>
      <c r="M155" s="8">
        <v>5173</v>
      </c>
      <c r="N155" s="8" t="s">
        <v>1326</v>
      </c>
    </row>
    <row r="156" spans="1:20" s="2" customFormat="1" ht="16.5" customHeight="1" thickBot="1">
      <c r="A156" s="12" t="s">
        <v>554</v>
      </c>
      <c r="B156" s="22" t="s">
        <v>486</v>
      </c>
      <c r="C156" s="8">
        <v>1950</v>
      </c>
      <c r="D156" s="8">
        <v>3320</v>
      </c>
      <c r="E156" s="8">
        <v>3518</v>
      </c>
      <c r="F156" s="8">
        <v>3526</v>
      </c>
      <c r="G156" s="8">
        <v>3545</v>
      </c>
      <c r="H156" s="8">
        <v>3557</v>
      </c>
      <c r="I156" s="8">
        <v>3621</v>
      </c>
      <c r="J156" s="8">
        <v>3660</v>
      </c>
      <c r="K156" s="8">
        <v>4542</v>
      </c>
      <c r="L156" s="8">
        <v>4551</v>
      </c>
      <c r="M156" s="8">
        <v>5390</v>
      </c>
      <c r="N156" s="8">
        <v>5904</v>
      </c>
      <c r="O156" s="8">
        <v>6098</v>
      </c>
      <c r="P156" s="33"/>
    </row>
    <row r="157" spans="1:20" s="2" customFormat="1" ht="16.5" customHeight="1" thickBot="1">
      <c r="A157" s="12" t="s">
        <v>556</v>
      </c>
      <c r="B157" s="22" t="s">
        <v>486</v>
      </c>
      <c r="C157" s="8">
        <v>1796</v>
      </c>
      <c r="D157" s="43">
        <v>2519</v>
      </c>
      <c r="E157" s="43">
        <v>2636</v>
      </c>
      <c r="F157" s="8">
        <v>2637</v>
      </c>
      <c r="G157" s="8">
        <v>2673</v>
      </c>
      <c r="H157" s="8">
        <v>2723</v>
      </c>
      <c r="I157" s="8">
        <v>2771</v>
      </c>
      <c r="J157" s="8">
        <v>2846</v>
      </c>
      <c r="K157" s="8">
        <v>3192</v>
      </c>
      <c r="L157" s="8">
        <v>3209</v>
      </c>
      <c r="M157" s="8" t="s">
        <v>1326</v>
      </c>
    </row>
    <row r="158" spans="1:20" s="2" customFormat="1" ht="16.5" customHeight="1" thickBot="1">
      <c r="A158" s="12" t="s">
        <v>553</v>
      </c>
      <c r="B158" s="32" t="s">
        <v>1269</v>
      </c>
      <c r="C158" s="8">
        <v>1493</v>
      </c>
      <c r="D158" s="8">
        <v>1547</v>
      </c>
      <c r="E158" s="8">
        <v>1549</v>
      </c>
      <c r="F158" s="8">
        <v>1565</v>
      </c>
      <c r="G158" s="8">
        <v>1839</v>
      </c>
      <c r="H158" s="8" t="s">
        <v>1326</v>
      </c>
      <c r="L158" s="17"/>
    </row>
    <row r="159" spans="1:20" s="2" customFormat="1" ht="16.5" customHeight="1" thickBot="1">
      <c r="A159" s="12" t="s">
        <v>550</v>
      </c>
      <c r="B159" s="80" t="s">
        <v>363</v>
      </c>
      <c r="C159" s="8">
        <v>1354</v>
      </c>
      <c r="D159" s="8">
        <v>1442</v>
      </c>
      <c r="E159" s="8">
        <v>1446</v>
      </c>
      <c r="F159" s="8">
        <v>1909</v>
      </c>
      <c r="G159" s="8">
        <v>1928</v>
      </c>
      <c r="H159" s="8">
        <v>1969</v>
      </c>
      <c r="I159" s="8" t="s">
        <v>1326</v>
      </c>
    </row>
    <row r="160" spans="1:20" s="2" customFormat="1" ht="16.5" customHeight="1" thickBot="1">
      <c r="A160" s="12" t="s">
        <v>557</v>
      </c>
      <c r="B160" s="83" t="s">
        <v>496</v>
      </c>
      <c r="C160" s="8">
        <v>1290</v>
      </c>
      <c r="D160" s="8">
        <v>1981</v>
      </c>
      <c r="E160" s="8">
        <v>1992</v>
      </c>
      <c r="F160" s="8">
        <v>1993</v>
      </c>
      <c r="G160" s="8">
        <v>2224</v>
      </c>
      <c r="H160" s="8">
        <v>2225</v>
      </c>
      <c r="I160" s="8">
        <v>2245</v>
      </c>
      <c r="J160" s="8" t="s">
        <v>1326</v>
      </c>
    </row>
    <row r="161" spans="1:22" s="2" customFormat="1" ht="16.5" customHeight="1" thickBot="1">
      <c r="A161" s="12" t="s">
        <v>558</v>
      </c>
      <c r="B161" s="22" t="s">
        <v>486</v>
      </c>
      <c r="C161" s="8">
        <v>1227</v>
      </c>
      <c r="D161" s="43">
        <v>2176</v>
      </c>
      <c r="E161" s="8">
        <v>2245</v>
      </c>
      <c r="F161" s="8">
        <v>2248</v>
      </c>
      <c r="G161" s="8">
        <v>2258</v>
      </c>
      <c r="H161" s="8">
        <v>2271</v>
      </c>
      <c r="I161" s="8">
        <v>2307</v>
      </c>
      <c r="J161" s="8">
        <v>2358</v>
      </c>
      <c r="K161" s="8" t="s">
        <v>1326</v>
      </c>
    </row>
    <row r="162" spans="1:22" s="2" customFormat="1" ht="16.5" customHeight="1" thickBot="1">
      <c r="A162" s="12" t="s">
        <v>555</v>
      </c>
      <c r="B162" s="32" t="s">
        <v>1269</v>
      </c>
      <c r="C162" s="8">
        <v>699</v>
      </c>
      <c r="D162" s="8">
        <v>732</v>
      </c>
      <c r="E162" s="8">
        <v>736</v>
      </c>
      <c r="F162" s="8">
        <v>754</v>
      </c>
      <c r="G162" s="8" t="s">
        <v>1326</v>
      </c>
    </row>
    <row r="163" spans="1:22" s="2" customFormat="1" ht="16.5" customHeight="1" thickBot="1">
      <c r="A163" s="12" t="s">
        <v>551</v>
      </c>
      <c r="B163" s="80" t="s">
        <v>363</v>
      </c>
      <c r="C163" s="8">
        <v>601</v>
      </c>
      <c r="D163" s="43">
        <v>628</v>
      </c>
      <c r="E163" s="8">
        <v>630</v>
      </c>
      <c r="F163" s="8" t="s">
        <v>1326</v>
      </c>
      <c r="L163" s="17"/>
    </row>
    <row r="164" spans="1:22" s="2" customFormat="1" ht="16.5" customHeight="1" thickBot="1">
      <c r="A164" s="12" t="s">
        <v>2042</v>
      </c>
      <c r="B164" s="83" t="s">
        <v>496</v>
      </c>
      <c r="C164" s="8">
        <v>446</v>
      </c>
      <c r="D164" s="8">
        <v>659</v>
      </c>
      <c r="E164" s="8">
        <v>669</v>
      </c>
      <c r="F164" s="8">
        <v>672</v>
      </c>
      <c r="G164" s="8" t="s">
        <v>1326</v>
      </c>
    </row>
    <row r="165" spans="1:22" s="2" customFormat="1" ht="12" customHeight="1">
      <c r="A165" s="1"/>
      <c r="L165"/>
      <c r="S165"/>
    </row>
    <row r="166" spans="1:22" s="2" customFormat="1" ht="16.5" customHeight="1">
      <c r="A166" s="1" t="s">
        <v>466</v>
      </c>
    </row>
    <row r="167" spans="1:22" s="2" customFormat="1" ht="9.75" customHeight="1" thickBot="1">
      <c r="A167" s="3"/>
    </row>
    <row r="168" spans="1:22" s="2" customFormat="1" ht="16.5" customHeight="1" thickBot="1">
      <c r="A168" s="4" t="s">
        <v>1244</v>
      </c>
      <c r="B168" s="5" t="s">
        <v>1245</v>
      </c>
      <c r="C168" s="5" t="s">
        <v>1246</v>
      </c>
      <c r="D168" s="5">
        <v>2</v>
      </c>
      <c r="E168" s="5">
        <v>3</v>
      </c>
      <c r="F168" s="5">
        <v>4</v>
      </c>
      <c r="G168" s="5">
        <v>5</v>
      </c>
      <c r="H168" s="5">
        <v>6</v>
      </c>
      <c r="I168" s="5">
        <v>7</v>
      </c>
      <c r="J168" s="5">
        <v>8</v>
      </c>
      <c r="K168" s="5">
        <v>9</v>
      </c>
      <c r="L168" s="5">
        <v>10</v>
      </c>
      <c r="M168" s="5">
        <v>11</v>
      </c>
      <c r="N168" s="5">
        <v>12</v>
      </c>
      <c r="O168" s="5">
        <v>13</v>
      </c>
      <c r="P168" s="5">
        <v>14</v>
      </c>
      <c r="Q168" s="5">
        <v>15</v>
      </c>
      <c r="R168" s="5"/>
      <c r="S168" s="10" t="s">
        <v>1413</v>
      </c>
      <c r="T168" s="11">
        <f>(52070/75768)</f>
        <v>0.68722943722943719</v>
      </c>
    </row>
    <row r="169" spans="1:22" s="2" customFormat="1" ht="16.5" customHeight="1" thickBot="1">
      <c r="A169" s="6" t="s">
        <v>426</v>
      </c>
      <c r="B169" s="7" t="s">
        <v>1261</v>
      </c>
      <c r="C169" s="36">
        <v>8264</v>
      </c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33" t="s">
        <v>1271</v>
      </c>
      <c r="S169" s="14"/>
      <c r="T169" s="10" t="s">
        <v>1248</v>
      </c>
      <c r="U169" s="10" t="s">
        <v>1249</v>
      </c>
      <c r="V169" s="10" t="s">
        <v>1250</v>
      </c>
    </row>
    <row r="170" spans="1:22" s="2" customFormat="1" ht="16.5" customHeight="1" thickBot="1">
      <c r="A170" s="6" t="s">
        <v>559</v>
      </c>
      <c r="B170" s="9" t="s">
        <v>486</v>
      </c>
      <c r="C170" s="8">
        <v>5694</v>
      </c>
      <c r="D170" s="8">
        <v>5696</v>
      </c>
      <c r="E170" s="8">
        <v>5706</v>
      </c>
      <c r="F170" s="8">
        <v>5726</v>
      </c>
      <c r="G170" s="8">
        <v>5744</v>
      </c>
      <c r="H170" s="8">
        <v>5745</v>
      </c>
      <c r="I170" s="8">
        <v>5763</v>
      </c>
      <c r="J170" s="8">
        <v>5789</v>
      </c>
      <c r="K170" s="8">
        <v>5824</v>
      </c>
      <c r="L170" s="8">
        <v>5965</v>
      </c>
      <c r="M170" s="8">
        <v>6100</v>
      </c>
      <c r="N170" s="8">
        <v>6180</v>
      </c>
      <c r="O170" s="8">
        <v>6199</v>
      </c>
      <c r="P170" s="36">
        <v>9387</v>
      </c>
      <c r="Q170" s="8"/>
      <c r="R170" s="33" t="s">
        <v>1252</v>
      </c>
      <c r="S170" s="85" t="s">
        <v>496</v>
      </c>
      <c r="T170" s="16">
        <f>(C179+C182)</f>
        <v>2711</v>
      </c>
      <c r="U170" s="17">
        <f>SUM(T170/T176)</f>
        <v>5.3382955261499686E-2</v>
      </c>
      <c r="V170" s="14"/>
    </row>
    <row r="171" spans="1:22" s="2" customFormat="1" ht="16.5" customHeight="1" thickBot="1">
      <c r="A171" s="6" t="s">
        <v>429</v>
      </c>
      <c r="B171" s="9" t="s">
        <v>486</v>
      </c>
      <c r="C171" s="8">
        <v>5190</v>
      </c>
      <c r="D171" s="8">
        <v>5190</v>
      </c>
      <c r="E171" s="8">
        <v>5197</v>
      </c>
      <c r="F171" s="8">
        <v>5229</v>
      </c>
      <c r="G171" s="8">
        <v>5243</v>
      </c>
      <c r="H171" s="8">
        <v>5243</v>
      </c>
      <c r="I171" s="8">
        <v>5264</v>
      </c>
      <c r="J171" s="8">
        <v>5287</v>
      </c>
      <c r="K171" s="8">
        <v>5351</v>
      </c>
      <c r="L171" s="8">
        <v>5465</v>
      </c>
      <c r="M171" s="8">
        <v>5550</v>
      </c>
      <c r="N171" s="8">
        <v>5680</v>
      </c>
      <c r="O171" s="8">
        <v>5688</v>
      </c>
      <c r="P171" s="8">
        <v>6193</v>
      </c>
      <c r="Q171" s="36">
        <v>7273</v>
      </c>
      <c r="R171" s="33" t="s">
        <v>1280</v>
      </c>
      <c r="S171" s="18" t="s">
        <v>1257</v>
      </c>
      <c r="T171" s="16">
        <f>(C170+C171+C173+C174+C175)</f>
        <v>23586</v>
      </c>
      <c r="U171" s="17">
        <f>SUM(T171/T176)</f>
        <v>0.46443761814744799</v>
      </c>
      <c r="V171" s="14">
        <v>3</v>
      </c>
    </row>
    <row r="172" spans="1:22" s="2" customFormat="1" ht="16.5" customHeight="1" thickBot="1">
      <c r="A172" s="6" t="s">
        <v>560</v>
      </c>
      <c r="B172" s="28" t="s">
        <v>1258</v>
      </c>
      <c r="C172" s="8">
        <v>5148</v>
      </c>
      <c r="D172" s="8">
        <v>5148</v>
      </c>
      <c r="E172" s="8">
        <v>5285</v>
      </c>
      <c r="F172" s="8">
        <v>5313</v>
      </c>
      <c r="G172" s="8">
        <v>5316</v>
      </c>
      <c r="H172" s="8">
        <v>5318</v>
      </c>
      <c r="I172" s="8">
        <v>5595</v>
      </c>
      <c r="J172" s="8">
        <v>5612</v>
      </c>
      <c r="K172" s="8">
        <v>7092</v>
      </c>
      <c r="L172" s="8">
        <v>7186</v>
      </c>
      <c r="M172" s="36">
        <v>8845</v>
      </c>
      <c r="N172" s="8"/>
      <c r="O172" s="8"/>
      <c r="P172" s="36"/>
      <c r="Q172" s="36"/>
      <c r="R172" s="33" t="s">
        <v>1362</v>
      </c>
      <c r="S172" s="30" t="s">
        <v>1258</v>
      </c>
      <c r="T172" s="16">
        <f>(C172+C176)</f>
        <v>7260</v>
      </c>
      <c r="U172" s="17">
        <f>SUM(T172/T176)</f>
        <v>0.14295841209829868</v>
      </c>
      <c r="V172" s="2">
        <v>1</v>
      </c>
    </row>
    <row r="173" spans="1:22" s="2" customFormat="1" ht="16.5" customHeight="1" thickBot="1">
      <c r="A173" s="12" t="s">
        <v>563</v>
      </c>
      <c r="B173" s="22" t="s">
        <v>486</v>
      </c>
      <c r="C173" s="8">
        <v>4354</v>
      </c>
      <c r="D173" s="8">
        <v>4354</v>
      </c>
      <c r="E173" s="8">
        <v>4371</v>
      </c>
      <c r="F173" s="8">
        <v>4415</v>
      </c>
      <c r="G173" s="8">
        <v>4424</v>
      </c>
      <c r="H173" s="8">
        <v>4424</v>
      </c>
      <c r="I173" s="8">
        <v>4432</v>
      </c>
      <c r="J173" s="8">
        <v>4451</v>
      </c>
      <c r="K173" s="8">
        <v>4550</v>
      </c>
      <c r="L173" s="8">
        <v>4698</v>
      </c>
      <c r="M173" s="8">
        <v>4805</v>
      </c>
      <c r="N173" s="8">
        <v>4974</v>
      </c>
      <c r="O173" s="8">
        <v>4994</v>
      </c>
      <c r="P173" s="8">
        <v>5503</v>
      </c>
      <c r="Q173" s="8">
        <v>6059</v>
      </c>
      <c r="R173" s="33"/>
      <c r="S173" s="15" t="s">
        <v>1261</v>
      </c>
      <c r="T173" s="21">
        <f>(C169+C178)</f>
        <v>10125</v>
      </c>
      <c r="U173" s="17">
        <f>SUM(T173/T176)</f>
        <v>0.19937381852551986</v>
      </c>
      <c r="V173" s="2">
        <v>1</v>
      </c>
    </row>
    <row r="174" spans="1:22" s="2" customFormat="1" ht="16.5" customHeight="1" thickBot="1">
      <c r="A174" s="6" t="s">
        <v>2290</v>
      </c>
      <c r="B174" s="9" t="s">
        <v>477</v>
      </c>
      <c r="C174" s="8">
        <v>4187</v>
      </c>
      <c r="D174" s="8">
        <v>4187</v>
      </c>
      <c r="E174" s="8">
        <v>4238</v>
      </c>
      <c r="F174" s="8">
        <v>4253</v>
      </c>
      <c r="G174" s="8">
        <v>4261</v>
      </c>
      <c r="H174" s="8">
        <v>4262</v>
      </c>
      <c r="I174" s="8">
        <v>4330</v>
      </c>
      <c r="J174" s="8">
        <v>4337</v>
      </c>
      <c r="K174" s="8">
        <v>4568</v>
      </c>
      <c r="L174" s="8">
        <v>4621</v>
      </c>
      <c r="M174" s="8">
        <v>4963</v>
      </c>
      <c r="N174" s="8">
        <v>5711</v>
      </c>
      <c r="O174" s="8">
        <v>5722</v>
      </c>
      <c r="P174" s="8">
        <v>6070</v>
      </c>
      <c r="Q174" s="36">
        <v>6522</v>
      </c>
      <c r="R174" s="33" t="s">
        <v>1251</v>
      </c>
      <c r="S174" s="31" t="s">
        <v>1269</v>
      </c>
      <c r="T174" s="21">
        <f>(C177+C183+C184)</f>
        <v>3375</v>
      </c>
      <c r="U174" s="17">
        <f>SUM(T174/T176)</f>
        <v>6.6457939508506619E-2</v>
      </c>
      <c r="V174" s="2">
        <v>1</v>
      </c>
    </row>
    <row r="175" spans="1:22" s="2" customFormat="1" ht="16.5" customHeight="1" thickBot="1">
      <c r="A175" s="12" t="s">
        <v>566</v>
      </c>
      <c r="B175" s="22" t="s">
        <v>486</v>
      </c>
      <c r="C175" s="8">
        <v>4161</v>
      </c>
      <c r="D175" s="8">
        <v>4162</v>
      </c>
      <c r="E175" s="8">
        <v>4166</v>
      </c>
      <c r="F175" s="8">
        <v>4168</v>
      </c>
      <c r="G175" s="8">
        <v>4177</v>
      </c>
      <c r="H175" s="8">
        <v>4178</v>
      </c>
      <c r="I175" s="8">
        <v>4192</v>
      </c>
      <c r="J175" s="8">
        <v>4206</v>
      </c>
      <c r="K175" s="8">
        <v>4226</v>
      </c>
      <c r="L175" s="8">
        <v>4278</v>
      </c>
      <c r="M175" s="8">
        <v>4557</v>
      </c>
      <c r="N175" s="8">
        <v>4867</v>
      </c>
      <c r="O175" s="8">
        <v>4682</v>
      </c>
      <c r="P175" s="8" t="s">
        <v>1326</v>
      </c>
      <c r="S175" s="26" t="s">
        <v>1254</v>
      </c>
      <c r="T175" s="21">
        <f>(C180+C181+C185+C186)</f>
        <v>3727</v>
      </c>
      <c r="U175" s="11">
        <f>SUM(T175/T176)</f>
        <v>7.3389256458727153E-2</v>
      </c>
    </row>
    <row r="176" spans="1:22" s="2" customFormat="1" ht="16.5" customHeight="1" thickBot="1">
      <c r="A176" s="12" t="s">
        <v>562</v>
      </c>
      <c r="B176" s="27" t="s">
        <v>1258</v>
      </c>
      <c r="C176" s="8">
        <v>2112</v>
      </c>
      <c r="D176" s="8">
        <v>2112</v>
      </c>
      <c r="E176" s="8">
        <v>2176</v>
      </c>
      <c r="F176" s="8">
        <v>2196</v>
      </c>
      <c r="G176" s="8">
        <v>2200</v>
      </c>
      <c r="H176" s="8">
        <v>2205</v>
      </c>
      <c r="I176" s="8">
        <v>2265</v>
      </c>
      <c r="J176" s="8">
        <v>2278</v>
      </c>
      <c r="K176" s="8" t="s">
        <v>1326</v>
      </c>
      <c r="T176" s="23">
        <v>50784</v>
      </c>
    </row>
    <row r="177" spans="1:19" s="2" customFormat="1" ht="16.5" customHeight="1" thickBot="1">
      <c r="A177" s="6" t="s">
        <v>427</v>
      </c>
      <c r="B177" s="45" t="s">
        <v>1269</v>
      </c>
      <c r="C177" s="8">
        <v>1958</v>
      </c>
      <c r="D177" s="8">
        <v>1983</v>
      </c>
      <c r="E177" s="8">
        <v>1986</v>
      </c>
      <c r="F177" s="8">
        <v>2023</v>
      </c>
      <c r="G177" s="8">
        <v>2261</v>
      </c>
      <c r="H177" s="8">
        <v>2270</v>
      </c>
      <c r="I177" s="8">
        <v>2272</v>
      </c>
      <c r="J177" s="8">
        <v>3134</v>
      </c>
      <c r="K177" s="8">
        <v>3142</v>
      </c>
      <c r="L177" s="8">
        <v>4172</v>
      </c>
      <c r="M177" s="8">
        <v>4218</v>
      </c>
      <c r="N177" s="8">
        <v>4230</v>
      </c>
      <c r="O177" s="8">
        <v>6048</v>
      </c>
      <c r="P177" s="8">
        <v>6111</v>
      </c>
      <c r="Q177" s="36">
        <v>6146</v>
      </c>
      <c r="R177" s="33" t="s">
        <v>1253</v>
      </c>
    </row>
    <row r="178" spans="1:19" s="2" customFormat="1" ht="16.5" customHeight="1" thickBot="1">
      <c r="A178" s="12" t="s">
        <v>428</v>
      </c>
      <c r="B178" s="20" t="s">
        <v>1261</v>
      </c>
      <c r="C178" s="8">
        <v>1861</v>
      </c>
      <c r="D178" s="8">
        <v>2673</v>
      </c>
      <c r="E178" s="8">
        <v>2673</v>
      </c>
      <c r="F178" s="8">
        <v>2677</v>
      </c>
      <c r="G178" s="8">
        <v>2688</v>
      </c>
      <c r="H178" s="8">
        <v>3104</v>
      </c>
      <c r="I178" s="8">
        <v>3104</v>
      </c>
      <c r="J178" s="8">
        <v>3155</v>
      </c>
      <c r="K178" s="8">
        <v>3156</v>
      </c>
      <c r="L178" s="8">
        <v>3637</v>
      </c>
      <c r="M178" s="8">
        <v>3667</v>
      </c>
      <c r="N178" s="8">
        <v>3667</v>
      </c>
      <c r="O178" s="8" t="s">
        <v>1326</v>
      </c>
    </row>
    <row r="179" spans="1:19" s="2" customFormat="1" ht="16.5" customHeight="1" thickBot="1">
      <c r="A179" s="12" t="s">
        <v>561</v>
      </c>
      <c r="B179" s="83" t="s">
        <v>496</v>
      </c>
      <c r="C179" s="8">
        <v>1859</v>
      </c>
      <c r="D179" s="43">
        <v>1860</v>
      </c>
      <c r="E179" s="43">
        <v>2017</v>
      </c>
      <c r="F179" s="8">
        <v>2023</v>
      </c>
      <c r="G179" s="8">
        <v>2024</v>
      </c>
      <c r="H179" s="8">
        <v>2026</v>
      </c>
      <c r="I179" s="8">
        <v>2510</v>
      </c>
      <c r="J179" s="8">
        <v>2513</v>
      </c>
      <c r="K179" s="8">
        <v>2809</v>
      </c>
      <c r="L179" s="8">
        <v>2836</v>
      </c>
      <c r="M179" s="8" t="s">
        <v>1326</v>
      </c>
      <c r="N179" s="17"/>
    </row>
    <row r="180" spans="1:19" s="2" customFormat="1" ht="16.5" customHeight="1" thickBot="1">
      <c r="A180" s="12" t="s">
        <v>565</v>
      </c>
      <c r="B180" s="80" t="s">
        <v>363</v>
      </c>
      <c r="C180" s="8">
        <v>1742</v>
      </c>
      <c r="D180" s="8">
        <v>1803</v>
      </c>
      <c r="E180" s="8">
        <v>1803</v>
      </c>
      <c r="F180" s="8">
        <v>2111</v>
      </c>
      <c r="G180" s="8">
        <v>2151</v>
      </c>
      <c r="H180" s="8">
        <v>2255</v>
      </c>
      <c r="I180" s="8">
        <v>2258</v>
      </c>
      <c r="J180" s="8">
        <v>2358</v>
      </c>
      <c r="K180" s="8">
        <v>2382</v>
      </c>
      <c r="L180" s="8" t="s">
        <v>1326</v>
      </c>
      <c r="N180" s="17"/>
      <c r="S180" s="17"/>
    </row>
    <row r="181" spans="1:19" s="2" customFormat="1" ht="16.5" customHeight="1" thickBot="1">
      <c r="A181" s="12" t="s">
        <v>2335</v>
      </c>
      <c r="B181" s="37" t="s">
        <v>2447</v>
      </c>
      <c r="C181" s="8">
        <v>854</v>
      </c>
      <c r="D181" s="8">
        <v>898</v>
      </c>
      <c r="E181" s="8">
        <v>898</v>
      </c>
      <c r="F181" s="8">
        <v>899</v>
      </c>
      <c r="G181" s="8">
        <v>900</v>
      </c>
      <c r="H181" s="8" t="s">
        <v>1326</v>
      </c>
      <c r="L181" s="17"/>
    </row>
    <row r="182" spans="1:19" s="2" customFormat="1" ht="16.5" customHeight="1" thickBot="1">
      <c r="A182" s="12" t="s">
        <v>564</v>
      </c>
      <c r="B182" s="83" t="s">
        <v>496</v>
      </c>
      <c r="C182" s="8">
        <v>852</v>
      </c>
      <c r="D182" s="8">
        <v>852</v>
      </c>
      <c r="E182" s="8">
        <v>953</v>
      </c>
      <c r="F182" s="8">
        <v>961</v>
      </c>
      <c r="G182" s="8">
        <v>961</v>
      </c>
      <c r="H182" s="8">
        <v>962</v>
      </c>
      <c r="I182" s="8" t="s">
        <v>1326</v>
      </c>
      <c r="L182" s="14"/>
    </row>
    <row r="183" spans="1:19" s="2" customFormat="1" ht="16.5" customHeight="1" thickBot="1">
      <c r="A183" s="12" t="s">
        <v>567</v>
      </c>
      <c r="B183" s="32" t="s">
        <v>1269</v>
      </c>
      <c r="C183" s="8">
        <v>742</v>
      </c>
      <c r="D183" s="8">
        <v>761</v>
      </c>
      <c r="E183" s="8">
        <v>764</v>
      </c>
      <c r="F183" s="8">
        <v>793</v>
      </c>
      <c r="G183" s="8">
        <v>1138</v>
      </c>
      <c r="H183" s="8">
        <v>1152</v>
      </c>
      <c r="I183" s="8">
        <v>1152</v>
      </c>
      <c r="J183" s="8" t="s">
        <v>1326</v>
      </c>
      <c r="L183" s="17"/>
    </row>
    <row r="184" spans="1:19" s="2" customFormat="1" ht="16.5" customHeight="1" thickBot="1">
      <c r="A184" s="12" t="s">
        <v>420</v>
      </c>
      <c r="B184" s="32" t="s">
        <v>1269</v>
      </c>
      <c r="C184" s="8">
        <v>675</v>
      </c>
      <c r="D184" s="8">
        <v>688</v>
      </c>
      <c r="E184" s="8">
        <v>689</v>
      </c>
      <c r="F184" s="8">
        <v>704</v>
      </c>
      <c r="G184" s="8" t="s">
        <v>1326</v>
      </c>
      <c r="L184" s="14"/>
    </row>
    <row r="185" spans="1:19" s="2" customFormat="1" ht="16.5" customHeight="1" thickBot="1">
      <c r="A185" s="12" t="s">
        <v>432</v>
      </c>
      <c r="B185" s="80" t="s">
        <v>363</v>
      </c>
      <c r="C185" s="8">
        <v>571</v>
      </c>
      <c r="D185" s="8">
        <v>573</v>
      </c>
      <c r="E185" s="8">
        <v>574</v>
      </c>
      <c r="F185" s="8" t="s">
        <v>1326</v>
      </c>
      <c r="L185" s="17"/>
    </row>
    <row r="186" spans="1:19" s="2" customFormat="1" ht="16.5" customHeight="1" thickBot="1">
      <c r="A186" s="12" t="s">
        <v>569</v>
      </c>
      <c r="B186" s="38" t="s">
        <v>568</v>
      </c>
      <c r="C186" s="8">
        <v>560</v>
      </c>
      <c r="D186" s="8">
        <v>560</v>
      </c>
      <c r="E186" s="8" t="s">
        <v>1326</v>
      </c>
      <c r="L186" s="17"/>
    </row>
    <row r="187" spans="1:19" s="2" customFormat="1" ht="12" customHeight="1">
      <c r="A187" s="1"/>
    </row>
    <row r="188" spans="1:19" s="2" customFormat="1" ht="16.5" customHeight="1">
      <c r="A188" s="1" t="s">
        <v>469</v>
      </c>
    </row>
    <row r="189" spans="1:19" s="2" customFormat="1" ht="9.75" customHeight="1" thickBot="1">
      <c r="A189" s="3"/>
    </row>
    <row r="190" spans="1:19" s="2" customFormat="1" ht="16.5" customHeight="1" thickBot="1">
      <c r="A190" s="4" t="s">
        <v>1244</v>
      </c>
      <c r="B190" s="5" t="s">
        <v>1245</v>
      </c>
      <c r="C190" s="5" t="s">
        <v>1246</v>
      </c>
      <c r="D190" s="5">
        <v>2</v>
      </c>
      <c r="E190" s="5">
        <v>3</v>
      </c>
      <c r="F190" s="5">
        <v>4</v>
      </c>
      <c r="G190" s="5">
        <v>5</v>
      </c>
      <c r="H190" s="5">
        <v>6</v>
      </c>
      <c r="I190" s="5">
        <v>7</v>
      </c>
      <c r="J190" s="5">
        <v>8</v>
      </c>
      <c r="K190" s="5">
        <v>9</v>
      </c>
      <c r="L190" s="5">
        <v>10</v>
      </c>
      <c r="M190" s="5">
        <v>11</v>
      </c>
      <c r="N190" s="5">
        <v>12</v>
      </c>
      <c r="O190" s="5"/>
      <c r="P190" s="10" t="s">
        <v>1413</v>
      </c>
      <c r="Q190" s="11">
        <f>(44208/70791)</f>
        <v>0.62448616349535957</v>
      </c>
    </row>
    <row r="191" spans="1:19" s="2" customFormat="1" ht="16.5" customHeight="1" thickBot="1">
      <c r="A191" s="6" t="s">
        <v>436</v>
      </c>
      <c r="B191" s="9" t="s">
        <v>477</v>
      </c>
      <c r="C191" s="36">
        <v>11479</v>
      </c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33" t="s">
        <v>1271</v>
      </c>
      <c r="P191" s="14"/>
      <c r="Q191" s="10" t="s">
        <v>1248</v>
      </c>
      <c r="R191" s="10" t="s">
        <v>1249</v>
      </c>
      <c r="S191" s="10" t="s">
        <v>1250</v>
      </c>
    </row>
    <row r="192" spans="1:19" s="2" customFormat="1" ht="16.5" customHeight="1" thickBot="1">
      <c r="A192" s="6" t="s">
        <v>435</v>
      </c>
      <c r="B192" s="7" t="s">
        <v>1261</v>
      </c>
      <c r="C192" s="36">
        <v>7743</v>
      </c>
      <c r="D192" s="8"/>
      <c r="E192" s="8"/>
      <c r="F192" s="8"/>
      <c r="G192" s="36"/>
      <c r="H192" s="36"/>
      <c r="I192" s="8"/>
      <c r="J192" s="8"/>
      <c r="K192" s="36"/>
      <c r="L192" s="36"/>
      <c r="M192" s="8"/>
      <c r="N192" s="8"/>
      <c r="O192" s="33" t="s">
        <v>1362</v>
      </c>
      <c r="P192" s="85" t="s">
        <v>496</v>
      </c>
      <c r="Q192" s="16">
        <v>1765</v>
      </c>
      <c r="R192" s="17">
        <f>SUM(Q192/Q198)</f>
        <v>4.2659641320636148E-2</v>
      </c>
      <c r="S192" s="14">
        <v>1</v>
      </c>
    </row>
    <row r="193" spans="1:19" s="2" customFormat="1" ht="16.5" customHeight="1" thickBot="1">
      <c r="A193" s="6" t="s">
        <v>1841</v>
      </c>
      <c r="B193" s="35" t="s">
        <v>328</v>
      </c>
      <c r="C193" s="8">
        <v>3625</v>
      </c>
      <c r="D193" s="36">
        <v>5997</v>
      </c>
      <c r="E193" s="8"/>
      <c r="F193" s="8"/>
      <c r="G193" s="8"/>
      <c r="H193" s="8"/>
      <c r="I193" s="8"/>
      <c r="J193" s="36"/>
      <c r="K193" s="8"/>
      <c r="L193" s="8"/>
      <c r="M193" s="8"/>
      <c r="N193" s="36"/>
      <c r="O193" s="33" t="s">
        <v>1252</v>
      </c>
      <c r="P193" s="18" t="s">
        <v>1257</v>
      </c>
      <c r="Q193" s="16">
        <v>11479</v>
      </c>
      <c r="R193" s="17">
        <f>SUM(Q193/Q198)</f>
        <v>0.27744477207908347</v>
      </c>
      <c r="S193" s="14">
        <v>1</v>
      </c>
    </row>
    <row r="194" spans="1:19" s="2" customFormat="1" ht="16.5" customHeight="1" thickBot="1">
      <c r="A194" s="6" t="s">
        <v>571</v>
      </c>
      <c r="B194" s="45" t="s">
        <v>1269</v>
      </c>
      <c r="C194" s="8">
        <v>3160</v>
      </c>
      <c r="D194" s="8">
        <v>3263</v>
      </c>
      <c r="E194" s="8">
        <v>3374</v>
      </c>
      <c r="F194" s="8">
        <v>3375</v>
      </c>
      <c r="G194" s="8">
        <v>3383</v>
      </c>
      <c r="H194" s="8">
        <v>3637</v>
      </c>
      <c r="I194" s="8">
        <v>3811</v>
      </c>
      <c r="J194" s="8">
        <v>3867</v>
      </c>
      <c r="K194" s="8">
        <v>5043</v>
      </c>
      <c r="L194" s="8">
        <v>5222</v>
      </c>
      <c r="M194" s="8">
        <v>5378</v>
      </c>
      <c r="N194" s="36">
        <v>5597</v>
      </c>
      <c r="O194" s="33" t="s">
        <v>1251</v>
      </c>
      <c r="P194" s="30" t="s">
        <v>1258</v>
      </c>
      <c r="Q194" s="16">
        <v>1366</v>
      </c>
      <c r="R194" s="17">
        <f>SUM(Q194/Q198)</f>
        <v>3.3015903707642479E-2</v>
      </c>
    </row>
    <row r="195" spans="1:19" s="2" customFormat="1" ht="16.5" customHeight="1" thickBot="1">
      <c r="A195" s="12" t="s">
        <v>573</v>
      </c>
      <c r="B195" s="20" t="s">
        <v>1261</v>
      </c>
      <c r="C195" s="8">
        <v>2112</v>
      </c>
      <c r="D195" s="8">
        <v>2113</v>
      </c>
      <c r="E195" s="8">
        <v>2341</v>
      </c>
      <c r="F195" s="8">
        <v>2341</v>
      </c>
      <c r="G195" s="8">
        <v>2353</v>
      </c>
      <c r="H195" s="8">
        <v>2395</v>
      </c>
      <c r="I195" s="8">
        <v>2734</v>
      </c>
      <c r="J195" s="8">
        <v>2735</v>
      </c>
      <c r="K195" s="8">
        <v>2763</v>
      </c>
      <c r="L195" s="8">
        <v>2764</v>
      </c>
      <c r="M195" s="8">
        <v>3037</v>
      </c>
      <c r="N195" s="8" t="s">
        <v>1326</v>
      </c>
      <c r="P195" s="15" t="s">
        <v>1261</v>
      </c>
      <c r="Q195" s="21">
        <f>(C192+C195+C197+C199)</f>
        <v>13559</v>
      </c>
      <c r="R195" s="17">
        <f>SUM(Q195/Q198)</f>
        <v>0.32771789046260935</v>
      </c>
      <c r="S195" s="2">
        <v>2</v>
      </c>
    </row>
    <row r="196" spans="1:19" s="2" customFormat="1" ht="16.5" customHeight="1" thickBot="1">
      <c r="A196" s="12" t="s">
        <v>2329</v>
      </c>
      <c r="B196" s="80" t="s">
        <v>363</v>
      </c>
      <c r="C196" s="8">
        <v>1942</v>
      </c>
      <c r="D196" s="8">
        <v>2204</v>
      </c>
      <c r="E196" s="8">
        <v>2215</v>
      </c>
      <c r="F196" s="8">
        <v>2217</v>
      </c>
      <c r="G196" s="8">
        <v>2238</v>
      </c>
      <c r="H196" s="8">
        <v>2334</v>
      </c>
      <c r="I196" s="8">
        <v>2388</v>
      </c>
      <c r="J196" s="8">
        <v>2538</v>
      </c>
      <c r="K196" s="8" t="s">
        <v>1326</v>
      </c>
      <c r="P196" s="31" t="s">
        <v>1269</v>
      </c>
      <c r="Q196" s="21">
        <f>(C194+C204+C205)</f>
        <v>3523</v>
      </c>
      <c r="R196" s="17">
        <f>SUM(Q196/Q198)</f>
        <v>8.5150094262096965E-2</v>
      </c>
      <c r="S196" s="2">
        <v>1</v>
      </c>
    </row>
    <row r="197" spans="1:19" s="2" customFormat="1" ht="16.5" customHeight="1" thickBot="1">
      <c r="A197" s="6" t="s">
        <v>441</v>
      </c>
      <c r="B197" s="7" t="s">
        <v>1261</v>
      </c>
      <c r="C197" s="8">
        <v>1940</v>
      </c>
      <c r="D197" s="8">
        <v>1940</v>
      </c>
      <c r="E197" s="8">
        <v>2520</v>
      </c>
      <c r="F197" s="8">
        <v>2520</v>
      </c>
      <c r="G197" s="8">
        <v>2527</v>
      </c>
      <c r="H197" s="8">
        <v>2590</v>
      </c>
      <c r="I197" s="8">
        <v>2953</v>
      </c>
      <c r="J197" s="8">
        <v>2953</v>
      </c>
      <c r="K197" s="8">
        <v>2993</v>
      </c>
      <c r="L197" s="8">
        <v>2994</v>
      </c>
      <c r="M197" s="8">
        <v>3405</v>
      </c>
      <c r="N197" s="36">
        <v>4961</v>
      </c>
      <c r="O197" s="33" t="s">
        <v>1253</v>
      </c>
      <c r="P197" s="26" t="s">
        <v>1254</v>
      </c>
      <c r="Q197" s="21">
        <f>(C193+C196+C200+C201+C203+C206+C207)</f>
        <v>9682</v>
      </c>
      <c r="R197" s="11">
        <f>SUM(Q197/Q198)</f>
        <v>0.23401169816793155</v>
      </c>
      <c r="S197" s="2">
        <v>1</v>
      </c>
    </row>
    <row r="198" spans="1:19" s="2" customFormat="1" ht="16.5" customHeight="1" thickBot="1">
      <c r="A198" s="6" t="s">
        <v>440</v>
      </c>
      <c r="B198" s="86" t="s">
        <v>496</v>
      </c>
      <c r="C198" s="8">
        <v>1765</v>
      </c>
      <c r="D198" s="8">
        <v>3606</v>
      </c>
      <c r="E198" s="8">
        <v>3606</v>
      </c>
      <c r="F198" s="8">
        <v>3634</v>
      </c>
      <c r="G198" s="8">
        <v>3638</v>
      </c>
      <c r="H198" s="8">
        <v>3704</v>
      </c>
      <c r="I198" s="8">
        <v>3707</v>
      </c>
      <c r="J198" s="8">
        <v>5611</v>
      </c>
      <c r="K198" s="36">
        <v>6229</v>
      </c>
      <c r="L198" s="8"/>
      <c r="M198" s="8"/>
      <c r="N198" s="36"/>
      <c r="O198" s="33" t="s">
        <v>1280</v>
      </c>
      <c r="Q198" s="23">
        <v>41374</v>
      </c>
    </row>
    <row r="199" spans="1:19" s="2" customFormat="1" ht="16.5" customHeight="1" thickBot="1">
      <c r="A199" s="12" t="s">
        <v>580</v>
      </c>
      <c r="B199" s="20" t="s">
        <v>1261</v>
      </c>
      <c r="C199" s="8">
        <v>1764</v>
      </c>
      <c r="D199" s="8">
        <v>1764</v>
      </c>
      <c r="E199" s="8">
        <v>2269</v>
      </c>
      <c r="F199" s="8">
        <v>2269</v>
      </c>
      <c r="G199" s="8">
        <v>2277</v>
      </c>
      <c r="H199" s="8">
        <v>2325</v>
      </c>
      <c r="I199" s="8">
        <v>2699</v>
      </c>
      <c r="J199" s="8">
        <v>2700</v>
      </c>
      <c r="K199" s="8">
        <v>2836</v>
      </c>
      <c r="L199" s="8">
        <v>2838</v>
      </c>
      <c r="M199" s="8">
        <v>3321</v>
      </c>
      <c r="N199" s="8">
        <v>4400</v>
      </c>
      <c r="O199" s="33"/>
    </row>
    <row r="200" spans="1:19" s="2" customFormat="1" ht="16.5" customHeight="1" thickBot="1">
      <c r="A200" s="12" t="s">
        <v>575</v>
      </c>
      <c r="B200" s="92" t="s">
        <v>574</v>
      </c>
      <c r="C200" s="8">
        <v>1750</v>
      </c>
      <c r="D200" s="8">
        <v>1750</v>
      </c>
      <c r="E200" s="8">
        <v>1970</v>
      </c>
      <c r="F200" s="8">
        <v>1970</v>
      </c>
      <c r="G200" s="8">
        <v>1984</v>
      </c>
      <c r="H200" s="8">
        <v>2036</v>
      </c>
      <c r="I200" s="8" t="s">
        <v>1326</v>
      </c>
    </row>
    <row r="201" spans="1:19" s="2" customFormat="1" ht="16.5" customHeight="1" thickBot="1">
      <c r="A201" s="12" t="s">
        <v>572</v>
      </c>
      <c r="B201" s="37" t="s">
        <v>2447</v>
      </c>
      <c r="C201" s="8">
        <v>1389</v>
      </c>
      <c r="D201" s="8">
        <v>1389</v>
      </c>
      <c r="E201" s="8">
        <v>1439</v>
      </c>
      <c r="F201" s="8">
        <v>1439</v>
      </c>
      <c r="G201" s="8">
        <v>1464</v>
      </c>
      <c r="H201" s="8">
        <v>2134</v>
      </c>
      <c r="I201" s="8">
        <v>2537</v>
      </c>
      <c r="J201" s="8">
        <v>2538</v>
      </c>
      <c r="K201" s="8">
        <v>2563</v>
      </c>
      <c r="L201" s="8">
        <v>2564</v>
      </c>
      <c r="M201" s="8" t="s">
        <v>1326</v>
      </c>
      <c r="R201" s="17"/>
    </row>
    <row r="202" spans="1:19" s="2" customFormat="1" ht="16.5" customHeight="1" thickBot="1">
      <c r="A202" s="12" t="s">
        <v>570</v>
      </c>
      <c r="B202" s="27" t="s">
        <v>1258</v>
      </c>
      <c r="C202" s="8">
        <v>1366</v>
      </c>
      <c r="D202" s="8">
        <v>2270</v>
      </c>
      <c r="E202" s="8">
        <v>2270</v>
      </c>
      <c r="F202" s="8">
        <v>2287</v>
      </c>
      <c r="G202" s="8">
        <v>2294</v>
      </c>
      <c r="H202" s="8">
        <v>2336</v>
      </c>
      <c r="I202" s="8">
        <v>2339</v>
      </c>
      <c r="J202" s="8" t="s">
        <v>1326</v>
      </c>
      <c r="P202" s="31"/>
      <c r="Q202" s="21"/>
      <c r="R202" s="17"/>
    </row>
    <row r="203" spans="1:19" s="2" customFormat="1" ht="16.5" customHeight="1" thickBot="1">
      <c r="A203" s="12" t="s">
        <v>576</v>
      </c>
      <c r="B203" s="37" t="s">
        <v>2447</v>
      </c>
      <c r="C203" s="8">
        <v>702</v>
      </c>
      <c r="D203" s="8">
        <v>703</v>
      </c>
      <c r="E203" s="8">
        <v>715</v>
      </c>
      <c r="F203" s="8">
        <v>715</v>
      </c>
      <c r="G203" s="8">
        <v>725</v>
      </c>
      <c r="H203" s="8" t="s">
        <v>1326</v>
      </c>
      <c r="P203" s="26"/>
      <c r="Q203" s="21"/>
      <c r="R203" s="11"/>
    </row>
    <row r="204" spans="1:19" s="2" customFormat="1" ht="16.5" customHeight="1" thickBot="1">
      <c r="A204" s="12" t="s">
        <v>577</v>
      </c>
      <c r="B204" s="32" t="s">
        <v>1269</v>
      </c>
      <c r="C204" s="8">
        <v>194</v>
      </c>
      <c r="D204" s="8">
        <v>202</v>
      </c>
      <c r="E204" s="8">
        <v>223</v>
      </c>
      <c r="F204" s="8">
        <v>223</v>
      </c>
      <c r="G204" s="8">
        <v>225</v>
      </c>
      <c r="H204" s="8" t="s">
        <v>1326</v>
      </c>
      <c r="Q204" s="23"/>
    </row>
    <row r="205" spans="1:19" s="2" customFormat="1" ht="16.5" customHeight="1" thickBot="1">
      <c r="A205" s="12" t="s">
        <v>578</v>
      </c>
      <c r="B205" s="32" t="s">
        <v>1269</v>
      </c>
      <c r="C205" s="8">
        <v>169</v>
      </c>
      <c r="D205" s="8">
        <v>233</v>
      </c>
      <c r="E205" s="8">
        <v>238</v>
      </c>
      <c r="F205" s="8">
        <v>239</v>
      </c>
      <c r="G205" s="8">
        <v>243</v>
      </c>
      <c r="H205" s="8" t="s">
        <v>1326</v>
      </c>
    </row>
    <row r="206" spans="1:19" s="2" customFormat="1" ht="16.5" customHeight="1" thickBot="1">
      <c r="A206" s="12" t="s">
        <v>2316</v>
      </c>
      <c r="B206" s="80" t="s">
        <v>363</v>
      </c>
      <c r="C206" s="8">
        <v>151</v>
      </c>
      <c r="D206" s="8">
        <v>152</v>
      </c>
      <c r="E206" s="8">
        <v>172</v>
      </c>
      <c r="F206" s="8">
        <v>172</v>
      </c>
      <c r="G206" s="8">
        <v>174</v>
      </c>
      <c r="H206" s="8" t="s">
        <v>1326</v>
      </c>
    </row>
    <row r="207" spans="1:19" s="2" customFormat="1" ht="16.5" customHeight="1" thickBot="1">
      <c r="A207" s="12" t="s">
        <v>579</v>
      </c>
      <c r="B207" s="38" t="s">
        <v>2345</v>
      </c>
      <c r="C207" s="8">
        <v>123</v>
      </c>
      <c r="D207" s="8">
        <v>130</v>
      </c>
      <c r="E207" s="8">
        <v>132</v>
      </c>
      <c r="F207" s="8">
        <v>132</v>
      </c>
      <c r="G207" s="8" t="s">
        <v>1326</v>
      </c>
      <c r="M207" s="17"/>
      <c r="R207" s="17"/>
    </row>
    <row r="208" spans="1:19" s="2" customFormat="1" ht="12" customHeight="1">
      <c r="A208" s="1"/>
    </row>
    <row r="209" spans="1:25" s="2" customFormat="1" ht="16.5" customHeight="1">
      <c r="A209" s="1" t="s">
        <v>467</v>
      </c>
    </row>
    <row r="210" spans="1:25" s="2" customFormat="1" ht="9.75" customHeight="1" thickBot="1">
      <c r="A210" s="3"/>
    </row>
    <row r="211" spans="1:25" s="2" customFormat="1" ht="16.5" customHeight="1" thickBot="1">
      <c r="A211" s="4" t="s">
        <v>1244</v>
      </c>
      <c r="B211" s="5" t="s">
        <v>1245</v>
      </c>
      <c r="C211" s="5" t="s">
        <v>1246</v>
      </c>
      <c r="D211" s="5">
        <v>2</v>
      </c>
      <c r="E211" s="5">
        <v>3</v>
      </c>
      <c r="F211" s="5">
        <v>4</v>
      </c>
      <c r="G211" s="5">
        <v>5</v>
      </c>
      <c r="H211" s="5">
        <v>6</v>
      </c>
      <c r="I211" s="5">
        <v>7</v>
      </c>
      <c r="J211" s="5">
        <v>8</v>
      </c>
      <c r="K211" s="5">
        <v>9</v>
      </c>
      <c r="L211" s="5">
        <v>10</v>
      </c>
      <c r="M211" s="5">
        <v>11</v>
      </c>
      <c r="N211" s="5">
        <v>12</v>
      </c>
      <c r="O211" s="5">
        <v>13</v>
      </c>
      <c r="P211" s="5">
        <v>14</v>
      </c>
      <c r="Q211" s="5">
        <v>15</v>
      </c>
      <c r="R211" s="5">
        <v>16</v>
      </c>
      <c r="S211" s="5"/>
      <c r="T211" s="10" t="s">
        <v>1413</v>
      </c>
      <c r="U211" s="11">
        <f>(53649/75990)</f>
        <v>0.70600078957757595</v>
      </c>
    </row>
    <row r="212" spans="1:25" s="2" customFormat="1" ht="16.5" customHeight="1" thickBot="1">
      <c r="A212" s="6" t="s">
        <v>581</v>
      </c>
      <c r="B212" s="9" t="s">
        <v>486</v>
      </c>
      <c r="C212" s="8">
        <v>6930</v>
      </c>
      <c r="D212" s="8">
        <v>6940</v>
      </c>
      <c r="E212" s="8">
        <v>6958</v>
      </c>
      <c r="F212" s="8">
        <v>6959</v>
      </c>
      <c r="G212" s="8">
        <v>6981</v>
      </c>
      <c r="H212" s="8">
        <v>7003</v>
      </c>
      <c r="I212" s="8">
        <v>7120</v>
      </c>
      <c r="J212" s="8">
        <v>7152</v>
      </c>
      <c r="K212" s="8">
        <v>7191</v>
      </c>
      <c r="L212" s="8">
        <v>7385</v>
      </c>
      <c r="M212" s="36">
        <v>8185</v>
      </c>
      <c r="N212" s="36"/>
      <c r="O212" s="8"/>
      <c r="P212" s="8"/>
      <c r="Q212" s="8"/>
      <c r="R212" s="36"/>
      <c r="S212" s="33" t="s">
        <v>1271</v>
      </c>
      <c r="T212" s="14"/>
      <c r="U212" s="10" t="s">
        <v>1248</v>
      </c>
      <c r="V212" s="10" t="s">
        <v>1249</v>
      </c>
      <c r="W212" s="10" t="s">
        <v>1250</v>
      </c>
    </row>
    <row r="213" spans="1:25" s="2" customFormat="1" ht="16.5" customHeight="1" thickBot="1">
      <c r="A213" s="6" t="s">
        <v>582</v>
      </c>
      <c r="B213" s="9" t="s">
        <v>486</v>
      </c>
      <c r="C213" s="8">
        <v>5426</v>
      </c>
      <c r="D213" s="8">
        <v>5429</v>
      </c>
      <c r="E213" s="8">
        <v>5435</v>
      </c>
      <c r="F213" s="8">
        <v>5439</v>
      </c>
      <c r="G213" s="8">
        <v>5447</v>
      </c>
      <c r="H213" s="8">
        <v>5465</v>
      </c>
      <c r="I213" s="8">
        <v>5610</v>
      </c>
      <c r="J213" s="8">
        <v>5620</v>
      </c>
      <c r="K213" s="8">
        <v>5653</v>
      </c>
      <c r="L213" s="8">
        <v>6009</v>
      </c>
      <c r="M213" s="8">
        <v>6605</v>
      </c>
      <c r="N213" s="8">
        <v>6838</v>
      </c>
      <c r="O213" s="8">
        <v>7038</v>
      </c>
      <c r="P213" s="8">
        <v>7297</v>
      </c>
      <c r="Q213" s="36">
        <v>7663</v>
      </c>
      <c r="R213" s="8"/>
      <c r="S213" s="33" t="s">
        <v>1251</v>
      </c>
      <c r="T213" s="85" t="s">
        <v>496</v>
      </c>
      <c r="U213" s="16">
        <f>(C222+C225)</f>
        <v>3639</v>
      </c>
      <c r="V213" s="17">
        <f>SUM(U213/U219)</f>
        <v>6.9023728684964245E-2</v>
      </c>
      <c r="W213" s="14"/>
    </row>
    <row r="214" spans="1:25" s="2" customFormat="1" ht="16.5" customHeight="1" thickBot="1">
      <c r="A214" s="6" t="s">
        <v>447</v>
      </c>
      <c r="B214" s="45" t="s">
        <v>1269</v>
      </c>
      <c r="C214" s="8">
        <v>5148</v>
      </c>
      <c r="D214" s="8">
        <v>5244</v>
      </c>
      <c r="E214" s="8">
        <v>5367</v>
      </c>
      <c r="F214" s="8">
        <v>5404</v>
      </c>
      <c r="G214" s="8">
        <v>5848</v>
      </c>
      <c r="H214" s="8">
        <v>5852</v>
      </c>
      <c r="I214" s="8">
        <v>5876</v>
      </c>
      <c r="J214" s="8">
        <v>7305</v>
      </c>
      <c r="K214" s="8">
        <v>7309</v>
      </c>
      <c r="L214" s="8">
        <v>7393</v>
      </c>
      <c r="M214" s="8">
        <v>7441</v>
      </c>
      <c r="N214" s="36">
        <v>9025</v>
      </c>
      <c r="O214" s="8"/>
      <c r="P214" s="36"/>
      <c r="Q214" s="8"/>
      <c r="R214" s="8"/>
      <c r="S214" s="33" t="s">
        <v>1362</v>
      </c>
      <c r="T214" s="18" t="s">
        <v>1257</v>
      </c>
      <c r="U214" s="16">
        <f>(C212+C213+C215+C217+C219)</f>
        <v>23669</v>
      </c>
      <c r="V214" s="17">
        <f>SUM(U214/U219)</f>
        <v>0.44894823694542974</v>
      </c>
      <c r="W214" s="14">
        <v>4</v>
      </c>
    </row>
    <row r="215" spans="1:25" s="2" customFormat="1" ht="16.5" customHeight="1" thickBot="1">
      <c r="A215" s="6" t="s">
        <v>586</v>
      </c>
      <c r="B215" s="9" t="s">
        <v>486</v>
      </c>
      <c r="C215" s="8">
        <v>4807</v>
      </c>
      <c r="D215" s="8">
        <v>4810</v>
      </c>
      <c r="E215" s="8">
        <v>4815</v>
      </c>
      <c r="F215" s="8">
        <v>4815</v>
      </c>
      <c r="G215" s="8">
        <v>4821</v>
      </c>
      <c r="H215" s="8">
        <v>4840</v>
      </c>
      <c r="I215" s="8">
        <v>4909</v>
      </c>
      <c r="J215" s="8">
        <v>4917</v>
      </c>
      <c r="K215" s="8">
        <v>4965</v>
      </c>
      <c r="L215" s="8">
        <v>6110</v>
      </c>
      <c r="M215" s="8">
        <v>6610</v>
      </c>
      <c r="N215" s="8">
        <v>6835</v>
      </c>
      <c r="O215" s="8">
        <v>6978</v>
      </c>
      <c r="P215" s="8">
        <v>7287</v>
      </c>
      <c r="Q215" s="36">
        <v>8044</v>
      </c>
      <c r="R215" s="8"/>
      <c r="S215" s="33" t="s">
        <v>1280</v>
      </c>
      <c r="T215" s="30" t="s">
        <v>1258</v>
      </c>
      <c r="U215" s="16">
        <f>(C216+C223)</f>
        <v>6774</v>
      </c>
      <c r="V215" s="17">
        <f>SUM(U215/U219)</f>
        <v>0.12848769939872157</v>
      </c>
      <c r="W215" s="2">
        <v>1</v>
      </c>
    </row>
    <row r="216" spans="1:25" s="2" customFormat="1" ht="16.5" customHeight="1" thickBot="1">
      <c r="A216" s="6" t="s">
        <v>1773</v>
      </c>
      <c r="B216" s="28" t="s">
        <v>1258</v>
      </c>
      <c r="C216" s="8">
        <v>4640</v>
      </c>
      <c r="D216" s="8">
        <v>4640</v>
      </c>
      <c r="E216" s="8">
        <v>4641</v>
      </c>
      <c r="F216" s="8">
        <v>4641</v>
      </c>
      <c r="G216" s="8">
        <v>4644</v>
      </c>
      <c r="H216" s="8">
        <v>4779</v>
      </c>
      <c r="I216" s="8">
        <v>4872</v>
      </c>
      <c r="J216" s="8">
        <v>4874</v>
      </c>
      <c r="K216" s="8">
        <v>6343</v>
      </c>
      <c r="L216" s="8">
        <v>6893</v>
      </c>
      <c r="M216" s="8">
        <v>6986</v>
      </c>
      <c r="N216" s="8">
        <v>7103</v>
      </c>
      <c r="O216" s="8">
        <v>7133</v>
      </c>
      <c r="P216" s="36">
        <v>10436</v>
      </c>
      <c r="Q216" s="8"/>
      <c r="R216" s="36"/>
      <c r="S216" s="33" t="s">
        <v>1252</v>
      </c>
      <c r="T216" s="15" t="s">
        <v>1261</v>
      </c>
      <c r="U216" s="21">
        <v>3320</v>
      </c>
      <c r="V216" s="17">
        <f>SUM(U216/U219)</f>
        <v>6.2973008857950347E-2</v>
      </c>
    </row>
    <row r="217" spans="1:25" s="2" customFormat="1" ht="16.5" customHeight="1" thickBot="1">
      <c r="A217" s="6" t="s">
        <v>452</v>
      </c>
      <c r="B217" s="9" t="s">
        <v>486</v>
      </c>
      <c r="C217" s="8">
        <v>3656</v>
      </c>
      <c r="D217" s="8">
        <v>3661</v>
      </c>
      <c r="E217" s="8">
        <v>3666</v>
      </c>
      <c r="F217" s="8">
        <v>3666</v>
      </c>
      <c r="G217" s="8">
        <v>3676</v>
      </c>
      <c r="H217" s="8">
        <v>3696</v>
      </c>
      <c r="I217" s="8">
        <v>3835</v>
      </c>
      <c r="J217" s="8">
        <v>3854</v>
      </c>
      <c r="K217" s="8">
        <v>3895</v>
      </c>
      <c r="L217" s="8">
        <v>4042</v>
      </c>
      <c r="M217" s="8">
        <v>5051</v>
      </c>
      <c r="N217" s="8">
        <v>5235</v>
      </c>
      <c r="O217" s="8">
        <v>5417</v>
      </c>
      <c r="P217" s="8">
        <v>5603</v>
      </c>
      <c r="Q217" s="8">
        <v>6039</v>
      </c>
      <c r="R217" s="36">
        <v>6690</v>
      </c>
      <c r="S217" s="33" t="s">
        <v>1253</v>
      </c>
      <c r="T217" s="31" t="s">
        <v>1269</v>
      </c>
      <c r="U217" s="21">
        <f>(C214+C224+C228+C230)</f>
        <v>7565</v>
      </c>
      <c r="V217" s="17">
        <f>SUM(U217/U219)</f>
        <v>0.14349120843686577</v>
      </c>
      <c r="W217" s="2">
        <v>1</v>
      </c>
    </row>
    <row r="218" spans="1:25" s="2" customFormat="1" ht="16.5" customHeight="1" thickBot="1">
      <c r="A218" s="12" t="s">
        <v>2346</v>
      </c>
      <c r="B218" s="20" t="s">
        <v>1261</v>
      </c>
      <c r="C218" s="8">
        <v>3320</v>
      </c>
      <c r="D218" s="8">
        <v>3326</v>
      </c>
      <c r="E218" s="8">
        <v>3414</v>
      </c>
      <c r="F218" s="8">
        <v>3779</v>
      </c>
      <c r="G218" s="8">
        <v>3799</v>
      </c>
      <c r="H218" s="8">
        <v>3800</v>
      </c>
      <c r="I218" s="8">
        <v>3802</v>
      </c>
      <c r="J218" s="8">
        <v>3980</v>
      </c>
      <c r="K218" s="8">
        <v>3982</v>
      </c>
      <c r="L218" s="8">
        <v>3999</v>
      </c>
      <c r="M218" s="8">
        <v>4000</v>
      </c>
      <c r="N218" s="8">
        <v>4575</v>
      </c>
      <c r="O218" s="8">
        <v>5018</v>
      </c>
      <c r="P218" s="8">
        <v>5029</v>
      </c>
      <c r="Q218" s="8">
        <v>5037</v>
      </c>
      <c r="R218" s="8">
        <v>5038</v>
      </c>
      <c r="S218" s="33"/>
      <c r="T218" s="26" t="s">
        <v>1254</v>
      </c>
      <c r="U218" s="21">
        <f>(C220+C221+C226+C227+C229)</f>
        <v>7754</v>
      </c>
      <c r="V218" s="11">
        <f>SUM(U218/U219)</f>
        <v>0.14707611767606835</v>
      </c>
    </row>
    <row r="219" spans="1:25" s="2" customFormat="1" ht="16.5" customHeight="1" thickBot="1">
      <c r="A219" s="12" t="s">
        <v>587</v>
      </c>
      <c r="B219" s="22" t="s">
        <v>486</v>
      </c>
      <c r="C219" s="8">
        <v>2850</v>
      </c>
      <c r="D219" s="8">
        <v>2853</v>
      </c>
      <c r="E219" s="8">
        <v>2859</v>
      </c>
      <c r="F219" s="8">
        <v>2861</v>
      </c>
      <c r="G219" s="8">
        <v>2868</v>
      </c>
      <c r="H219" s="8">
        <v>2886</v>
      </c>
      <c r="I219" s="8">
        <v>3010</v>
      </c>
      <c r="J219" s="8">
        <v>3017</v>
      </c>
      <c r="K219" s="8">
        <v>3074</v>
      </c>
      <c r="L219" s="8">
        <v>3218</v>
      </c>
      <c r="M219" s="8" t="s">
        <v>1326</v>
      </c>
      <c r="U219" s="23">
        <v>52721</v>
      </c>
    </row>
    <row r="220" spans="1:25" s="2" customFormat="1" ht="16.5" customHeight="1" thickBot="1">
      <c r="A220" s="12" t="s">
        <v>453</v>
      </c>
      <c r="B220" s="80" t="s">
        <v>363</v>
      </c>
      <c r="C220" s="8">
        <v>2684</v>
      </c>
      <c r="D220" s="8">
        <v>2699</v>
      </c>
      <c r="E220" s="8">
        <v>2833</v>
      </c>
      <c r="F220" s="8">
        <v>2950</v>
      </c>
      <c r="G220" s="8">
        <v>2996</v>
      </c>
      <c r="H220" s="8">
        <v>3003</v>
      </c>
      <c r="I220" s="8">
        <v>3038</v>
      </c>
      <c r="J220" s="8">
        <v>3155</v>
      </c>
      <c r="K220" s="8">
        <v>3168</v>
      </c>
      <c r="L220" s="8">
        <v>3241</v>
      </c>
      <c r="M220" s="8">
        <v>3292</v>
      </c>
      <c r="N220" s="8" t="s">
        <v>1326</v>
      </c>
    </row>
    <row r="221" spans="1:25" s="2" customFormat="1" ht="16.5" customHeight="1" thickBot="1">
      <c r="A221" s="12" t="s">
        <v>589</v>
      </c>
      <c r="B221" s="38" t="s">
        <v>1423</v>
      </c>
      <c r="C221" s="8">
        <v>2538</v>
      </c>
      <c r="D221" s="8">
        <v>2540</v>
      </c>
      <c r="E221" s="8">
        <v>2553</v>
      </c>
      <c r="F221" s="8">
        <v>2554</v>
      </c>
      <c r="G221" s="8">
        <v>2566</v>
      </c>
      <c r="H221" s="8">
        <v>2584</v>
      </c>
      <c r="I221" s="8">
        <v>2900</v>
      </c>
      <c r="J221" s="8">
        <v>2918</v>
      </c>
      <c r="K221" s="8">
        <v>2992</v>
      </c>
      <c r="L221" s="8" t="s">
        <v>1326</v>
      </c>
    </row>
    <row r="222" spans="1:25" s="2" customFormat="1" ht="16.5" customHeight="1" thickBot="1">
      <c r="A222" s="12" t="s">
        <v>588</v>
      </c>
      <c r="B222" s="83" t="s">
        <v>496</v>
      </c>
      <c r="C222" s="8">
        <v>2434</v>
      </c>
      <c r="D222" s="43">
        <v>2434</v>
      </c>
      <c r="E222" s="8">
        <v>2436</v>
      </c>
      <c r="F222" s="8">
        <v>2438</v>
      </c>
      <c r="G222" s="8">
        <v>2442</v>
      </c>
      <c r="H222" s="8">
        <v>3208</v>
      </c>
      <c r="I222" s="8">
        <v>3273</v>
      </c>
      <c r="J222" s="8">
        <v>3277</v>
      </c>
      <c r="K222" s="8">
        <v>3865</v>
      </c>
      <c r="L222" s="8">
        <v>4082</v>
      </c>
      <c r="M222" s="8">
        <v>4170</v>
      </c>
      <c r="N222" s="8">
        <v>4272</v>
      </c>
      <c r="O222" s="8">
        <v>4283</v>
      </c>
      <c r="P222" s="8" t="s">
        <v>1326</v>
      </c>
    </row>
    <row r="223" spans="1:25" s="2" customFormat="1" ht="16.5" customHeight="1" thickBot="1">
      <c r="A223" s="12" t="s">
        <v>584</v>
      </c>
      <c r="B223" s="27" t="s">
        <v>1258</v>
      </c>
      <c r="C223" s="8">
        <v>2134</v>
      </c>
      <c r="D223" s="8">
        <v>2134</v>
      </c>
      <c r="E223" s="8">
        <v>2135</v>
      </c>
      <c r="F223" s="8">
        <v>2138</v>
      </c>
      <c r="G223" s="8">
        <v>2139</v>
      </c>
      <c r="H223" s="8">
        <v>2295</v>
      </c>
      <c r="I223" s="8">
        <v>2369</v>
      </c>
      <c r="J223" s="8">
        <v>2373</v>
      </c>
      <c r="K223" s="8" t="s">
        <v>1326</v>
      </c>
      <c r="M223" s="17"/>
      <c r="R223"/>
      <c r="Y223"/>
    </row>
    <row r="224" spans="1:25" s="2" customFormat="1" ht="16.5" customHeight="1" thickBot="1">
      <c r="A224" s="12" t="s">
        <v>583</v>
      </c>
      <c r="B224" s="32" t="s">
        <v>1269</v>
      </c>
      <c r="C224" s="8">
        <v>1294</v>
      </c>
      <c r="D224" s="8">
        <v>1446</v>
      </c>
      <c r="E224" s="8">
        <v>1525</v>
      </c>
      <c r="F224" s="8">
        <v>1545</v>
      </c>
      <c r="G224" s="8">
        <v>1834</v>
      </c>
      <c r="H224" s="8">
        <v>1835</v>
      </c>
      <c r="I224" s="8">
        <v>1848</v>
      </c>
      <c r="J224" s="8" t="s">
        <v>1326</v>
      </c>
      <c r="L224" s="17"/>
    </row>
    <row r="225" spans="1:29" s="2" customFormat="1" ht="16.5" customHeight="1" thickBot="1">
      <c r="A225" s="12" t="s">
        <v>591</v>
      </c>
      <c r="B225" s="83" t="s">
        <v>496</v>
      </c>
      <c r="C225" s="8">
        <v>1205</v>
      </c>
      <c r="D225" s="8">
        <v>1205</v>
      </c>
      <c r="E225" s="8">
        <v>1205</v>
      </c>
      <c r="F225" s="8">
        <v>1205</v>
      </c>
      <c r="G225" s="8">
        <v>1206</v>
      </c>
      <c r="H225" s="8" t="s">
        <v>1326</v>
      </c>
      <c r="L225" s="14"/>
    </row>
    <row r="226" spans="1:29" s="2" customFormat="1" ht="16.5" customHeight="1" thickBot="1">
      <c r="A226" s="12" t="s">
        <v>590</v>
      </c>
      <c r="B226" s="38" t="s">
        <v>1423</v>
      </c>
      <c r="C226" s="8">
        <v>1201</v>
      </c>
      <c r="D226" s="8">
        <v>1204</v>
      </c>
      <c r="E226" s="8">
        <v>1210</v>
      </c>
      <c r="F226" s="8">
        <v>1211</v>
      </c>
      <c r="G226" s="8">
        <v>1214</v>
      </c>
      <c r="H226" s="8">
        <v>1230</v>
      </c>
      <c r="I226" s="8" t="s">
        <v>1326</v>
      </c>
      <c r="L226" s="17"/>
      <c r="Q226" s="17"/>
      <c r="V226"/>
      <c r="AC226"/>
    </row>
    <row r="227" spans="1:29" s="2" customFormat="1" ht="16.5" customHeight="1" thickBot="1">
      <c r="A227" s="12" t="s">
        <v>585</v>
      </c>
      <c r="B227" s="37" t="s">
        <v>2447</v>
      </c>
      <c r="C227" s="8">
        <v>783</v>
      </c>
      <c r="D227" s="8">
        <v>784</v>
      </c>
      <c r="E227" s="8">
        <v>794</v>
      </c>
      <c r="F227" s="8" t="s">
        <v>1326</v>
      </c>
      <c r="M227" s="17"/>
      <c r="R227"/>
      <c r="Y227"/>
    </row>
    <row r="228" spans="1:29" s="2" customFormat="1" ht="16.5" customHeight="1" thickBot="1">
      <c r="A228" s="12" t="s">
        <v>592</v>
      </c>
      <c r="B228" s="32" t="s">
        <v>1269</v>
      </c>
      <c r="C228" s="8">
        <v>743</v>
      </c>
      <c r="D228" s="8">
        <v>810</v>
      </c>
      <c r="E228" s="8">
        <v>869</v>
      </c>
      <c r="F228" s="8">
        <v>885</v>
      </c>
      <c r="G228" s="8" t="s">
        <v>1326</v>
      </c>
      <c r="L228" s="17"/>
    </row>
    <row r="229" spans="1:29" s="2" customFormat="1" ht="16.5" customHeight="1" thickBot="1">
      <c r="A229" s="12" t="s">
        <v>594</v>
      </c>
      <c r="B229" s="91" t="s">
        <v>522</v>
      </c>
      <c r="C229" s="8">
        <v>548</v>
      </c>
      <c r="D229" s="8">
        <v>560</v>
      </c>
      <c r="E229" s="8" t="s">
        <v>1326</v>
      </c>
      <c r="L229" s="14"/>
    </row>
    <row r="230" spans="1:29" s="2" customFormat="1" ht="16.5" customHeight="1" thickBot="1">
      <c r="A230" s="12" t="s">
        <v>593</v>
      </c>
      <c r="B230" s="32" t="s">
        <v>1269</v>
      </c>
      <c r="C230" s="8">
        <v>380</v>
      </c>
      <c r="D230" s="8" t="s">
        <v>1326</v>
      </c>
      <c r="L230" s="17"/>
      <c r="Q230" s="17"/>
      <c r="V230"/>
      <c r="AC230"/>
    </row>
    <row r="231" spans="1:29" s="2" customFormat="1" ht="12" customHeight="1">
      <c r="A231" s="1"/>
    </row>
    <row r="232" spans="1:29" s="2" customFormat="1" ht="16.5" customHeight="1">
      <c r="A232" s="1" t="s">
        <v>468</v>
      </c>
    </row>
    <row r="233" spans="1:29" s="2" customFormat="1" ht="9.75" customHeight="1" thickBot="1">
      <c r="A233" s="3"/>
    </row>
    <row r="234" spans="1:29" s="2" customFormat="1" ht="16.5" customHeight="1" thickBot="1">
      <c r="A234" s="4" t="s">
        <v>1244</v>
      </c>
      <c r="B234" s="5" t="s">
        <v>1245</v>
      </c>
      <c r="C234" s="5" t="s">
        <v>1246</v>
      </c>
      <c r="D234" s="5">
        <v>2</v>
      </c>
      <c r="E234" s="5">
        <v>3</v>
      </c>
      <c r="F234" s="5">
        <v>4</v>
      </c>
      <c r="G234" s="5">
        <v>5</v>
      </c>
      <c r="H234" s="5">
        <v>6</v>
      </c>
      <c r="I234" s="5">
        <v>7</v>
      </c>
      <c r="J234" s="5">
        <v>8</v>
      </c>
      <c r="K234" s="5">
        <v>9</v>
      </c>
      <c r="L234" s="5">
        <v>10</v>
      </c>
      <c r="M234" s="5">
        <v>11</v>
      </c>
      <c r="N234" s="5">
        <v>12</v>
      </c>
      <c r="O234" s="5">
        <v>13</v>
      </c>
      <c r="P234" s="5">
        <v>14</v>
      </c>
      <c r="Q234" s="5">
        <v>15</v>
      </c>
      <c r="R234" s="5">
        <v>16</v>
      </c>
      <c r="S234" s="5">
        <v>17</v>
      </c>
      <c r="T234" s="5">
        <v>18</v>
      </c>
      <c r="U234" s="5"/>
      <c r="V234" s="10" t="s">
        <v>1413</v>
      </c>
      <c r="W234" s="11">
        <f>(57701/80421)</f>
        <v>0.71748672610387831</v>
      </c>
    </row>
    <row r="235" spans="1:29" s="2" customFormat="1" ht="16.5" customHeight="1" thickBot="1">
      <c r="A235" s="6" t="s">
        <v>460</v>
      </c>
      <c r="B235" s="9" t="s">
        <v>486</v>
      </c>
      <c r="C235" s="36">
        <v>13187</v>
      </c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36"/>
      <c r="R235" s="8"/>
      <c r="S235" s="8"/>
      <c r="T235" s="8"/>
      <c r="U235" s="33" t="s">
        <v>1271</v>
      </c>
      <c r="V235" s="14"/>
      <c r="W235" s="10" t="s">
        <v>1248</v>
      </c>
      <c r="X235" s="10" t="s">
        <v>1249</v>
      </c>
      <c r="Y235" s="10" t="s">
        <v>1250</v>
      </c>
    </row>
    <row r="236" spans="1:29" s="2" customFormat="1" ht="16.5" customHeight="1" thickBot="1">
      <c r="A236" s="6" t="s">
        <v>458</v>
      </c>
      <c r="B236" s="28" t="s">
        <v>1258</v>
      </c>
      <c r="C236" s="8">
        <v>5518</v>
      </c>
      <c r="D236" s="8">
        <v>5613</v>
      </c>
      <c r="E236" s="8">
        <v>5619</v>
      </c>
      <c r="F236" s="8">
        <v>5629</v>
      </c>
      <c r="G236" s="8">
        <v>5718</v>
      </c>
      <c r="H236" s="8">
        <v>5737</v>
      </c>
      <c r="I236" s="8">
        <v>5780</v>
      </c>
      <c r="J236" s="8">
        <v>6127</v>
      </c>
      <c r="K236" s="8">
        <v>6142</v>
      </c>
      <c r="L236" s="8">
        <v>6393</v>
      </c>
      <c r="M236" s="8">
        <v>6396</v>
      </c>
      <c r="N236" s="8">
        <v>7070</v>
      </c>
      <c r="O236" s="8">
        <v>7172</v>
      </c>
      <c r="P236" s="8">
        <v>7172</v>
      </c>
      <c r="Q236" s="36">
        <v>8907</v>
      </c>
      <c r="R236" s="8"/>
      <c r="S236" s="8"/>
      <c r="T236" s="8"/>
      <c r="U236" s="33" t="s">
        <v>1252</v>
      </c>
      <c r="V236" s="85" t="s">
        <v>496</v>
      </c>
      <c r="W236" s="16">
        <f>(C242+C244+C248)</f>
        <v>5759</v>
      </c>
      <c r="X236" s="17">
        <f>SUM(W236/W242)</f>
        <v>0.10141941391941392</v>
      </c>
      <c r="Y236" s="14"/>
    </row>
    <row r="237" spans="1:29" s="2" customFormat="1" ht="16.5" customHeight="1" thickBot="1">
      <c r="A237" s="6" t="s">
        <v>461</v>
      </c>
      <c r="B237" s="9" t="s">
        <v>486</v>
      </c>
      <c r="C237" s="8">
        <v>5001</v>
      </c>
      <c r="D237" s="8">
        <v>6635</v>
      </c>
      <c r="E237" s="8">
        <v>6643</v>
      </c>
      <c r="F237" s="8">
        <v>6649</v>
      </c>
      <c r="G237" s="8">
        <v>6673</v>
      </c>
      <c r="H237" s="8">
        <v>6754</v>
      </c>
      <c r="I237" s="8">
        <v>6872</v>
      </c>
      <c r="J237" s="8">
        <v>7003</v>
      </c>
      <c r="K237" s="8">
        <v>7036</v>
      </c>
      <c r="L237" s="8">
        <v>7063</v>
      </c>
      <c r="M237" s="8">
        <v>7072</v>
      </c>
      <c r="N237" s="8">
        <v>7572</v>
      </c>
      <c r="O237" s="36">
        <v>8178</v>
      </c>
      <c r="P237" s="8"/>
      <c r="Q237" s="8"/>
      <c r="R237" s="8"/>
      <c r="S237" s="8"/>
      <c r="T237" s="8"/>
      <c r="U237" s="33" t="s">
        <v>1362</v>
      </c>
      <c r="V237" s="18" t="s">
        <v>1257</v>
      </c>
      <c r="W237" s="16">
        <f>(C235+C237+C240+C241+C246+C247+C251+C252)</f>
        <v>29215</v>
      </c>
      <c r="X237" s="17">
        <f>SUM(W237/W242)</f>
        <v>0.51449351930121157</v>
      </c>
      <c r="Y237" s="14">
        <v>3</v>
      </c>
    </row>
    <row r="238" spans="1:29" s="2" customFormat="1" ht="16.5" customHeight="1" thickBot="1">
      <c r="A238" s="6" t="s">
        <v>2360</v>
      </c>
      <c r="B238" s="45" t="s">
        <v>1269</v>
      </c>
      <c r="C238" s="8">
        <v>4941</v>
      </c>
      <c r="D238" s="8">
        <v>5087</v>
      </c>
      <c r="E238" s="8">
        <v>5090</v>
      </c>
      <c r="F238" s="8">
        <v>5103</v>
      </c>
      <c r="G238" s="8">
        <v>5103</v>
      </c>
      <c r="H238" s="8">
        <v>5112</v>
      </c>
      <c r="I238" s="8">
        <v>5122</v>
      </c>
      <c r="J238" s="8">
        <v>5130</v>
      </c>
      <c r="K238" s="8">
        <v>6213</v>
      </c>
      <c r="L238" s="8">
        <v>6220</v>
      </c>
      <c r="M238" s="8">
        <v>7050</v>
      </c>
      <c r="N238" s="8">
        <v>7075</v>
      </c>
      <c r="O238" s="8">
        <v>7170</v>
      </c>
      <c r="P238" s="8">
        <v>7172</v>
      </c>
      <c r="Q238" s="8">
        <v>7198</v>
      </c>
      <c r="R238" s="8">
        <v>7337</v>
      </c>
      <c r="S238" s="8">
        <v>7342</v>
      </c>
      <c r="T238" s="36">
        <v>7419</v>
      </c>
      <c r="U238" s="33" t="s">
        <v>1251</v>
      </c>
      <c r="V238" s="30" t="s">
        <v>1258</v>
      </c>
      <c r="W238" s="16">
        <v>5518</v>
      </c>
      <c r="X238" s="17">
        <f>SUM(W238/W242)</f>
        <v>9.7175260636799099E-2</v>
      </c>
      <c r="Y238" s="2">
        <v>1</v>
      </c>
    </row>
    <row r="239" spans="1:29" s="2" customFormat="1" ht="16.5" customHeight="1" thickBot="1">
      <c r="A239" s="6" t="s">
        <v>2205</v>
      </c>
      <c r="B239" s="89" t="s">
        <v>363</v>
      </c>
      <c r="C239" s="8">
        <v>4425</v>
      </c>
      <c r="D239" s="8">
        <v>4711</v>
      </c>
      <c r="E239" s="8">
        <v>4744</v>
      </c>
      <c r="F239" s="8">
        <v>4867</v>
      </c>
      <c r="G239" s="8">
        <v>4875</v>
      </c>
      <c r="H239" s="8">
        <v>4900</v>
      </c>
      <c r="I239" s="8">
        <v>4933</v>
      </c>
      <c r="J239" s="8">
        <v>4954</v>
      </c>
      <c r="K239" s="8">
        <v>5043</v>
      </c>
      <c r="L239" s="8">
        <v>5053</v>
      </c>
      <c r="M239" s="8">
        <v>5878</v>
      </c>
      <c r="N239" s="8">
        <v>5993</v>
      </c>
      <c r="O239" s="8">
        <v>6108</v>
      </c>
      <c r="P239" s="8">
        <v>6111</v>
      </c>
      <c r="Q239" s="8">
        <v>6155</v>
      </c>
      <c r="R239" s="8">
        <v>6366</v>
      </c>
      <c r="S239" s="8">
        <v>6389</v>
      </c>
      <c r="T239" s="36">
        <v>6690</v>
      </c>
      <c r="U239" s="33" t="s">
        <v>1253</v>
      </c>
      <c r="V239" s="15" t="s">
        <v>1261</v>
      </c>
      <c r="W239" s="21">
        <v>1849</v>
      </c>
      <c r="X239" s="17">
        <f>SUM(W239/W242)</f>
        <v>3.2561989292758525E-2</v>
      </c>
    </row>
    <row r="240" spans="1:29" s="2" customFormat="1" ht="16.5" customHeight="1" thickBot="1">
      <c r="A240" s="6" t="s">
        <v>463</v>
      </c>
      <c r="B240" s="9" t="s">
        <v>486</v>
      </c>
      <c r="C240" s="8">
        <v>3615</v>
      </c>
      <c r="D240" s="8">
        <v>4562</v>
      </c>
      <c r="E240" s="8">
        <v>4565</v>
      </c>
      <c r="F240" s="8">
        <v>4568</v>
      </c>
      <c r="G240" s="8">
        <v>4571</v>
      </c>
      <c r="H240" s="8">
        <v>4635</v>
      </c>
      <c r="I240" s="8">
        <v>4764</v>
      </c>
      <c r="J240" s="8">
        <v>4833</v>
      </c>
      <c r="K240" s="8">
        <v>4861</v>
      </c>
      <c r="L240" s="8">
        <v>4878</v>
      </c>
      <c r="M240" s="8">
        <v>4923</v>
      </c>
      <c r="N240" s="8">
        <v>5097</v>
      </c>
      <c r="O240" s="8">
        <v>5734</v>
      </c>
      <c r="P240" s="8">
        <v>5758</v>
      </c>
      <c r="Q240" s="8">
        <v>5842</v>
      </c>
      <c r="R240" s="8">
        <v>7198</v>
      </c>
      <c r="S240" s="8">
        <v>7229</v>
      </c>
      <c r="T240" s="36">
        <v>8027</v>
      </c>
      <c r="U240" s="33" t="s">
        <v>1280</v>
      </c>
      <c r="V240" s="31" t="s">
        <v>1269</v>
      </c>
      <c r="W240" s="21">
        <f>(C238+C249)</f>
        <v>6197</v>
      </c>
      <c r="X240" s="17">
        <f>SUM(W240/W242)</f>
        <v>0.10913285432516202</v>
      </c>
      <c r="Y240" s="2">
        <v>1</v>
      </c>
    </row>
    <row r="241" spans="1:28" s="2" customFormat="1" ht="16.5" customHeight="1" thickBot="1">
      <c r="A241" s="12" t="s">
        <v>462</v>
      </c>
      <c r="B241" s="22" t="s">
        <v>486</v>
      </c>
      <c r="C241" s="8">
        <v>2597</v>
      </c>
      <c r="D241" s="8">
        <v>3001</v>
      </c>
      <c r="E241" s="8">
        <v>3002</v>
      </c>
      <c r="F241" s="8">
        <v>3005</v>
      </c>
      <c r="G241" s="8">
        <v>3016</v>
      </c>
      <c r="H241" s="8">
        <v>3121</v>
      </c>
      <c r="I241" s="8">
        <v>3432</v>
      </c>
      <c r="J241" s="8">
        <v>3499</v>
      </c>
      <c r="K241" s="8">
        <v>3526</v>
      </c>
      <c r="L241" s="8">
        <v>3541</v>
      </c>
      <c r="M241" s="8">
        <v>3548</v>
      </c>
      <c r="N241" s="8">
        <v>3662</v>
      </c>
      <c r="O241" s="8">
        <v>4085</v>
      </c>
      <c r="P241" s="8">
        <v>4102</v>
      </c>
      <c r="Q241" s="8">
        <v>4271</v>
      </c>
      <c r="R241" s="8">
        <v>5435</v>
      </c>
      <c r="S241" s="8">
        <v>5469</v>
      </c>
      <c r="T241" s="8">
        <v>6436</v>
      </c>
      <c r="U241" s="33"/>
      <c r="V241" s="26" t="s">
        <v>1254</v>
      </c>
      <c r="W241" s="21">
        <f>(C239+C243+C250+C253+C254+C255+C256+C257)</f>
        <v>8246</v>
      </c>
      <c r="X241" s="11">
        <f>SUM(W241/W242)</f>
        <v>0.14521696252465482</v>
      </c>
      <c r="Y241" s="2">
        <v>1</v>
      </c>
    </row>
    <row r="242" spans="1:28" s="2" customFormat="1" ht="16.5" customHeight="1" thickBot="1">
      <c r="A242" s="12" t="s">
        <v>595</v>
      </c>
      <c r="B242" s="63" t="s">
        <v>496</v>
      </c>
      <c r="C242" s="8">
        <v>2480</v>
      </c>
      <c r="D242" s="8">
        <v>2520</v>
      </c>
      <c r="E242" s="8">
        <v>2525</v>
      </c>
      <c r="F242" s="8">
        <v>2527</v>
      </c>
      <c r="G242" s="8">
        <v>2561</v>
      </c>
      <c r="H242" s="8">
        <v>2565</v>
      </c>
      <c r="I242" s="8">
        <v>2578</v>
      </c>
      <c r="J242" s="8">
        <v>2666</v>
      </c>
      <c r="K242" s="8">
        <v>2672</v>
      </c>
      <c r="L242" s="8">
        <v>2719</v>
      </c>
      <c r="M242" s="8">
        <v>2722</v>
      </c>
      <c r="N242" s="8">
        <v>3122</v>
      </c>
      <c r="O242" s="8">
        <v>3147</v>
      </c>
      <c r="P242" s="8">
        <v>3147</v>
      </c>
      <c r="Q242" s="8" t="s">
        <v>1326</v>
      </c>
      <c r="W242" s="23">
        <v>56784</v>
      </c>
    </row>
    <row r="243" spans="1:28" s="2" customFormat="1" ht="16.5" customHeight="1" thickBot="1">
      <c r="A243" s="12" t="s">
        <v>425</v>
      </c>
      <c r="B243" s="38" t="s">
        <v>568</v>
      </c>
      <c r="C243" s="8">
        <v>2192</v>
      </c>
      <c r="D243" s="8">
        <v>2249</v>
      </c>
      <c r="E243" s="8">
        <v>2253</v>
      </c>
      <c r="F243" s="8">
        <v>2255</v>
      </c>
      <c r="G243" s="8">
        <v>2294</v>
      </c>
      <c r="H243" s="8">
        <v>2298</v>
      </c>
      <c r="I243" s="8">
        <v>2306</v>
      </c>
      <c r="J243" s="8">
        <v>2455</v>
      </c>
      <c r="K243" s="8">
        <v>2465</v>
      </c>
      <c r="L243" s="8">
        <v>2517</v>
      </c>
      <c r="M243" s="8">
        <v>2528</v>
      </c>
      <c r="N243" s="8" t="s">
        <v>1326</v>
      </c>
    </row>
    <row r="244" spans="1:28" s="2" customFormat="1" ht="16.5" customHeight="1" thickBot="1">
      <c r="A244" s="12" t="s">
        <v>599</v>
      </c>
      <c r="B244" s="83" t="s">
        <v>496</v>
      </c>
      <c r="C244" s="8">
        <v>1947</v>
      </c>
      <c r="D244" s="8">
        <v>1972</v>
      </c>
      <c r="E244" s="8">
        <v>1974</v>
      </c>
      <c r="F244" s="8">
        <v>1975</v>
      </c>
      <c r="G244" s="8">
        <v>2068</v>
      </c>
      <c r="H244" s="8">
        <v>2070</v>
      </c>
      <c r="I244" s="8">
        <v>2076</v>
      </c>
      <c r="J244" s="8">
        <v>2152</v>
      </c>
      <c r="K244" s="8">
        <v>2154</v>
      </c>
      <c r="L244" s="8">
        <v>3133</v>
      </c>
      <c r="M244" s="8">
        <v>3134</v>
      </c>
      <c r="N244" s="8">
        <v>3510</v>
      </c>
      <c r="O244" s="8">
        <v>3550</v>
      </c>
      <c r="P244" s="8">
        <v>3551</v>
      </c>
      <c r="Q244" s="8">
        <v>4492</v>
      </c>
      <c r="R244" s="8">
        <v>4684</v>
      </c>
      <c r="S244" s="8">
        <v>5387</v>
      </c>
      <c r="T244" s="8" t="s">
        <v>1326</v>
      </c>
      <c r="AB244"/>
    </row>
    <row r="245" spans="1:28" s="2" customFormat="1" ht="16.5" customHeight="1" thickBot="1">
      <c r="A245" s="12" t="s">
        <v>596</v>
      </c>
      <c r="B245" s="20" t="s">
        <v>1261</v>
      </c>
      <c r="C245" s="8">
        <v>1849</v>
      </c>
      <c r="D245" s="8">
        <v>1851</v>
      </c>
      <c r="E245" s="8">
        <v>1857</v>
      </c>
      <c r="F245" s="8">
        <v>1858</v>
      </c>
      <c r="G245" s="8">
        <v>1859</v>
      </c>
      <c r="H245" s="8">
        <v>1859</v>
      </c>
      <c r="I245" s="8">
        <v>1859</v>
      </c>
      <c r="J245" s="8">
        <v>1860</v>
      </c>
      <c r="K245" s="8">
        <v>1866</v>
      </c>
      <c r="L245" s="8">
        <v>1866</v>
      </c>
      <c r="M245" s="8" t="s">
        <v>1326</v>
      </c>
      <c r="Y245" s="17"/>
    </row>
    <row r="246" spans="1:28" s="2" customFormat="1" ht="16.5" customHeight="1" thickBot="1">
      <c r="A246" s="12" t="s">
        <v>600</v>
      </c>
      <c r="B246" s="22" t="s">
        <v>486</v>
      </c>
      <c r="C246" s="8">
        <v>1806</v>
      </c>
      <c r="D246" s="8">
        <v>2327</v>
      </c>
      <c r="E246" s="8">
        <v>2329</v>
      </c>
      <c r="F246" s="8">
        <v>2330</v>
      </c>
      <c r="G246" s="8">
        <v>2341</v>
      </c>
      <c r="H246" s="8">
        <v>2396</v>
      </c>
      <c r="I246" s="8">
        <v>2512</v>
      </c>
      <c r="J246" s="8">
        <v>2540</v>
      </c>
      <c r="K246" s="8">
        <v>2556</v>
      </c>
      <c r="L246" s="8">
        <v>2569</v>
      </c>
      <c r="M246" s="8">
        <v>2569</v>
      </c>
      <c r="N246" s="8">
        <v>2614</v>
      </c>
      <c r="O246" s="8" t="s">
        <v>1326</v>
      </c>
    </row>
    <row r="247" spans="1:28" s="2" customFormat="1" ht="16.5" customHeight="1" thickBot="1">
      <c r="A247" s="12" t="s">
        <v>1803</v>
      </c>
      <c r="B247" s="22" t="s">
        <v>486</v>
      </c>
      <c r="C247" s="8">
        <v>1784</v>
      </c>
      <c r="D247" s="8">
        <v>2146</v>
      </c>
      <c r="E247" s="8">
        <v>2146</v>
      </c>
      <c r="F247" s="8">
        <v>2148</v>
      </c>
      <c r="G247" s="8">
        <v>2155</v>
      </c>
      <c r="H247" s="8">
        <v>2306</v>
      </c>
      <c r="I247" s="8">
        <v>2505</v>
      </c>
      <c r="J247" s="8">
        <v>2545</v>
      </c>
      <c r="K247" s="8">
        <v>2559</v>
      </c>
      <c r="L247" s="8">
        <v>2580</v>
      </c>
      <c r="M247" s="8">
        <v>2583</v>
      </c>
      <c r="N247" s="8">
        <v>2642</v>
      </c>
      <c r="O247" s="8">
        <v>3182</v>
      </c>
      <c r="P247" s="8">
        <v>3199</v>
      </c>
      <c r="Q247" s="8">
        <v>3238</v>
      </c>
      <c r="R247" s="8" t="s">
        <v>1326</v>
      </c>
      <c r="S247" s="17"/>
    </row>
    <row r="248" spans="1:28" s="2" customFormat="1" ht="16.5" customHeight="1" thickBot="1">
      <c r="A248" s="12" t="s">
        <v>597</v>
      </c>
      <c r="B248" s="83" t="s">
        <v>496</v>
      </c>
      <c r="C248" s="8">
        <v>1332</v>
      </c>
      <c r="D248" s="8">
        <v>1343</v>
      </c>
      <c r="E248" s="8">
        <v>1343</v>
      </c>
      <c r="F248" s="8">
        <v>1343</v>
      </c>
      <c r="G248" s="8">
        <v>1385</v>
      </c>
      <c r="H248" s="8">
        <v>1386</v>
      </c>
      <c r="I248" s="8">
        <v>1391</v>
      </c>
      <c r="J248" s="8">
        <v>1444</v>
      </c>
      <c r="K248" s="8">
        <v>1445</v>
      </c>
      <c r="L248" s="8" t="s">
        <v>1326</v>
      </c>
      <c r="V248" s="15"/>
      <c r="W248" s="21"/>
      <c r="X248" s="17"/>
    </row>
    <row r="249" spans="1:28" s="2" customFormat="1" ht="16.5" customHeight="1" thickBot="1">
      <c r="A249" s="12" t="s">
        <v>459</v>
      </c>
      <c r="B249" s="32" t="s">
        <v>1269</v>
      </c>
      <c r="C249" s="8">
        <v>1256</v>
      </c>
      <c r="D249" s="8">
        <v>1297</v>
      </c>
      <c r="E249" s="8">
        <v>1303</v>
      </c>
      <c r="F249" s="8">
        <v>1311</v>
      </c>
      <c r="G249" s="8">
        <v>1318</v>
      </c>
      <c r="H249" s="8">
        <v>1330</v>
      </c>
      <c r="I249" s="8">
        <v>1341</v>
      </c>
      <c r="J249" s="8">
        <v>1346</v>
      </c>
      <c r="K249" s="8" t="s">
        <v>1326</v>
      </c>
      <c r="V249" s="31"/>
      <c r="W249" s="21"/>
      <c r="X249" s="17"/>
    </row>
    <row r="250" spans="1:28" s="2" customFormat="1" ht="16.5" customHeight="1" thickBot="1">
      <c r="A250" s="12" t="s">
        <v>598</v>
      </c>
      <c r="B250" s="38" t="s">
        <v>1423</v>
      </c>
      <c r="C250" s="8">
        <v>983</v>
      </c>
      <c r="D250" s="8">
        <v>1064</v>
      </c>
      <c r="E250" s="8">
        <v>1065</v>
      </c>
      <c r="F250" s="8">
        <v>1066</v>
      </c>
      <c r="G250" s="8">
        <v>1083</v>
      </c>
      <c r="H250" s="8">
        <v>1087</v>
      </c>
      <c r="I250" s="8">
        <v>1097</v>
      </c>
      <c r="J250" s="8" t="s">
        <v>1326</v>
      </c>
      <c r="V250" s="26"/>
      <c r="W250" s="21"/>
      <c r="X250" s="11"/>
    </row>
    <row r="251" spans="1:28" s="2" customFormat="1" ht="16.5" customHeight="1" thickBot="1">
      <c r="A251" s="12" t="s">
        <v>601</v>
      </c>
      <c r="B251" s="22" t="s">
        <v>486</v>
      </c>
      <c r="C251" s="8">
        <v>831</v>
      </c>
      <c r="D251" s="8">
        <v>974</v>
      </c>
      <c r="E251" s="8">
        <v>974</v>
      </c>
      <c r="F251" s="8">
        <v>974</v>
      </c>
      <c r="G251" s="8">
        <v>975</v>
      </c>
      <c r="H251" s="8">
        <v>1014</v>
      </c>
      <c r="I251" s="8" t="s">
        <v>1326</v>
      </c>
      <c r="W251" s="23"/>
    </row>
    <row r="252" spans="1:28" s="2" customFormat="1" ht="16.5" customHeight="1" thickBot="1">
      <c r="A252" s="12" t="s">
        <v>602</v>
      </c>
      <c r="B252" s="22" t="s">
        <v>486</v>
      </c>
      <c r="C252" s="8">
        <v>394</v>
      </c>
      <c r="D252" s="8">
        <v>573</v>
      </c>
      <c r="E252" s="8">
        <v>575</v>
      </c>
      <c r="F252" s="8">
        <v>575</v>
      </c>
      <c r="G252" s="8">
        <v>579</v>
      </c>
      <c r="H252" s="8" t="s">
        <v>1326</v>
      </c>
    </row>
    <row r="253" spans="1:28" s="2" customFormat="1" ht="16.5" customHeight="1" thickBot="1">
      <c r="A253" s="12" t="s">
        <v>1798</v>
      </c>
      <c r="B253" s="38" t="s">
        <v>424</v>
      </c>
      <c r="C253" s="8">
        <v>202</v>
      </c>
      <c r="D253" s="8">
        <v>205</v>
      </c>
      <c r="E253" s="8">
        <v>205</v>
      </c>
      <c r="F253" s="8">
        <v>206</v>
      </c>
      <c r="G253" s="8" t="s">
        <v>1326</v>
      </c>
    </row>
    <row r="254" spans="1:28" s="2" customFormat="1" ht="16.5" customHeight="1" thickBot="1">
      <c r="A254" s="12" t="s">
        <v>604</v>
      </c>
      <c r="B254" s="38" t="s">
        <v>424</v>
      </c>
      <c r="C254" s="8">
        <v>189</v>
      </c>
      <c r="D254" s="8">
        <v>193</v>
      </c>
      <c r="E254" s="8">
        <v>194</v>
      </c>
      <c r="F254" s="8">
        <v>195</v>
      </c>
      <c r="G254" s="8" t="s">
        <v>1326</v>
      </c>
      <c r="AB254"/>
    </row>
    <row r="255" spans="1:28" s="2" customFormat="1" ht="16.5" customHeight="1" thickBot="1">
      <c r="A255" s="12" t="s">
        <v>603</v>
      </c>
      <c r="B255" s="80" t="s">
        <v>363</v>
      </c>
      <c r="C255" s="8">
        <v>129</v>
      </c>
      <c r="D255" s="8">
        <v>136</v>
      </c>
      <c r="E255" s="8">
        <v>181</v>
      </c>
      <c r="F255" s="8" t="s">
        <v>1326</v>
      </c>
      <c r="Y255" s="17"/>
    </row>
    <row r="256" spans="1:28" s="2" customFormat="1" ht="16.5" customHeight="1" thickBot="1">
      <c r="A256" s="12" t="s">
        <v>605</v>
      </c>
      <c r="B256" s="80" t="s">
        <v>363</v>
      </c>
      <c r="C256" s="8">
        <v>107</v>
      </c>
      <c r="D256" s="8">
        <v>110</v>
      </c>
      <c r="E256" s="8" t="s">
        <v>1326</v>
      </c>
    </row>
    <row r="257" spans="1:19" s="2" customFormat="1" ht="16.5" customHeight="1" thickBot="1">
      <c r="A257" s="12" t="s">
        <v>606</v>
      </c>
      <c r="B257" s="38" t="s">
        <v>1755</v>
      </c>
      <c r="C257" s="8">
        <v>19</v>
      </c>
      <c r="D257" s="8">
        <v>19</v>
      </c>
      <c r="E257" s="8" t="s">
        <v>1326</v>
      </c>
      <c r="N257" s="17"/>
      <c r="S257" s="17"/>
    </row>
    <row r="258" spans="1:19">
      <c r="C258" s="24"/>
    </row>
    <row r="259" spans="1:19" s="64" customFormat="1" ht="14.25" customHeight="1">
      <c r="B259" s="52" t="s">
        <v>1255</v>
      </c>
      <c r="C259" s="84" t="s">
        <v>496</v>
      </c>
      <c r="D259" s="50" t="s">
        <v>1258</v>
      </c>
      <c r="E259" s="48" t="s">
        <v>1261</v>
      </c>
      <c r="F259" s="49" t="s">
        <v>1257</v>
      </c>
      <c r="G259" s="66" t="s">
        <v>1269</v>
      </c>
      <c r="H259" s="67" t="s">
        <v>1254</v>
      </c>
      <c r="J259" s="67"/>
      <c r="K259" s="68"/>
    </row>
    <row r="260" spans="1:19" s="64" customFormat="1" ht="14.25" customHeight="1">
      <c r="A260" s="64" t="s">
        <v>1248</v>
      </c>
      <c r="B260" s="69">
        <f>SUM(V83+P44+R26+L11+W242+U219+Q198+T176+R154+T132+W107+Q63)</f>
        <v>722241</v>
      </c>
      <c r="C260" s="68">
        <f>SUM(V77+P39+R20+L5+Q192+T170+Q57+W236+U213+R148+T126+W101)</f>
        <v>77524</v>
      </c>
      <c r="D260" s="68">
        <f>SUM(V79+R22+L7+W238+U215+Q194+T172+R150+T128+W103+Q59)</f>
        <v>78228</v>
      </c>
      <c r="E260" s="68">
        <f>SUM(V80+P41+R23+L8+W239+U216+Q195+T173+R151+T129+W104+Q60)</f>
        <v>159773</v>
      </c>
      <c r="F260" s="68">
        <f>SUM(V78+P40+R21+L6+W237+U214+Q193+T171+R149+T127+W102+Q58)</f>
        <v>270269</v>
      </c>
      <c r="G260" s="68">
        <f>SUM(V81+P42+L9+W240+U217+Q196+T174+R152+T130+R24+W105+Q61)</f>
        <v>66541</v>
      </c>
      <c r="H260" s="68">
        <f>SUM(V82+P43+R25+L10+W241+U218+Q197+T175+R153+T131+W106+Q62)</f>
        <v>69906</v>
      </c>
      <c r="J260" s="69"/>
      <c r="K260" s="69"/>
    </row>
    <row r="261" spans="1:19" s="64" customFormat="1" ht="14.25" customHeight="1">
      <c r="A261" s="64" t="s">
        <v>1249</v>
      </c>
      <c r="B261" s="60">
        <v>1</v>
      </c>
      <c r="C261" s="70">
        <f t="shared" ref="C261:H261" si="0">SUM(C260/$B$260)</f>
        <v>0.10733813228548365</v>
      </c>
      <c r="D261" s="70">
        <f t="shared" si="0"/>
        <v>0.10831287617291181</v>
      </c>
      <c r="E261" s="70">
        <f t="shared" si="0"/>
        <v>0.22121840216769748</v>
      </c>
      <c r="F261" s="70">
        <f t="shared" si="0"/>
        <v>0.37420888595358059</v>
      </c>
      <c r="G261" s="70">
        <f t="shared" si="0"/>
        <v>9.2131296893973064E-2</v>
      </c>
      <c r="H261" s="70">
        <f t="shared" si="0"/>
        <v>9.6790406526353387E-2</v>
      </c>
    </row>
    <row r="262" spans="1:19" s="64" customFormat="1" ht="14.25" customHeight="1">
      <c r="A262" s="64" t="s">
        <v>1250</v>
      </c>
      <c r="B262" s="52">
        <v>78</v>
      </c>
      <c r="C262" s="64">
        <v>8</v>
      </c>
      <c r="D262" s="64">
        <v>8</v>
      </c>
      <c r="E262" s="64">
        <v>19</v>
      </c>
      <c r="F262" s="64">
        <v>32</v>
      </c>
      <c r="G262" s="64">
        <v>8</v>
      </c>
      <c r="H262" s="64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4"/>
  <dimension ref="A1:L209"/>
  <sheetViews>
    <sheetView workbookViewId="0">
      <selection activeCell="N1" sqref="N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825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(47066/67908)</f>
        <v>0.69308476173646694</v>
      </c>
    </row>
    <row r="4" spans="1:7" s="2" customFormat="1" ht="16.5" customHeight="1" thickBot="1">
      <c r="A4" s="6" t="s">
        <v>1328</v>
      </c>
      <c r="B4" s="25" t="s">
        <v>1247</v>
      </c>
      <c r="C4" s="36">
        <v>21304</v>
      </c>
      <c r="D4" s="17">
        <f>SUM(C4/$C$9)</f>
        <v>0.45518449672029571</v>
      </c>
      <c r="E4" s="16"/>
    </row>
    <row r="5" spans="1:7" s="2" customFormat="1" ht="16.5" customHeight="1" thickBot="1">
      <c r="A5" s="12" t="s">
        <v>1865</v>
      </c>
      <c r="B5" s="22" t="s">
        <v>1423</v>
      </c>
      <c r="C5" s="8">
        <v>21300</v>
      </c>
      <c r="D5" s="17">
        <f>SUM(C5/$C$9)</f>
        <v>0.45509903211332609</v>
      </c>
      <c r="E5" s="16"/>
      <c r="G5" s="14"/>
    </row>
    <row r="6" spans="1:7" s="2" customFormat="1" ht="16.5" customHeight="1" thickBot="1">
      <c r="A6" s="12" t="s">
        <v>1866</v>
      </c>
      <c r="B6" s="20" t="s">
        <v>1261</v>
      </c>
      <c r="C6" s="8">
        <v>3574</v>
      </c>
      <c r="D6" s="17">
        <f>SUM(C6/$C$9)</f>
        <v>7.6362626327372174E-2</v>
      </c>
      <c r="E6" s="16"/>
      <c r="G6" s="14"/>
    </row>
    <row r="7" spans="1:7" s="2" customFormat="1" ht="16.5" customHeight="1" thickBot="1">
      <c r="A7" s="12" t="s">
        <v>1867</v>
      </c>
      <c r="B7" s="40" t="s">
        <v>1269</v>
      </c>
      <c r="C7" s="8">
        <v>437</v>
      </c>
      <c r="D7" s="17">
        <f>SUM(C7/$C$9)</f>
        <v>9.3370083114330277E-3</v>
      </c>
      <c r="E7" s="21"/>
    </row>
    <row r="8" spans="1:7" s="2" customFormat="1" ht="16.5" customHeight="1" thickBot="1">
      <c r="A8" s="12" t="s">
        <v>1868</v>
      </c>
      <c r="B8" s="38" t="s">
        <v>1270</v>
      </c>
      <c r="C8" s="8">
        <v>188</v>
      </c>
      <c r="D8" s="17">
        <f>SUM(C8/$C$9)</f>
        <v>4.0168365275730184E-3</v>
      </c>
      <c r="E8" s="21"/>
    </row>
    <row r="9" spans="1:7" s="2" customFormat="1" ht="16.5" customHeight="1">
      <c r="A9" s="75"/>
      <c r="B9" s="76"/>
      <c r="C9" s="23">
        <f>SUM(C4:C8)</f>
        <v>46803</v>
      </c>
      <c r="D9" s="17"/>
      <c r="E9" s="10" t="s">
        <v>1874</v>
      </c>
      <c r="F9" s="21">
        <f>(C4-C5)</f>
        <v>4</v>
      </c>
    </row>
    <row r="10" spans="1:7" s="2" customFormat="1" ht="12" customHeight="1">
      <c r="A10" s="1"/>
      <c r="D10" s="11"/>
    </row>
    <row r="11" spans="1:7" s="2" customFormat="1" ht="16.5" customHeight="1">
      <c r="A11" s="1" t="s">
        <v>1875</v>
      </c>
      <c r="D11" s="11"/>
    </row>
    <row r="12" spans="1:7" s="2" customFormat="1" ht="9.75" customHeight="1" thickBot="1">
      <c r="A12" s="3"/>
    </row>
    <row r="13" spans="1:7" s="2" customFormat="1" ht="16.5" customHeight="1" thickBot="1">
      <c r="A13" s="4" t="s">
        <v>1244</v>
      </c>
      <c r="B13" s="5" t="s">
        <v>1245</v>
      </c>
      <c r="C13" s="5" t="s">
        <v>1248</v>
      </c>
      <c r="D13" s="10"/>
      <c r="E13" s="10" t="s">
        <v>1413</v>
      </c>
      <c r="F13" s="11">
        <f>(37632/61148)</f>
        <v>0.61542487080525932</v>
      </c>
    </row>
    <row r="14" spans="1:7" s="2" customFormat="1" ht="16.5" customHeight="1" thickBot="1">
      <c r="A14" s="6" t="s">
        <v>1341</v>
      </c>
      <c r="B14" s="25" t="s">
        <v>1247</v>
      </c>
      <c r="C14" s="36">
        <v>18050</v>
      </c>
      <c r="D14" s="17">
        <f t="shared" ref="D14:D19" si="0">SUM(C14/$C$20)</f>
        <v>0.4842387659289068</v>
      </c>
      <c r="E14" s="16"/>
    </row>
    <row r="15" spans="1:7" s="2" customFormat="1" ht="16.5" customHeight="1" thickBot="1">
      <c r="A15" s="12" t="s">
        <v>1272</v>
      </c>
      <c r="B15" s="27" t="s">
        <v>1258</v>
      </c>
      <c r="C15" s="8">
        <v>7365</v>
      </c>
      <c r="D15" s="17">
        <f t="shared" si="0"/>
        <v>0.19758551307847083</v>
      </c>
      <c r="E15" s="16"/>
      <c r="G15" s="14"/>
    </row>
    <row r="16" spans="1:7" s="2" customFormat="1" ht="16.5" customHeight="1" thickBot="1">
      <c r="A16" s="12" t="s">
        <v>1870</v>
      </c>
      <c r="B16" s="22" t="s">
        <v>1869</v>
      </c>
      <c r="C16" s="8">
        <v>5281</v>
      </c>
      <c r="D16" s="17">
        <f t="shared" si="0"/>
        <v>0.14167672702883971</v>
      </c>
      <c r="E16" s="16"/>
      <c r="G16" s="14"/>
    </row>
    <row r="17" spans="1:7" s="2" customFormat="1" ht="16.5" customHeight="1" thickBot="1">
      <c r="A17" s="12" t="s">
        <v>1871</v>
      </c>
      <c r="B17" s="20" t="s">
        <v>1261</v>
      </c>
      <c r="C17" s="8">
        <v>5212</v>
      </c>
      <c r="D17" s="17">
        <f t="shared" si="0"/>
        <v>0.13982562038900068</v>
      </c>
      <c r="E17" s="16"/>
      <c r="G17" s="14"/>
    </row>
    <row r="18" spans="1:7" s="2" customFormat="1" ht="16.5" customHeight="1" thickBot="1">
      <c r="A18" s="12" t="s">
        <v>1872</v>
      </c>
      <c r="B18" s="40" t="s">
        <v>1269</v>
      </c>
      <c r="C18" s="8">
        <v>859</v>
      </c>
      <c r="D18" s="17">
        <f t="shared" si="0"/>
        <v>2.3044936284372906E-2</v>
      </c>
      <c r="E18" s="21"/>
    </row>
    <row r="19" spans="1:7" s="2" customFormat="1" ht="16.5" customHeight="1" thickBot="1">
      <c r="A19" s="12" t="s">
        <v>1873</v>
      </c>
      <c r="B19" s="38" t="s">
        <v>1270</v>
      </c>
      <c r="C19" s="8">
        <v>508</v>
      </c>
      <c r="D19" s="17">
        <f t="shared" si="0"/>
        <v>1.3628437290409121E-2</v>
      </c>
      <c r="E19" s="21"/>
    </row>
    <row r="20" spans="1:7" s="2" customFormat="1" ht="16.5" customHeight="1">
      <c r="A20" s="75"/>
      <c r="B20" s="76"/>
      <c r="C20" s="23">
        <f>SUM(C14:C19)</f>
        <v>37275</v>
      </c>
      <c r="D20" s="17"/>
      <c r="E20" s="10" t="s">
        <v>1874</v>
      </c>
      <c r="F20" s="21">
        <f>(C14-C15)</f>
        <v>10685</v>
      </c>
    </row>
    <row r="21" spans="1:7" s="2" customFormat="1" ht="12" customHeight="1">
      <c r="A21" s="1"/>
    </row>
    <row r="22" spans="1:7" s="2" customFormat="1" ht="16.5" customHeight="1">
      <c r="A22" s="1" t="s">
        <v>1880</v>
      </c>
    </row>
    <row r="23" spans="1:7" s="2" customFormat="1" ht="9.75" customHeight="1" thickBot="1">
      <c r="A23" s="3"/>
    </row>
    <row r="24" spans="1:7" s="2" customFormat="1" ht="16.5" customHeight="1" thickBot="1">
      <c r="A24" s="4" t="s">
        <v>1244</v>
      </c>
      <c r="B24" s="5" t="s">
        <v>1245</v>
      </c>
      <c r="C24" s="5" t="s">
        <v>1248</v>
      </c>
      <c r="D24" s="10"/>
      <c r="E24" s="10" t="s">
        <v>1413</v>
      </c>
      <c r="F24" s="11">
        <f>(41139/64594)</f>
        <v>0.63688577886491005</v>
      </c>
    </row>
    <row r="25" spans="1:7" s="2" customFormat="1" ht="16.5" customHeight="1" thickBot="1">
      <c r="A25" s="6" t="s">
        <v>1352</v>
      </c>
      <c r="B25" s="25" t="s">
        <v>1247</v>
      </c>
      <c r="C25" s="36">
        <v>21239</v>
      </c>
      <c r="D25" s="17">
        <f t="shared" ref="D25:D30" si="1">SUM(C25/$C$31)</f>
        <v>0.52002840213505708</v>
      </c>
      <c r="E25" s="16"/>
    </row>
    <row r="26" spans="1:7" s="2" customFormat="1" ht="16.5" customHeight="1" thickBot="1">
      <c r="A26" s="12" t="s">
        <v>1355</v>
      </c>
      <c r="B26" s="27" t="s">
        <v>1258</v>
      </c>
      <c r="C26" s="8">
        <v>5876</v>
      </c>
      <c r="D26" s="17">
        <f t="shared" si="1"/>
        <v>0.14387150482346603</v>
      </c>
      <c r="E26" s="16"/>
      <c r="G26" s="14"/>
    </row>
    <row r="27" spans="1:7" s="2" customFormat="1" ht="16.5" customHeight="1" thickBot="1">
      <c r="A27" s="12" t="s">
        <v>1877</v>
      </c>
      <c r="B27" s="20" t="s">
        <v>1261</v>
      </c>
      <c r="C27" s="8">
        <v>5826</v>
      </c>
      <c r="D27" s="17">
        <f t="shared" si="1"/>
        <v>0.14264727486411047</v>
      </c>
      <c r="E27" s="16"/>
      <c r="G27" s="14"/>
    </row>
    <row r="28" spans="1:7" s="2" customFormat="1" ht="16.5" customHeight="1" thickBot="1">
      <c r="A28" s="12" t="s">
        <v>1876</v>
      </c>
      <c r="B28" s="22" t="s">
        <v>1869</v>
      </c>
      <c r="C28" s="8">
        <v>4509</v>
      </c>
      <c r="D28" s="17">
        <f t="shared" si="1"/>
        <v>0.11040105773468488</v>
      </c>
      <c r="E28" s="16"/>
      <c r="G28" s="14"/>
    </row>
    <row r="29" spans="1:7" s="2" customFormat="1" ht="16.5" customHeight="1" thickBot="1">
      <c r="A29" s="12" t="s">
        <v>1357</v>
      </c>
      <c r="B29" s="42" t="s">
        <v>1878</v>
      </c>
      <c r="C29" s="8">
        <v>2995</v>
      </c>
      <c r="D29" s="17">
        <f t="shared" si="1"/>
        <v>7.3331374565398358E-2</v>
      </c>
      <c r="E29" s="21"/>
    </row>
    <row r="30" spans="1:7" s="2" customFormat="1" ht="16.5" customHeight="1" thickBot="1">
      <c r="A30" s="12" t="s">
        <v>1879</v>
      </c>
      <c r="B30" s="40" t="s">
        <v>1269</v>
      </c>
      <c r="C30" s="8">
        <v>397</v>
      </c>
      <c r="D30" s="17">
        <f t="shared" si="1"/>
        <v>9.7203858772831886E-3</v>
      </c>
      <c r="E30" s="21"/>
    </row>
    <row r="31" spans="1:7" s="2" customFormat="1" ht="16.5" customHeight="1">
      <c r="A31" s="75"/>
      <c r="B31" s="76"/>
      <c r="C31" s="23">
        <f>SUM(C25:C30)</f>
        <v>40842</v>
      </c>
      <c r="D31" s="17"/>
      <c r="E31" s="10" t="s">
        <v>1874</v>
      </c>
      <c r="F31" s="21">
        <f>(C25-C26)</f>
        <v>15363</v>
      </c>
    </row>
    <row r="32" spans="1:7" s="2" customFormat="1" ht="12" customHeight="1">
      <c r="A32" s="1"/>
    </row>
    <row r="33" spans="1:7" s="2" customFormat="1" ht="16.5" customHeight="1">
      <c r="A33" s="1" t="s">
        <v>1884</v>
      </c>
    </row>
    <row r="34" spans="1:7" s="2" customFormat="1" ht="9.75" customHeight="1" thickBot="1">
      <c r="A34" s="3"/>
    </row>
    <row r="35" spans="1:7" s="2" customFormat="1" ht="16.5" customHeight="1" thickBot="1">
      <c r="A35" s="4" t="s">
        <v>1244</v>
      </c>
      <c r="B35" s="5" t="s">
        <v>1245</v>
      </c>
      <c r="C35" s="5" t="s">
        <v>1248</v>
      </c>
      <c r="D35" s="10"/>
      <c r="E35" s="10" t="s">
        <v>1413</v>
      </c>
      <c r="F35" s="11">
        <f>(38190/65843)</f>
        <v>0.5800160989019334</v>
      </c>
    </row>
    <row r="36" spans="1:7" s="2" customFormat="1" ht="16.5" customHeight="1" thickBot="1">
      <c r="A36" s="6" t="s">
        <v>1363</v>
      </c>
      <c r="B36" s="7" t="s">
        <v>1261</v>
      </c>
      <c r="C36" s="36">
        <v>16922</v>
      </c>
      <c r="D36" s="17">
        <f t="shared" ref="D36:D41" si="2">SUM(C36/$C$42)</f>
        <v>0.44662039114254798</v>
      </c>
      <c r="E36" s="16"/>
    </row>
    <row r="37" spans="1:7" s="2" customFormat="1" ht="16.5" customHeight="1" thickBot="1">
      <c r="A37" s="12" t="s">
        <v>1367</v>
      </c>
      <c r="B37" s="13" t="s">
        <v>1247</v>
      </c>
      <c r="C37" s="8">
        <v>12098</v>
      </c>
      <c r="D37" s="17">
        <f t="shared" si="2"/>
        <v>0.31930111641901343</v>
      </c>
      <c r="E37" s="16"/>
      <c r="G37" s="14"/>
    </row>
    <row r="38" spans="1:7" s="2" customFormat="1" ht="16.5" customHeight="1" thickBot="1">
      <c r="A38" s="12" t="s">
        <v>1881</v>
      </c>
      <c r="B38" s="27" t="s">
        <v>1258</v>
      </c>
      <c r="C38" s="8">
        <v>4489</v>
      </c>
      <c r="D38" s="17">
        <f t="shared" si="2"/>
        <v>0.11847765842328908</v>
      </c>
      <c r="E38" s="16"/>
      <c r="G38" s="14"/>
    </row>
    <row r="39" spans="1:7" s="2" customFormat="1" ht="16.5" customHeight="1" thickBot="1">
      <c r="A39" s="12" t="s">
        <v>1292</v>
      </c>
      <c r="B39" s="38" t="s">
        <v>1717</v>
      </c>
      <c r="C39" s="8">
        <v>2936</v>
      </c>
      <c r="D39" s="17">
        <f t="shared" si="2"/>
        <v>7.7489508828419859E-2</v>
      </c>
      <c r="E39" s="16"/>
      <c r="G39" s="14"/>
    </row>
    <row r="40" spans="1:7" s="2" customFormat="1" ht="16.5" customHeight="1" thickBot="1">
      <c r="A40" s="12" t="s">
        <v>1882</v>
      </c>
      <c r="B40" s="22" t="s">
        <v>1869</v>
      </c>
      <c r="C40" s="8">
        <v>1221</v>
      </c>
      <c r="D40" s="17">
        <f t="shared" si="2"/>
        <v>3.2225711948058802E-2</v>
      </c>
      <c r="E40" s="21"/>
    </row>
    <row r="41" spans="1:7" s="2" customFormat="1" ht="16.5" customHeight="1" thickBot="1">
      <c r="A41" s="12" t="s">
        <v>1883</v>
      </c>
      <c r="B41" s="40" t="s">
        <v>1269</v>
      </c>
      <c r="C41" s="8">
        <v>223</v>
      </c>
      <c r="D41" s="17">
        <f t="shared" si="2"/>
        <v>5.8856132386708544E-3</v>
      </c>
      <c r="E41" s="21"/>
    </row>
    <row r="42" spans="1:7" s="2" customFormat="1" ht="16.5" customHeight="1">
      <c r="A42" s="75"/>
      <c r="B42" s="76"/>
      <c r="C42" s="23">
        <f>SUM(C36:C41)</f>
        <v>37889</v>
      </c>
      <c r="D42" s="17"/>
      <c r="E42" s="10" t="s">
        <v>1874</v>
      </c>
      <c r="F42" s="21">
        <f>(C36-C37)</f>
        <v>4824</v>
      </c>
    </row>
    <row r="43" spans="1:7" s="2" customFormat="1" ht="12" customHeight="1">
      <c r="A43" s="1"/>
    </row>
    <row r="44" spans="1:7" s="2" customFormat="1" ht="16.5" customHeight="1">
      <c r="A44" s="1" t="s">
        <v>1889</v>
      </c>
    </row>
    <row r="45" spans="1:7" s="2" customFormat="1" ht="9.75" customHeight="1" thickBot="1">
      <c r="A45" s="3"/>
    </row>
    <row r="46" spans="1:7" s="2" customFormat="1" ht="16.5" customHeight="1" thickBot="1">
      <c r="A46" s="4" t="s">
        <v>1244</v>
      </c>
      <c r="B46" s="5" t="s">
        <v>1245</v>
      </c>
      <c r="C46" s="5" t="s">
        <v>1248</v>
      </c>
      <c r="D46" s="10"/>
      <c r="E46" s="10" t="s">
        <v>1413</v>
      </c>
      <c r="F46" s="11">
        <f>(35086/63220)</f>
        <v>0.55498260044289782</v>
      </c>
    </row>
    <row r="47" spans="1:7" s="2" customFormat="1" ht="16.5" customHeight="1" thickBot="1">
      <c r="A47" s="6" t="s">
        <v>1374</v>
      </c>
      <c r="B47" s="28" t="s">
        <v>1258</v>
      </c>
      <c r="C47" s="36">
        <v>12097</v>
      </c>
      <c r="D47" s="17">
        <f t="shared" ref="D47:D52" si="3">SUM(C47/$C$53)</f>
        <v>0.34612303290414881</v>
      </c>
      <c r="E47" s="16"/>
    </row>
    <row r="48" spans="1:7" s="2" customFormat="1" ht="16.5" customHeight="1" thickBot="1">
      <c r="A48" s="12" t="s">
        <v>1885</v>
      </c>
      <c r="B48" s="13" t="s">
        <v>1247</v>
      </c>
      <c r="C48" s="8">
        <v>6742</v>
      </c>
      <c r="D48" s="17">
        <f t="shared" si="3"/>
        <v>0.1929041487839771</v>
      </c>
      <c r="E48" s="16"/>
      <c r="G48" s="14"/>
    </row>
    <row r="49" spans="1:7" s="2" customFormat="1" ht="16.5" customHeight="1" thickBot="1">
      <c r="A49" s="12" t="s">
        <v>1887</v>
      </c>
      <c r="B49" s="22" t="s">
        <v>1869</v>
      </c>
      <c r="C49" s="8">
        <v>6218</v>
      </c>
      <c r="D49" s="17">
        <f t="shared" si="3"/>
        <v>0.17791130185979973</v>
      </c>
      <c r="E49" s="16"/>
      <c r="G49" s="14"/>
    </row>
    <row r="50" spans="1:7" s="2" customFormat="1" ht="16.5" customHeight="1" thickBot="1">
      <c r="A50" s="12" t="s">
        <v>1886</v>
      </c>
      <c r="B50" s="20" t="s">
        <v>1261</v>
      </c>
      <c r="C50" s="8">
        <v>5399</v>
      </c>
      <c r="D50" s="17">
        <f t="shared" si="3"/>
        <v>0.15447782546494992</v>
      </c>
      <c r="E50" s="16"/>
      <c r="G50" s="14"/>
    </row>
    <row r="51" spans="1:7" s="2" customFormat="1" ht="16.5" customHeight="1" thickBot="1">
      <c r="A51" s="12" t="s">
        <v>1888</v>
      </c>
      <c r="B51" s="42" t="s">
        <v>1878</v>
      </c>
      <c r="C51" s="8">
        <v>2572</v>
      </c>
      <c r="D51" s="17">
        <f t="shared" si="3"/>
        <v>7.3590844062947067E-2</v>
      </c>
      <c r="E51" s="21"/>
    </row>
    <row r="52" spans="1:7" s="2" customFormat="1" ht="16.5" customHeight="1" thickBot="1">
      <c r="A52" s="12" t="s">
        <v>1383</v>
      </c>
      <c r="B52" s="40" t="s">
        <v>1269</v>
      </c>
      <c r="C52" s="8">
        <v>1922</v>
      </c>
      <c r="D52" s="17">
        <f t="shared" si="3"/>
        <v>5.4992846924177399E-2</v>
      </c>
      <c r="E52" s="21"/>
    </row>
    <row r="53" spans="1:7" s="2" customFormat="1" ht="16.5" customHeight="1">
      <c r="A53" s="75"/>
      <c r="B53" s="76"/>
      <c r="C53" s="23">
        <f>SUM(C47:C52)</f>
        <v>34950</v>
      </c>
      <c r="D53" s="17"/>
      <c r="E53" s="10" t="s">
        <v>1874</v>
      </c>
      <c r="F53" s="21">
        <f>(C47-C48)</f>
        <v>5355</v>
      </c>
    </row>
    <row r="54" spans="1:7" s="2" customFormat="1" ht="12" customHeight="1">
      <c r="A54" s="1"/>
    </row>
    <row r="55" spans="1:7" s="2" customFormat="1" ht="16.5" customHeight="1">
      <c r="A55" s="1" t="s">
        <v>1890</v>
      </c>
    </row>
    <row r="56" spans="1:7" s="2" customFormat="1" ht="9.75" customHeight="1" thickBot="1">
      <c r="A56" s="3"/>
    </row>
    <row r="57" spans="1:7" s="2" customFormat="1" ht="16.5" customHeight="1" thickBot="1">
      <c r="A57" s="4" t="s">
        <v>1244</v>
      </c>
      <c r="B57" s="5" t="s">
        <v>1245</v>
      </c>
      <c r="C57" s="5" t="s">
        <v>1248</v>
      </c>
      <c r="D57" s="10"/>
      <c r="E57" s="10" t="s">
        <v>1413</v>
      </c>
      <c r="F57" s="11">
        <f>(45249/74308)</f>
        <v>0.60893847230446252</v>
      </c>
    </row>
    <row r="58" spans="1:7" s="2" customFormat="1" ht="16.5" customHeight="1" thickBot="1">
      <c r="A58" s="6" t="s">
        <v>1388</v>
      </c>
      <c r="B58" s="25" t="s">
        <v>1247</v>
      </c>
      <c r="C58" s="36">
        <v>18857</v>
      </c>
      <c r="D58" s="17">
        <f t="shared" ref="D58:D63" si="4">SUM(C58/$C$64)</f>
        <v>0.41992161403821315</v>
      </c>
      <c r="E58" s="16"/>
    </row>
    <row r="59" spans="1:7" s="2" customFormat="1" ht="16.5" customHeight="1" thickBot="1">
      <c r="A59" s="12" t="s">
        <v>1309</v>
      </c>
      <c r="B59" s="20" t="s">
        <v>1261</v>
      </c>
      <c r="C59" s="8">
        <v>10526</v>
      </c>
      <c r="D59" s="17">
        <f t="shared" si="4"/>
        <v>0.23440074822963525</v>
      </c>
      <c r="E59" s="16"/>
      <c r="G59" s="14"/>
    </row>
    <row r="60" spans="1:7" s="2" customFormat="1" ht="16.5" customHeight="1" thickBot="1">
      <c r="A60" s="12" t="s">
        <v>1891</v>
      </c>
      <c r="B60" s="22" t="s">
        <v>1869</v>
      </c>
      <c r="C60" s="8">
        <v>8558</v>
      </c>
      <c r="D60" s="17">
        <f t="shared" si="4"/>
        <v>0.19057586959426356</v>
      </c>
      <c r="E60" s="16"/>
      <c r="G60" s="14"/>
    </row>
    <row r="61" spans="1:7" s="2" customFormat="1" ht="16.5" customHeight="1" thickBot="1">
      <c r="A61" s="12" t="s">
        <v>1393</v>
      </c>
      <c r="B61" s="27" t="s">
        <v>1258</v>
      </c>
      <c r="C61" s="8">
        <v>5764</v>
      </c>
      <c r="D61" s="17">
        <f t="shared" si="4"/>
        <v>0.12835701242595643</v>
      </c>
      <c r="E61" s="16"/>
      <c r="G61" s="14"/>
    </row>
    <row r="62" spans="1:7" s="2" customFormat="1" ht="16.5" customHeight="1" thickBot="1">
      <c r="A62" s="12" t="s">
        <v>1310</v>
      </c>
      <c r="B62" s="38" t="s">
        <v>1270</v>
      </c>
      <c r="C62" s="8">
        <v>656</v>
      </c>
      <c r="D62" s="17">
        <f t="shared" si="4"/>
        <v>1.4608292878457222E-2</v>
      </c>
      <c r="E62" s="21"/>
    </row>
    <row r="63" spans="1:7" s="2" customFormat="1" ht="16.5" customHeight="1" thickBot="1">
      <c r="A63" s="12" t="s">
        <v>1892</v>
      </c>
      <c r="B63" s="40" t="s">
        <v>1269</v>
      </c>
      <c r="C63" s="8">
        <v>545</v>
      </c>
      <c r="D63" s="17">
        <f t="shared" si="4"/>
        <v>1.2136462833474368E-2</v>
      </c>
      <c r="E63" s="21"/>
    </row>
    <row r="64" spans="1:7" s="2" customFormat="1" ht="16.5" customHeight="1">
      <c r="A64" s="75"/>
      <c r="B64" s="76"/>
      <c r="C64" s="23">
        <f>SUM(C58:C63)</f>
        <v>44906</v>
      </c>
      <c r="D64" s="17"/>
      <c r="E64" s="10" t="s">
        <v>1874</v>
      </c>
      <c r="F64" s="21">
        <f>(C58-C59)</f>
        <v>8331</v>
      </c>
    </row>
    <row r="65" spans="1:7" s="2" customFormat="1" ht="12" customHeight="1">
      <c r="A65" s="1"/>
    </row>
    <row r="66" spans="1:7" s="2" customFormat="1" ht="16.5" customHeight="1">
      <c r="A66" s="1" t="s">
        <v>1893</v>
      </c>
    </row>
    <row r="67" spans="1:7" s="2" customFormat="1" ht="9.75" customHeight="1" thickBot="1">
      <c r="A67" s="3"/>
    </row>
    <row r="68" spans="1:7" s="2" customFormat="1" ht="16.5" customHeight="1" thickBot="1">
      <c r="A68" s="4" t="s">
        <v>1244</v>
      </c>
      <c r="B68" s="5" t="s">
        <v>1245</v>
      </c>
      <c r="C68" s="5" t="s">
        <v>1248</v>
      </c>
      <c r="D68" s="10"/>
      <c r="E68" s="10" t="s">
        <v>1413</v>
      </c>
      <c r="F68" s="11">
        <f>(42840/70784)</f>
        <v>0.60522151898734178</v>
      </c>
    </row>
    <row r="69" spans="1:7" s="2" customFormat="1" ht="16.5" customHeight="1" thickBot="1">
      <c r="A69" s="6" t="s">
        <v>1314</v>
      </c>
      <c r="B69" s="7" t="s">
        <v>1261</v>
      </c>
      <c r="C69" s="36">
        <v>20648</v>
      </c>
      <c r="D69" s="17">
        <f>SUM(C69/$C$76)</f>
        <v>0.48482002394984619</v>
      </c>
      <c r="E69" s="16"/>
    </row>
    <row r="70" spans="1:7" s="2" customFormat="1" ht="16.5" customHeight="1" thickBot="1">
      <c r="A70" s="12" t="s">
        <v>1313</v>
      </c>
      <c r="B70" s="13" t="s">
        <v>1247</v>
      </c>
      <c r="C70" s="8">
        <v>12236</v>
      </c>
      <c r="D70" s="17">
        <f t="shared" ref="D70:D75" si="5">SUM(C70/$C$76)</f>
        <v>0.28730423348752027</v>
      </c>
      <c r="E70" s="16"/>
      <c r="G70" s="14"/>
    </row>
    <row r="71" spans="1:7" s="2" customFormat="1" ht="16.5" customHeight="1" thickBot="1">
      <c r="A71" s="12" t="s">
        <v>1894</v>
      </c>
      <c r="B71" s="27" t="s">
        <v>1258</v>
      </c>
      <c r="C71" s="8">
        <v>3645</v>
      </c>
      <c r="D71" s="17">
        <f t="shared" si="5"/>
        <v>8.5585479818732532E-2</v>
      </c>
      <c r="E71" s="16"/>
      <c r="G71" s="14"/>
    </row>
    <row r="72" spans="1:7" s="2" customFormat="1" ht="16.5" customHeight="1" thickBot="1">
      <c r="A72" s="12" t="s">
        <v>1404</v>
      </c>
      <c r="B72" s="22" t="s">
        <v>1869</v>
      </c>
      <c r="C72" s="8">
        <v>3093</v>
      </c>
      <c r="D72" s="17">
        <f t="shared" si="5"/>
        <v>7.2624386578694022E-2</v>
      </c>
      <c r="E72" s="16"/>
      <c r="G72" s="14"/>
    </row>
    <row r="73" spans="1:7" s="2" customFormat="1" ht="16.5" customHeight="1" thickBot="1">
      <c r="A73" s="12" t="s">
        <v>1895</v>
      </c>
      <c r="B73" s="42" t="s">
        <v>1878</v>
      </c>
      <c r="C73" s="8">
        <v>1506</v>
      </c>
      <c r="D73" s="17">
        <f t="shared" si="5"/>
        <v>3.5361243513583322E-2</v>
      </c>
      <c r="E73" s="21"/>
    </row>
    <row r="74" spans="1:7" s="2" customFormat="1" ht="16.5" customHeight="1" thickBot="1">
      <c r="A74" s="12" t="s">
        <v>1896</v>
      </c>
      <c r="B74" s="39" t="s">
        <v>1320</v>
      </c>
      <c r="C74" s="8">
        <v>901</v>
      </c>
      <c r="D74" s="17">
        <f t="shared" si="5"/>
        <v>2.1155697480570099E-2</v>
      </c>
      <c r="E74" s="21"/>
    </row>
    <row r="75" spans="1:7" s="2" customFormat="1" ht="16.5" customHeight="1" thickBot="1">
      <c r="A75" s="12" t="s">
        <v>1406</v>
      </c>
      <c r="B75" s="40" t="s">
        <v>1269</v>
      </c>
      <c r="C75" s="8">
        <v>560</v>
      </c>
      <c r="D75" s="17">
        <f t="shared" si="5"/>
        <v>1.3148935171053559E-2</v>
      </c>
      <c r="E75" s="21"/>
    </row>
    <row r="76" spans="1:7" s="2" customFormat="1" ht="16.5" customHeight="1">
      <c r="A76" s="75"/>
      <c r="B76" s="76"/>
      <c r="C76" s="23">
        <f>SUM(C69:C75)</f>
        <v>42589</v>
      </c>
      <c r="D76" s="17"/>
      <c r="E76" s="10" t="s">
        <v>1874</v>
      </c>
      <c r="F76" s="21">
        <f>(C69-C70)</f>
        <v>8412</v>
      </c>
    </row>
    <row r="77" spans="1:7" s="2" customFormat="1" ht="12" customHeight="1">
      <c r="A77" s="1"/>
    </row>
    <row r="78" spans="1:7" s="2" customFormat="1" ht="16.5" customHeight="1">
      <c r="A78" s="1" t="s">
        <v>1897</v>
      </c>
    </row>
    <row r="79" spans="1:7" s="2" customFormat="1" ht="9.75" customHeight="1" thickBot="1">
      <c r="A79" s="3"/>
    </row>
    <row r="80" spans="1:7" s="2" customFormat="1" ht="16.5" customHeight="1" thickBot="1">
      <c r="A80" s="4" t="s">
        <v>1244</v>
      </c>
      <c r="B80" s="5" t="s">
        <v>1245</v>
      </c>
      <c r="C80" s="5" t="s">
        <v>1248</v>
      </c>
      <c r="D80" s="10"/>
      <c r="E80" s="10" t="s">
        <v>1413</v>
      </c>
      <c r="F80" s="11">
        <f>(41681/74732)</f>
        <v>0.55773965637210299</v>
      </c>
    </row>
    <row r="81" spans="1:7" s="2" customFormat="1" ht="16.5" customHeight="1" thickBot="1">
      <c r="A81" s="6" t="s">
        <v>1422</v>
      </c>
      <c r="B81" s="28" t="s">
        <v>1258</v>
      </c>
      <c r="C81" s="36">
        <v>14000</v>
      </c>
      <c r="D81" s="17">
        <f>SUM(C81/$C$86)</f>
        <v>0.33830316796752291</v>
      </c>
      <c r="E81" s="16"/>
    </row>
    <row r="82" spans="1:7" s="2" customFormat="1" ht="16.5" customHeight="1" thickBot="1">
      <c r="A82" s="12" t="s">
        <v>1898</v>
      </c>
      <c r="B82" s="22" t="s">
        <v>1869</v>
      </c>
      <c r="C82" s="8">
        <v>10639</v>
      </c>
      <c r="D82" s="17">
        <f>SUM(C82/$C$86)</f>
        <v>0.25708624314331974</v>
      </c>
      <c r="E82" s="16"/>
      <c r="G82" s="14"/>
    </row>
    <row r="83" spans="1:7" s="2" customFormat="1" ht="16.5" customHeight="1" thickBot="1">
      <c r="A83" s="12" t="s">
        <v>1744</v>
      </c>
      <c r="B83" s="13" t="s">
        <v>1247</v>
      </c>
      <c r="C83" s="8">
        <v>10237</v>
      </c>
      <c r="D83" s="17">
        <f>SUM(C83/$C$86)</f>
        <v>0.24737210932025228</v>
      </c>
      <c r="E83" s="16"/>
      <c r="G83" s="14"/>
    </row>
    <row r="84" spans="1:7" s="2" customFormat="1" ht="16.5" customHeight="1" thickBot="1">
      <c r="A84" s="12" t="s">
        <v>1747</v>
      </c>
      <c r="B84" s="20" t="s">
        <v>1261</v>
      </c>
      <c r="C84" s="8">
        <v>5276</v>
      </c>
      <c r="D84" s="17">
        <f>SUM(C84/$C$86)</f>
        <v>0.12749196529976078</v>
      </c>
      <c r="E84" s="16"/>
      <c r="G84" s="14"/>
    </row>
    <row r="85" spans="1:7" s="2" customFormat="1" ht="16.5" customHeight="1" thickBot="1">
      <c r="A85" s="12" t="s">
        <v>1899</v>
      </c>
      <c r="B85" s="40" t="s">
        <v>1269</v>
      </c>
      <c r="C85" s="8">
        <v>1231</v>
      </c>
      <c r="D85" s="17">
        <f>SUM(C85/$C$86)</f>
        <v>2.9746514269144333E-2</v>
      </c>
      <c r="E85" s="21"/>
    </row>
    <row r="86" spans="1:7" s="2" customFormat="1" ht="16.5" customHeight="1">
      <c r="A86" s="75"/>
      <c r="B86" s="76"/>
      <c r="C86" s="23">
        <f>SUM(C81:C85)</f>
        <v>41383</v>
      </c>
      <c r="D86" s="17"/>
      <c r="E86" s="10" t="s">
        <v>1874</v>
      </c>
      <c r="F86" s="21">
        <f>(C81-C82)</f>
        <v>3361</v>
      </c>
    </row>
    <row r="87" spans="1:7" s="2" customFormat="1" ht="12" customHeight="1">
      <c r="A87" s="1"/>
    </row>
    <row r="88" spans="1:7" s="2" customFormat="1" ht="16.5" customHeight="1">
      <c r="A88" s="1" t="s">
        <v>1900</v>
      </c>
    </row>
    <row r="89" spans="1:7" s="2" customFormat="1" ht="9.75" customHeight="1" thickBot="1">
      <c r="A89" s="3"/>
    </row>
    <row r="90" spans="1:7" s="2" customFormat="1" ht="16.5" customHeight="1" thickBot="1">
      <c r="A90" s="4" t="s">
        <v>1244</v>
      </c>
      <c r="B90" s="5" t="s">
        <v>1245</v>
      </c>
      <c r="C90" s="5" t="s">
        <v>1248</v>
      </c>
      <c r="D90" s="10"/>
      <c r="E90" s="10" t="s">
        <v>1413</v>
      </c>
      <c r="F90" s="11">
        <f>(36678/65257)</f>
        <v>0.56205464547864592</v>
      </c>
    </row>
    <row r="91" spans="1:7" s="2" customFormat="1" ht="16.5" customHeight="1" thickBot="1">
      <c r="A91" s="6" t="s">
        <v>1440</v>
      </c>
      <c r="B91" s="28" t="s">
        <v>1258</v>
      </c>
      <c r="C91" s="36">
        <v>18199</v>
      </c>
      <c r="D91" s="17">
        <f t="shared" ref="D91:D96" si="6">SUM(C91/$C$97)</f>
        <v>0.49805692391899287</v>
      </c>
      <c r="E91" s="16"/>
    </row>
    <row r="92" spans="1:7" s="2" customFormat="1" ht="16.5" customHeight="1" thickBot="1">
      <c r="A92" s="12" t="s">
        <v>1902</v>
      </c>
      <c r="B92" s="22" t="s">
        <v>1869</v>
      </c>
      <c r="C92" s="8">
        <v>7713</v>
      </c>
      <c r="D92" s="17">
        <f t="shared" si="6"/>
        <v>0.21108374384236453</v>
      </c>
      <c r="E92" s="16"/>
      <c r="G92" s="14"/>
    </row>
    <row r="93" spans="1:7" s="2" customFormat="1" ht="16.5" customHeight="1" thickBot="1">
      <c r="A93" s="12" t="s">
        <v>1442</v>
      </c>
      <c r="B93" s="40" t="s">
        <v>1269</v>
      </c>
      <c r="C93" s="8">
        <v>4174</v>
      </c>
      <c r="D93" s="17">
        <f t="shared" si="6"/>
        <v>0.11423097974822113</v>
      </c>
      <c r="E93" s="16"/>
      <c r="G93" s="14"/>
    </row>
    <row r="94" spans="1:7" s="2" customFormat="1" ht="16.5" customHeight="1" thickBot="1">
      <c r="A94" s="12" t="s">
        <v>1903</v>
      </c>
      <c r="B94" s="42" t="s">
        <v>1878</v>
      </c>
      <c r="C94" s="8">
        <v>3154</v>
      </c>
      <c r="D94" s="17">
        <f t="shared" si="6"/>
        <v>8.6316365626710453E-2</v>
      </c>
      <c r="E94" s="16"/>
      <c r="G94" s="14"/>
    </row>
    <row r="95" spans="1:7" s="2" customFormat="1" ht="16.5" customHeight="1" thickBot="1">
      <c r="A95" s="12" t="s">
        <v>1901</v>
      </c>
      <c r="B95" s="20" t="s">
        <v>1261</v>
      </c>
      <c r="C95" s="8">
        <v>1835</v>
      </c>
      <c r="D95" s="17">
        <f t="shared" si="6"/>
        <v>5.0218938149972636E-2</v>
      </c>
      <c r="E95" s="21"/>
    </row>
    <row r="96" spans="1:7" s="2" customFormat="1" ht="16.5" customHeight="1" thickBot="1">
      <c r="A96" s="12" t="s">
        <v>1439</v>
      </c>
      <c r="B96" s="13" t="s">
        <v>1247</v>
      </c>
      <c r="C96" s="8">
        <v>1465</v>
      </c>
      <c r="D96" s="17">
        <f t="shared" si="6"/>
        <v>4.0093048713738366E-2</v>
      </c>
      <c r="E96" s="21"/>
    </row>
    <row r="97" spans="1:7" s="2" customFormat="1" ht="16.5" customHeight="1">
      <c r="A97" s="75"/>
      <c r="B97" s="76"/>
      <c r="C97" s="23">
        <f>SUM(C91:C96)</f>
        <v>36540</v>
      </c>
      <c r="D97" s="17"/>
      <c r="E97" s="10" t="s">
        <v>1874</v>
      </c>
      <c r="F97" s="21">
        <f>(C91-C92)</f>
        <v>10486</v>
      </c>
    </row>
    <row r="98" spans="1:7" s="2" customFormat="1" ht="12" customHeight="1">
      <c r="A98" s="1"/>
    </row>
    <row r="99" spans="1:7" s="2" customFormat="1" ht="16.5" customHeight="1">
      <c r="A99" s="1" t="s">
        <v>1909</v>
      </c>
    </row>
    <row r="100" spans="1:7" s="2" customFormat="1" ht="9.75" customHeight="1" thickBot="1">
      <c r="A100" s="3"/>
    </row>
    <row r="101" spans="1:7" s="2" customFormat="1" ht="16.5" customHeight="1" thickBot="1">
      <c r="A101" s="4" t="s">
        <v>1244</v>
      </c>
      <c r="B101" s="5" t="s">
        <v>1245</v>
      </c>
      <c r="C101" s="5" t="s">
        <v>1248</v>
      </c>
      <c r="D101" s="10"/>
      <c r="E101" s="10" t="s">
        <v>1413</v>
      </c>
      <c r="F101" s="11">
        <f>(34143/63054)</f>
        <v>0.54148824816823671</v>
      </c>
    </row>
    <row r="102" spans="1:7" s="2" customFormat="1" ht="16.5" customHeight="1" thickBot="1">
      <c r="A102" s="6" t="s">
        <v>1453</v>
      </c>
      <c r="B102" s="28" t="s">
        <v>1258</v>
      </c>
      <c r="C102" s="36">
        <v>11536</v>
      </c>
      <c r="D102" s="17">
        <f t="shared" ref="D102:D107" si="7">SUM(C102/$C$108)</f>
        <v>0.33920432826604724</v>
      </c>
      <c r="E102" s="16"/>
    </row>
    <row r="103" spans="1:7" s="2" customFormat="1" ht="16.5" customHeight="1" thickBot="1">
      <c r="A103" s="12" t="s">
        <v>1904</v>
      </c>
      <c r="B103" s="22" t="s">
        <v>1869</v>
      </c>
      <c r="C103" s="8">
        <v>10353</v>
      </c>
      <c r="D103" s="17">
        <f t="shared" si="7"/>
        <v>0.30441941838924991</v>
      </c>
      <c r="E103" s="16"/>
      <c r="G103" s="14"/>
    </row>
    <row r="104" spans="1:7" s="2" customFormat="1" ht="16.5" customHeight="1" thickBot="1">
      <c r="A104" s="12" t="s">
        <v>1908</v>
      </c>
      <c r="B104" s="13" t="s">
        <v>1247</v>
      </c>
      <c r="C104" s="8">
        <v>4729</v>
      </c>
      <c r="D104" s="17">
        <f t="shared" si="7"/>
        <v>0.13905142756329206</v>
      </c>
      <c r="E104" s="16"/>
      <c r="G104" s="14"/>
    </row>
    <row r="105" spans="1:7" s="2" customFormat="1" ht="16.5" customHeight="1" thickBot="1">
      <c r="A105" s="12" t="s">
        <v>1907</v>
      </c>
      <c r="B105" s="20" t="s">
        <v>1261</v>
      </c>
      <c r="C105" s="8">
        <v>2955</v>
      </c>
      <c r="D105" s="17">
        <f t="shared" si="7"/>
        <v>8.6888764738745627E-2</v>
      </c>
      <c r="E105" s="16"/>
      <c r="G105" s="14"/>
    </row>
    <row r="106" spans="1:7" s="2" customFormat="1" ht="16.5" customHeight="1" thickBot="1">
      <c r="A106" s="12" t="s">
        <v>1905</v>
      </c>
      <c r="B106" s="40" t="s">
        <v>1269</v>
      </c>
      <c r="C106" s="8">
        <v>2607</v>
      </c>
      <c r="D106" s="17">
        <f t="shared" si="7"/>
        <v>7.6656179246669995E-2</v>
      </c>
      <c r="E106" s="21"/>
    </row>
    <row r="107" spans="1:7" s="2" customFormat="1" ht="16.5" customHeight="1" thickBot="1">
      <c r="A107" s="12" t="s">
        <v>1906</v>
      </c>
      <c r="B107" s="42" t="s">
        <v>1878</v>
      </c>
      <c r="C107" s="8">
        <v>1829</v>
      </c>
      <c r="D107" s="17">
        <f t="shared" si="7"/>
        <v>5.3779881795995181E-2</v>
      </c>
      <c r="E107" s="21"/>
    </row>
    <row r="108" spans="1:7" s="2" customFormat="1" ht="16.5" customHeight="1">
      <c r="A108" s="75"/>
      <c r="B108" s="76"/>
      <c r="C108" s="23">
        <f>SUM(C102:C107)</f>
        <v>34009</v>
      </c>
      <c r="D108" s="17"/>
      <c r="E108" s="10" t="s">
        <v>1874</v>
      </c>
      <c r="F108" s="21">
        <f>(C102-C103)</f>
        <v>1183</v>
      </c>
    </row>
    <row r="109" spans="1:7" s="2" customFormat="1" ht="12" customHeight="1">
      <c r="A109" s="1"/>
    </row>
    <row r="110" spans="1:7" s="2" customFormat="1" ht="16.5" customHeight="1">
      <c r="A110" s="1" t="s">
        <v>1910</v>
      </c>
    </row>
    <row r="111" spans="1:7" s="2" customFormat="1" ht="9.75" customHeight="1" thickBot="1">
      <c r="A111" s="3"/>
    </row>
    <row r="112" spans="1:7" s="2" customFormat="1" ht="16.5" customHeight="1" thickBot="1">
      <c r="A112" s="4" t="s">
        <v>1244</v>
      </c>
      <c r="B112" s="5" t="s">
        <v>1245</v>
      </c>
      <c r="C112" s="5" t="s">
        <v>1248</v>
      </c>
      <c r="D112" s="10"/>
      <c r="E112" s="10" t="s">
        <v>1413</v>
      </c>
      <c r="F112" s="11">
        <f>(42579/73338)</f>
        <v>0.58058578090485147</v>
      </c>
    </row>
    <row r="113" spans="1:7" s="2" customFormat="1" ht="16.5" customHeight="1" thickBot="1">
      <c r="A113" s="6" t="s">
        <v>1911</v>
      </c>
      <c r="B113" s="28" t="s">
        <v>1258</v>
      </c>
      <c r="C113" s="36">
        <v>19672</v>
      </c>
      <c r="D113" s="17">
        <f>SUM(C113/$C$120)</f>
        <v>0.4639950939924995</v>
      </c>
      <c r="E113" s="16"/>
    </row>
    <row r="114" spans="1:7" s="2" customFormat="1" ht="16.5" customHeight="1" thickBot="1">
      <c r="A114" s="12" t="s">
        <v>1914</v>
      </c>
      <c r="B114" s="42" t="s">
        <v>1878</v>
      </c>
      <c r="C114" s="8">
        <v>7114</v>
      </c>
      <c r="D114" s="17">
        <f t="shared" ref="D114:D119" si="8">SUM(C114/$C$120)</f>
        <v>0.16779489114795859</v>
      </c>
      <c r="E114" s="16"/>
      <c r="G114" s="14"/>
    </row>
    <row r="115" spans="1:7" s="2" customFormat="1" ht="16.5" customHeight="1" thickBot="1">
      <c r="A115" s="12" t="s">
        <v>1913</v>
      </c>
      <c r="B115" s="13" t="s">
        <v>1247</v>
      </c>
      <c r="C115" s="8">
        <v>5265</v>
      </c>
      <c r="D115" s="17">
        <f t="shared" si="8"/>
        <v>0.12418331485718329</v>
      </c>
      <c r="E115" s="16"/>
      <c r="G115" s="14"/>
    </row>
    <row r="116" spans="1:7" s="2" customFormat="1" ht="16.5" customHeight="1" thickBot="1">
      <c r="A116" s="12" t="s">
        <v>1912</v>
      </c>
      <c r="B116" s="22" t="s">
        <v>1869</v>
      </c>
      <c r="C116" s="8">
        <v>4634</v>
      </c>
      <c r="D116" s="17">
        <f t="shared" si="8"/>
        <v>0.10930018633393872</v>
      </c>
      <c r="E116" s="16"/>
      <c r="G116" s="14"/>
    </row>
    <row r="117" spans="1:7" s="2" customFormat="1" ht="16.5" customHeight="1" thickBot="1">
      <c r="A117" s="12" t="s">
        <v>1469</v>
      </c>
      <c r="B117" s="20" t="s">
        <v>1261</v>
      </c>
      <c r="C117" s="8">
        <v>3738</v>
      </c>
      <c r="D117" s="17">
        <f t="shared" si="8"/>
        <v>8.8166615562421863E-2</v>
      </c>
      <c r="E117" s="21"/>
    </row>
    <row r="118" spans="1:7" s="2" customFormat="1" ht="16.5" customHeight="1" thickBot="1">
      <c r="A118" s="12" t="s">
        <v>1474</v>
      </c>
      <c r="B118" s="40" t="s">
        <v>1269</v>
      </c>
      <c r="C118" s="8">
        <v>1368</v>
      </c>
      <c r="D118" s="17">
        <f t="shared" si="8"/>
        <v>3.2266433945798055E-2</v>
      </c>
      <c r="E118" s="21"/>
    </row>
    <row r="119" spans="1:7" s="2" customFormat="1" ht="16.5" customHeight="1" thickBot="1">
      <c r="A119" s="12" t="s">
        <v>1472</v>
      </c>
      <c r="B119" s="38" t="s">
        <v>1270</v>
      </c>
      <c r="C119" s="8">
        <v>606</v>
      </c>
      <c r="D119" s="17">
        <f t="shared" si="8"/>
        <v>1.4293464160200013E-2</v>
      </c>
      <c r="E119" s="21"/>
    </row>
    <row r="120" spans="1:7" s="2" customFormat="1" ht="16.5" customHeight="1">
      <c r="A120" s="75"/>
      <c r="B120" s="76"/>
      <c r="C120" s="23">
        <f>SUM(C113:C119)</f>
        <v>42397</v>
      </c>
      <c r="D120" s="17"/>
      <c r="E120" s="10" t="s">
        <v>1874</v>
      </c>
      <c r="F120" s="21">
        <f>(C113-C114)</f>
        <v>12558</v>
      </c>
    </row>
    <row r="121" spans="1:7" s="2" customFormat="1" ht="12" customHeight="1">
      <c r="A121" s="1"/>
    </row>
    <row r="122" spans="1:7" s="2" customFormat="1" ht="16.5" customHeight="1">
      <c r="A122" s="1" t="s">
        <v>1915</v>
      </c>
    </row>
    <row r="123" spans="1:7" s="2" customFormat="1" ht="9.75" customHeight="1" thickBot="1">
      <c r="A123" s="3"/>
    </row>
    <row r="124" spans="1:7" s="2" customFormat="1" ht="16.5" customHeight="1" thickBot="1">
      <c r="A124" s="4" t="s">
        <v>1244</v>
      </c>
      <c r="B124" s="5" t="s">
        <v>1245</v>
      </c>
      <c r="C124" s="5" t="s">
        <v>1248</v>
      </c>
      <c r="D124" s="10"/>
      <c r="E124" s="10" t="s">
        <v>1413</v>
      </c>
      <c r="F124" s="11">
        <f>(30640/60204)</f>
        <v>0.50893628330343499</v>
      </c>
    </row>
    <row r="125" spans="1:7" s="2" customFormat="1" ht="16.5" customHeight="1" thickBot="1">
      <c r="A125" s="6" t="s">
        <v>1477</v>
      </c>
      <c r="B125" s="28" t="s">
        <v>1258</v>
      </c>
      <c r="C125" s="36">
        <v>13993</v>
      </c>
      <c r="D125" s="17">
        <f t="shared" ref="D125:D130" si="9">SUM(C125/$C$131)</f>
        <v>0.45875680283260112</v>
      </c>
      <c r="E125" s="16"/>
    </row>
    <row r="126" spans="1:7" s="2" customFormat="1" ht="16.5" customHeight="1" thickBot="1">
      <c r="A126" s="12" t="s">
        <v>1917</v>
      </c>
      <c r="B126" s="22" t="s">
        <v>1869</v>
      </c>
      <c r="C126" s="8">
        <v>7223</v>
      </c>
      <c r="D126" s="17">
        <f t="shared" si="9"/>
        <v>0.23680414399055799</v>
      </c>
      <c r="E126" s="16"/>
      <c r="G126" s="14"/>
    </row>
    <row r="127" spans="1:7" s="2" customFormat="1" ht="16.5" customHeight="1" thickBot="1">
      <c r="A127" s="12" t="s">
        <v>1919</v>
      </c>
      <c r="B127" s="40" t="s">
        <v>1269</v>
      </c>
      <c r="C127" s="8">
        <v>3377</v>
      </c>
      <c r="D127" s="17">
        <f t="shared" si="9"/>
        <v>0.11071405153760409</v>
      </c>
      <c r="E127" s="16"/>
      <c r="G127" s="14"/>
    </row>
    <row r="128" spans="1:7" s="2" customFormat="1" ht="16.5" customHeight="1" thickBot="1">
      <c r="A128" s="12" t="s">
        <v>1486</v>
      </c>
      <c r="B128" s="13" t="s">
        <v>1247</v>
      </c>
      <c r="C128" s="8">
        <v>2064</v>
      </c>
      <c r="D128" s="17">
        <f t="shared" si="9"/>
        <v>6.7667693921710056E-2</v>
      </c>
      <c r="E128" s="16"/>
      <c r="G128" s="14"/>
    </row>
    <row r="129" spans="1:7" s="2" customFormat="1" ht="16.5" customHeight="1" thickBot="1">
      <c r="A129" s="12" t="s">
        <v>1918</v>
      </c>
      <c r="B129" s="20" t="s">
        <v>1261</v>
      </c>
      <c r="C129" s="8">
        <v>2019</v>
      </c>
      <c r="D129" s="17">
        <f t="shared" si="9"/>
        <v>6.6192380827486727E-2</v>
      </c>
      <c r="E129" s="21"/>
    </row>
    <row r="130" spans="1:7" s="2" customFormat="1" ht="16.5" customHeight="1" thickBot="1">
      <c r="A130" s="12" t="s">
        <v>1916</v>
      </c>
      <c r="B130" s="42" t="s">
        <v>1878</v>
      </c>
      <c r="C130" s="8">
        <v>1826</v>
      </c>
      <c r="D130" s="17">
        <f t="shared" si="9"/>
        <v>5.9864926890039999E-2</v>
      </c>
      <c r="E130" s="21"/>
    </row>
    <row r="131" spans="1:7" s="2" customFormat="1" ht="16.5" customHeight="1">
      <c r="A131" s="75"/>
      <c r="B131" s="76"/>
      <c r="C131" s="23">
        <f>SUM(C125:C130)</f>
        <v>30502</v>
      </c>
      <c r="D131" s="17"/>
      <c r="E131" s="10" t="s">
        <v>1874</v>
      </c>
      <c r="F131" s="21">
        <f>(C125-C126)</f>
        <v>6770</v>
      </c>
    </row>
    <row r="132" spans="1:7" s="2" customFormat="1" ht="12" customHeight="1">
      <c r="A132" s="1"/>
    </row>
    <row r="133" spans="1:7" s="2" customFormat="1" ht="16.5" customHeight="1">
      <c r="A133" s="1" t="s">
        <v>1920</v>
      </c>
    </row>
    <row r="134" spans="1:7" s="2" customFormat="1" ht="9.75" customHeight="1" thickBot="1">
      <c r="A134" s="3"/>
    </row>
    <row r="135" spans="1:7" s="2" customFormat="1" ht="16.5" customHeight="1" thickBot="1">
      <c r="A135" s="4" t="s">
        <v>1244</v>
      </c>
      <c r="B135" s="5" t="s">
        <v>1245</v>
      </c>
      <c r="C135" s="5" t="s">
        <v>1248</v>
      </c>
      <c r="D135" s="10"/>
      <c r="E135" s="10" t="s">
        <v>1413</v>
      </c>
      <c r="F135" s="11">
        <f>(32600/60539)</f>
        <v>0.53849584565321529</v>
      </c>
    </row>
    <row r="136" spans="1:7" s="2" customFormat="1" ht="16.5" customHeight="1" thickBot="1">
      <c r="A136" s="6" t="s">
        <v>1921</v>
      </c>
      <c r="B136" s="28" t="s">
        <v>1258</v>
      </c>
      <c r="C136" s="36">
        <v>14926</v>
      </c>
      <c r="D136" s="17">
        <f>SUM(C136/$C$143)</f>
        <v>0.45919089370866023</v>
      </c>
      <c r="E136" s="16"/>
    </row>
    <row r="137" spans="1:7" s="2" customFormat="1" ht="16.5" customHeight="1" thickBot="1">
      <c r="A137" s="12" t="s">
        <v>1922</v>
      </c>
      <c r="B137" s="22" t="s">
        <v>1869</v>
      </c>
      <c r="C137" s="8">
        <v>9050</v>
      </c>
      <c r="D137" s="17">
        <f t="shared" ref="D137:D142" si="10">SUM(C137/$C$143)</f>
        <v>0.27841870481464392</v>
      </c>
      <c r="E137" s="16"/>
      <c r="G137" s="14"/>
    </row>
    <row r="138" spans="1:7" s="2" customFormat="1" ht="16.5" customHeight="1" thickBot="1">
      <c r="A138" s="12" t="s">
        <v>1923</v>
      </c>
      <c r="B138" s="40" t="s">
        <v>1269</v>
      </c>
      <c r="C138" s="8">
        <v>2828</v>
      </c>
      <c r="D138" s="17">
        <f t="shared" si="10"/>
        <v>8.7001999692355017E-2</v>
      </c>
      <c r="E138" s="16"/>
      <c r="G138" s="14"/>
    </row>
    <row r="139" spans="1:7" s="2" customFormat="1" ht="16.5" customHeight="1" thickBot="1">
      <c r="A139" s="12" t="s">
        <v>1925</v>
      </c>
      <c r="B139" s="20" t="s">
        <v>1261</v>
      </c>
      <c r="C139" s="8">
        <v>2164</v>
      </c>
      <c r="D139" s="17">
        <f t="shared" si="10"/>
        <v>6.6574373173357945E-2</v>
      </c>
      <c r="E139" s="16"/>
      <c r="G139" s="14"/>
    </row>
    <row r="140" spans="1:7" s="2" customFormat="1" ht="16.5" customHeight="1" thickBot="1">
      <c r="A140" s="12" t="s">
        <v>1927</v>
      </c>
      <c r="B140" s="42" t="s">
        <v>1878</v>
      </c>
      <c r="C140" s="8">
        <v>1814</v>
      </c>
      <c r="D140" s="17">
        <f t="shared" si="10"/>
        <v>5.5806798954007072E-2</v>
      </c>
      <c r="E140" s="21"/>
    </row>
    <row r="141" spans="1:7" s="2" customFormat="1" ht="16.5" customHeight="1" thickBot="1">
      <c r="A141" s="12" t="s">
        <v>1924</v>
      </c>
      <c r="B141" s="13" t="s">
        <v>1247</v>
      </c>
      <c r="C141" s="8">
        <v>1161</v>
      </c>
      <c r="D141" s="17">
        <f t="shared" si="10"/>
        <v>3.5717581910475311E-2</v>
      </c>
      <c r="E141" s="21"/>
    </row>
    <row r="142" spans="1:7" s="2" customFormat="1" ht="16.5" customHeight="1" thickBot="1">
      <c r="A142" s="12" t="s">
        <v>1926</v>
      </c>
      <c r="B142" s="39" t="s">
        <v>1320</v>
      </c>
      <c r="C142" s="8">
        <v>562</v>
      </c>
      <c r="D142" s="17">
        <f t="shared" si="10"/>
        <v>1.7289647746500537E-2</v>
      </c>
      <c r="E142" s="21"/>
    </row>
    <row r="143" spans="1:7" s="2" customFormat="1" ht="16.5" customHeight="1">
      <c r="A143" s="75"/>
      <c r="B143" s="76"/>
      <c r="C143" s="23">
        <f>SUM(C136:C142)</f>
        <v>32505</v>
      </c>
      <c r="D143" s="17"/>
      <c r="E143" s="10" t="s">
        <v>1874</v>
      </c>
      <c r="F143" s="21">
        <f>(C136-C137)</f>
        <v>5876</v>
      </c>
    </row>
    <row r="144" spans="1:7" s="2" customFormat="1" ht="12" customHeight="1">
      <c r="A144" s="1"/>
    </row>
    <row r="145" spans="1:12" s="2" customFormat="1" ht="16.5" customHeight="1">
      <c r="A145" s="1" t="s">
        <v>1932</v>
      </c>
    </row>
    <row r="146" spans="1:12" s="2" customFormat="1" ht="9.75" customHeight="1" thickBot="1">
      <c r="A146" s="3"/>
    </row>
    <row r="147" spans="1:12" s="2" customFormat="1" ht="16.5" customHeight="1" thickBot="1">
      <c r="A147" s="4" t="s">
        <v>1244</v>
      </c>
      <c r="B147" s="5" t="s">
        <v>1245</v>
      </c>
      <c r="C147" s="5" t="s">
        <v>1248</v>
      </c>
      <c r="D147" s="10"/>
      <c r="E147" s="10" t="s">
        <v>1413</v>
      </c>
      <c r="F147" s="11">
        <f>(33543/60698)</f>
        <v>0.55262117367952812</v>
      </c>
    </row>
    <row r="148" spans="1:12" s="2" customFormat="1" ht="16.5" customHeight="1" thickBot="1">
      <c r="A148" s="6" t="s">
        <v>1928</v>
      </c>
      <c r="B148" s="77" t="s">
        <v>1270</v>
      </c>
      <c r="C148" s="36">
        <v>21181</v>
      </c>
      <c r="D148" s="17">
        <f>SUM(C148/$C$155)</f>
        <v>0.63262746035064665</v>
      </c>
      <c r="E148" s="16"/>
    </row>
    <row r="149" spans="1:12" s="2" customFormat="1" ht="16.5" customHeight="1" thickBot="1">
      <c r="A149" s="12" t="s">
        <v>1929</v>
      </c>
      <c r="B149" s="22" t="s">
        <v>1869</v>
      </c>
      <c r="C149" s="8">
        <v>6817</v>
      </c>
      <c r="D149" s="17">
        <f t="shared" ref="D149:D154" si="11">SUM(C149/$C$155)</f>
        <v>0.20360801648696275</v>
      </c>
      <c r="E149" s="16"/>
      <c r="G149" s="14"/>
    </row>
    <row r="150" spans="1:12" s="2" customFormat="1" ht="16.5" customHeight="1" thickBot="1">
      <c r="A150" s="12" t="s">
        <v>1509</v>
      </c>
      <c r="B150" s="40" t="s">
        <v>1269</v>
      </c>
      <c r="C150" s="8">
        <v>1876</v>
      </c>
      <c r="D150" s="17">
        <f t="shared" si="11"/>
        <v>5.6031779218063973E-2</v>
      </c>
      <c r="E150" s="16"/>
      <c r="G150" s="14"/>
    </row>
    <row r="151" spans="1:12" s="2" customFormat="1" ht="16.5" customHeight="1" thickBot="1">
      <c r="A151" s="12" t="s">
        <v>1933</v>
      </c>
      <c r="B151" s="42" t="s">
        <v>1878</v>
      </c>
      <c r="C151" s="8">
        <v>1634</v>
      </c>
      <c r="D151" s="17">
        <f t="shared" si="11"/>
        <v>4.8803799169678322E-2</v>
      </c>
      <c r="E151" s="16"/>
      <c r="G151" s="14"/>
    </row>
    <row r="152" spans="1:12" s="2" customFormat="1" ht="16.5" customHeight="1" thickBot="1">
      <c r="A152" s="12" t="s">
        <v>1931</v>
      </c>
      <c r="B152" s="39" t="s">
        <v>1320</v>
      </c>
      <c r="C152" s="8">
        <v>1043</v>
      </c>
      <c r="D152" s="17">
        <f t="shared" si="11"/>
        <v>3.1151996654819152E-2</v>
      </c>
      <c r="E152" s="21"/>
    </row>
    <row r="153" spans="1:12" s="2" customFormat="1" ht="16.5" customHeight="1" thickBot="1">
      <c r="A153" s="12" t="s">
        <v>1817</v>
      </c>
      <c r="B153" s="20" t="s">
        <v>1261</v>
      </c>
      <c r="C153" s="8">
        <v>680</v>
      </c>
      <c r="D153" s="17">
        <f t="shared" si="11"/>
        <v>2.0310026582240674E-2</v>
      </c>
      <c r="E153" s="21"/>
    </row>
    <row r="154" spans="1:12" s="2" customFormat="1" ht="16.5" customHeight="1" thickBot="1">
      <c r="A154" s="12" t="s">
        <v>1930</v>
      </c>
      <c r="B154" s="13" t="s">
        <v>1247</v>
      </c>
      <c r="C154" s="8">
        <v>250</v>
      </c>
      <c r="D154" s="17">
        <f t="shared" si="11"/>
        <v>7.4669215375884829E-3</v>
      </c>
      <c r="E154" s="21"/>
    </row>
    <row r="155" spans="1:12" s="2" customFormat="1" ht="16.5" customHeight="1">
      <c r="A155" s="75"/>
      <c r="B155" s="76"/>
      <c r="C155" s="23">
        <f>SUM(C148:C154)</f>
        <v>33481</v>
      </c>
      <c r="D155" s="17"/>
      <c r="E155" s="10" t="s">
        <v>1874</v>
      </c>
      <c r="F155" s="21">
        <f>(C148-C149)</f>
        <v>14364</v>
      </c>
    </row>
    <row r="156" spans="1:12" s="2" customFormat="1" ht="12" customHeight="1">
      <c r="A156" s="1"/>
      <c r="E156"/>
      <c r="L156"/>
    </row>
    <row r="157" spans="1:12" s="2" customFormat="1" ht="16.5" customHeight="1">
      <c r="A157" s="1" t="s">
        <v>1934</v>
      </c>
    </row>
    <row r="158" spans="1:12" s="2" customFormat="1" ht="9.75" customHeight="1" thickBot="1">
      <c r="A158" s="3"/>
    </row>
    <row r="159" spans="1:12" s="2" customFormat="1" ht="16.5" customHeight="1" thickBot="1">
      <c r="A159" s="4" t="s">
        <v>1244</v>
      </c>
      <c r="B159" s="5" t="s">
        <v>1245</v>
      </c>
      <c r="C159" s="5" t="s">
        <v>1248</v>
      </c>
      <c r="D159" s="10"/>
      <c r="E159" s="10" t="s">
        <v>1413</v>
      </c>
      <c r="F159" s="11">
        <f>(37233/65504)</f>
        <v>0.56840803615046409</v>
      </c>
    </row>
    <row r="160" spans="1:12" s="2" customFormat="1" ht="16.5" customHeight="1" thickBot="1">
      <c r="A160" s="6" t="s">
        <v>1695</v>
      </c>
      <c r="B160" s="28" t="s">
        <v>1258</v>
      </c>
      <c r="C160" s="36">
        <v>14812</v>
      </c>
      <c r="D160" s="17">
        <f t="shared" ref="D160:D165" si="12">SUM(C160/$C$166)</f>
        <v>0.40040007568999542</v>
      </c>
      <c r="E160" s="16"/>
    </row>
    <row r="161" spans="1:7" s="2" customFormat="1" ht="16.5" customHeight="1" thickBot="1">
      <c r="A161" s="12" t="s">
        <v>1939</v>
      </c>
      <c r="B161" s="13" t="s">
        <v>1247</v>
      </c>
      <c r="C161" s="8">
        <v>12588</v>
      </c>
      <c r="D161" s="17">
        <f t="shared" si="12"/>
        <v>0.34028059362582108</v>
      </c>
      <c r="E161" s="16"/>
      <c r="G161" s="14"/>
    </row>
    <row r="162" spans="1:7" s="2" customFormat="1" ht="16.5" customHeight="1" thickBot="1">
      <c r="A162" s="12" t="s">
        <v>1937</v>
      </c>
      <c r="B162" s="20" t="s">
        <v>1261</v>
      </c>
      <c r="C162" s="8">
        <v>4544</v>
      </c>
      <c r="D162" s="17">
        <f t="shared" si="12"/>
        <v>0.12283404968507555</v>
      </c>
      <c r="E162" s="16"/>
      <c r="G162" s="14"/>
    </row>
    <row r="163" spans="1:7" s="2" customFormat="1" ht="16.5" customHeight="1" thickBot="1">
      <c r="A163" s="12" t="s">
        <v>1935</v>
      </c>
      <c r="B163" s="22" t="s">
        <v>1869</v>
      </c>
      <c r="C163" s="8">
        <v>2837</v>
      </c>
      <c r="D163" s="17">
        <f t="shared" si="12"/>
        <v>7.669018462952451E-2</v>
      </c>
      <c r="E163" s="16"/>
      <c r="G163" s="14"/>
    </row>
    <row r="164" spans="1:7" s="2" customFormat="1" ht="16.5" customHeight="1" thickBot="1">
      <c r="A164" s="12" t="s">
        <v>1936</v>
      </c>
      <c r="B164" s="40" t="s">
        <v>1269</v>
      </c>
      <c r="C164" s="8">
        <v>1809</v>
      </c>
      <c r="D164" s="17">
        <f t="shared" si="12"/>
        <v>4.8901143459573436E-2</v>
      </c>
      <c r="E164" s="21"/>
    </row>
    <row r="165" spans="1:7" s="2" customFormat="1" ht="16.5" customHeight="1" thickBot="1">
      <c r="A165" s="12" t="s">
        <v>1938</v>
      </c>
      <c r="B165" s="78" t="s">
        <v>1270</v>
      </c>
      <c r="C165" s="8">
        <v>403</v>
      </c>
      <c r="D165" s="17">
        <f t="shared" si="12"/>
        <v>1.0893952910010002E-2</v>
      </c>
      <c r="E165" s="21"/>
    </row>
    <row r="166" spans="1:7" s="2" customFormat="1" ht="16.5" customHeight="1">
      <c r="A166" s="75"/>
      <c r="B166" s="76"/>
      <c r="C166" s="23">
        <f>SUM(C160:C165)</f>
        <v>36993</v>
      </c>
      <c r="D166" s="17"/>
      <c r="E166" s="10" t="s">
        <v>1874</v>
      </c>
      <c r="F166" s="21">
        <f>(C160-C161)</f>
        <v>2224</v>
      </c>
    </row>
    <row r="167" spans="1:7" s="2" customFormat="1" ht="12" customHeight="1">
      <c r="A167" s="1"/>
    </row>
    <row r="168" spans="1:7" s="2" customFormat="1" ht="16.5" customHeight="1">
      <c r="A168" s="1" t="s">
        <v>1940</v>
      </c>
    </row>
    <row r="169" spans="1:7" s="2" customFormat="1" ht="9.75" customHeight="1" thickBot="1">
      <c r="A169" s="3"/>
    </row>
    <row r="170" spans="1:7" s="2" customFormat="1" ht="16.5" customHeight="1" thickBot="1">
      <c r="A170" s="4" t="s">
        <v>1244</v>
      </c>
      <c r="B170" s="5" t="s">
        <v>1245</v>
      </c>
      <c r="C170" s="5" t="s">
        <v>1248</v>
      </c>
      <c r="D170" s="10"/>
      <c r="E170" s="10" t="s">
        <v>1413</v>
      </c>
      <c r="F170" s="11">
        <f>(32682/59522)</f>
        <v>0.54907429185847245</v>
      </c>
    </row>
    <row r="171" spans="1:7" s="2" customFormat="1" ht="16.5" customHeight="1" thickBot="1">
      <c r="A171" s="6" t="s">
        <v>1709</v>
      </c>
      <c r="B171" s="25" t="s">
        <v>1247</v>
      </c>
      <c r="C171" s="36">
        <v>22840</v>
      </c>
      <c r="D171" s="17">
        <f>SUM(C171/$C$176)</f>
        <v>0.71079575514268822</v>
      </c>
      <c r="E171" s="16"/>
    </row>
    <row r="172" spans="1:7" s="2" customFormat="1" ht="16.5" customHeight="1" thickBot="1">
      <c r="A172" s="12" t="s">
        <v>1941</v>
      </c>
      <c r="B172" s="20" t="s">
        <v>1261</v>
      </c>
      <c r="C172" s="8">
        <v>5261</v>
      </c>
      <c r="D172" s="17">
        <f>SUM(C172/$C$176)</f>
        <v>0.16372576479009118</v>
      </c>
      <c r="E172" s="16"/>
      <c r="G172" s="14"/>
    </row>
    <row r="173" spans="1:7" s="2" customFormat="1" ht="16.5" customHeight="1" thickBot="1">
      <c r="A173" s="12" t="s">
        <v>1699</v>
      </c>
      <c r="B173" s="27" t="s">
        <v>1258</v>
      </c>
      <c r="C173" s="8">
        <v>2436</v>
      </c>
      <c r="D173" s="17">
        <f>SUM(C173/$C$176)</f>
        <v>7.5809915040612449E-2</v>
      </c>
      <c r="E173" s="16"/>
      <c r="G173" s="14"/>
    </row>
    <row r="174" spans="1:7" s="2" customFormat="1" ht="16.5" customHeight="1" thickBot="1">
      <c r="A174" s="12" t="s">
        <v>1942</v>
      </c>
      <c r="B174" s="22" t="s">
        <v>1869</v>
      </c>
      <c r="C174" s="8">
        <v>1000</v>
      </c>
      <c r="D174" s="17">
        <f>SUM(C174/$C$176)</f>
        <v>3.1120654778576541E-2</v>
      </c>
      <c r="E174" s="16"/>
      <c r="G174" s="14"/>
    </row>
    <row r="175" spans="1:7" s="2" customFormat="1" ht="16.5" customHeight="1" thickBot="1">
      <c r="A175" s="12" t="s">
        <v>1397</v>
      </c>
      <c r="B175" s="40" t="s">
        <v>1269</v>
      </c>
      <c r="C175" s="8">
        <v>596</v>
      </c>
      <c r="D175" s="17">
        <f>SUM(C175/$C$176)</f>
        <v>1.8547910248031617E-2</v>
      </c>
      <c r="E175" s="21"/>
    </row>
    <row r="176" spans="1:7" s="2" customFormat="1" ht="16.5" customHeight="1">
      <c r="A176" s="75"/>
      <c r="B176" s="76"/>
      <c r="C176" s="23">
        <f>SUM(C171:C175)</f>
        <v>32133</v>
      </c>
      <c r="D176" s="17"/>
      <c r="E176" s="10" t="s">
        <v>1874</v>
      </c>
      <c r="F176" s="21">
        <f>(C171-C172)</f>
        <v>17579</v>
      </c>
    </row>
    <row r="177" spans="1:7" s="2" customFormat="1" ht="12" customHeight="1">
      <c r="A177" s="1"/>
    </row>
    <row r="178" spans="1:7" s="2" customFormat="1" ht="16.5" customHeight="1">
      <c r="A178" s="1" t="s">
        <v>1943</v>
      </c>
    </row>
    <row r="179" spans="1:7" s="2" customFormat="1" ht="9.75" customHeight="1" thickBot="1">
      <c r="A179" s="3"/>
    </row>
    <row r="180" spans="1:7" s="2" customFormat="1" ht="16.5" customHeight="1" thickBot="1">
      <c r="A180" s="4" t="s">
        <v>1244</v>
      </c>
      <c r="B180" s="5" t="s">
        <v>1245</v>
      </c>
      <c r="C180" s="5" t="s">
        <v>1248</v>
      </c>
      <c r="D180" s="10"/>
      <c r="E180" s="10" t="s">
        <v>1413</v>
      </c>
      <c r="F180" s="11">
        <f>(34359/59524)</f>
        <v>0.5772293528660708</v>
      </c>
    </row>
    <row r="181" spans="1:7" s="2" customFormat="1" ht="16.5" customHeight="1" thickBot="1">
      <c r="A181" s="6" t="s">
        <v>1685</v>
      </c>
      <c r="B181" s="7" t="s">
        <v>1261</v>
      </c>
      <c r="C181" s="36">
        <v>14026</v>
      </c>
      <c r="D181" s="17">
        <f>SUM(C181/$C$186)</f>
        <v>0.41028491195226113</v>
      </c>
      <c r="E181" s="16"/>
    </row>
    <row r="182" spans="1:7" s="2" customFormat="1" ht="16.5" customHeight="1" thickBot="1">
      <c r="A182" s="12" t="s">
        <v>1677</v>
      </c>
      <c r="B182" s="27" t="s">
        <v>1258</v>
      </c>
      <c r="C182" s="8">
        <v>8100</v>
      </c>
      <c r="D182" s="17">
        <f>SUM(C182/$C$186)</f>
        <v>0.23693909787632364</v>
      </c>
      <c r="E182" s="16"/>
      <c r="G182" s="14"/>
    </row>
    <row r="183" spans="1:7" s="2" customFormat="1" ht="16.5" customHeight="1" thickBot="1">
      <c r="A183" s="12" t="s">
        <v>1945</v>
      </c>
      <c r="B183" s="22" t="s">
        <v>1869</v>
      </c>
      <c r="C183" s="8">
        <v>5910</v>
      </c>
      <c r="D183" s="17">
        <f>SUM(C183/$C$186)</f>
        <v>0.17287778622828059</v>
      </c>
      <c r="E183" s="16"/>
      <c r="G183" s="14"/>
    </row>
    <row r="184" spans="1:7" s="2" customFormat="1" ht="16.5" customHeight="1" thickBot="1">
      <c r="A184" s="12" t="s">
        <v>1678</v>
      </c>
      <c r="B184" s="40" t="s">
        <v>1269</v>
      </c>
      <c r="C184" s="8">
        <v>5114</v>
      </c>
      <c r="D184" s="17">
        <f>SUM(C184/$C$186)</f>
        <v>0.14959340080734804</v>
      </c>
      <c r="E184" s="16"/>
      <c r="G184" s="14"/>
    </row>
    <row r="185" spans="1:7" s="2" customFormat="1" ht="16.5" customHeight="1" thickBot="1">
      <c r="A185" s="12" t="s">
        <v>1944</v>
      </c>
      <c r="B185" s="39" t="s">
        <v>1320</v>
      </c>
      <c r="C185" s="8">
        <v>1036</v>
      </c>
      <c r="D185" s="17">
        <f>SUM(C185/$C$186)</f>
        <v>3.0304803135786578E-2</v>
      </c>
      <c r="E185" s="21"/>
    </row>
    <row r="186" spans="1:7" s="2" customFormat="1" ht="16.5" customHeight="1">
      <c r="A186" s="75"/>
      <c r="B186" s="76"/>
      <c r="C186" s="23">
        <f>SUM(C181:C185)</f>
        <v>34186</v>
      </c>
      <c r="D186" s="17"/>
      <c r="E186" s="10" t="s">
        <v>1874</v>
      </c>
      <c r="F186" s="21">
        <f>(C181-C182)</f>
        <v>5926</v>
      </c>
    </row>
    <row r="187" spans="1:7" s="2" customFormat="1" ht="12" customHeight="1">
      <c r="A187" s="1"/>
    </row>
    <row r="188" spans="1:7" s="2" customFormat="1" ht="16.5" customHeight="1">
      <c r="A188" s="1" t="s">
        <v>1946</v>
      </c>
    </row>
    <row r="189" spans="1:7" s="2" customFormat="1" ht="9.75" customHeight="1" thickBot="1">
      <c r="A189" s="3"/>
    </row>
    <row r="190" spans="1:7" s="2" customFormat="1" ht="16.5" customHeight="1" thickBot="1">
      <c r="A190" s="4" t="s">
        <v>1244</v>
      </c>
      <c r="B190" s="5" t="s">
        <v>1245</v>
      </c>
      <c r="C190" s="5" t="s">
        <v>1248</v>
      </c>
      <c r="D190" s="10"/>
      <c r="E190" s="10" t="s">
        <v>1413</v>
      </c>
      <c r="F190" s="11">
        <f>(34612/59007)</f>
        <v>0.5865744742149237</v>
      </c>
    </row>
    <row r="191" spans="1:7" s="2" customFormat="1" ht="16.5" customHeight="1" thickBot="1">
      <c r="A191" s="6" t="s">
        <v>1856</v>
      </c>
      <c r="B191" s="79" t="s">
        <v>1269</v>
      </c>
      <c r="C191" s="36">
        <v>12839</v>
      </c>
      <c r="D191" s="17">
        <f t="shared" ref="D191:D196" si="13">SUM(C191/$C$197)</f>
        <v>0.37227441428902808</v>
      </c>
      <c r="E191" s="16"/>
    </row>
    <row r="192" spans="1:7" s="2" customFormat="1" ht="16.5" customHeight="1" thickBot="1">
      <c r="A192" s="12" t="s">
        <v>1660</v>
      </c>
      <c r="B192" s="27" t="s">
        <v>1258</v>
      </c>
      <c r="C192" s="8">
        <v>11306</v>
      </c>
      <c r="D192" s="17">
        <f t="shared" si="13"/>
        <v>0.32782417072604964</v>
      </c>
      <c r="E192" s="16"/>
      <c r="G192" s="14"/>
    </row>
    <row r="193" spans="1:7" s="2" customFormat="1" ht="16.5" customHeight="1" thickBot="1">
      <c r="A193" s="12" t="s">
        <v>1947</v>
      </c>
      <c r="B193" s="22" t="s">
        <v>1869</v>
      </c>
      <c r="C193" s="8">
        <v>7305</v>
      </c>
      <c r="D193" s="17">
        <f t="shared" si="13"/>
        <v>0.21181280445372302</v>
      </c>
      <c r="E193" s="16"/>
      <c r="G193" s="14"/>
    </row>
    <row r="194" spans="1:7" s="2" customFormat="1" ht="16.5" customHeight="1" thickBot="1">
      <c r="A194" s="12" t="s">
        <v>1948</v>
      </c>
      <c r="B194" s="42" t="s">
        <v>1878</v>
      </c>
      <c r="C194" s="8">
        <v>1856</v>
      </c>
      <c r="D194" s="17">
        <f t="shared" si="13"/>
        <v>5.3815819995360704E-2</v>
      </c>
      <c r="E194" s="16"/>
      <c r="G194" s="14"/>
    </row>
    <row r="195" spans="1:7" s="2" customFormat="1" ht="16.5" customHeight="1" thickBot="1">
      <c r="A195" s="12" t="s">
        <v>1667</v>
      </c>
      <c r="B195" s="13" t="s">
        <v>1247</v>
      </c>
      <c r="C195" s="8">
        <v>817</v>
      </c>
      <c r="D195" s="17">
        <f t="shared" si="13"/>
        <v>2.3689399211319878E-2</v>
      </c>
      <c r="E195" s="21"/>
    </row>
    <row r="196" spans="1:7" s="2" customFormat="1" ht="16.5" customHeight="1" thickBot="1">
      <c r="A196" s="12" t="s">
        <v>1669</v>
      </c>
      <c r="B196" s="20" t="s">
        <v>1261</v>
      </c>
      <c r="C196" s="8">
        <v>365</v>
      </c>
      <c r="D196" s="17">
        <f t="shared" si="13"/>
        <v>1.0583391324518673E-2</v>
      </c>
      <c r="E196" s="21"/>
    </row>
    <row r="197" spans="1:7" s="2" customFormat="1" ht="16.5" customHeight="1">
      <c r="A197" s="75"/>
      <c r="B197" s="76"/>
      <c r="C197" s="23">
        <f>SUM(C191:C196)</f>
        <v>34488</v>
      </c>
      <c r="D197" s="17"/>
      <c r="E197" s="10" t="s">
        <v>1874</v>
      </c>
      <c r="F197" s="21">
        <f>(C191-C192)</f>
        <v>1533</v>
      </c>
    </row>
    <row r="199" spans="1:7" ht="15">
      <c r="A199" s="104" t="s">
        <v>1072</v>
      </c>
    </row>
    <row r="200" spans="1:7" s="2" customFormat="1" ht="16.5" customHeight="1">
      <c r="A200" s="1" t="s">
        <v>1201</v>
      </c>
    </row>
    <row r="201" spans="1:7" s="2" customFormat="1" ht="9.75" customHeight="1" thickBot="1">
      <c r="A201" s="3"/>
    </row>
    <row r="202" spans="1:7" s="2" customFormat="1" ht="16.5" customHeight="1" thickBot="1">
      <c r="A202" s="4" t="s">
        <v>1244</v>
      </c>
      <c r="B202" s="5" t="s">
        <v>1245</v>
      </c>
      <c r="C202" s="5" t="s">
        <v>1248</v>
      </c>
      <c r="D202" s="10"/>
      <c r="E202" s="10" t="s">
        <v>1413</v>
      </c>
      <c r="F202" s="11">
        <f>(23057/61441)</f>
        <v>0.37527058478865905</v>
      </c>
    </row>
    <row r="203" spans="1:7" s="2" customFormat="1" ht="16.5" customHeight="1" thickBot="1">
      <c r="A203" s="6" t="s">
        <v>1712</v>
      </c>
      <c r="B203" s="25" t="s">
        <v>1247</v>
      </c>
      <c r="C203" s="36">
        <v>16211</v>
      </c>
      <c r="D203" s="17">
        <f t="shared" ref="D203:D208" si="14">SUM(C203/$C$209)</f>
        <v>0.70633087882880918</v>
      </c>
      <c r="E203" s="16"/>
    </row>
    <row r="204" spans="1:7" s="2" customFormat="1" ht="16.5" customHeight="1" thickBot="1">
      <c r="A204" s="12" t="s">
        <v>1941</v>
      </c>
      <c r="B204" s="20" t="s">
        <v>1261</v>
      </c>
      <c r="C204" s="8">
        <v>3088</v>
      </c>
      <c r="D204" s="17">
        <f t="shared" si="14"/>
        <v>0.13454751426953074</v>
      </c>
      <c r="E204" s="16"/>
      <c r="G204" s="14"/>
    </row>
    <row r="205" spans="1:7" s="2" customFormat="1" ht="16.5" customHeight="1" thickBot="1">
      <c r="A205" s="12" t="s">
        <v>1178</v>
      </c>
      <c r="B205" s="38" t="s">
        <v>1717</v>
      </c>
      <c r="C205" s="8">
        <v>1751</v>
      </c>
      <c r="D205" s="17">
        <f t="shared" si="14"/>
        <v>7.6292971983791549E-2</v>
      </c>
      <c r="E205" s="16"/>
      <c r="G205" s="14"/>
    </row>
    <row r="206" spans="1:7" s="2" customFormat="1" ht="16.5" customHeight="1" thickBot="1">
      <c r="A206" s="12" t="s">
        <v>808</v>
      </c>
      <c r="B206" s="27" t="s">
        <v>1258</v>
      </c>
      <c r="C206" s="8">
        <v>1393</v>
      </c>
      <c r="D206" s="17">
        <f t="shared" si="14"/>
        <v>6.0694523114461246E-2</v>
      </c>
      <c r="E206" s="16"/>
      <c r="G206" s="14"/>
    </row>
    <row r="207" spans="1:7" s="2" customFormat="1" ht="16.5" customHeight="1" thickBot="1">
      <c r="A207" s="12" t="s">
        <v>1942</v>
      </c>
      <c r="B207" s="22" t="s">
        <v>1257</v>
      </c>
      <c r="C207" s="8">
        <v>386</v>
      </c>
      <c r="D207" s="17">
        <f t="shared" si="14"/>
        <v>1.6818439283691342E-2</v>
      </c>
      <c r="E207" s="21"/>
    </row>
    <row r="208" spans="1:7" s="2" customFormat="1" ht="16.5" customHeight="1" thickBot="1">
      <c r="A208" s="12" t="s">
        <v>1199</v>
      </c>
      <c r="B208" s="40" t="s">
        <v>1269</v>
      </c>
      <c r="C208" s="8">
        <v>122</v>
      </c>
      <c r="D208" s="17">
        <f t="shared" si="14"/>
        <v>5.3156725197159166E-3</v>
      </c>
      <c r="E208" s="21"/>
    </row>
    <row r="209" spans="1:6" s="2" customFormat="1" ht="16.5" customHeight="1">
      <c r="A209" s="75"/>
      <c r="B209" s="76"/>
      <c r="C209" s="23">
        <f>SUM(C203:C208)</f>
        <v>22951</v>
      </c>
      <c r="D209" s="17"/>
      <c r="E209" s="10" t="s">
        <v>1874</v>
      </c>
      <c r="F209" s="21">
        <f>(C203-C204)</f>
        <v>13123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5"/>
  <dimension ref="A1:L194"/>
  <sheetViews>
    <sheetView workbookViewId="0">
      <selection activeCell="K1" sqref="K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826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(49351/66415)</f>
        <v>0.74307008958819543</v>
      </c>
    </row>
    <row r="4" spans="1:7" s="2" customFormat="1" ht="16.5" customHeight="1" thickBot="1">
      <c r="A4" s="6" t="s">
        <v>1328</v>
      </c>
      <c r="B4" s="25" t="s">
        <v>1247</v>
      </c>
      <c r="C4" s="36">
        <v>18638</v>
      </c>
      <c r="D4" s="17">
        <f>SUM(C4/$C$8)</f>
        <v>0.3819810218678909</v>
      </c>
      <c r="E4" s="16"/>
    </row>
    <row r="5" spans="1:7" s="2" customFormat="1" ht="16.5" customHeight="1" thickBot="1">
      <c r="A5" s="12" t="s">
        <v>1260</v>
      </c>
      <c r="B5" s="27" t="s">
        <v>1258</v>
      </c>
      <c r="C5" s="8">
        <v>14056</v>
      </c>
      <c r="D5" s="17">
        <f>SUM(C5/$C$8)</f>
        <v>0.2880741089910438</v>
      </c>
      <c r="E5" s="16"/>
      <c r="G5" s="14"/>
    </row>
    <row r="6" spans="1:7" s="2" customFormat="1" ht="16.5" customHeight="1" thickBot="1">
      <c r="A6" s="12" t="s">
        <v>1256</v>
      </c>
      <c r="B6" s="22" t="s">
        <v>1257</v>
      </c>
      <c r="C6" s="8">
        <v>8869</v>
      </c>
      <c r="D6" s="17">
        <f>SUM(C6/$C$8)</f>
        <v>0.18176787653966758</v>
      </c>
      <c r="E6" s="16"/>
      <c r="G6" s="14"/>
    </row>
    <row r="7" spans="1:7" s="2" customFormat="1" ht="16.5" customHeight="1" thickBot="1">
      <c r="A7" s="12" t="s">
        <v>1951</v>
      </c>
      <c r="B7" s="20" t="s">
        <v>1261</v>
      </c>
      <c r="C7" s="8">
        <v>7230</v>
      </c>
      <c r="D7" s="17">
        <f>SUM(C7/$C$8)</f>
        <v>0.14817699260139774</v>
      </c>
      <c r="E7" s="21"/>
    </row>
    <row r="8" spans="1:7" s="2" customFormat="1" ht="16.5" customHeight="1">
      <c r="A8" s="75"/>
      <c r="B8" s="76"/>
      <c r="C8" s="23">
        <f>SUM(C4:C7)</f>
        <v>48793</v>
      </c>
      <c r="D8" s="17"/>
      <c r="E8" s="10" t="s">
        <v>1874</v>
      </c>
      <c r="F8" s="21">
        <f>(C4-C5)</f>
        <v>4582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2373</v>
      </c>
      <c r="D10" s="11"/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(44010/59842)</f>
        <v>0.73543664984459078</v>
      </c>
    </row>
    <row r="13" spans="1:7" s="2" customFormat="1" ht="16.5" customHeight="1" thickBot="1">
      <c r="A13" s="6" t="s">
        <v>1341</v>
      </c>
      <c r="B13" s="25" t="s">
        <v>1247</v>
      </c>
      <c r="C13" s="36">
        <v>16910</v>
      </c>
      <c r="D13" s="17">
        <f>SUM(C13/$C$18)</f>
        <v>0.38885184078000323</v>
      </c>
      <c r="E13" s="16"/>
    </row>
    <row r="14" spans="1:7" s="2" customFormat="1" ht="16.5" customHeight="1" thickBot="1">
      <c r="A14" s="12" t="s">
        <v>1725</v>
      </c>
      <c r="B14" s="38" t="s">
        <v>1270</v>
      </c>
      <c r="C14" s="8">
        <v>11905</v>
      </c>
      <c r="D14" s="17">
        <f>SUM(C14/$C$18)</f>
        <v>0.27375997424517673</v>
      </c>
      <c r="E14" s="16"/>
      <c r="G14" s="14"/>
    </row>
    <row r="15" spans="1:7" s="2" customFormat="1" ht="16.5" customHeight="1" thickBot="1">
      <c r="A15" s="12" t="s">
        <v>1272</v>
      </c>
      <c r="B15" s="27" t="s">
        <v>1258</v>
      </c>
      <c r="C15" s="8">
        <v>7742</v>
      </c>
      <c r="D15" s="17">
        <f>SUM(C15/$C$18)</f>
        <v>0.17803021592659876</v>
      </c>
      <c r="E15" s="16"/>
      <c r="G15" s="14"/>
    </row>
    <row r="16" spans="1:7" s="2" customFormat="1" ht="16.5" customHeight="1" thickBot="1">
      <c r="A16" s="12" t="s">
        <v>1968</v>
      </c>
      <c r="B16" s="20" t="s">
        <v>1261</v>
      </c>
      <c r="C16" s="8">
        <v>3949</v>
      </c>
      <c r="D16" s="17">
        <f>SUM(C16/$C$18)</f>
        <v>9.0808747441764204E-2</v>
      </c>
      <c r="E16" s="16"/>
      <c r="G16" s="14"/>
    </row>
    <row r="17" spans="1:7" s="2" customFormat="1" ht="16.5" customHeight="1" thickBot="1">
      <c r="A17" s="12" t="s">
        <v>1971</v>
      </c>
      <c r="B17" s="22" t="s">
        <v>1257</v>
      </c>
      <c r="C17" s="8">
        <v>2981</v>
      </c>
      <c r="D17" s="17">
        <f>SUM(C17/$C$18)</f>
        <v>6.85492216064571E-2</v>
      </c>
      <c r="E17" s="21"/>
    </row>
    <row r="18" spans="1:7" s="2" customFormat="1" ht="16.5" customHeight="1">
      <c r="A18" s="75"/>
      <c r="B18" s="76"/>
      <c r="C18" s="23">
        <f>SUM(C13:C17)</f>
        <v>43487</v>
      </c>
      <c r="D18" s="17"/>
      <c r="E18" s="10" t="s">
        <v>1874</v>
      </c>
      <c r="F18" s="21">
        <f>(C13-C14)</f>
        <v>5005</v>
      </c>
    </row>
    <row r="19" spans="1:7" s="2" customFormat="1" ht="12" customHeight="1">
      <c r="A19" s="1"/>
    </row>
    <row r="20" spans="1:7" s="2" customFormat="1" ht="16.5" customHeight="1">
      <c r="A20" s="1" t="s">
        <v>2374</v>
      </c>
    </row>
    <row r="21" spans="1:7" s="2" customFormat="1" ht="9.75" customHeight="1" thickBot="1">
      <c r="A21" s="3"/>
    </row>
    <row r="22" spans="1:7" s="2" customFormat="1" ht="16.5" customHeight="1" thickBot="1">
      <c r="A22" s="4" t="s">
        <v>1244</v>
      </c>
      <c r="B22" s="5" t="s">
        <v>1245</v>
      </c>
      <c r="C22" s="5" t="s">
        <v>1248</v>
      </c>
      <c r="D22" s="10"/>
      <c r="E22" s="10" t="s">
        <v>1413</v>
      </c>
      <c r="F22" s="11">
        <f>(45894/62088)</f>
        <v>0.73917665249323539</v>
      </c>
    </row>
    <row r="23" spans="1:7" s="2" customFormat="1" ht="16.5" customHeight="1" thickBot="1">
      <c r="A23" s="6" t="s">
        <v>1352</v>
      </c>
      <c r="B23" s="25" t="s">
        <v>1247</v>
      </c>
      <c r="C23" s="36">
        <v>21641</v>
      </c>
      <c r="D23" s="17">
        <f>SUM(C23/$C$28)</f>
        <v>0.47640117994100295</v>
      </c>
      <c r="E23" s="16"/>
    </row>
    <row r="24" spans="1:7" s="2" customFormat="1" ht="16.5" customHeight="1" thickBot="1">
      <c r="A24" s="12" t="s">
        <v>1355</v>
      </c>
      <c r="B24" s="27" t="s">
        <v>1258</v>
      </c>
      <c r="C24" s="8">
        <v>10665</v>
      </c>
      <c r="D24" s="17">
        <f>SUM(C24/$C$28)</f>
        <v>0.23477744023246599</v>
      </c>
      <c r="E24" s="16"/>
      <c r="G24" s="14"/>
    </row>
    <row r="25" spans="1:7" s="2" customFormat="1" ht="16.5" customHeight="1" thickBot="1">
      <c r="A25" s="12" t="s">
        <v>1281</v>
      </c>
      <c r="B25" s="20" t="s">
        <v>1261</v>
      </c>
      <c r="C25" s="8">
        <v>7922</v>
      </c>
      <c r="D25" s="17">
        <f>SUM(C25/$C$28)</f>
        <v>0.17439351913001364</v>
      </c>
      <c r="E25" s="16"/>
      <c r="G25" s="14"/>
    </row>
    <row r="26" spans="1:7" s="2" customFormat="1" ht="16.5" customHeight="1" thickBot="1">
      <c r="A26" s="12" t="s">
        <v>1980</v>
      </c>
      <c r="B26" s="22" t="s">
        <v>1257</v>
      </c>
      <c r="C26" s="8">
        <v>4853</v>
      </c>
      <c r="D26" s="17">
        <f>SUM(C26/$C$28)</f>
        <v>0.10683309118126183</v>
      </c>
      <c r="E26" s="16"/>
      <c r="G26" s="14"/>
    </row>
    <row r="27" spans="1:7" s="2" customFormat="1" ht="16.5" customHeight="1" thickBot="1">
      <c r="A27" s="12" t="s">
        <v>1285</v>
      </c>
      <c r="B27" s="37" t="s">
        <v>1286</v>
      </c>
      <c r="C27" s="8">
        <v>345</v>
      </c>
      <c r="D27" s="17">
        <f>SUM(C27/$C$28)</f>
        <v>7.5947695152555807E-3</v>
      </c>
      <c r="E27" s="21"/>
    </row>
    <row r="28" spans="1:7" s="2" customFormat="1" ht="16.5" customHeight="1">
      <c r="A28" s="75"/>
      <c r="B28" s="76"/>
      <c r="C28" s="23">
        <f>SUM(C23:C27)</f>
        <v>45426</v>
      </c>
      <c r="D28" s="17"/>
      <c r="E28" s="10" t="s">
        <v>1874</v>
      </c>
      <c r="F28" s="21">
        <f>(C23-C24)</f>
        <v>10976</v>
      </c>
    </row>
    <row r="29" spans="1:7" s="2" customFormat="1" ht="12" customHeight="1">
      <c r="A29" s="1"/>
    </row>
    <row r="30" spans="1:7" s="2" customFormat="1" ht="16.5" customHeight="1">
      <c r="A30" s="1" t="s">
        <v>2375</v>
      </c>
    </row>
    <row r="31" spans="1:7" s="2" customFormat="1" ht="9.75" customHeight="1" thickBot="1">
      <c r="A31" s="3"/>
    </row>
    <row r="32" spans="1:7" s="2" customFormat="1" ht="16.5" customHeight="1" thickBot="1">
      <c r="A32" s="4" t="s">
        <v>1244</v>
      </c>
      <c r="B32" s="5" t="s">
        <v>1245</v>
      </c>
      <c r="C32" s="5" t="s">
        <v>1248</v>
      </c>
      <c r="D32" s="10"/>
      <c r="E32" s="10" t="s">
        <v>1413</v>
      </c>
      <c r="F32" s="11">
        <f>(46072/68758)</f>
        <v>0.67006021117542691</v>
      </c>
    </row>
    <row r="33" spans="1:7" s="2" customFormat="1" ht="16.5" customHeight="1" thickBot="1">
      <c r="A33" s="6" t="s">
        <v>1987</v>
      </c>
      <c r="B33" s="7" t="s">
        <v>1261</v>
      </c>
      <c r="C33" s="36">
        <v>21119</v>
      </c>
      <c r="D33" s="17">
        <f t="shared" ref="D33:D38" si="0">SUM(C33/$C$39)</f>
        <v>0.46304457453572762</v>
      </c>
      <c r="E33" s="16"/>
    </row>
    <row r="34" spans="1:7" s="2" customFormat="1" ht="16.5" customHeight="1" thickBot="1">
      <c r="A34" s="12" t="s">
        <v>1908</v>
      </c>
      <c r="B34" s="13" t="s">
        <v>1247</v>
      </c>
      <c r="C34" s="8">
        <v>15162</v>
      </c>
      <c r="D34" s="17">
        <f t="shared" si="0"/>
        <v>0.33243438794974678</v>
      </c>
      <c r="E34" s="16"/>
      <c r="G34" s="14"/>
    </row>
    <row r="35" spans="1:7" s="2" customFormat="1" ht="16.5" customHeight="1" thickBot="1">
      <c r="A35" s="12" t="s">
        <v>1988</v>
      </c>
      <c r="B35" s="27" t="s">
        <v>1258</v>
      </c>
      <c r="C35" s="8">
        <v>6557</v>
      </c>
      <c r="D35" s="17">
        <f t="shared" si="0"/>
        <v>0.1437654848823697</v>
      </c>
      <c r="E35" s="16"/>
      <c r="G35" s="14"/>
    </row>
    <row r="36" spans="1:7" s="2" customFormat="1" ht="16.5" customHeight="1" thickBot="1">
      <c r="A36" s="12" t="s">
        <v>1292</v>
      </c>
      <c r="B36" s="38" t="s">
        <v>1293</v>
      </c>
      <c r="C36" s="8">
        <v>1649</v>
      </c>
      <c r="D36" s="17">
        <f t="shared" si="0"/>
        <v>3.6155144817908748E-2</v>
      </c>
      <c r="E36" s="16"/>
      <c r="G36" s="14"/>
    </row>
    <row r="37" spans="1:7" s="2" customFormat="1" ht="16.5" customHeight="1" thickBot="1">
      <c r="A37" s="12" t="s">
        <v>2376</v>
      </c>
      <c r="B37" s="22" t="s">
        <v>1257</v>
      </c>
      <c r="C37" s="8">
        <v>1091</v>
      </c>
      <c r="D37" s="17">
        <f t="shared" si="0"/>
        <v>2.3920717402267096E-2</v>
      </c>
      <c r="E37" s="21"/>
    </row>
    <row r="38" spans="1:7" s="2" customFormat="1" ht="16.5" customHeight="1" thickBot="1">
      <c r="A38" s="12" t="s">
        <v>2377</v>
      </c>
      <c r="B38" s="38" t="s">
        <v>1270</v>
      </c>
      <c r="C38" s="8">
        <v>31</v>
      </c>
      <c r="D38" s="17">
        <f t="shared" si="0"/>
        <v>6.7969041198009169E-4</v>
      </c>
      <c r="E38" s="21"/>
    </row>
    <row r="39" spans="1:7" s="2" customFormat="1" ht="16.5" customHeight="1">
      <c r="A39" s="75"/>
      <c r="B39" s="76"/>
      <c r="C39" s="23">
        <f>SUM(C33:C38)</f>
        <v>45609</v>
      </c>
      <c r="D39" s="17"/>
      <c r="E39" s="10" t="s">
        <v>1874</v>
      </c>
      <c r="F39" s="21">
        <f>(C33-C34)</f>
        <v>5957</v>
      </c>
    </row>
    <row r="40" spans="1:7" s="2" customFormat="1" ht="12" customHeight="1">
      <c r="A40" s="1"/>
    </row>
    <row r="41" spans="1:7" s="2" customFormat="1" ht="16.5" customHeight="1">
      <c r="A41" s="1" t="s">
        <v>2378</v>
      </c>
    </row>
    <row r="42" spans="1:7" s="2" customFormat="1" ht="9.75" customHeight="1" thickBot="1">
      <c r="A42" s="3"/>
    </row>
    <row r="43" spans="1:7" s="2" customFormat="1" ht="16.5" customHeight="1" thickBot="1">
      <c r="A43" s="4" t="s">
        <v>1244</v>
      </c>
      <c r="B43" s="5" t="s">
        <v>1245</v>
      </c>
      <c r="C43" s="5" t="s">
        <v>1248</v>
      </c>
      <c r="D43" s="10"/>
      <c r="E43" s="10" t="s">
        <v>1413</v>
      </c>
      <c r="F43" s="11">
        <f>(35812/58461)</f>
        <v>0.61257932638853252</v>
      </c>
    </row>
    <row r="44" spans="1:7" s="2" customFormat="1" ht="16.5" customHeight="1" thickBot="1">
      <c r="A44" s="6" t="s">
        <v>1374</v>
      </c>
      <c r="B44" s="28" t="s">
        <v>1258</v>
      </c>
      <c r="C44" s="36">
        <v>15225</v>
      </c>
      <c r="D44" s="17">
        <f t="shared" ref="D44:D49" si="1">SUM(C44/$C$50)</f>
        <v>0.42882492113564669</v>
      </c>
      <c r="E44" s="16"/>
    </row>
    <row r="45" spans="1:7" s="2" customFormat="1" ht="16.5" customHeight="1" thickBot="1">
      <c r="A45" s="12" t="s">
        <v>2003</v>
      </c>
      <c r="B45" s="22" t="s">
        <v>1257</v>
      </c>
      <c r="C45" s="8">
        <v>7498</v>
      </c>
      <c r="D45" s="17">
        <f t="shared" si="1"/>
        <v>0.21118747183415953</v>
      </c>
      <c r="E45" s="16"/>
      <c r="G45" s="14"/>
    </row>
    <row r="46" spans="1:7" s="2" customFormat="1" ht="16.5" customHeight="1" thickBot="1">
      <c r="A46" s="12" t="s">
        <v>2004</v>
      </c>
      <c r="B46" s="20" t="s">
        <v>1261</v>
      </c>
      <c r="C46" s="8">
        <v>6077</v>
      </c>
      <c r="D46" s="17">
        <f t="shared" si="1"/>
        <v>0.17116381252816584</v>
      </c>
      <c r="E46" s="16"/>
      <c r="G46" s="14"/>
    </row>
    <row r="47" spans="1:7" s="2" customFormat="1" ht="16.5" customHeight="1" thickBot="1">
      <c r="A47" s="12" t="s">
        <v>1382</v>
      </c>
      <c r="B47" s="13" t="s">
        <v>1247</v>
      </c>
      <c r="C47" s="8">
        <v>5709</v>
      </c>
      <c r="D47" s="17">
        <f t="shared" si="1"/>
        <v>0.16079878323569174</v>
      </c>
      <c r="E47" s="16"/>
      <c r="G47" s="14"/>
    </row>
    <row r="48" spans="1:7" s="2" customFormat="1" ht="16.5" customHeight="1" thickBot="1">
      <c r="A48" s="12" t="s">
        <v>1305</v>
      </c>
      <c r="B48" s="40" t="s">
        <v>1269</v>
      </c>
      <c r="C48" s="8">
        <v>924</v>
      </c>
      <c r="D48" s="17">
        <f t="shared" si="1"/>
        <v>2.6025236593059938E-2</v>
      </c>
      <c r="E48" s="21"/>
    </row>
    <row r="49" spans="1:7" s="2" customFormat="1" ht="16.5" customHeight="1" thickBot="1">
      <c r="A49" s="12" t="s">
        <v>2312</v>
      </c>
      <c r="B49" s="38" t="s">
        <v>1270</v>
      </c>
      <c r="C49" s="8">
        <v>71</v>
      </c>
      <c r="D49" s="17">
        <f t="shared" si="1"/>
        <v>1.9997746732762505E-3</v>
      </c>
      <c r="E49" s="21"/>
    </row>
    <row r="50" spans="1:7" s="2" customFormat="1" ht="16.5" customHeight="1">
      <c r="A50" s="75"/>
      <c r="B50" s="76"/>
      <c r="C50" s="23">
        <f>SUM(C44:C49)</f>
        <v>35504</v>
      </c>
      <c r="D50" s="17"/>
      <c r="E50" s="10" t="s">
        <v>1874</v>
      </c>
      <c r="F50" s="21">
        <f>(C44-C45)</f>
        <v>7727</v>
      </c>
    </row>
    <row r="51" spans="1:7" s="2" customFormat="1" ht="12" customHeight="1">
      <c r="A51" s="1"/>
    </row>
    <row r="52" spans="1:7" s="2" customFormat="1" ht="16.5" customHeight="1">
      <c r="A52" s="1" t="s">
        <v>2379</v>
      </c>
    </row>
    <row r="53" spans="1:7" s="2" customFormat="1" ht="9.75" customHeight="1" thickBot="1">
      <c r="A53" s="3"/>
    </row>
    <row r="54" spans="1:7" s="2" customFormat="1" ht="16.5" customHeight="1" thickBot="1">
      <c r="A54" s="4" t="s">
        <v>1244</v>
      </c>
      <c r="B54" s="5" t="s">
        <v>1245</v>
      </c>
      <c r="C54" s="5" t="s">
        <v>1248</v>
      </c>
      <c r="D54" s="10"/>
      <c r="E54" s="10" t="s">
        <v>1413</v>
      </c>
      <c r="F54" s="11">
        <f>(51326/71771)</f>
        <v>0.7151356397430717</v>
      </c>
    </row>
    <row r="55" spans="1:7" s="2" customFormat="1" ht="16.5" customHeight="1" thickBot="1">
      <c r="A55" s="6" t="s">
        <v>2018</v>
      </c>
      <c r="B55" s="25" t="s">
        <v>1247</v>
      </c>
      <c r="C55" s="36">
        <v>20965</v>
      </c>
      <c r="D55" s="17">
        <f>SUM(C55/$C$60)</f>
        <v>0.41354347483036136</v>
      </c>
      <c r="E55" s="16"/>
    </row>
    <row r="56" spans="1:7" s="2" customFormat="1" ht="16.5" customHeight="1" thickBot="1">
      <c r="A56" s="12" t="s">
        <v>1309</v>
      </c>
      <c r="B56" s="20" t="s">
        <v>1261</v>
      </c>
      <c r="C56" s="8">
        <v>12770</v>
      </c>
      <c r="D56" s="17">
        <f>SUM(C56/$C$60)</f>
        <v>0.25189364052390723</v>
      </c>
      <c r="E56" s="16"/>
      <c r="G56" s="14"/>
    </row>
    <row r="57" spans="1:7" s="2" customFormat="1" ht="16.5" customHeight="1" thickBot="1">
      <c r="A57" s="12" t="s">
        <v>2017</v>
      </c>
      <c r="B57" s="27" t="s">
        <v>1258</v>
      </c>
      <c r="C57" s="8">
        <v>9311</v>
      </c>
      <c r="D57" s="17">
        <f>SUM(C57/$C$60)</f>
        <v>0.18366340539687551</v>
      </c>
      <c r="E57" s="16"/>
      <c r="G57" s="14"/>
    </row>
    <row r="58" spans="1:7" s="2" customFormat="1" ht="16.5" customHeight="1" thickBot="1">
      <c r="A58" s="12" t="s">
        <v>1891</v>
      </c>
      <c r="B58" s="22" t="s">
        <v>1257</v>
      </c>
      <c r="C58" s="8">
        <v>7025</v>
      </c>
      <c r="D58" s="17">
        <f>SUM(C58/$C$60)</f>
        <v>0.13857109042133503</v>
      </c>
      <c r="E58" s="16"/>
      <c r="G58" s="14"/>
    </row>
    <row r="59" spans="1:7" s="2" customFormat="1" ht="16.5" customHeight="1" thickBot="1">
      <c r="A59" s="12" t="s">
        <v>2380</v>
      </c>
      <c r="B59" s="38" t="s">
        <v>1270</v>
      </c>
      <c r="C59" s="8">
        <v>625</v>
      </c>
      <c r="D59" s="17">
        <f>SUM(C59/$C$60)</f>
        <v>1.2328388827520909E-2</v>
      </c>
      <c r="E59" s="21"/>
    </row>
    <row r="60" spans="1:7" s="2" customFormat="1" ht="16.5" customHeight="1">
      <c r="A60" s="75"/>
      <c r="B60" s="76"/>
      <c r="C60" s="23">
        <f>SUM(C55:C59)</f>
        <v>50696</v>
      </c>
      <c r="D60" s="17"/>
      <c r="E60" s="10" t="s">
        <v>1874</v>
      </c>
      <c r="F60" s="21">
        <f>(C55-C56)</f>
        <v>8195</v>
      </c>
    </row>
    <row r="61" spans="1:7" s="2" customFormat="1" ht="12" customHeight="1">
      <c r="A61" s="1"/>
    </row>
    <row r="62" spans="1:7" s="2" customFormat="1" ht="16.5" customHeight="1">
      <c r="A62" s="1" t="s">
        <v>2381</v>
      </c>
    </row>
    <row r="63" spans="1:7" s="2" customFormat="1" ht="9.75" customHeight="1" thickBot="1">
      <c r="A63" s="3"/>
    </row>
    <row r="64" spans="1:7" s="2" customFormat="1" ht="16.5" customHeight="1" thickBot="1">
      <c r="A64" s="4" t="s">
        <v>1244</v>
      </c>
      <c r="B64" s="5" t="s">
        <v>1245</v>
      </c>
      <c r="C64" s="5" t="s">
        <v>1248</v>
      </c>
      <c r="D64" s="10"/>
      <c r="E64" s="10" t="s">
        <v>1413</v>
      </c>
      <c r="F64" s="11">
        <f>(48666/73715)</f>
        <v>0.66019127721630599</v>
      </c>
    </row>
    <row r="65" spans="1:7" s="2" customFormat="1" ht="16.5" customHeight="1" thickBot="1">
      <c r="A65" s="6" t="s">
        <v>2371</v>
      </c>
      <c r="B65" s="7" t="s">
        <v>1261</v>
      </c>
      <c r="C65" s="36">
        <v>21557</v>
      </c>
      <c r="D65" s="17">
        <f>SUM(C65/$C$70)</f>
        <v>0.44745417938020215</v>
      </c>
      <c r="E65" s="16"/>
    </row>
    <row r="66" spans="1:7" s="2" customFormat="1" ht="16.5" customHeight="1" thickBot="1">
      <c r="A66" s="12" t="s">
        <v>1313</v>
      </c>
      <c r="B66" s="13" t="s">
        <v>1247</v>
      </c>
      <c r="C66" s="8">
        <v>12417</v>
      </c>
      <c r="D66" s="17">
        <f>SUM(C66/$C$70)</f>
        <v>0.25773709446416337</v>
      </c>
      <c r="E66" s="16"/>
      <c r="G66" s="14"/>
    </row>
    <row r="67" spans="1:7" s="2" customFormat="1" ht="16.5" customHeight="1" thickBot="1">
      <c r="A67" s="12" t="s">
        <v>1894</v>
      </c>
      <c r="B67" s="27" t="s">
        <v>1258</v>
      </c>
      <c r="C67" s="8">
        <v>8815</v>
      </c>
      <c r="D67" s="17">
        <f>SUM(C67/$C$70)</f>
        <v>0.18297112730140938</v>
      </c>
      <c r="E67" s="16"/>
      <c r="G67" s="14"/>
    </row>
    <row r="68" spans="1:7" s="2" customFormat="1" ht="16.5" customHeight="1" thickBot="1">
      <c r="A68" s="12" t="s">
        <v>2027</v>
      </c>
      <c r="B68" s="22" t="s">
        <v>1257</v>
      </c>
      <c r="C68" s="8">
        <v>4775</v>
      </c>
      <c r="D68" s="17">
        <f>SUM(C68/$C$70)</f>
        <v>9.9113684953401004E-2</v>
      </c>
      <c r="E68" s="16"/>
      <c r="G68" s="14"/>
    </row>
    <row r="69" spans="1:7" s="2" customFormat="1" ht="16.5" customHeight="1" thickBot="1">
      <c r="A69" s="12" t="s">
        <v>2382</v>
      </c>
      <c r="B69" s="40" t="s">
        <v>1269</v>
      </c>
      <c r="C69" s="8">
        <v>613</v>
      </c>
      <c r="D69" s="17">
        <f>SUM(C69/$C$70)</f>
        <v>1.2723913900824045E-2</v>
      </c>
      <c r="E69" s="21"/>
    </row>
    <row r="70" spans="1:7" s="2" customFormat="1" ht="16.5" customHeight="1">
      <c r="A70" s="75"/>
      <c r="B70" s="76"/>
      <c r="C70" s="23">
        <f>SUM(C65:C69)</f>
        <v>48177</v>
      </c>
      <c r="D70" s="17"/>
      <c r="E70" s="10" t="s">
        <v>1874</v>
      </c>
      <c r="F70" s="21">
        <f>(C65-C66)</f>
        <v>9140</v>
      </c>
    </row>
    <row r="71" spans="1:7" s="2" customFormat="1" ht="12" customHeight="1">
      <c r="A71" s="1"/>
    </row>
    <row r="72" spans="1:7" s="2" customFormat="1" ht="16.5" customHeight="1">
      <c r="A72" s="1" t="s">
        <v>2383</v>
      </c>
    </row>
    <row r="73" spans="1:7" s="2" customFormat="1" ht="9.75" customHeight="1" thickBot="1">
      <c r="A73" s="3"/>
    </row>
    <row r="74" spans="1:7" s="2" customFormat="1" ht="16.5" customHeight="1" thickBot="1">
      <c r="A74" s="4" t="s">
        <v>1244</v>
      </c>
      <c r="B74" s="5" t="s">
        <v>1245</v>
      </c>
      <c r="C74" s="5" t="s">
        <v>1248</v>
      </c>
      <c r="D74" s="10"/>
      <c r="E74" s="10" t="s">
        <v>1413</v>
      </c>
      <c r="F74" s="11">
        <f>(44749/71645)</f>
        <v>0.62459348175029661</v>
      </c>
    </row>
    <row r="75" spans="1:7" s="2" customFormat="1" ht="16.5" customHeight="1" thickBot="1">
      <c r="A75" s="6" t="s">
        <v>1745</v>
      </c>
      <c r="B75" s="28" t="s">
        <v>1258</v>
      </c>
      <c r="C75" s="36">
        <v>16679</v>
      </c>
      <c r="D75" s="17">
        <f t="shared" ref="D75:D80" si="2">SUM(C75/$C$81)</f>
        <v>0.37546711089099993</v>
      </c>
      <c r="E75" s="16"/>
    </row>
    <row r="76" spans="1:7" s="2" customFormat="1" ht="16.5" customHeight="1" thickBot="1">
      <c r="A76" s="12" t="s">
        <v>1743</v>
      </c>
      <c r="B76" s="22" t="s">
        <v>1257</v>
      </c>
      <c r="C76" s="8">
        <v>11381</v>
      </c>
      <c r="D76" s="17">
        <f t="shared" si="2"/>
        <v>0.25620188195038496</v>
      </c>
      <c r="E76" s="16"/>
      <c r="G76" s="14"/>
    </row>
    <row r="77" spans="1:7" s="2" customFormat="1" ht="16.5" customHeight="1" thickBot="1">
      <c r="A77" s="12" t="s">
        <v>1744</v>
      </c>
      <c r="B77" s="13" t="s">
        <v>1247</v>
      </c>
      <c r="C77" s="8">
        <v>9305</v>
      </c>
      <c r="D77" s="17">
        <f t="shared" si="2"/>
        <v>0.20946828148214849</v>
      </c>
      <c r="E77" s="16"/>
      <c r="G77" s="14"/>
    </row>
    <row r="78" spans="1:7" s="2" customFormat="1" ht="16.5" customHeight="1" thickBot="1">
      <c r="A78" s="12" t="s">
        <v>1747</v>
      </c>
      <c r="B78" s="20" t="s">
        <v>1261</v>
      </c>
      <c r="C78" s="8">
        <v>5747</v>
      </c>
      <c r="D78" s="17">
        <f t="shared" si="2"/>
        <v>0.12937283328080681</v>
      </c>
      <c r="E78" s="16"/>
      <c r="G78" s="14"/>
    </row>
    <row r="79" spans="1:7" s="2" customFormat="1" ht="16.5" customHeight="1" thickBot="1">
      <c r="A79" s="12" t="s">
        <v>1295</v>
      </c>
      <c r="B79" s="40" t="s">
        <v>1269</v>
      </c>
      <c r="C79" s="8">
        <v>955</v>
      </c>
      <c r="D79" s="17">
        <f t="shared" si="2"/>
        <v>2.1498356670118408E-2</v>
      </c>
      <c r="E79" s="21"/>
    </row>
    <row r="80" spans="1:7" s="2" customFormat="1" ht="16.5" customHeight="1" thickBot="1">
      <c r="A80" s="12" t="s">
        <v>1754</v>
      </c>
      <c r="B80" s="37" t="s">
        <v>1286</v>
      </c>
      <c r="C80" s="8">
        <v>355</v>
      </c>
      <c r="D80" s="17">
        <f t="shared" si="2"/>
        <v>7.9915357255413988E-3</v>
      </c>
      <c r="E80" s="21"/>
    </row>
    <row r="81" spans="1:7" s="2" customFormat="1" ht="16.5" customHeight="1">
      <c r="A81" s="75"/>
      <c r="B81" s="76"/>
      <c r="C81" s="23">
        <f>SUM(C75:C80)</f>
        <v>44422</v>
      </c>
      <c r="D81" s="17"/>
      <c r="E81" s="10" t="s">
        <v>1874</v>
      </c>
      <c r="F81" s="21">
        <f>(C75-C76)</f>
        <v>5298</v>
      </c>
    </row>
    <row r="82" spans="1:7" s="2" customFormat="1" ht="12" customHeight="1">
      <c r="A82" s="1"/>
    </row>
    <row r="83" spans="1:7" s="2" customFormat="1" ht="16.5" customHeight="1">
      <c r="A83" s="1" t="s">
        <v>2384</v>
      </c>
    </row>
    <row r="84" spans="1:7" s="2" customFormat="1" ht="9.75" customHeight="1" thickBot="1">
      <c r="A84" s="3"/>
    </row>
    <row r="85" spans="1:7" s="2" customFormat="1" ht="16.5" customHeight="1" thickBot="1">
      <c r="A85" s="4" t="s">
        <v>1244</v>
      </c>
      <c r="B85" s="5" t="s">
        <v>1245</v>
      </c>
      <c r="C85" s="5" t="s">
        <v>1248</v>
      </c>
      <c r="D85" s="10"/>
      <c r="E85" s="10" t="s">
        <v>1413</v>
      </c>
      <c r="F85" s="11">
        <f>(42849/70238)</f>
        <v>0.61005438651442234</v>
      </c>
    </row>
    <row r="86" spans="1:7" s="2" customFormat="1" ht="16.5" customHeight="1" thickBot="1">
      <c r="A86" s="6" t="s">
        <v>1440</v>
      </c>
      <c r="B86" s="28" t="s">
        <v>1258</v>
      </c>
      <c r="C86" s="36">
        <v>23289</v>
      </c>
      <c r="D86" s="17">
        <f>SUM(C86/$C$91)</f>
        <v>0.54704970403081843</v>
      </c>
      <c r="E86" s="16"/>
    </row>
    <row r="87" spans="1:7" s="2" customFormat="1" ht="16.5" customHeight="1" thickBot="1">
      <c r="A87" s="12" t="s">
        <v>1441</v>
      </c>
      <c r="B87" s="22" t="s">
        <v>1257</v>
      </c>
      <c r="C87" s="8">
        <v>9172</v>
      </c>
      <c r="D87" s="17">
        <f>SUM(C87/$C$91)</f>
        <v>0.21544677252654326</v>
      </c>
      <c r="E87" s="16"/>
      <c r="G87" s="14"/>
    </row>
    <row r="88" spans="1:7" s="2" customFormat="1" ht="16.5" customHeight="1" thickBot="1">
      <c r="A88" s="12" t="s">
        <v>2059</v>
      </c>
      <c r="B88" s="40" t="s">
        <v>1269</v>
      </c>
      <c r="C88" s="8">
        <v>4316</v>
      </c>
      <c r="D88" s="17">
        <f>SUM(C88/$C$91)</f>
        <v>0.10138118951423471</v>
      </c>
      <c r="E88" s="16"/>
      <c r="G88" s="14"/>
    </row>
    <row r="89" spans="1:7" s="2" customFormat="1" ht="16.5" customHeight="1" thickBot="1">
      <c r="A89" s="12" t="s">
        <v>1439</v>
      </c>
      <c r="B89" s="13" t="s">
        <v>1247</v>
      </c>
      <c r="C89" s="8">
        <v>3197</v>
      </c>
      <c r="D89" s="17">
        <f>SUM(C89/$C$91)</f>
        <v>7.5096307432115011E-2</v>
      </c>
      <c r="E89" s="21"/>
    </row>
    <row r="90" spans="1:7" s="2" customFormat="1" ht="16.5" customHeight="1" thickBot="1">
      <c r="A90" s="12" t="s">
        <v>2060</v>
      </c>
      <c r="B90" s="20" t="s">
        <v>1261</v>
      </c>
      <c r="C90" s="8">
        <v>2598</v>
      </c>
      <c r="D90" s="17">
        <f>SUM(C90/$C$91)</f>
        <v>6.1026026496288639E-2</v>
      </c>
      <c r="E90" s="21"/>
    </row>
    <row r="91" spans="1:7" s="2" customFormat="1" ht="16.5" customHeight="1">
      <c r="A91" s="75"/>
      <c r="B91" s="76"/>
      <c r="C91" s="23">
        <f>SUM(C86:C90)</f>
        <v>42572</v>
      </c>
      <c r="D91" s="17"/>
      <c r="E91" s="10" t="s">
        <v>1874</v>
      </c>
      <c r="F91" s="21">
        <f>(C86-C87)</f>
        <v>14117</v>
      </c>
    </row>
    <row r="92" spans="1:7" s="2" customFormat="1" ht="12" customHeight="1">
      <c r="A92" s="1"/>
    </row>
    <row r="93" spans="1:7" s="2" customFormat="1" ht="16.5" customHeight="1">
      <c r="A93" s="1" t="s">
        <v>2385</v>
      </c>
    </row>
    <row r="94" spans="1:7" s="2" customFormat="1" ht="9.75" customHeight="1" thickBot="1">
      <c r="A94" s="3"/>
    </row>
    <row r="95" spans="1:7" s="2" customFormat="1" ht="16.5" customHeight="1" thickBot="1">
      <c r="A95" s="4" t="s">
        <v>1244</v>
      </c>
      <c r="B95" s="5" t="s">
        <v>1245</v>
      </c>
      <c r="C95" s="5" t="s">
        <v>1248</v>
      </c>
      <c r="D95" s="10"/>
      <c r="E95" s="10" t="s">
        <v>1413</v>
      </c>
      <c r="F95" s="11">
        <f>(38180/66580)</f>
        <v>0.5734454791228597</v>
      </c>
    </row>
    <row r="96" spans="1:7" s="2" customFormat="1" ht="16.5" customHeight="1" thickBot="1">
      <c r="A96" s="6" t="s">
        <v>1977</v>
      </c>
      <c r="B96" s="28" t="s">
        <v>1258</v>
      </c>
      <c r="C96" s="36">
        <v>14507</v>
      </c>
      <c r="D96" s="17">
        <f>SUM(C96/$C$101)</f>
        <v>0.38219564243749504</v>
      </c>
      <c r="E96" s="16"/>
    </row>
    <row r="97" spans="1:7" s="2" customFormat="1" ht="16.5" customHeight="1" thickBot="1">
      <c r="A97" s="12" t="s">
        <v>1455</v>
      </c>
      <c r="B97" s="22" t="s">
        <v>1257</v>
      </c>
      <c r="C97" s="8">
        <v>11059</v>
      </c>
      <c r="D97" s="17">
        <f>SUM(C97/$C$101)</f>
        <v>0.29135600811444529</v>
      </c>
      <c r="E97" s="16"/>
      <c r="G97" s="14"/>
    </row>
    <row r="98" spans="1:7" s="2" customFormat="1" ht="16.5" customHeight="1" thickBot="1">
      <c r="A98" s="12" t="s">
        <v>1460</v>
      </c>
      <c r="B98" s="20" t="s">
        <v>1261</v>
      </c>
      <c r="C98" s="8">
        <v>4706</v>
      </c>
      <c r="D98" s="17">
        <f>SUM(C98/$C$101)</f>
        <v>0.12398240113812999</v>
      </c>
      <c r="E98" s="16"/>
      <c r="G98" s="14"/>
    </row>
    <row r="99" spans="1:7" s="2" customFormat="1" ht="16.5" customHeight="1" thickBot="1">
      <c r="A99" s="12" t="s">
        <v>2386</v>
      </c>
      <c r="B99" s="13" t="s">
        <v>1247</v>
      </c>
      <c r="C99" s="8">
        <v>4407</v>
      </c>
      <c r="D99" s="17">
        <f>SUM(C99/$C$101)</f>
        <v>0.11610506625918803</v>
      </c>
      <c r="E99" s="16"/>
      <c r="G99" s="14"/>
    </row>
    <row r="100" spans="1:7" s="2" customFormat="1" ht="16.5" customHeight="1" thickBot="1">
      <c r="A100" s="12" t="s">
        <v>2074</v>
      </c>
      <c r="B100" s="40" t="s">
        <v>1269</v>
      </c>
      <c r="C100" s="8">
        <v>3278</v>
      </c>
      <c r="D100" s="17">
        <f>SUM(C100/$C$101)</f>
        <v>8.6360882050741633E-2</v>
      </c>
      <c r="E100" s="21"/>
    </row>
    <row r="101" spans="1:7" s="2" customFormat="1" ht="16.5" customHeight="1">
      <c r="A101" s="75"/>
      <c r="B101" s="76"/>
      <c r="C101" s="23">
        <f>SUM(C96:C100)</f>
        <v>37957</v>
      </c>
      <c r="D101" s="17"/>
      <c r="E101" s="10" t="s">
        <v>1874</v>
      </c>
      <c r="F101" s="21">
        <f>(C96-C97)</f>
        <v>3448</v>
      </c>
    </row>
    <row r="102" spans="1:7" s="2" customFormat="1" ht="12" customHeight="1">
      <c r="A102" s="1"/>
    </row>
    <row r="103" spans="1:7" s="2" customFormat="1" ht="16.5" customHeight="1">
      <c r="A103" s="1" t="s">
        <v>2387</v>
      </c>
    </row>
    <row r="104" spans="1:7" s="2" customFormat="1" ht="9.75" customHeight="1" thickBot="1">
      <c r="A104" s="3"/>
    </row>
    <row r="105" spans="1:7" s="2" customFormat="1" ht="16.5" customHeight="1" thickBot="1">
      <c r="A105" s="4" t="s">
        <v>1244</v>
      </c>
      <c r="B105" s="5" t="s">
        <v>1245</v>
      </c>
      <c r="C105" s="5" t="s">
        <v>1248</v>
      </c>
      <c r="D105" s="10"/>
      <c r="E105" s="10" t="s">
        <v>1413</v>
      </c>
      <c r="F105" s="11">
        <f>(46226/73938)</f>
        <v>0.62519949146582277</v>
      </c>
    </row>
    <row r="106" spans="1:7" s="2" customFormat="1" ht="16.5" customHeight="1" thickBot="1">
      <c r="A106" s="6" t="s">
        <v>1464</v>
      </c>
      <c r="B106" s="28" t="s">
        <v>1258</v>
      </c>
      <c r="C106" s="36">
        <v>25156</v>
      </c>
      <c r="D106" s="17">
        <f>SUM(C106/$C$111)</f>
        <v>0.54775072943430736</v>
      </c>
      <c r="E106" s="16"/>
    </row>
    <row r="107" spans="1:7" s="2" customFormat="1" ht="16.5" customHeight="1" thickBot="1">
      <c r="A107" s="12" t="s">
        <v>1783</v>
      </c>
      <c r="B107" s="13" t="s">
        <v>1247</v>
      </c>
      <c r="C107" s="8">
        <v>7191</v>
      </c>
      <c r="D107" s="17">
        <f>SUM(C107/$C$111)</f>
        <v>0.15657797326133344</v>
      </c>
      <c r="E107" s="16"/>
      <c r="G107" s="14"/>
    </row>
    <row r="108" spans="1:7" s="2" customFormat="1" ht="16.5" customHeight="1" thickBot="1">
      <c r="A108" s="12" t="s">
        <v>1917</v>
      </c>
      <c r="B108" s="22" t="s">
        <v>1257</v>
      </c>
      <c r="C108" s="8">
        <v>6637</v>
      </c>
      <c r="D108" s="17">
        <f>SUM(C108/$C$111)</f>
        <v>0.14451508949179115</v>
      </c>
      <c r="E108" s="16"/>
      <c r="G108" s="14"/>
    </row>
    <row r="109" spans="1:7" s="2" customFormat="1" ht="16.5" customHeight="1" thickBot="1">
      <c r="A109" s="12" t="s">
        <v>2086</v>
      </c>
      <c r="B109" s="20" t="s">
        <v>1261</v>
      </c>
      <c r="C109" s="8">
        <v>5585</v>
      </c>
      <c r="D109" s="17">
        <f>SUM(C109/$C$111)</f>
        <v>0.12160867482471803</v>
      </c>
      <c r="E109" s="21"/>
    </row>
    <row r="110" spans="1:7" s="2" customFormat="1" ht="16.5" customHeight="1" thickBot="1">
      <c r="A110" s="12" t="s">
        <v>1474</v>
      </c>
      <c r="B110" s="40" t="s">
        <v>1269</v>
      </c>
      <c r="C110" s="8">
        <v>1357</v>
      </c>
      <c r="D110" s="17">
        <f>SUM(C110/$C$111)</f>
        <v>2.9547532987850018E-2</v>
      </c>
      <c r="E110" s="21"/>
    </row>
    <row r="111" spans="1:7" s="2" customFormat="1" ht="16.5" customHeight="1">
      <c r="A111" s="75"/>
      <c r="B111" s="76"/>
      <c r="C111" s="23">
        <f>SUM(C106:C110)</f>
        <v>45926</v>
      </c>
      <c r="D111" s="17"/>
      <c r="E111" s="10" t="s">
        <v>1874</v>
      </c>
      <c r="F111" s="21">
        <f>(C106-C107)</f>
        <v>17965</v>
      </c>
    </row>
    <row r="112" spans="1:7" s="2" customFormat="1" ht="12" customHeight="1">
      <c r="A112" s="1"/>
    </row>
    <row r="113" spans="1:7" s="2" customFormat="1" ht="16.5" customHeight="1">
      <c r="A113" s="1" t="s">
        <v>2390</v>
      </c>
    </row>
    <row r="114" spans="1:7" s="2" customFormat="1" ht="9.75" customHeight="1" thickBot="1">
      <c r="A114" s="3"/>
    </row>
    <row r="115" spans="1:7" s="2" customFormat="1" ht="16.5" customHeight="1" thickBot="1">
      <c r="A115" s="4" t="s">
        <v>1244</v>
      </c>
      <c r="B115" s="5" t="s">
        <v>1245</v>
      </c>
      <c r="C115" s="5" t="s">
        <v>1248</v>
      </c>
      <c r="D115" s="10"/>
      <c r="E115" s="10" t="s">
        <v>1413</v>
      </c>
      <c r="F115" s="11">
        <f>(31974/57966)</f>
        <v>0.55159921333195316</v>
      </c>
    </row>
    <row r="116" spans="1:7" s="2" customFormat="1" ht="16.5" customHeight="1" thickBot="1">
      <c r="A116" s="6" t="s">
        <v>2195</v>
      </c>
      <c r="B116" s="28" t="s">
        <v>1258</v>
      </c>
      <c r="C116" s="36">
        <v>15766</v>
      </c>
      <c r="D116" s="17">
        <f t="shared" ref="D116:D121" si="3">SUM(C116/$C$122)</f>
        <v>0.49630119306198256</v>
      </c>
      <c r="E116" s="16"/>
    </row>
    <row r="117" spans="1:7" s="2" customFormat="1" ht="16.5" customHeight="1" thickBot="1">
      <c r="A117" s="12" t="s">
        <v>2372</v>
      </c>
      <c r="B117" s="22" t="s">
        <v>1257</v>
      </c>
      <c r="C117" s="8">
        <v>8462</v>
      </c>
      <c r="D117" s="17">
        <f t="shared" si="3"/>
        <v>0.26637705795322192</v>
      </c>
      <c r="E117" s="16"/>
      <c r="G117" s="14"/>
    </row>
    <row r="118" spans="1:7" s="2" customFormat="1" ht="16.5" customHeight="1" thickBot="1">
      <c r="A118" s="12" t="s">
        <v>2101</v>
      </c>
      <c r="B118" s="40" t="s">
        <v>1269</v>
      </c>
      <c r="C118" s="8">
        <v>4869</v>
      </c>
      <c r="D118" s="17">
        <f t="shared" si="3"/>
        <v>0.15327226366984606</v>
      </c>
      <c r="E118" s="16"/>
      <c r="G118" s="14"/>
    </row>
    <row r="119" spans="1:7" s="2" customFormat="1" ht="16.5" customHeight="1" thickBot="1">
      <c r="A119" s="12" t="s">
        <v>1483</v>
      </c>
      <c r="B119" s="20" t="s">
        <v>1261</v>
      </c>
      <c r="C119" s="8">
        <v>1695</v>
      </c>
      <c r="D119" s="17">
        <f t="shared" si="3"/>
        <v>5.3357257531400512E-2</v>
      </c>
      <c r="E119" s="16"/>
      <c r="G119" s="14"/>
    </row>
    <row r="120" spans="1:7" s="2" customFormat="1" ht="16.5" customHeight="1" thickBot="1">
      <c r="A120" s="12" t="s">
        <v>2389</v>
      </c>
      <c r="B120" s="13" t="s">
        <v>1247</v>
      </c>
      <c r="C120" s="8">
        <v>828</v>
      </c>
      <c r="D120" s="17">
        <f t="shared" si="3"/>
        <v>2.6064784210029276E-2</v>
      </c>
      <c r="E120" s="21"/>
    </row>
    <row r="121" spans="1:7" s="2" customFormat="1" ht="16.5" customHeight="1" thickBot="1">
      <c r="A121" s="12" t="s">
        <v>1842</v>
      </c>
      <c r="B121" s="38" t="s">
        <v>2388</v>
      </c>
      <c r="C121" s="8">
        <v>147</v>
      </c>
      <c r="D121" s="17">
        <f t="shared" si="3"/>
        <v>4.6274435735196903E-3</v>
      </c>
      <c r="E121" s="21"/>
    </row>
    <row r="122" spans="1:7" s="2" customFormat="1" ht="16.5" customHeight="1">
      <c r="A122" s="75"/>
      <c r="B122" s="76"/>
      <c r="C122" s="23">
        <f>SUM(C116:C121)</f>
        <v>31767</v>
      </c>
      <c r="D122" s="17"/>
      <c r="E122" s="10" t="s">
        <v>1874</v>
      </c>
      <c r="F122" s="21">
        <f>(C116-C117)</f>
        <v>7304</v>
      </c>
    </row>
    <row r="123" spans="1:7" s="2" customFormat="1" ht="12" customHeight="1">
      <c r="A123" s="1"/>
    </row>
    <row r="124" spans="1:7" s="2" customFormat="1" ht="16.5" customHeight="1">
      <c r="A124" s="1" t="s">
        <v>2391</v>
      </c>
    </row>
    <row r="125" spans="1:7" s="2" customFormat="1" ht="9.75" customHeight="1" thickBot="1">
      <c r="A125" s="3"/>
    </row>
    <row r="126" spans="1:7" s="2" customFormat="1" ht="16.5" customHeight="1" thickBot="1">
      <c r="A126" s="4" t="s">
        <v>1244</v>
      </c>
      <c r="B126" s="5" t="s">
        <v>1245</v>
      </c>
      <c r="C126" s="5" t="s">
        <v>1248</v>
      </c>
      <c r="D126" s="10"/>
      <c r="E126" s="10" t="s">
        <v>1413</v>
      </c>
      <c r="F126" s="11">
        <f>(37222/68570)</f>
        <v>0.54283214233629862</v>
      </c>
    </row>
    <row r="127" spans="1:7" s="2" customFormat="1" ht="16.5" customHeight="1" thickBot="1">
      <c r="A127" s="6" t="s">
        <v>1491</v>
      </c>
      <c r="B127" s="28" t="s">
        <v>1258</v>
      </c>
      <c r="C127" s="36">
        <v>20921</v>
      </c>
      <c r="D127" s="17">
        <f t="shared" ref="D127:D132" si="4">SUM(C127/$C$133)</f>
        <v>0.56494383236120116</v>
      </c>
      <c r="E127" s="16"/>
    </row>
    <row r="128" spans="1:7" s="2" customFormat="1" ht="16.5" customHeight="1" thickBot="1">
      <c r="A128" s="12" t="s">
        <v>2392</v>
      </c>
      <c r="B128" s="22" t="s">
        <v>1257</v>
      </c>
      <c r="C128" s="8">
        <v>7872</v>
      </c>
      <c r="D128" s="17">
        <f t="shared" si="4"/>
        <v>0.21257290991574854</v>
      </c>
      <c r="E128" s="16"/>
      <c r="G128" s="14"/>
    </row>
    <row r="129" spans="1:7" s="2" customFormat="1" ht="16.5" customHeight="1" thickBot="1">
      <c r="A129" s="12" t="s">
        <v>2116</v>
      </c>
      <c r="B129" s="40" t="s">
        <v>1269</v>
      </c>
      <c r="C129" s="8">
        <v>3332</v>
      </c>
      <c r="D129" s="17">
        <f t="shared" si="4"/>
        <v>8.9976236768200477E-2</v>
      </c>
      <c r="E129" s="16"/>
      <c r="G129" s="14"/>
    </row>
    <row r="130" spans="1:7" s="2" customFormat="1" ht="16.5" customHeight="1" thickBot="1">
      <c r="A130" s="12" t="s">
        <v>1497</v>
      </c>
      <c r="B130" s="20" t="s">
        <v>1261</v>
      </c>
      <c r="C130" s="8">
        <v>2496</v>
      </c>
      <c r="D130" s="17">
        <f t="shared" si="4"/>
        <v>6.740116655865197E-2</v>
      </c>
      <c r="E130" s="16"/>
      <c r="G130" s="14"/>
    </row>
    <row r="131" spans="1:7" s="2" customFormat="1" ht="16.5" customHeight="1" thickBot="1">
      <c r="A131" s="12" t="s">
        <v>1863</v>
      </c>
      <c r="B131" s="22" t="s">
        <v>1408</v>
      </c>
      <c r="C131" s="8">
        <v>1462</v>
      </c>
      <c r="D131" s="17">
        <f t="shared" si="4"/>
        <v>3.9479369194210412E-2</v>
      </c>
      <c r="E131" s="21"/>
    </row>
    <row r="132" spans="1:7" s="2" customFormat="1" ht="16.5" customHeight="1" thickBot="1">
      <c r="A132" s="12" t="s">
        <v>1499</v>
      </c>
      <c r="B132" s="13" t="s">
        <v>1247</v>
      </c>
      <c r="C132" s="8">
        <v>949</v>
      </c>
      <c r="D132" s="17">
        <f t="shared" si="4"/>
        <v>2.5626485201987469E-2</v>
      </c>
      <c r="E132" s="21"/>
    </row>
    <row r="133" spans="1:7" s="2" customFormat="1" ht="16.5" customHeight="1">
      <c r="A133" s="75"/>
      <c r="B133" s="76"/>
      <c r="C133" s="23">
        <f>SUM(C127:C132)</f>
        <v>37032</v>
      </c>
      <c r="D133" s="17"/>
      <c r="E133" s="10" t="s">
        <v>1874</v>
      </c>
      <c r="F133" s="21">
        <f>(C127-C128)</f>
        <v>13049</v>
      </c>
    </row>
    <row r="134" spans="1:7" s="2" customFormat="1" ht="12" customHeight="1">
      <c r="A134" s="1"/>
    </row>
    <row r="135" spans="1:7" s="2" customFormat="1" ht="16.5" customHeight="1">
      <c r="A135" s="1" t="s">
        <v>2393</v>
      </c>
    </row>
    <row r="136" spans="1:7" s="2" customFormat="1" ht="9.75" customHeight="1" thickBot="1">
      <c r="A136" s="3"/>
    </row>
    <row r="137" spans="1:7" s="2" customFormat="1" ht="16.5" customHeight="1" thickBot="1">
      <c r="A137" s="4" t="s">
        <v>1244</v>
      </c>
      <c r="B137" s="5" t="s">
        <v>1245</v>
      </c>
      <c r="C137" s="5" t="s">
        <v>1248</v>
      </c>
      <c r="D137" s="10"/>
      <c r="E137" s="10" t="s">
        <v>1413</v>
      </c>
      <c r="F137" s="11">
        <f>(32461/59538)</f>
        <v>0.54521482078672445</v>
      </c>
    </row>
    <row r="138" spans="1:7" s="2" customFormat="1" ht="16.5" customHeight="1" thickBot="1">
      <c r="A138" s="6" t="s">
        <v>1928</v>
      </c>
      <c r="B138" s="9" t="s">
        <v>1257</v>
      </c>
      <c r="C138" s="36">
        <v>16268</v>
      </c>
      <c r="D138" s="17">
        <f>SUM(C138/$C$145)</f>
        <v>0.50380922886342516</v>
      </c>
      <c r="E138" s="16"/>
    </row>
    <row r="139" spans="1:7" s="2" customFormat="1" ht="16.5" customHeight="1" thickBot="1">
      <c r="A139" s="12" t="s">
        <v>2132</v>
      </c>
      <c r="B139" s="27" t="s">
        <v>1258</v>
      </c>
      <c r="C139" s="8">
        <v>11324</v>
      </c>
      <c r="D139" s="17">
        <f t="shared" ref="D139:D144" si="5">SUM(C139/$C$145)</f>
        <v>0.35069681015794363</v>
      </c>
      <c r="E139" s="16"/>
      <c r="G139" s="14"/>
    </row>
    <row r="140" spans="1:7" s="2" customFormat="1" ht="16.5" customHeight="1" thickBot="1">
      <c r="A140" s="12" t="s">
        <v>2394</v>
      </c>
      <c r="B140" s="40" t="s">
        <v>1269</v>
      </c>
      <c r="C140" s="8">
        <v>2451</v>
      </c>
      <c r="D140" s="17">
        <f t="shared" si="5"/>
        <v>7.5905853205326723E-2</v>
      </c>
      <c r="E140" s="16"/>
      <c r="G140" s="14"/>
    </row>
    <row r="141" spans="1:7" s="2" customFormat="1" ht="16.5" customHeight="1" thickBot="1">
      <c r="A141" s="12" t="s">
        <v>1517</v>
      </c>
      <c r="B141" s="20" t="s">
        <v>1261</v>
      </c>
      <c r="C141" s="8">
        <v>1009</v>
      </c>
      <c r="D141" s="17">
        <f t="shared" si="5"/>
        <v>3.1248064416227933E-2</v>
      </c>
      <c r="E141" s="16"/>
      <c r="G141" s="14"/>
    </row>
    <row r="142" spans="1:7" s="2" customFormat="1" ht="16.5" customHeight="1" thickBot="1">
      <c r="A142" s="12" t="s">
        <v>1818</v>
      </c>
      <c r="B142" s="22" t="s">
        <v>1408</v>
      </c>
      <c r="C142" s="8">
        <v>822</v>
      </c>
      <c r="D142" s="17">
        <f t="shared" si="5"/>
        <v>2.5456797770207495E-2</v>
      </c>
      <c r="E142" s="21"/>
    </row>
    <row r="143" spans="1:7" s="2" customFormat="1" ht="16.5" customHeight="1" thickBot="1">
      <c r="A143" s="12" t="s">
        <v>1521</v>
      </c>
      <c r="B143" s="78" t="s">
        <v>1270</v>
      </c>
      <c r="C143" s="8">
        <v>211</v>
      </c>
      <c r="D143" s="17">
        <f t="shared" si="5"/>
        <v>6.5345308144936515E-3</v>
      </c>
      <c r="E143" s="21"/>
    </row>
    <row r="144" spans="1:7" s="2" customFormat="1" ht="16.5" customHeight="1" thickBot="1">
      <c r="A144" s="12" t="s">
        <v>2395</v>
      </c>
      <c r="B144" s="13" t="s">
        <v>1247</v>
      </c>
      <c r="C144" s="8">
        <v>205</v>
      </c>
      <c r="D144" s="17">
        <f t="shared" si="5"/>
        <v>6.3487147723753487E-3</v>
      </c>
      <c r="E144" s="21"/>
    </row>
    <row r="145" spans="1:12" s="2" customFormat="1" ht="16.5" customHeight="1">
      <c r="A145" s="75"/>
      <c r="B145" s="76"/>
      <c r="C145" s="23">
        <f>SUM(C138:C144)</f>
        <v>32290</v>
      </c>
      <c r="D145" s="17"/>
      <c r="E145" s="10" t="s">
        <v>1874</v>
      </c>
      <c r="F145" s="21">
        <f>(C138-C139)</f>
        <v>4944</v>
      </c>
    </row>
    <row r="146" spans="1:12" s="2" customFormat="1" ht="12" customHeight="1">
      <c r="A146" s="1"/>
      <c r="E146"/>
      <c r="L146"/>
    </row>
    <row r="147" spans="1:12" s="2" customFormat="1" ht="16.5" customHeight="1">
      <c r="A147" s="1" t="s">
        <v>2396</v>
      </c>
    </row>
    <row r="148" spans="1:12" s="2" customFormat="1" ht="9.75" customHeight="1" thickBot="1">
      <c r="A148" s="3"/>
    </row>
    <row r="149" spans="1:12" s="2" customFormat="1" ht="16.5" customHeight="1" thickBot="1">
      <c r="A149" s="4" t="s">
        <v>1244</v>
      </c>
      <c r="B149" s="5" t="s">
        <v>1245</v>
      </c>
      <c r="C149" s="5" t="s">
        <v>1248</v>
      </c>
      <c r="D149" s="10"/>
      <c r="E149" s="10" t="s">
        <v>1413</v>
      </c>
      <c r="F149" s="11">
        <f>(30790/52535)</f>
        <v>0.58608546683163609</v>
      </c>
    </row>
    <row r="150" spans="1:12" s="2" customFormat="1" ht="16.5" customHeight="1" thickBot="1">
      <c r="A150" s="6" t="s">
        <v>1695</v>
      </c>
      <c r="B150" s="28" t="s">
        <v>1258</v>
      </c>
      <c r="C150" s="36">
        <v>13935</v>
      </c>
      <c r="D150" s="17">
        <f t="shared" ref="D150:D156" si="6">SUM(C150/$C$157)</f>
        <v>0.45628683693516697</v>
      </c>
      <c r="E150" s="16"/>
    </row>
    <row r="151" spans="1:12" s="2" customFormat="1" ht="16.5" customHeight="1" thickBot="1">
      <c r="A151" s="12" t="s">
        <v>1939</v>
      </c>
      <c r="B151" s="13" t="s">
        <v>1247</v>
      </c>
      <c r="C151" s="8">
        <v>8747</v>
      </c>
      <c r="D151" s="17">
        <f t="shared" si="6"/>
        <v>0.2864112639161755</v>
      </c>
      <c r="E151" s="16"/>
      <c r="G151" s="14"/>
    </row>
    <row r="152" spans="1:12" s="2" customFormat="1" ht="16.5" customHeight="1" thickBot="1">
      <c r="A152" s="12" t="s">
        <v>1937</v>
      </c>
      <c r="B152" s="20" t="s">
        <v>1261</v>
      </c>
      <c r="C152" s="8">
        <v>4950</v>
      </c>
      <c r="D152" s="17">
        <f t="shared" si="6"/>
        <v>0.16208251473477406</v>
      </c>
      <c r="E152" s="16"/>
      <c r="G152" s="14"/>
    </row>
    <row r="153" spans="1:12" s="2" customFormat="1" ht="16.5" customHeight="1" thickBot="1">
      <c r="A153" s="12" t="s">
        <v>1935</v>
      </c>
      <c r="B153" s="22" t="s">
        <v>1257</v>
      </c>
      <c r="C153" s="8">
        <v>2154</v>
      </c>
      <c r="D153" s="17">
        <f t="shared" si="6"/>
        <v>7.053045186640472E-2</v>
      </c>
      <c r="E153" s="16"/>
      <c r="G153" s="14"/>
    </row>
    <row r="154" spans="1:12" s="2" customFormat="1" ht="16.5" customHeight="1" thickBot="1">
      <c r="A154" s="12" t="s">
        <v>1829</v>
      </c>
      <c r="B154" s="40" t="s">
        <v>1269</v>
      </c>
      <c r="C154" s="8">
        <v>438</v>
      </c>
      <c r="D154" s="17">
        <f t="shared" si="6"/>
        <v>1.4341846758349706E-2</v>
      </c>
      <c r="E154" s="21"/>
    </row>
    <row r="155" spans="1:12" s="2" customFormat="1" ht="16.5" customHeight="1" thickBot="1">
      <c r="A155" s="12" t="s">
        <v>1463</v>
      </c>
      <c r="B155" s="37" t="s">
        <v>1286</v>
      </c>
      <c r="C155" s="8">
        <v>165</v>
      </c>
      <c r="D155" s="17">
        <f t="shared" si="6"/>
        <v>5.4027504911591355E-3</v>
      </c>
      <c r="E155" s="21"/>
    </row>
    <row r="156" spans="1:12" s="2" customFormat="1" ht="16.5" customHeight="1" thickBot="1">
      <c r="A156" s="12" t="s">
        <v>2397</v>
      </c>
      <c r="B156" s="78" t="s">
        <v>2388</v>
      </c>
      <c r="C156" s="8">
        <v>151</v>
      </c>
      <c r="D156" s="17">
        <f t="shared" si="6"/>
        <v>4.9443352979698756E-3</v>
      </c>
      <c r="E156" s="21"/>
    </row>
    <row r="157" spans="1:12" s="2" customFormat="1" ht="16.5" customHeight="1">
      <c r="A157" s="75"/>
      <c r="B157" s="76"/>
      <c r="C157" s="23">
        <f>SUM(C150:C156)</f>
        <v>30540</v>
      </c>
      <c r="D157" s="17"/>
      <c r="E157" s="10" t="s">
        <v>1874</v>
      </c>
      <c r="F157" s="21">
        <f>(C150-C151)</f>
        <v>5188</v>
      </c>
    </row>
    <row r="158" spans="1:12" s="2" customFormat="1" ht="12" customHeight="1">
      <c r="A158" s="1"/>
    </row>
    <row r="159" spans="1:12" s="2" customFormat="1" ht="16.5" customHeight="1">
      <c r="A159" s="1" t="s">
        <v>2398</v>
      </c>
    </row>
    <row r="160" spans="1:12" s="2" customFormat="1" ht="9.75" customHeight="1" thickBot="1">
      <c r="A160" s="3"/>
    </row>
    <row r="161" spans="1:7" s="2" customFormat="1" ht="16.5" customHeight="1" thickBot="1">
      <c r="A161" s="4" t="s">
        <v>1244</v>
      </c>
      <c r="B161" s="5" t="s">
        <v>1245</v>
      </c>
      <c r="C161" s="5" t="s">
        <v>1248</v>
      </c>
      <c r="D161" s="10"/>
      <c r="E161" s="10" t="s">
        <v>1413</v>
      </c>
      <c r="F161" s="11">
        <f>(34928/53536)</f>
        <v>0.65242080095636579</v>
      </c>
    </row>
    <row r="162" spans="1:7" s="2" customFormat="1" ht="16.5" customHeight="1" thickBot="1">
      <c r="A162" s="6" t="s">
        <v>1709</v>
      </c>
      <c r="B162" s="25" t="s">
        <v>1247</v>
      </c>
      <c r="C162" s="36">
        <v>24348</v>
      </c>
      <c r="D162" s="17">
        <f t="shared" ref="D162:D168" si="7">SUM(C162/$C$169)</f>
        <v>0.70481980026052971</v>
      </c>
      <c r="E162" s="16"/>
    </row>
    <row r="163" spans="1:7" s="2" customFormat="1" ht="16.5" customHeight="1" thickBot="1">
      <c r="A163" s="12" t="s">
        <v>1941</v>
      </c>
      <c r="B163" s="20" t="s">
        <v>1261</v>
      </c>
      <c r="C163" s="8">
        <v>5033</v>
      </c>
      <c r="D163" s="17">
        <f t="shared" si="7"/>
        <v>0.14569402228976697</v>
      </c>
      <c r="E163" s="16"/>
      <c r="G163" s="14"/>
    </row>
    <row r="164" spans="1:7" s="2" customFormat="1" ht="16.5" customHeight="1" thickBot="1">
      <c r="A164" s="12" t="s">
        <v>1837</v>
      </c>
      <c r="B164" s="27" t="s">
        <v>1258</v>
      </c>
      <c r="C164" s="8">
        <v>3652</v>
      </c>
      <c r="D164" s="17">
        <f t="shared" si="7"/>
        <v>0.10571718048921697</v>
      </c>
      <c r="E164" s="16"/>
      <c r="G164" s="14"/>
    </row>
    <row r="165" spans="1:7" s="2" customFormat="1" ht="16.5" customHeight="1" thickBot="1">
      <c r="A165" s="12" t="s">
        <v>1839</v>
      </c>
      <c r="B165" s="22" t="s">
        <v>1257</v>
      </c>
      <c r="C165" s="8">
        <v>779</v>
      </c>
      <c r="D165" s="17">
        <f t="shared" si="7"/>
        <v>2.2550296714430453E-2</v>
      </c>
      <c r="E165" s="16"/>
      <c r="G165" s="14"/>
    </row>
    <row r="166" spans="1:7" s="2" customFormat="1" ht="16.5" customHeight="1" thickBot="1">
      <c r="A166" s="12" t="s">
        <v>1720</v>
      </c>
      <c r="B166" s="37" t="s">
        <v>1286</v>
      </c>
      <c r="C166" s="8">
        <v>432</v>
      </c>
      <c r="D166" s="17">
        <f t="shared" si="7"/>
        <v>1.2505427702996091E-2</v>
      </c>
      <c r="E166" s="21"/>
    </row>
    <row r="167" spans="1:7" s="2" customFormat="1" ht="16.5" customHeight="1" thickBot="1">
      <c r="A167" s="12" t="s">
        <v>2397</v>
      </c>
      <c r="B167" s="78" t="s">
        <v>2388</v>
      </c>
      <c r="C167" s="8">
        <v>154</v>
      </c>
      <c r="D167" s="17">
        <f t="shared" si="7"/>
        <v>4.4579533941236068E-3</v>
      </c>
      <c r="E167" s="21"/>
    </row>
    <row r="168" spans="1:7" s="2" customFormat="1" ht="16.5" customHeight="1" thickBot="1">
      <c r="A168" s="12" t="s">
        <v>2399</v>
      </c>
      <c r="B168" s="78" t="s">
        <v>1270</v>
      </c>
      <c r="C168" s="8">
        <v>147</v>
      </c>
      <c r="D168" s="17">
        <f t="shared" si="7"/>
        <v>4.2553191489361703E-3</v>
      </c>
      <c r="E168" s="21"/>
    </row>
    <row r="169" spans="1:7" s="2" customFormat="1" ht="16.5" customHeight="1">
      <c r="A169" s="75"/>
      <c r="B169" s="76"/>
      <c r="C169" s="23">
        <f>SUM(C162:C168)</f>
        <v>34545</v>
      </c>
      <c r="D169" s="17"/>
      <c r="E169" s="10" t="s">
        <v>1874</v>
      </c>
      <c r="F169" s="21">
        <f>(C162-C163)</f>
        <v>19315</v>
      </c>
    </row>
    <row r="170" spans="1:7" s="2" customFormat="1" ht="12" customHeight="1">
      <c r="A170" s="1"/>
    </row>
    <row r="171" spans="1:7" s="2" customFormat="1" ht="16.5" customHeight="1">
      <c r="A171" s="1" t="s">
        <v>2400</v>
      </c>
    </row>
    <row r="172" spans="1:7" s="2" customFormat="1" ht="9.75" customHeight="1" thickBot="1">
      <c r="A172" s="3"/>
    </row>
    <row r="173" spans="1:7" s="2" customFormat="1" ht="16.5" customHeight="1" thickBot="1">
      <c r="A173" s="4" t="s">
        <v>1244</v>
      </c>
      <c r="B173" s="5" t="s">
        <v>1245</v>
      </c>
      <c r="C173" s="5" t="s">
        <v>1248</v>
      </c>
      <c r="D173" s="10"/>
      <c r="E173" s="10" t="s">
        <v>1413</v>
      </c>
      <c r="F173" s="11">
        <f>(32239/52218)</f>
        <v>0.61739247002949171</v>
      </c>
    </row>
    <row r="174" spans="1:7" s="2" customFormat="1" ht="16.5" customHeight="1" thickBot="1">
      <c r="A174" s="6" t="s">
        <v>2177</v>
      </c>
      <c r="B174" s="7" t="s">
        <v>1261</v>
      </c>
      <c r="C174" s="36">
        <v>10339</v>
      </c>
      <c r="D174" s="17">
        <f>SUM(C174/$C$181)</f>
        <v>0.32281129012114401</v>
      </c>
      <c r="E174" s="16"/>
    </row>
    <row r="175" spans="1:7" s="2" customFormat="1" ht="16.5" customHeight="1" thickBot="1">
      <c r="A175" s="12" t="s">
        <v>1677</v>
      </c>
      <c r="B175" s="27" t="s">
        <v>1258</v>
      </c>
      <c r="C175" s="8">
        <v>9104</v>
      </c>
      <c r="D175" s="17">
        <f t="shared" ref="D175:D180" si="8">SUM(C175/$C$181)</f>
        <v>0.28425128012988637</v>
      </c>
      <c r="E175" s="16"/>
      <c r="G175" s="14"/>
    </row>
    <row r="176" spans="1:7" s="2" customFormat="1" ht="16.5" customHeight="1" thickBot="1">
      <c r="A176" s="12" t="s">
        <v>2174</v>
      </c>
      <c r="B176" s="22" t="s">
        <v>1257</v>
      </c>
      <c r="C176" s="8">
        <v>7263</v>
      </c>
      <c r="D176" s="17">
        <f t="shared" si="8"/>
        <v>0.22677032596478081</v>
      </c>
      <c r="E176" s="16"/>
      <c r="G176" s="14"/>
    </row>
    <row r="177" spans="1:7" s="2" customFormat="1" ht="16.5" customHeight="1" thickBot="1">
      <c r="A177" s="12" t="s">
        <v>2169</v>
      </c>
      <c r="B177" s="13" t="s">
        <v>1247</v>
      </c>
      <c r="C177" s="8">
        <v>2882</v>
      </c>
      <c r="D177" s="17">
        <f>SUM(C177/$C$181)</f>
        <v>8.9983764206319469E-2</v>
      </c>
      <c r="E177" s="21"/>
    </row>
    <row r="178" spans="1:7" s="2" customFormat="1" ht="16.5" customHeight="1" thickBot="1">
      <c r="A178" s="12" t="s">
        <v>1853</v>
      </c>
      <c r="B178" s="40" t="s">
        <v>1269</v>
      </c>
      <c r="C178" s="8">
        <v>2012</v>
      </c>
      <c r="D178" s="17">
        <f>SUM(C178/$C$181)</f>
        <v>6.2820032471587364E-2</v>
      </c>
      <c r="E178" s="16"/>
      <c r="G178" s="14"/>
    </row>
    <row r="179" spans="1:7" s="2" customFormat="1" ht="16.5" customHeight="1" thickBot="1">
      <c r="A179" s="12" t="s">
        <v>2397</v>
      </c>
      <c r="B179" s="78" t="s">
        <v>2388</v>
      </c>
      <c r="C179" s="8">
        <v>235</v>
      </c>
      <c r="D179" s="17">
        <f>SUM(C179/$C$181)</f>
        <v>7.3373298363931562E-3</v>
      </c>
      <c r="E179" s="16"/>
      <c r="G179" s="14"/>
    </row>
    <row r="180" spans="1:7" s="2" customFormat="1" ht="16.5" customHeight="1" thickBot="1">
      <c r="A180" s="12" t="s">
        <v>2401</v>
      </c>
      <c r="B180" s="37" t="s">
        <v>1286</v>
      </c>
      <c r="C180" s="8">
        <v>193</v>
      </c>
      <c r="D180" s="17">
        <f t="shared" si="8"/>
        <v>6.0259772698888475E-3</v>
      </c>
      <c r="E180" s="21"/>
    </row>
    <row r="181" spans="1:7" s="2" customFormat="1" ht="16.5" customHeight="1">
      <c r="A181" s="75"/>
      <c r="B181" s="76"/>
      <c r="C181" s="23">
        <f>SUM(C174:C180)</f>
        <v>32028</v>
      </c>
      <c r="D181" s="17"/>
      <c r="E181" s="10" t="s">
        <v>1874</v>
      </c>
      <c r="F181" s="21">
        <f>(C174-C175)</f>
        <v>1235</v>
      </c>
    </row>
    <row r="182" spans="1:7" s="2" customFormat="1" ht="12" customHeight="1">
      <c r="A182" s="1"/>
    </row>
    <row r="183" spans="1:7" s="2" customFormat="1" ht="16.5" customHeight="1">
      <c r="A183" s="1" t="s">
        <v>2402</v>
      </c>
    </row>
    <row r="184" spans="1:7" s="2" customFormat="1" ht="9.75" customHeight="1" thickBot="1">
      <c r="A184" s="3"/>
    </row>
    <row r="185" spans="1:7" s="2" customFormat="1" ht="16.5" customHeight="1" thickBot="1">
      <c r="A185" s="4" t="s">
        <v>1244</v>
      </c>
      <c r="B185" s="5" t="s">
        <v>1245</v>
      </c>
      <c r="C185" s="5" t="s">
        <v>1248</v>
      </c>
      <c r="D185" s="10"/>
      <c r="E185" s="10" t="s">
        <v>1413</v>
      </c>
      <c r="F185" s="11">
        <f>(31019/52899)</f>
        <v>0.58638159511521959</v>
      </c>
    </row>
    <row r="186" spans="1:7" s="2" customFormat="1" ht="16.5" customHeight="1" thickBot="1">
      <c r="A186" s="6" t="s">
        <v>1660</v>
      </c>
      <c r="B186" s="28" t="s">
        <v>1258</v>
      </c>
      <c r="C186" s="36">
        <v>15152</v>
      </c>
      <c r="D186" s="17">
        <f>SUM(C186/$C$194)</f>
        <v>0.49145340728487563</v>
      </c>
      <c r="E186" s="16"/>
    </row>
    <row r="187" spans="1:7" s="2" customFormat="1" ht="16.5" customHeight="1" thickBot="1">
      <c r="A187" s="12" t="s">
        <v>1904</v>
      </c>
      <c r="B187" s="22" t="s">
        <v>1257</v>
      </c>
      <c r="C187" s="8">
        <v>9275</v>
      </c>
      <c r="D187" s="17">
        <f t="shared" ref="D187:D193" si="9">SUM(C187/$C$194)</f>
        <v>0.30083357659498555</v>
      </c>
      <c r="E187" s="16"/>
      <c r="G187" s="14"/>
    </row>
    <row r="188" spans="1:7" s="2" customFormat="1" ht="16.5" customHeight="1" thickBot="1">
      <c r="A188" s="12" t="s">
        <v>1856</v>
      </c>
      <c r="B188" s="40" t="s">
        <v>1269</v>
      </c>
      <c r="C188" s="8">
        <v>3746</v>
      </c>
      <c r="D188" s="17">
        <f t="shared" si="9"/>
        <v>0.12150108656871331</v>
      </c>
      <c r="E188" s="16"/>
      <c r="G188" s="14"/>
    </row>
    <row r="189" spans="1:7" s="2" customFormat="1" ht="16.5" customHeight="1" thickBot="1">
      <c r="A189" s="12" t="s">
        <v>2403</v>
      </c>
      <c r="B189" s="13" t="s">
        <v>1247</v>
      </c>
      <c r="C189" s="8">
        <v>1029</v>
      </c>
      <c r="D189" s="17">
        <f t="shared" si="9"/>
        <v>3.3375498686387076E-2</v>
      </c>
      <c r="E189" s="16"/>
      <c r="G189" s="14"/>
    </row>
    <row r="190" spans="1:7" s="2" customFormat="1" ht="16.5" customHeight="1" thickBot="1">
      <c r="A190" s="12" t="s">
        <v>1669</v>
      </c>
      <c r="B190" s="20" t="s">
        <v>1261</v>
      </c>
      <c r="C190" s="8">
        <v>844</v>
      </c>
      <c r="D190" s="17">
        <f>SUM(C190/$C$194)</f>
        <v>2.7375044597969578E-2</v>
      </c>
      <c r="E190" s="21"/>
    </row>
    <row r="191" spans="1:7" s="2" customFormat="1" ht="16.5" customHeight="1" thickBot="1">
      <c r="A191" s="12" t="s">
        <v>1796</v>
      </c>
      <c r="B191" s="22" t="s">
        <v>1408</v>
      </c>
      <c r="C191" s="8">
        <v>434</v>
      </c>
      <c r="D191" s="17">
        <f>SUM(C191/$C$194)</f>
        <v>1.4076740942557816E-2</v>
      </c>
      <c r="E191" s="21"/>
    </row>
    <row r="192" spans="1:7" s="2" customFormat="1" ht="16.5" customHeight="1" thickBot="1">
      <c r="A192" s="12" t="s">
        <v>2404</v>
      </c>
      <c r="B192" s="37" t="s">
        <v>1286</v>
      </c>
      <c r="C192" s="8">
        <v>179</v>
      </c>
      <c r="D192" s="17">
        <f t="shared" si="9"/>
        <v>5.805844766630988E-3</v>
      </c>
      <c r="E192" s="21"/>
    </row>
    <row r="193" spans="1:6" s="2" customFormat="1" ht="16.5" customHeight="1" thickBot="1">
      <c r="A193" s="12" t="s">
        <v>2397</v>
      </c>
      <c r="B193" s="78" t="s">
        <v>2388</v>
      </c>
      <c r="C193" s="8">
        <v>172</v>
      </c>
      <c r="D193" s="17">
        <f t="shared" si="9"/>
        <v>5.5788005578800556E-3</v>
      </c>
      <c r="E193" s="21"/>
    </row>
    <row r="194" spans="1:6" s="2" customFormat="1" ht="16.5" customHeight="1">
      <c r="A194" s="75"/>
      <c r="B194" s="76"/>
      <c r="C194" s="23">
        <f>SUM(C186:C193)</f>
        <v>30831</v>
      </c>
      <c r="D194" s="17"/>
      <c r="E194" s="10" t="s">
        <v>1874</v>
      </c>
      <c r="F194" s="21">
        <f>(C186-C187)</f>
        <v>5877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6"/>
  <dimension ref="A1:L189"/>
  <sheetViews>
    <sheetView workbookViewId="0">
      <selection activeCell="L1" sqref="L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827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(52667/66640)</f>
        <v>0.79032112845138058</v>
      </c>
    </row>
    <row r="4" spans="1:7" s="2" customFormat="1" ht="16.5" customHeight="1" thickBot="1">
      <c r="A4" s="6" t="s">
        <v>1949</v>
      </c>
      <c r="B4" s="25" t="s">
        <v>1247</v>
      </c>
      <c r="C4" s="36">
        <v>17739</v>
      </c>
      <c r="D4" s="17">
        <f>SUM(C4/$C$8)</f>
        <v>0.34130526801862471</v>
      </c>
      <c r="E4" s="16"/>
    </row>
    <row r="5" spans="1:7" s="2" customFormat="1" ht="16.5" customHeight="1" thickBot="1">
      <c r="A5" s="12" t="s">
        <v>2405</v>
      </c>
      <c r="B5" s="22" t="s">
        <v>1257</v>
      </c>
      <c r="C5" s="8">
        <v>17686</v>
      </c>
      <c r="D5" s="17">
        <f>SUM(C5/$C$8)</f>
        <v>0.34028552737907414</v>
      </c>
      <c r="E5" s="16"/>
      <c r="G5" s="14"/>
    </row>
    <row r="6" spans="1:7" s="2" customFormat="1" ht="16.5" customHeight="1" thickBot="1">
      <c r="A6" s="12" t="s">
        <v>1951</v>
      </c>
      <c r="B6" s="20" t="s">
        <v>1261</v>
      </c>
      <c r="C6" s="8">
        <v>9706</v>
      </c>
      <c r="D6" s="17">
        <f>SUM(C6/$C$8)</f>
        <v>0.18674721976372802</v>
      </c>
      <c r="E6" s="16"/>
      <c r="G6" s="14"/>
    </row>
    <row r="7" spans="1:7" s="2" customFormat="1" ht="16.5" customHeight="1" thickBot="1">
      <c r="A7" s="12" t="s">
        <v>1957</v>
      </c>
      <c r="B7" s="38" t="s">
        <v>1423</v>
      </c>
      <c r="C7" s="8">
        <v>6843</v>
      </c>
      <c r="D7" s="17">
        <f>SUM(C7/$C$8)</f>
        <v>0.13166198483857314</v>
      </c>
      <c r="E7" s="21"/>
    </row>
    <row r="8" spans="1:7" s="2" customFormat="1" ht="16.5" customHeight="1">
      <c r="A8" s="75"/>
      <c r="B8" s="76"/>
      <c r="C8" s="23">
        <f>SUM(C4:C7)</f>
        <v>51974</v>
      </c>
      <c r="D8" s="17"/>
      <c r="E8" s="10" t="s">
        <v>1874</v>
      </c>
      <c r="F8" s="21">
        <f>(C4-C5)</f>
        <v>53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2407</v>
      </c>
      <c r="D10" s="11"/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(48964/60739)</f>
        <v>0.80613773687416657</v>
      </c>
    </row>
    <row r="13" spans="1:7" s="2" customFormat="1" ht="16.5" customHeight="1" thickBot="1">
      <c r="A13" s="6" t="s">
        <v>1969</v>
      </c>
      <c r="B13" s="25" t="s">
        <v>1247</v>
      </c>
      <c r="C13" s="36">
        <v>19814</v>
      </c>
      <c r="D13" s="17">
        <f>SUM(C13/$C$16)</f>
        <v>0.4082835359571399</v>
      </c>
      <c r="E13" s="16"/>
    </row>
    <row r="14" spans="1:7" s="2" customFormat="1" ht="16.5" customHeight="1" thickBot="1">
      <c r="A14" s="12" t="s">
        <v>2406</v>
      </c>
      <c r="B14" s="22" t="s">
        <v>1257</v>
      </c>
      <c r="C14" s="8">
        <v>14774</v>
      </c>
      <c r="D14" s="17">
        <f>SUM(C14/$C$16)</f>
        <v>0.30443024933031115</v>
      </c>
      <c r="E14" s="16"/>
      <c r="G14" s="14"/>
    </row>
    <row r="15" spans="1:7" s="2" customFormat="1" ht="16.5" customHeight="1" thickBot="1">
      <c r="A15" s="12" t="s">
        <v>2048</v>
      </c>
      <c r="B15" s="20" t="s">
        <v>1261</v>
      </c>
      <c r="C15" s="8">
        <v>13942</v>
      </c>
      <c r="D15" s="17">
        <f>SUM(C15/$C$16)</f>
        <v>0.28728621471254895</v>
      </c>
      <c r="E15" s="21"/>
    </row>
    <row r="16" spans="1:7" s="2" customFormat="1" ht="16.5" customHeight="1">
      <c r="A16" s="75"/>
      <c r="B16" s="76"/>
      <c r="C16" s="23">
        <f>SUM(C13:C15)</f>
        <v>48530</v>
      </c>
      <c r="D16" s="17"/>
      <c r="E16" s="10" t="s">
        <v>1874</v>
      </c>
      <c r="F16" s="21">
        <f>(C13-C14)</f>
        <v>5040</v>
      </c>
    </row>
    <row r="17" spans="1:7" s="2" customFormat="1" ht="12" customHeight="1">
      <c r="A17" s="1"/>
    </row>
    <row r="18" spans="1:7" s="2" customFormat="1" ht="16.5" customHeight="1">
      <c r="A18" s="1" t="s">
        <v>2408</v>
      </c>
    </row>
    <row r="19" spans="1:7" s="2" customFormat="1" ht="9.75" customHeight="1" thickBot="1">
      <c r="A19" s="3"/>
    </row>
    <row r="20" spans="1:7" s="2" customFormat="1" ht="16.5" customHeight="1" thickBot="1">
      <c r="A20" s="4" t="s">
        <v>1244</v>
      </c>
      <c r="B20" s="5" t="s">
        <v>1245</v>
      </c>
      <c r="C20" s="5" t="s">
        <v>1248</v>
      </c>
      <c r="D20" s="10"/>
      <c r="E20" s="10" t="s">
        <v>1413</v>
      </c>
      <c r="F20" s="11">
        <f>(50388/61390)</f>
        <v>0.82078514416028669</v>
      </c>
    </row>
    <row r="21" spans="1:7" s="2" customFormat="1" ht="16.5" customHeight="1" thickBot="1">
      <c r="A21" s="6" t="s">
        <v>1352</v>
      </c>
      <c r="B21" s="25" t="s">
        <v>1247</v>
      </c>
      <c r="C21" s="36">
        <v>25502</v>
      </c>
      <c r="D21" s="17">
        <f>SUM(C21/$C$25)</f>
        <v>0.51069368792053826</v>
      </c>
      <c r="E21" s="16"/>
    </row>
    <row r="22" spans="1:7" s="2" customFormat="1" ht="16.5" customHeight="1" thickBot="1">
      <c r="A22" s="12" t="s">
        <v>1355</v>
      </c>
      <c r="B22" s="27" t="s">
        <v>1258</v>
      </c>
      <c r="C22" s="8">
        <v>15549</v>
      </c>
      <c r="D22" s="17">
        <f>SUM(C22/$C$25)</f>
        <v>0.31137856456264018</v>
      </c>
      <c r="E22" s="16"/>
      <c r="G22" s="14"/>
    </row>
    <row r="23" spans="1:7" s="2" customFormat="1" ht="16.5" customHeight="1" thickBot="1">
      <c r="A23" s="12" t="s">
        <v>2409</v>
      </c>
      <c r="B23" s="20" t="s">
        <v>1261</v>
      </c>
      <c r="C23" s="8">
        <v>8376</v>
      </c>
      <c r="D23" s="17">
        <f>SUM(C23/$C$25)</f>
        <v>0.16773470041653316</v>
      </c>
      <c r="E23" s="16"/>
      <c r="G23" s="14"/>
    </row>
    <row r="24" spans="1:7" s="2" customFormat="1" ht="16.5" customHeight="1" thickBot="1">
      <c r="A24" s="12" t="s">
        <v>1285</v>
      </c>
      <c r="B24" s="37" t="s">
        <v>1286</v>
      </c>
      <c r="C24" s="8">
        <v>509</v>
      </c>
      <c r="D24" s="17">
        <f>SUM(C24/$C$25)</f>
        <v>1.019304710028837E-2</v>
      </c>
      <c r="E24" s="21"/>
    </row>
    <row r="25" spans="1:7" s="2" customFormat="1" ht="16.5" customHeight="1">
      <c r="A25" s="75"/>
      <c r="B25" s="76"/>
      <c r="C25" s="23">
        <f>SUM(C21:C24)</f>
        <v>49936</v>
      </c>
      <c r="D25" s="17"/>
      <c r="E25" s="10" t="s">
        <v>1874</v>
      </c>
      <c r="F25" s="21">
        <f>(C21-C22)</f>
        <v>9953</v>
      </c>
    </row>
    <row r="26" spans="1:7" s="2" customFormat="1" ht="12" customHeight="1">
      <c r="A26" s="1"/>
    </row>
    <row r="27" spans="1:7" s="2" customFormat="1" ht="16.5" customHeight="1">
      <c r="A27" s="1" t="s">
        <v>2411</v>
      </c>
    </row>
    <row r="28" spans="1:7" s="2" customFormat="1" ht="9.75" customHeight="1" thickBot="1">
      <c r="A28" s="3"/>
    </row>
    <row r="29" spans="1:7" s="2" customFormat="1" ht="16.5" customHeight="1" thickBot="1">
      <c r="A29" s="4" t="s">
        <v>1244</v>
      </c>
      <c r="B29" s="5" t="s">
        <v>1245</v>
      </c>
      <c r="C29" s="5" t="s">
        <v>1248</v>
      </c>
      <c r="D29" s="10"/>
      <c r="E29" s="10" t="s">
        <v>1413</v>
      </c>
      <c r="F29" s="11">
        <f>(49374/70943)</f>
        <v>0.69596718492310727</v>
      </c>
    </row>
    <row r="30" spans="1:7" s="2" customFormat="1" ht="16.5" customHeight="1" thickBot="1">
      <c r="A30" s="6" t="s">
        <v>2410</v>
      </c>
      <c r="B30" s="7" t="s">
        <v>1261</v>
      </c>
      <c r="C30" s="36">
        <v>24538</v>
      </c>
      <c r="D30" s="17">
        <f>SUM(C30/$C$35)</f>
        <v>0.50201518034329673</v>
      </c>
      <c r="E30" s="16"/>
    </row>
    <row r="31" spans="1:7" s="2" customFormat="1" ht="16.5" customHeight="1" thickBot="1">
      <c r="A31" s="12" t="s">
        <v>1908</v>
      </c>
      <c r="B31" s="13" t="s">
        <v>1247</v>
      </c>
      <c r="C31" s="8">
        <v>12988</v>
      </c>
      <c r="D31" s="17">
        <f>SUM(C31/$C$35)</f>
        <v>0.26571738374352993</v>
      </c>
      <c r="E31" s="16"/>
      <c r="G31" s="14"/>
    </row>
    <row r="32" spans="1:7" s="2" customFormat="1" ht="16.5" customHeight="1" thickBot="1">
      <c r="A32" s="12" t="s">
        <v>1988</v>
      </c>
      <c r="B32" s="27" t="s">
        <v>1258</v>
      </c>
      <c r="C32" s="8">
        <v>7414</v>
      </c>
      <c r="D32" s="17">
        <f>SUM(C32/$C$35)</f>
        <v>0.15168068086499314</v>
      </c>
      <c r="E32" s="16"/>
      <c r="G32" s="14"/>
    </row>
    <row r="33" spans="1:7" s="2" customFormat="1" ht="16.5" customHeight="1" thickBot="1">
      <c r="A33" s="12" t="s">
        <v>2412</v>
      </c>
      <c r="B33" s="22" t="s">
        <v>1257</v>
      </c>
      <c r="C33" s="8">
        <v>3360</v>
      </c>
      <c r="D33" s="17">
        <f>SUM(C33/$C$35)</f>
        <v>6.8741177192659431E-2</v>
      </c>
      <c r="E33" s="21"/>
    </row>
    <row r="34" spans="1:7" s="2" customFormat="1" ht="16.5" customHeight="1" thickBot="1">
      <c r="A34" s="12" t="s">
        <v>1996</v>
      </c>
      <c r="B34" s="40" t="s">
        <v>1269</v>
      </c>
      <c r="C34" s="8">
        <v>579</v>
      </c>
      <c r="D34" s="17">
        <f>SUM(C34/$C$35)</f>
        <v>1.1845577855520775E-2</v>
      </c>
      <c r="E34" s="21"/>
    </row>
    <row r="35" spans="1:7" s="2" customFormat="1" ht="16.5" customHeight="1">
      <c r="A35" s="75"/>
      <c r="B35" s="76"/>
      <c r="C35" s="23">
        <f>SUM(C30:C34)</f>
        <v>48879</v>
      </c>
      <c r="D35" s="17"/>
      <c r="E35" s="10" t="s">
        <v>1874</v>
      </c>
      <c r="F35" s="21">
        <f>(C30-C31)</f>
        <v>11550</v>
      </c>
    </row>
    <row r="36" spans="1:7" s="2" customFormat="1" ht="12" customHeight="1">
      <c r="A36" s="1"/>
    </row>
    <row r="37" spans="1:7" s="2" customFormat="1" ht="16.5" customHeight="1">
      <c r="A37" s="1" t="s">
        <v>2416</v>
      </c>
    </row>
    <row r="38" spans="1:7" s="2" customFormat="1" ht="9.75" customHeight="1" thickBot="1">
      <c r="A38" s="3"/>
    </row>
    <row r="39" spans="1:7" s="2" customFormat="1" ht="16.5" customHeight="1" thickBot="1">
      <c r="A39" s="4" t="s">
        <v>1244</v>
      </c>
      <c r="B39" s="5" t="s">
        <v>1245</v>
      </c>
      <c r="C39" s="5" t="s">
        <v>1248</v>
      </c>
      <c r="D39" s="10"/>
      <c r="E39" s="10" t="s">
        <v>1413</v>
      </c>
      <c r="F39" s="11">
        <f>(40268/60215)</f>
        <v>0.66873702565805859</v>
      </c>
    </row>
    <row r="40" spans="1:7" s="2" customFormat="1" ht="16.5" customHeight="1" thickBot="1">
      <c r="A40" s="6" t="s">
        <v>2002</v>
      </c>
      <c r="B40" s="28" t="s">
        <v>1258</v>
      </c>
      <c r="C40" s="36">
        <v>12813</v>
      </c>
      <c r="D40" s="17">
        <f>SUM(C40/$C$45)</f>
        <v>0.32137751134967019</v>
      </c>
      <c r="E40" s="16"/>
    </row>
    <row r="41" spans="1:7" s="2" customFormat="1" ht="16.5" customHeight="1" thickBot="1">
      <c r="A41" s="12" t="s">
        <v>2417</v>
      </c>
      <c r="B41" s="22" t="s">
        <v>1257</v>
      </c>
      <c r="C41" s="8">
        <v>10912</v>
      </c>
      <c r="D41" s="17">
        <f>SUM(C41/$C$45)</f>
        <v>0.27369635556447364</v>
      </c>
      <c r="E41" s="16"/>
      <c r="G41" s="14"/>
    </row>
    <row r="42" spans="1:7" s="2" customFormat="1" ht="16.5" customHeight="1" thickBot="1">
      <c r="A42" s="12" t="s">
        <v>2004</v>
      </c>
      <c r="B42" s="20" t="s">
        <v>1261</v>
      </c>
      <c r="C42" s="8">
        <v>8298</v>
      </c>
      <c r="D42" s="17">
        <f>SUM(C42/$C$45)</f>
        <v>0.20813163109182573</v>
      </c>
      <c r="E42" s="16"/>
      <c r="G42" s="14"/>
    </row>
    <row r="43" spans="1:7" s="2" customFormat="1" ht="16.5" customHeight="1" thickBot="1">
      <c r="A43" s="12" t="s">
        <v>1297</v>
      </c>
      <c r="B43" s="13" t="s">
        <v>1247</v>
      </c>
      <c r="C43" s="8">
        <v>6221</v>
      </c>
      <c r="D43" s="17">
        <f>SUM(C43/$C$45)</f>
        <v>0.15603601795881511</v>
      </c>
      <c r="E43" s="16"/>
      <c r="G43" s="14"/>
    </row>
    <row r="44" spans="1:7" s="2" customFormat="1" ht="16.5" customHeight="1" thickBot="1">
      <c r="A44" s="12" t="s">
        <v>1305</v>
      </c>
      <c r="B44" s="40" t="s">
        <v>1269</v>
      </c>
      <c r="C44" s="8">
        <v>1625</v>
      </c>
      <c r="D44" s="17">
        <f>SUM(C44/$C$45)</f>
        <v>4.0758484035215328E-2</v>
      </c>
      <c r="E44" s="21"/>
    </row>
    <row r="45" spans="1:7" s="2" customFormat="1" ht="16.5" customHeight="1">
      <c r="A45" s="75"/>
      <c r="B45" s="76"/>
      <c r="C45" s="23">
        <f>SUM(C40:C44)</f>
        <v>39869</v>
      </c>
      <c r="D45" s="17"/>
      <c r="E45" s="10" t="s">
        <v>1874</v>
      </c>
      <c r="F45" s="21">
        <f>(C40-C41)</f>
        <v>1901</v>
      </c>
    </row>
    <row r="46" spans="1:7" s="2" customFormat="1" ht="12" customHeight="1">
      <c r="A46" s="1"/>
    </row>
    <row r="47" spans="1:7" s="2" customFormat="1" ht="16.5" customHeight="1">
      <c r="A47" s="1" t="s">
        <v>2413</v>
      </c>
    </row>
    <row r="48" spans="1:7" s="2" customFormat="1" ht="9.75" customHeight="1" thickBot="1">
      <c r="A48" s="3"/>
    </row>
    <row r="49" spans="1:7" s="2" customFormat="1" ht="16.5" customHeight="1" thickBot="1">
      <c r="A49" s="4" t="s">
        <v>1244</v>
      </c>
      <c r="B49" s="5" t="s">
        <v>1245</v>
      </c>
      <c r="C49" s="5" t="s">
        <v>1248</v>
      </c>
      <c r="D49" s="10"/>
      <c r="E49" s="10" t="s">
        <v>1413</v>
      </c>
      <c r="F49" s="11">
        <f>(56208/72466)</f>
        <v>0.7756465100874893</v>
      </c>
    </row>
    <row r="50" spans="1:7" s="2" customFormat="1" ht="16.5" customHeight="1" thickBot="1">
      <c r="A50" s="6" t="s">
        <v>2414</v>
      </c>
      <c r="B50" s="7" t="s">
        <v>1261</v>
      </c>
      <c r="C50" s="36">
        <v>20784</v>
      </c>
      <c r="D50" s="17">
        <f>SUM(C50/$C$54)</f>
        <v>0.3736718146023984</v>
      </c>
      <c r="E50" s="16"/>
    </row>
    <row r="51" spans="1:7" s="2" customFormat="1" ht="16.5" customHeight="1" thickBot="1">
      <c r="A51" s="12" t="s">
        <v>2018</v>
      </c>
      <c r="B51" s="13" t="s">
        <v>1247</v>
      </c>
      <c r="C51" s="8">
        <v>17209</v>
      </c>
      <c r="D51" s="17">
        <f>SUM(C51/$C$54)</f>
        <v>0.30939752971000162</v>
      </c>
      <c r="E51" s="16"/>
      <c r="G51" s="14"/>
    </row>
    <row r="52" spans="1:7" s="2" customFormat="1" ht="16.5" customHeight="1" thickBot="1">
      <c r="A52" s="12" t="s">
        <v>2017</v>
      </c>
      <c r="B52" s="27" t="s">
        <v>1258</v>
      </c>
      <c r="C52" s="8">
        <v>10795</v>
      </c>
      <c r="D52" s="17">
        <f>SUM(C52/$C$54)</f>
        <v>0.19408137214361482</v>
      </c>
      <c r="E52" s="16"/>
      <c r="G52" s="14"/>
    </row>
    <row r="53" spans="1:7" s="2" customFormat="1" ht="16.5" customHeight="1" thickBot="1">
      <c r="A53" s="12" t="s">
        <v>2415</v>
      </c>
      <c r="B53" s="22" t="s">
        <v>1257</v>
      </c>
      <c r="C53" s="8">
        <v>6833</v>
      </c>
      <c r="D53" s="17">
        <f>SUM(C53/$C$54)</f>
        <v>0.12284928354398518</v>
      </c>
      <c r="E53" s="16"/>
      <c r="G53" s="14"/>
    </row>
    <row r="54" spans="1:7" s="2" customFormat="1" ht="16.5" customHeight="1">
      <c r="A54" s="75"/>
      <c r="B54" s="76"/>
      <c r="C54" s="23">
        <f>SUM(C50:C53)</f>
        <v>55621</v>
      </c>
      <c r="D54" s="17"/>
      <c r="E54" s="10" t="s">
        <v>1874</v>
      </c>
      <c r="F54" s="21">
        <f>(C50-C51)</f>
        <v>3575</v>
      </c>
    </row>
    <row r="55" spans="1:7" s="2" customFormat="1" ht="12" customHeight="1">
      <c r="A55" s="1"/>
    </row>
    <row r="56" spans="1:7" s="2" customFormat="1" ht="16.5" customHeight="1">
      <c r="A56" s="1" t="s">
        <v>2418</v>
      </c>
    </row>
    <row r="57" spans="1:7" s="2" customFormat="1" ht="9.75" customHeight="1" thickBot="1">
      <c r="A57" s="3"/>
    </row>
    <row r="58" spans="1:7" s="2" customFormat="1" ht="16.5" customHeight="1" thickBot="1">
      <c r="A58" s="4" t="s">
        <v>1244</v>
      </c>
      <c r="B58" s="5" t="s">
        <v>1245</v>
      </c>
      <c r="C58" s="5" t="s">
        <v>1248</v>
      </c>
      <c r="D58" s="10"/>
      <c r="E58" s="10" t="s">
        <v>1413</v>
      </c>
      <c r="F58" s="11">
        <f>(52648/73519)</f>
        <v>0.71611420177097074</v>
      </c>
    </row>
    <row r="59" spans="1:7" s="2" customFormat="1" ht="16.5" customHeight="1" thickBot="1">
      <c r="A59" s="6" t="s">
        <v>2371</v>
      </c>
      <c r="B59" s="7" t="s">
        <v>1261</v>
      </c>
      <c r="C59" s="36">
        <v>24136</v>
      </c>
      <c r="D59" s="17">
        <f>SUM(C59/$C$64)</f>
        <v>0.46349425817106427</v>
      </c>
      <c r="E59" s="16"/>
    </row>
    <row r="60" spans="1:7" s="2" customFormat="1" ht="16.5" customHeight="1" thickBot="1">
      <c r="A60" s="12" t="s">
        <v>2031</v>
      </c>
      <c r="B60" s="13" t="s">
        <v>1247</v>
      </c>
      <c r="C60" s="8">
        <v>10278</v>
      </c>
      <c r="D60" s="17">
        <f>SUM(C60/$C$64)</f>
        <v>0.1973729692360871</v>
      </c>
      <c r="E60" s="16"/>
      <c r="G60" s="14"/>
    </row>
    <row r="61" spans="1:7" s="2" customFormat="1" ht="16.5" customHeight="1" thickBot="1">
      <c r="A61" s="12" t="s">
        <v>2027</v>
      </c>
      <c r="B61" s="22" t="s">
        <v>1257</v>
      </c>
      <c r="C61" s="8">
        <v>9173</v>
      </c>
      <c r="D61" s="17">
        <f>SUM(C61/$C$64)</f>
        <v>0.17615316664746322</v>
      </c>
      <c r="E61" s="16"/>
      <c r="G61" s="14"/>
    </row>
    <row r="62" spans="1:7" s="2" customFormat="1" ht="16.5" customHeight="1" thickBot="1">
      <c r="A62" s="12" t="s">
        <v>1894</v>
      </c>
      <c r="B62" s="27" t="s">
        <v>1258</v>
      </c>
      <c r="C62" s="8">
        <v>7802</v>
      </c>
      <c r="D62" s="17">
        <f>SUM(C62/$C$64)</f>
        <v>0.14982524868456426</v>
      </c>
      <c r="E62" s="16"/>
      <c r="G62" s="14"/>
    </row>
    <row r="63" spans="1:7" s="2" customFormat="1" ht="16.5" customHeight="1" thickBot="1">
      <c r="A63" s="12" t="s">
        <v>2419</v>
      </c>
      <c r="B63" s="40" t="s">
        <v>1269</v>
      </c>
      <c r="C63" s="8">
        <v>685</v>
      </c>
      <c r="D63" s="17">
        <f>SUM(C63/$C$64)</f>
        <v>1.3154357260821139E-2</v>
      </c>
      <c r="E63" s="21"/>
    </row>
    <row r="64" spans="1:7" s="2" customFormat="1" ht="16.5" customHeight="1">
      <c r="A64" s="75"/>
      <c r="B64" s="76"/>
      <c r="C64" s="23">
        <f>SUM(C59:C63)</f>
        <v>52074</v>
      </c>
      <c r="D64" s="17"/>
      <c r="E64" s="10" t="s">
        <v>1874</v>
      </c>
      <c r="F64" s="21">
        <f>(C59-C60)</f>
        <v>13858</v>
      </c>
    </row>
    <row r="65" spans="1:7" s="2" customFormat="1" ht="12" customHeight="1">
      <c r="A65" s="1"/>
    </row>
    <row r="66" spans="1:7" s="2" customFormat="1" ht="16.5" customHeight="1">
      <c r="A66" s="1" t="s">
        <v>2420</v>
      </c>
    </row>
    <row r="67" spans="1:7" s="2" customFormat="1" ht="9.75" customHeight="1" thickBot="1">
      <c r="A67" s="3"/>
    </row>
    <row r="68" spans="1:7" s="2" customFormat="1" ht="16.5" customHeight="1" thickBot="1">
      <c r="A68" s="4" t="s">
        <v>1244</v>
      </c>
      <c r="B68" s="5" t="s">
        <v>1245</v>
      </c>
      <c r="C68" s="5" t="s">
        <v>1248</v>
      </c>
      <c r="D68" s="10"/>
      <c r="E68" s="10" t="s">
        <v>1413</v>
      </c>
      <c r="F68" s="11">
        <f>(51376/72574)</f>
        <v>0.70791192438063222</v>
      </c>
    </row>
    <row r="69" spans="1:7" s="2" customFormat="1" ht="16.5" customHeight="1" thickBot="1">
      <c r="A69" s="6" t="s">
        <v>1743</v>
      </c>
      <c r="B69" s="9" t="s">
        <v>1257</v>
      </c>
      <c r="C69" s="36">
        <v>17095</v>
      </c>
      <c r="D69" s="17">
        <f>SUM(C69/$C$74)</f>
        <v>0.33495307326057566</v>
      </c>
      <c r="E69" s="16"/>
    </row>
    <row r="70" spans="1:7" s="2" customFormat="1" ht="16.5" customHeight="1" thickBot="1">
      <c r="A70" s="12" t="s">
        <v>1745</v>
      </c>
      <c r="B70" s="27" t="s">
        <v>1258</v>
      </c>
      <c r="C70" s="8">
        <v>15037</v>
      </c>
      <c r="D70" s="17">
        <f>SUM(C70/$C$74)</f>
        <v>0.29462938652350257</v>
      </c>
      <c r="E70" s="16"/>
      <c r="G70" s="14"/>
    </row>
    <row r="71" spans="1:7" s="2" customFormat="1" ht="16.5" customHeight="1" thickBot="1">
      <c r="A71" s="12" t="s">
        <v>1744</v>
      </c>
      <c r="B71" s="13" t="s">
        <v>1247</v>
      </c>
      <c r="C71" s="8">
        <v>10771</v>
      </c>
      <c r="D71" s="17">
        <f>SUM(C71/$C$74)</f>
        <v>0.21104296882653761</v>
      </c>
      <c r="E71" s="16"/>
      <c r="G71" s="14"/>
    </row>
    <row r="72" spans="1:7" s="2" customFormat="1" ht="16.5" customHeight="1" thickBot="1">
      <c r="A72" s="12" t="s">
        <v>1747</v>
      </c>
      <c r="B72" s="20" t="s">
        <v>1261</v>
      </c>
      <c r="C72" s="8">
        <v>7607</v>
      </c>
      <c r="D72" s="17">
        <f>SUM(C72/$C$74)</f>
        <v>0.14904872935321434</v>
      </c>
      <c r="E72" s="16"/>
      <c r="G72" s="14"/>
    </row>
    <row r="73" spans="1:7" s="2" customFormat="1" ht="16.5" customHeight="1" thickBot="1">
      <c r="A73" s="12" t="s">
        <v>1754</v>
      </c>
      <c r="B73" s="37" t="s">
        <v>1286</v>
      </c>
      <c r="C73" s="8">
        <v>527</v>
      </c>
      <c r="D73" s="17">
        <f>SUM(C73/$C$74)</f>
        <v>1.0325842036169838E-2</v>
      </c>
      <c r="E73" s="21"/>
    </row>
    <row r="74" spans="1:7" s="2" customFormat="1" ht="16.5" customHeight="1">
      <c r="A74" s="75"/>
      <c r="B74" s="76"/>
      <c r="C74" s="23">
        <f>SUM(C69:C73)</f>
        <v>51037</v>
      </c>
      <c r="D74" s="17"/>
      <c r="E74" s="10" t="s">
        <v>1874</v>
      </c>
      <c r="F74" s="21">
        <f>(C69-C70)</f>
        <v>2058</v>
      </c>
    </row>
    <row r="75" spans="1:7" s="2" customFormat="1" ht="12" customHeight="1">
      <c r="A75" s="1"/>
    </row>
    <row r="76" spans="1:7" s="2" customFormat="1" ht="16.5" customHeight="1">
      <c r="A76" s="1" t="s">
        <v>2421</v>
      </c>
    </row>
    <row r="77" spans="1:7" s="2" customFormat="1" ht="9.75" customHeight="1" thickBot="1">
      <c r="A77" s="3"/>
    </row>
    <row r="78" spans="1:7" s="2" customFormat="1" ht="16.5" customHeight="1" thickBot="1">
      <c r="A78" s="4" t="s">
        <v>1244</v>
      </c>
      <c r="B78" s="5" t="s">
        <v>1245</v>
      </c>
      <c r="C78" s="5" t="s">
        <v>1248</v>
      </c>
      <c r="D78" s="10"/>
      <c r="E78" s="10" t="s">
        <v>1413</v>
      </c>
      <c r="F78" s="11">
        <f>(46222/72671)</f>
        <v>0.63604463953984391</v>
      </c>
    </row>
    <row r="79" spans="1:7" s="2" customFormat="1" ht="16.5" customHeight="1" thickBot="1">
      <c r="A79" s="6" t="s">
        <v>1440</v>
      </c>
      <c r="B79" s="9" t="s">
        <v>1257</v>
      </c>
      <c r="C79" s="36">
        <v>25966</v>
      </c>
      <c r="D79" s="17">
        <f>SUM(C79/$C$84)</f>
        <v>0.56520319540279929</v>
      </c>
      <c r="E79" s="16"/>
    </row>
    <row r="80" spans="1:7" s="2" customFormat="1" ht="16.5" customHeight="1" thickBot="1">
      <c r="A80" s="12" t="s">
        <v>2059</v>
      </c>
      <c r="B80" s="40" t="s">
        <v>1269</v>
      </c>
      <c r="C80" s="8">
        <v>7624</v>
      </c>
      <c r="D80" s="17">
        <f>SUM(C80/$C$84)</f>
        <v>0.16595198188981519</v>
      </c>
      <c r="E80" s="16"/>
      <c r="G80" s="14"/>
    </row>
    <row r="81" spans="1:7" s="2" customFormat="1" ht="16.5" customHeight="1" thickBot="1">
      <c r="A81" s="12" t="s">
        <v>2058</v>
      </c>
      <c r="B81" s="27" t="s">
        <v>1258</v>
      </c>
      <c r="C81" s="8">
        <v>6164</v>
      </c>
      <c r="D81" s="17">
        <f>SUM(C81/$C$84)</f>
        <v>0.13417209028971941</v>
      </c>
      <c r="E81" s="16"/>
      <c r="G81" s="14"/>
    </row>
    <row r="82" spans="1:7" s="2" customFormat="1" ht="16.5" customHeight="1" thickBot="1">
      <c r="A82" s="12" t="s">
        <v>2060</v>
      </c>
      <c r="B82" s="20" t="s">
        <v>1261</v>
      </c>
      <c r="C82" s="8">
        <v>3462</v>
      </c>
      <c r="D82" s="17">
        <f>SUM(C82/$C$84)</f>
        <v>7.5357523780501076E-2</v>
      </c>
      <c r="E82" s="21"/>
    </row>
    <row r="83" spans="1:7" s="2" customFormat="1" ht="16.5" customHeight="1" thickBot="1">
      <c r="A83" s="12" t="s">
        <v>1439</v>
      </c>
      <c r="B83" s="13" t="s">
        <v>1247</v>
      </c>
      <c r="C83" s="8">
        <v>2725</v>
      </c>
      <c r="D83" s="17">
        <f>SUM(C83/$C$84)</f>
        <v>5.9315208637165058E-2</v>
      </c>
      <c r="E83" s="21"/>
    </row>
    <row r="84" spans="1:7" s="2" customFormat="1" ht="16.5" customHeight="1">
      <c r="A84" s="75"/>
      <c r="B84" s="76"/>
      <c r="C84" s="23">
        <f>SUM(C79:C83)</f>
        <v>45941</v>
      </c>
      <c r="D84" s="17"/>
      <c r="E84" s="10" t="s">
        <v>1874</v>
      </c>
      <c r="F84" s="21">
        <f>(C79-C80)</f>
        <v>18342</v>
      </c>
    </row>
    <row r="85" spans="1:7" s="2" customFormat="1" ht="12" customHeight="1">
      <c r="A85" s="1"/>
    </row>
    <row r="86" spans="1:7" s="2" customFormat="1" ht="16.5" customHeight="1">
      <c r="A86" s="1" t="s">
        <v>2422</v>
      </c>
    </row>
    <row r="87" spans="1:7" s="2" customFormat="1" ht="9.75" customHeight="1" thickBot="1">
      <c r="A87" s="3"/>
    </row>
    <row r="88" spans="1:7" s="2" customFormat="1" ht="16.5" customHeight="1" thickBot="1">
      <c r="A88" s="4" t="s">
        <v>1244</v>
      </c>
      <c r="B88" s="5" t="s">
        <v>1245</v>
      </c>
      <c r="C88" s="5" t="s">
        <v>1248</v>
      </c>
      <c r="D88" s="10"/>
      <c r="E88" s="10" t="s">
        <v>1413</v>
      </c>
      <c r="F88" s="11">
        <f>(44354/70651)</f>
        <v>0.62779012328204842</v>
      </c>
    </row>
    <row r="89" spans="1:7" s="2" customFormat="1" ht="16.5" customHeight="1" thickBot="1">
      <c r="A89" s="6" t="s">
        <v>1770</v>
      </c>
      <c r="B89" s="9" t="s">
        <v>1257</v>
      </c>
      <c r="C89" s="36">
        <v>16366</v>
      </c>
      <c r="D89" s="17">
        <f t="shared" ref="D89:D94" si="0">SUM(C89/$C$95)</f>
        <v>0.37062366955025139</v>
      </c>
      <c r="E89" s="16"/>
    </row>
    <row r="90" spans="1:7" s="2" customFormat="1" ht="16.5" customHeight="1" thickBot="1">
      <c r="A90" s="12" t="s">
        <v>1453</v>
      </c>
      <c r="B90" s="27" t="s">
        <v>1258</v>
      </c>
      <c r="C90" s="8">
        <v>15355</v>
      </c>
      <c r="D90" s="17">
        <f t="shared" si="0"/>
        <v>0.34772861089723267</v>
      </c>
      <c r="E90" s="16"/>
      <c r="G90" s="14"/>
    </row>
    <row r="91" spans="1:7" s="2" customFormat="1" ht="16.5" customHeight="1" thickBot="1">
      <c r="A91" s="12" t="s">
        <v>2423</v>
      </c>
      <c r="B91" s="20" t="s">
        <v>1261</v>
      </c>
      <c r="C91" s="8">
        <v>5336</v>
      </c>
      <c r="D91" s="17">
        <f t="shared" si="0"/>
        <v>0.12083880610534897</v>
      </c>
      <c r="E91" s="16"/>
      <c r="G91" s="14"/>
    </row>
    <row r="92" spans="1:7" s="2" customFormat="1" ht="16.5" customHeight="1" thickBot="1">
      <c r="A92" s="12" t="s">
        <v>1768</v>
      </c>
      <c r="B92" s="13" t="s">
        <v>1247</v>
      </c>
      <c r="C92" s="8">
        <v>4160</v>
      </c>
      <c r="D92" s="17">
        <f t="shared" si="0"/>
        <v>9.4207165179582414E-2</v>
      </c>
      <c r="E92" s="16"/>
      <c r="G92" s="14"/>
    </row>
    <row r="93" spans="1:7" s="2" customFormat="1" ht="16.5" customHeight="1" thickBot="1">
      <c r="A93" s="12" t="s">
        <v>2074</v>
      </c>
      <c r="B93" s="40" t="s">
        <v>1269</v>
      </c>
      <c r="C93" s="8">
        <v>1969</v>
      </c>
      <c r="D93" s="17">
        <f t="shared" si="0"/>
        <v>4.4589881788124459E-2</v>
      </c>
      <c r="E93" s="21"/>
    </row>
    <row r="94" spans="1:7" s="2" customFormat="1" ht="16.5" customHeight="1" thickBot="1">
      <c r="A94" s="12" t="s">
        <v>2076</v>
      </c>
      <c r="B94" s="38" t="s">
        <v>1777</v>
      </c>
      <c r="C94" s="8">
        <v>972</v>
      </c>
      <c r="D94" s="17">
        <f t="shared" si="0"/>
        <v>2.2011866479460119E-2</v>
      </c>
      <c r="E94" s="21"/>
    </row>
    <row r="95" spans="1:7" s="2" customFormat="1" ht="16.5" customHeight="1">
      <c r="A95" s="75"/>
      <c r="B95" s="76"/>
      <c r="C95" s="23">
        <f>SUM(C89:C94)</f>
        <v>44158</v>
      </c>
      <c r="D95" s="17"/>
      <c r="E95" s="10" t="s">
        <v>1874</v>
      </c>
      <c r="F95" s="21">
        <f>(C89-C90)</f>
        <v>1011</v>
      </c>
    </row>
    <row r="96" spans="1:7" s="2" customFormat="1" ht="12" customHeight="1">
      <c r="A96" s="1"/>
    </row>
    <row r="97" spans="1:7" s="2" customFormat="1" ht="16.5" customHeight="1">
      <c r="A97" s="1" t="s">
        <v>2424</v>
      </c>
    </row>
    <row r="98" spans="1:7" s="2" customFormat="1" ht="9.75" customHeight="1" thickBot="1">
      <c r="A98" s="3"/>
    </row>
    <row r="99" spans="1:7" s="2" customFormat="1" ht="16.5" customHeight="1" thickBot="1">
      <c r="A99" s="4" t="s">
        <v>1244</v>
      </c>
      <c r="B99" s="5" t="s">
        <v>1245</v>
      </c>
      <c r="C99" s="5" t="s">
        <v>1248</v>
      </c>
      <c r="D99" s="10"/>
      <c r="E99" s="10" t="s">
        <v>1413</v>
      </c>
      <c r="F99" s="11">
        <f>(49545/74451)</f>
        <v>0.66547124954668169</v>
      </c>
    </row>
    <row r="100" spans="1:7" s="2" customFormat="1" ht="16.5" customHeight="1" thickBot="1">
      <c r="A100" s="6" t="s">
        <v>1464</v>
      </c>
      <c r="B100" s="28" t="s">
        <v>1258</v>
      </c>
      <c r="C100" s="36">
        <v>24539</v>
      </c>
      <c r="D100" s="17">
        <f>SUM(C100/$C$105)</f>
        <v>0.49858788629944939</v>
      </c>
      <c r="E100" s="16"/>
    </row>
    <row r="101" spans="1:7" s="2" customFormat="1" ht="16.5" customHeight="1" thickBot="1">
      <c r="A101" s="12" t="s">
        <v>2425</v>
      </c>
      <c r="B101" s="22" t="s">
        <v>1257</v>
      </c>
      <c r="C101" s="8">
        <v>10315</v>
      </c>
      <c r="D101" s="17">
        <f>SUM(C101/$C$105)</f>
        <v>0.20958205498100249</v>
      </c>
      <c r="E101" s="16"/>
      <c r="G101" s="14"/>
    </row>
    <row r="102" spans="1:7" s="2" customFormat="1" ht="16.5" customHeight="1" thickBot="1">
      <c r="A102" s="12" t="s">
        <v>2086</v>
      </c>
      <c r="B102" s="20" t="s">
        <v>1261</v>
      </c>
      <c r="C102" s="8">
        <v>8283</v>
      </c>
      <c r="D102" s="17">
        <f>SUM(C102/$C$105)</f>
        <v>0.16829550764979581</v>
      </c>
      <c r="E102" s="16"/>
      <c r="G102" s="14"/>
    </row>
    <row r="103" spans="1:7" s="2" customFormat="1" ht="16.5" customHeight="1" thickBot="1">
      <c r="A103" s="12" t="s">
        <v>1982</v>
      </c>
      <c r="B103" s="13" t="s">
        <v>1247</v>
      </c>
      <c r="C103" s="8">
        <v>4822</v>
      </c>
      <c r="D103" s="17">
        <f>SUM(C103/$C$105)</f>
        <v>9.7974277180648967E-2</v>
      </c>
      <c r="E103" s="21"/>
    </row>
    <row r="104" spans="1:7" s="2" customFormat="1" ht="16.5" customHeight="1" thickBot="1">
      <c r="A104" s="12" t="s">
        <v>1474</v>
      </c>
      <c r="B104" s="40" t="s">
        <v>1269</v>
      </c>
      <c r="C104" s="8">
        <v>1258</v>
      </c>
      <c r="D104" s="17">
        <f>SUM(C104/$C$105)</f>
        <v>2.5560273889103358E-2</v>
      </c>
      <c r="E104" s="21"/>
    </row>
    <row r="105" spans="1:7" s="2" customFormat="1" ht="16.5" customHeight="1">
      <c r="A105" s="75"/>
      <c r="B105" s="76"/>
      <c r="C105" s="23">
        <f>SUM(C100:C104)</f>
        <v>49217</v>
      </c>
      <c r="D105" s="17"/>
      <c r="E105" s="10" t="s">
        <v>1874</v>
      </c>
      <c r="F105" s="21">
        <f>(C100-C101)</f>
        <v>14224</v>
      </c>
    </row>
    <row r="106" spans="1:7" s="2" customFormat="1" ht="12" customHeight="1">
      <c r="A106" s="1"/>
    </row>
    <row r="107" spans="1:7" s="2" customFormat="1" ht="16.5" customHeight="1">
      <c r="A107" s="1" t="s">
        <v>2426</v>
      </c>
    </row>
    <row r="108" spans="1:7" s="2" customFormat="1" ht="9.75" customHeight="1" thickBot="1">
      <c r="A108" s="3"/>
    </row>
    <row r="109" spans="1:7" s="2" customFormat="1" ht="16.5" customHeight="1" thickBot="1">
      <c r="A109" s="4" t="s">
        <v>1244</v>
      </c>
      <c r="B109" s="5" t="s">
        <v>1245</v>
      </c>
      <c r="C109" s="5" t="s">
        <v>1248</v>
      </c>
      <c r="D109" s="10"/>
      <c r="E109" s="10" t="s">
        <v>1413</v>
      </c>
      <c r="F109" s="11">
        <f>(36327/60897)</f>
        <v>0.59653184885954968</v>
      </c>
    </row>
    <row r="110" spans="1:7" s="2" customFormat="1" ht="16.5" customHeight="1" thickBot="1">
      <c r="A110" s="6" t="s">
        <v>2372</v>
      </c>
      <c r="B110" s="9" t="s">
        <v>1257</v>
      </c>
      <c r="C110" s="36">
        <v>13101</v>
      </c>
      <c r="D110" s="17">
        <f t="shared" ref="D110:D116" si="1">SUM(C110/$C$117)</f>
        <v>0.36391666666666667</v>
      </c>
      <c r="E110" s="16"/>
    </row>
    <row r="111" spans="1:7" s="2" customFormat="1" ht="16.5" customHeight="1" thickBot="1">
      <c r="A111" s="12" t="s">
        <v>2195</v>
      </c>
      <c r="B111" s="27" t="s">
        <v>1258</v>
      </c>
      <c r="C111" s="8">
        <v>12973</v>
      </c>
      <c r="D111" s="17">
        <f t="shared" si="1"/>
        <v>0.36036111111111113</v>
      </c>
      <c r="E111" s="16"/>
      <c r="G111" s="14"/>
    </row>
    <row r="112" spans="1:7" s="2" customFormat="1" ht="16.5" customHeight="1" thickBot="1">
      <c r="A112" s="12" t="s">
        <v>2427</v>
      </c>
      <c r="B112" s="40" t="s">
        <v>1269</v>
      </c>
      <c r="C112" s="8">
        <v>4483</v>
      </c>
      <c r="D112" s="17">
        <f t="shared" si="1"/>
        <v>0.12452777777777778</v>
      </c>
      <c r="E112" s="16"/>
      <c r="G112" s="14"/>
    </row>
    <row r="113" spans="1:7" s="2" customFormat="1" ht="16.5" customHeight="1" thickBot="1">
      <c r="A113" s="12" t="s">
        <v>1483</v>
      </c>
      <c r="B113" s="20" t="s">
        <v>1261</v>
      </c>
      <c r="C113" s="8">
        <v>2641</v>
      </c>
      <c r="D113" s="17">
        <f t="shared" si="1"/>
        <v>7.3361111111111113E-2</v>
      </c>
      <c r="E113" s="16"/>
      <c r="G113" s="14"/>
    </row>
    <row r="114" spans="1:7" s="2" customFormat="1" ht="16.5" customHeight="1" thickBot="1">
      <c r="A114" s="12" t="s">
        <v>1798</v>
      </c>
      <c r="B114" s="38" t="s">
        <v>1270</v>
      </c>
      <c r="C114" s="8">
        <v>1092</v>
      </c>
      <c r="D114" s="17">
        <f t="shared" si="1"/>
        <v>3.0333333333333334E-2</v>
      </c>
      <c r="E114" s="21"/>
    </row>
    <row r="115" spans="1:7" s="2" customFormat="1" ht="16.5" customHeight="1" thickBot="1">
      <c r="A115" s="12" t="s">
        <v>2428</v>
      </c>
      <c r="B115" s="13" t="s">
        <v>1247</v>
      </c>
      <c r="C115" s="8">
        <v>903</v>
      </c>
      <c r="D115" s="17">
        <f>SUM(C115/$C$117)</f>
        <v>2.5083333333333332E-2</v>
      </c>
      <c r="E115" s="16"/>
      <c r="G115" s="14"/>
    </row>
    <row r="116" spans="1:7" s="2" customFormat="1" ht="16.5" customHeight="1" thickBot="1">
      <c r="A116" s="12" t="s">
        <v>1796</v>
      </c>
      <c r="B116" s="22" t="s">
        <v>1408</v>
      </c>
      <c r="C116" s="8">
        <v>807</v>
      </c>
      <c r="D116" s="17">
        <f t="shared" si="1"/>
        <v>2.2416666666666668E-2</v>
      </c>
      <c r="E116" s="21"/>
    </row>
    <row r="117" spans="1:7" s="2" customFormat="1" ht="16.5" customHeight="1">
      <c r="A117" s="75"/>
      <c r="B117" s="76"/>
      <c r="C117" s="23">
        <f>SUM(C110:C116)</f>
        <v>36000</v>
      </c>
      <c r="D117" s="17"/>
      <c r="E117" s="10" t="s">
        <v>1874</v>
      </c>
      <c r="F117" s="21">
        <f>(C110-C111)</f>
        <v>128</v>
      </c>
    </row>
    <row r="118" spans="1:7" s="2" customFormat="1" ht="12" customHeight="1">
      <c r="A118" s="1"/>
    </row>
    <row r="119" spans="1:7" s="2" customFormat="1" ht="16.5" customHeight="1">
      <c r="A119" s="1" t="s">
        <v>2429</v>
      </c>
    </row>
    <row r="120" spans="1:7" s="2" customFormat="1" ht="9.75" customHeight="1" thickBot="1">
      <c r="A120" s="3"/>
    </row>
    <row r="121" spans="1:7" s="2" customFormat="1" ht="16.5" customHeight="1" thickBot="1">
      <c r="A121" s="4" t="s">
        <v>1244</v>
      </c>
      <c r="B121" s="5" t="s">
        <v>1245</v>
      </c>
      <c r="C121" s="5" t="s">
        <v>1248</v>
      </c>
      <c r="D121" s="10"/>
      <c r="E121" s="10" t="s">
        <v>1413</v>
      </c>
      <c r="F121" s="11">
        <f>(43471/72192)</f>
        <v>0.60215813386524819</v>
      </c>
    </row>
    <row r="122" spans="1:7" s="2" customFormat="1" ht="16.5" customHeight="1" thickBot="1">
      <c r="A122" s="6" t="s">
        <v>2114</v>
      </c>
      <c r="B122" s="28" t="s">
        <v>1258</v>
      </c>
      <c r="C122" s="36">
        <v>18532</v>
      </c>
      <c r="D122" s="17">
        <f t="shared" ref="D122:D127" si="2">SUM(C122/$C$128)</f>
        <v>0.42844592407638599</v>
      </c>
      <c r="E122" s="16"/>
    </row>
    <row r="123" spans="1:7" s="2" customFormat="1" ht="16.5" customHeight="1" thickBot="1">
      <c r="A123" s="12" t="s">
        <v>1803</v>
      </c>
      <c r="B123" s="22" t="s">
        <v>1257</v>
      </c>
      <c r="C123" s="8">
        <v>17422</v>
      </c>
      <c r="D123" s="17">
        <f t="shared" si="2"/>
        <v>0.40278355759004947</v>
      </c>
      <c r="E123" s="16"/>
      <c r="G123" s="14"/>
    </row>
    <row r="124" spans="1:7" s="2" customFormat="1" ht="16.5" customHeight="1" thickBot="1">
      <c r="A124" s="12" t="s">
        <v>2116</v>
      </c>
      <c r="B124" s="40" t="s">
        <v>1269</v>
      </c>
      <c r="C124" s="8">
        <v>2902</v>
      </c>
      <c r="D124" s="17">
        <f t="shared" si="2"/>
        <v>6.7092060849863591E-2</v>
      </c>
      <c r="E124" s="16"/>
      <c r="G124" s="14"/>
    </row>
    <row r="125" spans="1:7" s="2" customFormat="1" ht="16.5" customHeight="1" thickBot="1">
      <c r="A125" s="12" t="s">
        <v>1809</v>
      </c>
      <c r="B125" s="20" t="s">
        <v>1261</v>
      </c>
      <c r="C125" s="8">
        <v>2646</v>
      </c>
      <c r="D125" s="17">
        <f t="shared" si="2"/>
        <v>6.117353308364544E-2</v>
      </c>
      <c r="E125" s="16"/>
      <c r="G125" s="14"/>
    </row>
    <row r="126" spans="1:7" s="2" customFormat="1" ht="16.5" customHeight="1" thickBot="1">
      <c r="A126" s="12" t="s">
        <v>2430</v>
      </c>
      <c r="B126" s="13" t="s">
        <v>1247</v>
      </c>
      <c r="C126" s="8">
        <v>930</v>
      </c>
      <c r="D126" s="17">
        <f t="shared" si="2"/>
        <v>2.1500901650714384E-2</v>
      </c>
      <c r="E126" s="21"/>
    </row>
    <row r="127" spans="1:7" s="2" customFormat="1" ht="16.5" customHeight="1" thickBot="1">
      <c r="A127" s="12" t="s">
        <v>1504</v>
      </c>
      <c r="B127" s="78" t="s">
        <v>1777</v>
      </c>
      <c r="C127" s="8">
        <v>822</v>
      </c>
      <c r="D127" s="17">
        <f t="shared" si="2"/>
        <v>1.9004022749341102E-2</v>
      </c>
      <c r="E127" s="21"/>
    </row>
    <row r="128" spans="1:7" s="2" customFormat="1" ht="16.5" customHeight="1">
      <c r="A128" s="75"/>
      <c r="B128" s="76"/>
      <c r="C128" s="23">
        <f>SUM(C122:C127)</f>
        <v>43254</v>
      </c>
      <c r="D128" s="17"/>
      <c r="E128" s="10" t="s">
        <v>1874</v>
      </c>
      <c r="F128" s="21">
        <f>(C122-C123)</f>
        <v>1110</v>
      </c>
    </row>
    <row r="129" spans="1:12" s="2" customFormat="1" ht="12" customHeight="1">
      <c r="A129" s="1"/>
    </row>
    <row r="130" spans="1:12" s="2" customFormat="1" ht="16.5" customHeight="1">
      <c r="A130" s="1" t="s">
        <v>2432</v>
      </c>
    </row>
    <row r="131" spans="1:12" s="2" customFormat="1" ht="9.75" customHeight="1" thickBot="1">
      <c r="A131" s="3"/>
    </row>
    <row r="132" spans="1:12" s="2" customFormat="1" ht="16.5" customHeight="1" thickBot="1">
      <c r="A132" s="4" t="s">
        <v>1244</v>
      </c>
      <c r="B132" s="5" t="s">
        <v>1245</v>
      </c>
      <c r="C132" s="5" t="s">
        <v>1248</v>
      </c>
      <c r="D132" s="10"/>
      <c r="E132" s="10" t="s">
        <v>1413</v>
      </c>
      <c r="F132" s="11">
        <f>(37377/63212)</f>
        <v>0.59129595646396249</v>
      </c>
    </row>
    <row r="133" spans="1:12" s="2" customFormat="1" ht="16.5" customHeight="1" thickBot="1">
      <c r="A133" s="6" t="s">
        <v>2431</v>
      </c>
      <c r="B133" s="9" t="s">
        <v>1257</v>
      </c>
      <c r="C133" s="36">
        <v>20833</v>
      </c>
      <c r="D133" s="17">
        <f t="shared" ref="D133:D138" si="3">SUM(C133/$C$139)</f>
        <v>0.5601925300492081</v>
      </c>
      <c r="E133" s="16"/>
    </row>
    <row r="134" spans="1:12" s="2" customFormat="1" ht="16.5" customHeight="1" thickBot="1">
      <c r="A134" s="12" t="s">
        <v>1506</v>
      </c>
      <c r="B134" s="42" t="s">
        <v>1304</v>
      </c>
      <c r="C134" s="8">
        <v>13509</v>
      </c>
      <c r="D134" s="17">
        <f t="shared" si="3"/>
        <v>0.36325257468606309</v>
      </c>
      <c r="E134" s="16"/>
      <c r="G134" s="14"/>
    </row>
    <row r="135" spans="1:12" s="2" customFormat="1" ht="16.5" customHeight="1" thickBot="1">
      <c r="A135" s="12" t="s">
        <v>2138</v>
      </c>
      <c r="B135" s="20" t="s">
        <v>1261</v>
      </c>
      <c r="C135" s="8">
        <v>1275</v>
      </c>
      <c r="D135" s="17">
        <f t="shared" si="3"/>
        <v>3.428433138831375E-2</v>
      </c>
      <c r="E135" s="16"/>
      <c r="G135" s="14"/>
    </row>
    <row r="136" spans="1:12" s="2" customFormat="1" ht="16.5" customHeight="1" thickBot="1">
      <c r="A136" s="12" t="s">
        <v>1818</v>
      </c>
      <c r="B136" s="22" t="s">
        <v>1408</v>
      </c>
      <c r="C136" s="8">
        <v>815</v>
      </c>
      <c r="D136" s="17">
        <f t="shared" si="3"/>
        <v>2.191508241684369E-2</v>
      </c>
      <c r="E136" s="21"/>
    </row>
    <row r="137" spans="1:12" s="2" customFormat="1" ht="16.5" customHeight="1" thickBot="1">
      <c r="A137" s="12" t="s">
        <v>1521</v>
      </c>
      <c r="B137" s="78" t="s">
        <v>1270</v>
      </c>
      <c r="C137" s="8">
        <v>444</v>
      </c>
      <c r="D137" s="17">
        <f t="shared" si="3"/>
        <v>1.1939014224636318E-2</v>
      </c>
      <c r="E137" s="21"/>
    </row>
    <row r="138" spans="1:12" s="2" customFormat="1" ht="16.5" customHeight="1" thickBot="1">
      <c r="A138" s="12" t="s">
        <v>2433</v>
      </c>
      <c r="B138" s="13" t="s">
        <v>1247</v>
      </c>
      <c r="C138" s="8">
        <v>313</v>
      </c>
      <c r="D138" s="17">
        <f t="shared" si="3"/>
        <v>8.4164672349350614E-3</v>
      </c>
      <c r="E138" s="21"/>
    </row>
    <row r="139" spans="1:12" s="2" customFormat="1" ht="16.5" customHeight="1">
      <c r="A139" s="75"/>
      <c r="B139" s="76"/>
      <c r="C139" s="23">
        <f>SUM(C133:C138)</f>
        <v>37189</v>
      </c>
      <c r="D139" s="17"/>
      <c r="E139" s="10" t="s">
        <v>1874</v>
      </c>
      <c r="F139" s="21">
        <f>(C133-C134)</f>
        <v>7324</v>
      </c>
    </row>
    <row r="140" spans="1:12" s="2" customFormat="1" ht="12" customHeight="1">
      <c r="A140" s="1"/>
      <c r="E140"/>
      <c r="L140"/>
    </row>
    <row r="141" spans="1:12" s="2" customFormat="1" ht="16.5" customHeight="1">
      <c r="A141" s="1" t="s">
        <v>2436</v>
      </c>
    </row>
    <row r="142" spans="1:12" s="2" customFormat="1" ht="9.75" customHeight="1" thickBot="1">
      <c r="A142" s="3"/>
    </row>
    <row r="143" spans="1:12" s="2" customFormat="1" ht="16.5" customHeight="1" thickBot="1">
      <c r="A143" s="4" t="s">
        <v>1244</v>
      </c>
      <c r="B143" s="5" t="s">
        <v>1245</v>
      </c>
      <c r="C143" s="5" t="s">
        <v>1248</v>
      </c>
      <c r="D143" s="10"/>
      <c r="E143" s="10" t="s">
        <v>1413</v>
      </c>
      <c r="F143" s="11">
        <f>(41309/60941)</f>
        <v>0.67785234899328861</v>
      </c>
    </row>
    <row r="144" spans="1:12" s="2" customFormat="1" ht="16.5" customHeight="1" thickBot="1">
      <c r="A144" s="6" t="s">
        <v>2150</v>
      </c>
      <c r="B144" s="28" t="s">
        <v>1258</v>
      </c>
      <c r="C144" s="36">
        <v>16718</v>
      </c>
      <c r="D144" s="17">
        <f t="shared" ref="D144:D149" si="4">SUM(C144/$C$150)</f>
        <v>0.40843349946252322</v>
      </c>
      <c r="E144" s="16"/>
    </row>
    <row r="145" spans="1:7" s="2" customFormat="1" ht="16.5" customHeight="1" thickBot="1">
      <c r="A145" s="12" t="s">
        <v>1939</v>
      </c>
      <c r="B145" s="13" t="s">
        <v>1247</v>
      </c>
      <c r="C145" s="8">
        <v>10331</v>
      </c>
      <c r="D145" s="17">
        <f t="shared" si="4"/>
        <v>0.25239421479527019</v>
      </c>
      <c r="E145" s="16"/>
      <c r="G145" s="14"/>
    </row>
    <row r="146" spans="1:7" s="2" customFormat="1" ht="16.5" customHeight="1" thickBot="1">
      <c r="A146" s="12" t="s">
        <v>1937</v>
      </c>
      <c r="B146" s="20" t="s">
        <v>1261</v>
      </c>
      <c r="C146" s="8">
        <v>8592</v>
      </c>
      <c r="D146" s="17">
        <f t="shared" si="4"/>
        <v>0.20990911756083261</v>
      </c>
      <c r="E146" s="16"/>
      <c r="G146" s="14"/>
    </row>
    <row r="147" spans="1:7" s="2" customFormat="1" ht="16.5" customHeight="1" thickBot="1">
      <c r="A147" s="12" t="s">
        <v>2434</v>
      </c>
      <c r="B147" s="22" t="s">
        <v>1257</v>
      </c>
      <c r="C147" s="8">
        <v>4904</v>
      </c>
      <c r="D147" s="17">
        <f t="shared" si="4"/>
        <v>0.11980846281637839</v>
      </c>
      <c r="E147" s="16"/>
      <c r="G147" s="14"/>
    </row>
    <row r="148" spans="1:7" s="2" customFormat="1" ht="16.5" customHeight="1" thickBot="1">
      <c r="A148" s="12" t="s">
        <v>1463</v>
      </c>
      <c r="B148" s="37" t="s">
        <v>1286</v>
      </c>
      <c r="C148" s="8">
        <v>253</v>
      </c>
      <c r="D148" s="17">
        <f t="shared" si="4"/>
        <v>6.1809830939118541E-3</v>
      </c>
      <c r="E148" s="21"/>
    </row>
    <row r="149" spans="1:7" s="2" customFormat="1" ht="16.5" customHeight="1" thickBot="1">
      <c r="A149" s="12" t="s">
        <v>2435</v>
      </c>
      <c r="B149" s="78" t="s">
        <v>2388</v>
      </c>
      <c r="C149" s="8">
        <v>134</v>
      </c>
      <c r="D149" s="17">
        <f t="shared" si="4"/>
        <v>3.2737222710837485E-3</v>
      </c>
      <c r="E149" s="21"/>
    </row>
    <row r="150" spans="1:7" s="2" customFormat="1" ht="16.5" customHeight="1">
      <c r="A150" s="75"/>
      <c r="B150" s="76"/>
      <c r="C150" s="23">
        <f>SUM(C144:C149)</f>
        <v>40932</v>
      </c>
      <c r="D150" s="17"/>
      <c r="E150" s="10" t="s">
        <v>1874</v>
      </c>
      <c r="F150" s="21">
        <f>(C144-C145)</f>
        <v>6387</v>
      </c>
    </row>
    <row r="151" spans="1:7" s="2" customFormat="1" ht="12" customHeight="1">
      <c r="A151" s="1"/>
    </row>
    <row r="152" spans="1:7" s="2" customFormat="1" ht="16.5" customHeight="1">
      <c r="A152" s="1" t="s">
        <v>2437</v>
      </c>
    </row>
    <row r="153" spans="1:7" s="2" customFormat="1" ht="9.75" customHeight="1" thickBot="1">
      <c r="A153" s="3"/>
    </row>
    <row r="154" spans="1:7" s="2" customFormat="1" ht="16.5" customHeight="1" thickBot="1">
      <c r="A154" s="4" t="s">
        <v>1244</v>
      </c>
      <c r="B154" s="5" t="s">
        <v>1245</v>
      </c>
      <c r="C154" s="5" t="s">
        <v>1248</v>
      </c>
      <c r="D154" s="10"/>
      <c r="E154" s="10" t="s">
        <v>1413</v>
      </c>
      <c r="F154" s="11">
        <f>(41698/59617)</f>
        <v>0.69943137024674173</v>
      </c>
    </row>
    <row r="155" spans="1:7" s="2" customFormat="1" ht="16.5" customHeight="1" thickBot="1">
      <c r="A155" s="6" t="s">
        <v>1709</v>
      </c>
      <c r="B155" s="25" t="s">
        <v>1247</v>
      </c>
      <c r="C155" s="36">
        <v>27096</v>
      </c>
      <c r="D155" s="17">
        <f t="shared" ref="D155:D161" si="5">SUM(C155/$C$162)</f>
        <v>0.66116831779805774</v>
      </c>
      <c r="E155" s="16"/>
    </row>
    <row r="156" spans="1:7" s="2" customFormat="1" ht="16.5" customHeight="1" thickBot="1">
      <c r="A156" s="12" t="s">
        <v>1941</v>
      </c>
      <c r="B156" s="20" t="s">
        <v>1261</v>
      </c>
      <c r="C156" s="8">
        <v>7754</v>
      </c>
      <c r="D156" s="17">
        <f t="shared" si="5"/>
        <v>0.18920501683665999</v>
      </c>
      <c r="E156" s="16"/>
      <c r="G156" s="14"/>
    </row>
    <row r="157" spans="1:7" s="2" customFormat="1" ht="16.5" customHeight="1" thickBot="1">
      <c r="A157" s="12" t="s">
        <v>2156</v>
      </c>
      <c r="B157" s="27" t="s">
        <v>1258</v>
      </c>
      <c r="C157" s="8">
        <v>2641</v>
      </c>
      <c r="D157" s="17">
        <f t="shared" si="5"/>
        <v>6.4442926162705583E-2</v>
      </c>
      <c r="E157" s="16"/>
      <c r="G157" s="14"/>
    </row>
    <row r="158" spans="1:7" s="2" customFormat="1" ht="16.5" customHeight="1" thickBot="1">
      <c r="A158" s="12" t="s">
        <v>1839</v>
      </c>
      <c r="B158" s="22" t="s">
        <v>1257</v>
      </c>
      <c r="C158" s="8">
        <v>2541</v>
      </c>
      <c r="D158" s="17">
        <f t="shared" si="5"/>
        <v>6.2002830510956029E-2</v>
      </c>
      <c r="E158" s="16"/>
      <c r="G158" s="14"/>
    </row>
    <row r="159" spans="1:7" s="2" customFormat="1" ht="16.5" customHeight="1" thickBot="1">
      <c r="A159" s="12" t="s">
        <v>1720</v>
      </c>
      <c r="B159" s="37" t="s">
        <v>1286</v>
      </c>
      <c r="C159" s="8">
        <v>736</v>
      </c>
      <c r="D159" s="17">
        <f t="shared" si="5"/>
        <v>1.7959103996876679E-2</v>
      </c>
      <c r="E159" s="21"/>
    </row>
    <row r="160" spans="1:7" s="2" customFormat="1" ht="16.5" customHeight="1" thickBot="1">
      <c r="A160" s="12" t="s">
        <v>1842</v>
      </c>
      <c r="B160" s="78" t="s">
        <v>1270</v>
      </c>
      <c r="C160" s="8">
        <v>116</v>
      </c>
      <c r="D160" s="17">
        <f t="shared" si="5"/>
        <v>2.8305109560294766E-3</v>
      </c>
      <c r="E160" s="21"/>
    </row>
    <row r="161" spans="1:7" s="2" customFormat="1" ht="16.5" customHeight="1" thickBot="1">
      <c r="A161" s="12" t="s">
        <v>2435</v>
      </c>
      <c r="B161" s="78" t="s">
        <v>2388</v>
      </c>
      <c r="C161" s="8">
        <v>98</v>
      </c>
      <c r="D161" s="17">
        <f t="shared" si="5"/>
        <v>2.3912937387145575E-3</v>
      </c>
      <c r="E161" s="21"/>
    </row>
    <row r="162" spans="1:7" s="2" customFormat="1" ht="16.5" customHeight="1">
      <c r="A162" s="75"/>
      <c r="B162" s="76"/>
      <c r="C162" s="23">
        <f>SUM(C155:C161)</f>
        <v>40982</v>
      </c>
      <c r="D162" s="17"/>
      <c r="E162" s="10" t="s">
        <v>1874</v>
      </c>
      <c r="F162" s="21">
        <f>(C155-C156)</f>
        <v>19342</v>
      </c>
    </row>
    <row r="163" spans="1:7" s="2" customFormat="1" ht="12" customHeight="1">
      <c r="A163" s="1"/>
    </row>
    <row r="164" spans="1:7" s="2" customFormat="1" ht="16.5" customHeight="1">
      <c r="A164" s="1" t="s">
        <v>2438</v>
      </c>
    </row>
    <row r="165" spans="1:7" s="2" customFormat="1" ht="9.75" customHeight="1" thickBot="1">
      <c r="A165" s="3"/>
    </row>
    <row r="166" spans="1:7" s="2" customFormat="1" ht="16.5" customHeight="1" thickBot="1">
      <c r="A166" s="4" t="s">
        <v>1244</v>
      </c>
      <c r="B166" s="5" t="s">
        <v>1245</v>
      </c>
      <c r="C166" s="5" t="s">
        <v>1248</v>
      </c>
      <c r="D166" s="10"/>
      <c r="E166" s="10" t="s">
        <v>1413</v>
      </c>
      <c r="F166" s="11">
        <f>(38185/59436)</f>
        <v>0.64245575072346728</v>
      </c>
    </row>
    <row r="167" spans="1:7" s="2" customFormat="1" ht="16.5" customHeight="1" thickBot="1">
      <c r="A167" s="6" t="s">
        <v>2439</v>
      </c>
      <c r="B167" s="9" t="s">
        <v>1257</v>
      </c>
      <c r="C167" s="36">
        <v>17008</v>
      </c>
      <c r="D167" s="17">
        <f>SUM(C167/$C$175)</f>
        <v>0.44814502529510963</v>
      </c>
      <c r="E167" s="16"/>
    </row>
    <row r="168" spans="1:7" s="2" customFormat="1" ht="16.5" customHeight="1" thickBot="1">
      <c r="A168" s="12" t="s">
        <v>2177</v>
      </c>
      <c r="B168" s="20" t="s">
        <v>1261</v>
      </c>
      <c r="C168" s="8">
        <v>11609</v>
      </c>
      <c r="D168" s="17">
        <f t="shared" ref="D168:D174" si="6">SUM(C168/$C$175)</f>
        <v>0.30588638279932545</v>
      </c>
      <c r="E168" s="16"/>
      <c r="G168" s="14"/>
    </row>
    <row r="169" spans="1:7" s="2" customFormat="1" ht="16.5" customHeight="1" thickBot="1">
      <c r="A169" s="12" t="s">
        <v>2179</v>
      </c>
      <c r="B169" s="29" t="s">
        <v>1267</v>
      </c>
      <c r="C169" s="8">
        <v>2968</v>
      </c>
      <c r="D169" s="17">
        <f t="shared" si="6"/>
        <v>7.8204047217537945E-2</v>
      </c>
      <c r="E169" s="16"/>
      <c r="G169" s="14"/>
    </row>
    <row r="170" spans="1:7" s="2" customFormat="1" ht="16.5" customHeight="1" thickBot="1">
      <c r="A170" s="12" t="s">
        <v>2169</v>
      </c>
      <c r="B170" s="13" t="s">
        <v>1247</v>
      </c>
      <c r="C170" s="8">
        <v>2894</v>
      </c>
      <c r="D170" s="17">
        <f>SUM(C170/$C$175)</f>
        <v>7.6254215851602025E-2</v>
      </c>
      <c r="E170" s="21"/>
    </row>
    <row r="171" spans="1:7" s="2" customFormat="1" ht="16.5" customHeight="1" thickBot="1">
      <c r="A171" s="12" t="s">
        <v>1853</v>
      </c>
      <c r="B171" s="40" t="s">
        <v>1269</v>
      </c>
      <c r="C171" s="8">
        <v>2042</v>
      </c>
      <c r="D171" s="17">
        <f>SUM(C171/$C$175)</f>
        <v>5.3804806070826307E-2</v>
      </c>
      <c r="E171" s="16"/>
      <c r="G171" s="14"/>
    </row>
    <row r="172" spans="1:7" s="2" customFormat="1" ht="16.5" customHeight="1" thickBot="1">
      <c r="A172" s="12" t="s">
        <v>1664</v>
      </c>
      <c r="B172" s="63" t="s">
        <v>1276</v>
      </c>
      <c r="C172" s="8">
        <v>1112</v>
      </c>
      <c r="D172" s="17">
        <f>SUM(C172/$C$175)</f>
        <v>2.930016863406408E-2</v>
      </c>
      <c r="E172" s="16"/>
      <c r="G172" s="14"/>
    </row>
    <row r="173" spans="1:7" s="2" customFormat="1" ht="16.5" customHeight="1" thickBot="1">
      <c r="A173" s="12" t="s">
        <v>2401</v>
      </c>
      <c r="B173" s="37" t="s">
        <v>1286</v>
      </c>
      <c r="C173" s="8">
        <v>204</v>
      </c>
      <c r="D173" s="17">
        <f>SUM(C173/$C$175)</f>
        <v>5.3752107925801014E-3</v>
      </c>
      <c r="E173" s="16"/>
      <c r="G173" s="14"/>
    </row>
    <row r="174" spans="1:7" s="2" customFormat="1" ht="16.5" customHeight="1" thickBot="1">
      <c r="A174" s="12" t="s">
        <v>2435</v>
      </c>
      <c r="B174" s="78" t="s">
        <v>2388</v>
      </c>
      <c r="C174" s="8">
        <v>115</v>
      </c>
      <c r="D174" s="17">
        <f t="shared" si="6"/>
        <v>3.030143338954469E-3</v>
      </c>
      <c r="E174" s="21"/>
    </row>
    <row r="175" spans="1:7" s="2" customFormat="1" ht="16.5" customHeight="1">
      <c r="A175" s="75"/>
      <c r="B175" s="76"/>
      <c r="C175" s="23">
        <f>SUM(C167:C174)</f>
        <v>37952</v>
      </c>
      <c r="D175" s="17"/>
      <c r="E175" s="10" t="s">
        <v>1874</v>
      </c>
      <c r="F175" s="21">
        <f>(C167-C168)</f>
        <v>5399</v>
      </c>
    </row>
    <row r="176" spans="1:7" s="2" customFormat="1" ht="12" customHeight="1">
      <c r="A176" s="1"/>
    </row>
    <row r="177" spans="1:7" s="2" customFormat="1" ht="16.5" customHeight="1">
      <c r="A177" s="1" t="s">
        <v>2440</v>
      </c>
    </row>
    <row r="178" spans="1:7" s="2" customFormat="1" ht="9.75" customHeight="1" thickBot="1">
      <c r="A178" s="3"/>
    </row>
    <row r="179" spans="1:7" s="2" customFormat="1" ht="16.5" customHeight="1" thickBot="1">
      <c r="A179" s="4" t="s">
        <v>1244</v>
      </c>
      <c r="B179" s="5" t="s">
        <v>1245</v>
      </c>
      <c r="C179" s="5" t="s">
        <v>1248</v>
      </c>
      <c r="D179" s="10"/>
      <c r="E179" s="10" t="s">
        <v>1413</v>
      </c>
      <c r="F179" s="11">
        <f>(37031/58455)</f>
        <v>0.63349585150970833</v>
      </c>
    </row>
    <row r="180" spans="1:7" s="2" customFormat="1" ht="16.5" customHeight="1" thickBot="1">
      <c r="A180" s="6" t="s">
        <v>1660</v>
      </c>
      <c r="B180" s="28" t="s">
        <v>1258</v>
      </c>
      <c r="C180" s="36">
        <v>15667</v>
      </c>
      <c r="D180" s="17">
        <f>SUM(C180/$C$189)</f>
        <v>0.42539846316761248</v>
      </c>
      <c r="E180" s="16"/>
    </row>
    <row r="181" spans="1:7" s="2" customFormat="1" ht="16.5" customHeight="1" thickBot="1">
      <c r="A181" s="12" t="s">
        <v>2441</v>
      </c>
      <c r="B181" s="22" t="s">
        <v>1257</v>
      </c>
      <c r="C181" s="8">
        <v>8550</v>
      </c>
      <c r="D181" s="17">
        <f t="shared" ref="D181:D188" si="7">SUM(C181/$C$189)</f>
        <v>0.23215400906894024</v>
      </c>
      <c r="E181" s="16"/>
      <c r="G181" s="14"/>
    </row>
    <row r="182" spans="1:7" s="2" customFormat="1" ht="16.5" customHeight="1" thickBot="1">
      <c r="A182" s="12" t="s">
        <v>2394</v>
      </c>
      <c r="B182" s="40" t="s">
        <v>1269</v>
      </c>
      <c r="C182" s="8">
        <v>5832</v>
      </c>
      <c r="D182" s="17">
        <f t="shared" si="7"/>
        <v>0.15835347144912976</v>
      </c>
      <c r="E182" s="16"/>
      <c r="G182" s="14"/>
    </row>
    <row r="183" spans="1:7" s="2" customFormat="1" ht="16.5" customHeight="1" thickBot="1">
      <c r="A183" s="12" t="s">
        <v>2192</v>
      </c>
      <c r="B183" s="63" t="s">
        <v>1276</v>
      </c>
      <c r="C183" s="8">
        <v>3669</v>
      </c>
      <c r="D183" s="17">
        <f t="shared" si="7"/>
        <v>9.962258003203997E-2</v>
      </c>
      <c r="E183" s="16"/>
      <c r="G183" s="14"/>
    </row>
    <row r="184" spans="1:7" s="2" customFormat="1" ht="16.5" customHeight="1" thickBot="1">
      <c r="A184" s="12" t="s">
        <v>1860</v>
      </c>
      <c r="B184" s="13" t="s">
        <v>1247</v>
      </c>
      <c r="C184" s="8">
        <v>1237</v>
      </c>
      <c r="D184" s="17">
        <f t="shared" si="7"/>
        <v>3.3587661896874746E-2</v>
      </c>
      <c r="E184" s="21"/>
    </row>
    <row r="185" spans="1:7" s="2" customFormat="1" ht="16.5" customHeight="1" thickBot="1">
      <c r="A185" s="12" t="s">
        <v>2442</v>
      </c>
      <c r="B185" s="20" t="s">
        <v>1261</v>
      </c>
      <c r="C185" s="8">
        <v>880</v>
      </c>
      <c r="D185" s="17">
        <f t="shared" si="7"/>
        <v>2.3894213798908468E-2</v>
      </c>
      <c r="E185" s="21"/>
    </row>
    <row r="186" spans="1:7" s="2" customFormat="1" ht="16.5" customHeight="1" thickBot="1">
      <c r="A186" s="12" t="s">
        <v>1863</v>
      </c>
      <c r="B186" s="22" t="s">
        <v>1408</v>
      </c>
      <c r="C186" s="8">
        <v>800</v>
      </c>
      <c r="D186" s="17">
        <f t="shared" si="7"/>
        <v>2.1722012544462245E-2</v>
      </c>
      <c r="E186" s="21"/>
    </row>
    <row r="187" spans="1:7" s="2" customFormat="1" ht="16.5" customHeight="1" thickBot="1">
      <c r="A187" s="12" t="s">
        <v>2404</v>
      </c>
      <c r="B187" s="37" t="s">
        <v>1286</v>
      </c>
      <c r="C187" s="8">
        <v>123</v>
      </c>
      <c r="D187" s="17">
        <f>SUM(C187/$C$189)</f>
        <v>3.33975942871107E-3</v>
      </c>
      <c r="E187" s="21"/>
    </row>
    <row r="188" spans="1:7" s="2" customFormat="1" ht="16.5" customHeight="1" thickBot="1">
      <c r="A188" s="12" t="s">
        <v>2435</v>
      </c>
      <c r="B188" s="78" t="s">
        <v>2388</v>
      </c>
      <c r="C188" s="8">
        <v>71</v>
      </c>
      <c r="D188" s="17">
        <f t="shared" si="7"/>
        <v>1.9278286133210241E-3</v>
      </c>
      <c r="E188" s="21"/>
    </row>
    <row r="189" spans="1:7" s="2" customFormat="1" ht="16.5" customHeight="1">
      <c r="A189" s="75"/>
      <c r="B189" s="76"/>
      <c r="C189" s="23">
        <f>SUM(C180:C188)</f>
        <v>36829</v>
      </c>
      <c r="D189" s="17"/>
      <c r="E189" s="10" t="s">
        <v>1874</v>
      </c>
      <c r="F189" s="21">
        <f>(C180-C181)</f>
        <v>7117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7"/>
  <dimension ref="A1:L227"/>
  <sheetViews>
    <sheetView workbookViewId="0">
      <selection activeCell="L1" sqref="L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828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(48667/64740)</f>
        <v>0.75172999691071984</v>
      </c>
    </row>
    <row r="4" spans="1:7" s="2" customFormat="1" ht="16.5" customHeight="1" thickBot="1">
      <c r="A4" s="6" t="s">
        <v>2457</v>
      </c>
      <c r="B4" s="9" t="s">
        <v>1257</v>
      </c>
      <c r="C4" s="36">
        <v>24862</v>
      </c>
      <c r="D4" s="17">
        <f>SUM(C4/$C$9)</f>
        <v>0.51484779457444607</v>
      </c>
      <c r="E4" s="16"/>
    </row>
    <row r="5" spans="1:7" s="2" customFormat="1" ht="16.5" customHeight="1" thickBot="1">
      <c r="A5" s="12" t="s">
        <v>1262</v>
      </c>
      <c r="B5" s="13" t="s">
        <v>1247</v>
      </c>
      <c r="C5" s="8">
        <v>11174</v>
      </c>
      <c r="D5" s="17">
        <f>SUM(C5/$C$9)</f>
        <v>0.23139366328432387</v>
      </c>
      <c r="E5" s="16"/>
      <c r="G5" s="14"/>
    </row>
    <row r="6" spans="1:7" s="2" customFormat="1" ht="16.5" customHeight="1" thickBot="1">
      <c r="A6" s="12" t="s">
        <v>1951</v>
      </c>
      <c r="B6" s="20" t="s">
        <v>1261</v>
      </c>
      <c r="C6" s="8">
        <v>11060</v>
      </c>
      <c r="D6" s="17">
        <f>SUM(C6/$C$9)</f>
        <v>0.22903292607165043</v>
      </c>
      <c r="E6" s="16"/>
      <c r="G6" s="14"/>
    </row>
    <row r="7" spans="1:7" s="2" customFormat="1" ht="16.5" customHeight="1" thickBot="1">
      <c r="A7" s="12" t="s">
        <v>1509</v>
      </c>
      <c r="B7" s="40" t="s">
        <v>1269</v>
      </c>
      <c r="C7" s="8">
        <v>977</v>
      </c>
      <c r="D7" s="17">
        <f>SUM(C7/$C$9)</f>
        <v>2.0231932077034581E-2</v>
      </c>
      <c r="E7" s="21"/>
    </row>
    <row r="8" spans="1:7" s="2" customFormat="1" ht="16.5" customHeight="1" thickBot="1">
      <c r="A8" s="12" t="s">
        <v>1959</v>
      </c>
      <c r="B8" s="38" t="s">
        <v>1958</v>
      </c>
      <c r="C8" s="8">
        <v>217</v>
      </c>
      <c r="D8" s="17">
        <f>SUM(C8/$C$9)</f>
        <v>4.4936839925450401E-3</v>
      </c>
      <c r="E8" s="21"/>
    </row>
    <row r="9" spans="1:7" s="2" customFormat="1" ht="16.5" customHeight="1">
      <c r="A9" s="75"/>
      <c r="B9" s="76"/>
      <c r="C9" s="23">
        <f>SUM(C4:C8)</f>
        <v>48290</v>
      </c>
      <c r="D9" s="17"/>
      <c r="E9" s="10" t="s">
        <v>1874</v>
      </c>
      <c r="F9" s="21">
        <f>(C4-C5)</f>
        <v>13688</v>
      </c>
    </row>
    <row r="10" spans="1:7" s="2" customFormat="1" ht="12" customHeight="1">
      <c r="A10" s="1"/>
      <c r="D10" s="11"/>
    </row>
    <row r="11" spans="1:7" s="2" customFormat="1" ht="16.5" customHeight="1">
      <c r="A11" s="1" t="s">
        <v>2458</v>
      </c>
      <c r="D11" s="11"/>
    </row>
    <row r="12" spans="1:7" s="2" customFormat="1" ht="9.75" customHeight="1" thickBot="1">
      <c r="A12" s="3"/>
    </row>
    <row r="13" spans="1:7" s="2" customFormat="1" ht="16.5" customHeight="1" thickBot="1">
      <c r="A13" s="4" t="s">
        <v>1244</v>
      </c>
      <c r="B13" s="5" t="s">
        <v>1245</v>
      </c>
      <c r="C13" s="5" t="s">
        <v>1248</v>
      </c>
      <c r="D13" s="10"/>
      <c r="E13" s="10" t="s">
        <v>1413</v>
      </c>
      <c r="F13" s="11">
        <f>(46535/58428)</f>
        <v>0.79645033203258708</v>
      </c>
    </row>
    <row r="14" spans="1:7" s="2" customFormat="1" ht="16.5" customHeight="1" thickBot="1">
      <c r="A14" s="6" t="s">
        <v>2370</v>
      </c>
      <c r="B14" s="9" t="s">
        <v>1257</v>
      </c>
      <c r="C14" s="36">
        <v>16003</v>
      </c>
      <c r="D14" s="17">
        <f t="shared" ref="D14:D19" si="0">SUM(C14/$C$20)</f>
        <v>0.34582387898433281</v>
      </c>
      <c r="E14" s="16"/>
    </row>
    <row r="15" spans="1:7" s="2" customFormat="1" ht="16.5" customHeight="1" thickBot="1">
      <c r="A15" s="12" t="s">
        <v>1871</v>
      </c>
      <c r="B15" s="20" t="s">
        <v>1261</v>
      </c>
      <c r="C15" s="8">
        <v>14842</v>
      </c>
      <c r="D15" s="17">
        <f t="shared" si="0"/>
        <v>0.32073473797947055</v>
      </c>
      <c r="E15" s="16"/>
      <c r="G15" s="14"/>
    </row>
    <row r="16" spans="1:7" s="2" customFormat="1" ht="16.5" customHeight="1" thickBot="1">
      <c r="A16" s="12" t="s">
        <v>1969</v>
      </c>
      <c r="B16" s="13" t="s">
        <v>1247</v>
      </c>
      <c r="C16" s="8">
        <v>14280</v>
      </c>
      <c r="D16" s="17">
        <f t="shared" si="0"/>
        <v>0.30858995137763373</v>
      </c>
      <c r="E16" s="16"/>
      <c r="G16" s="14"/>
    </row>
    <row r="17" spans="1:7" s="2" customFormat="1" ht="16.5" customHeight="1" thickBot="1">
      <c r="A17" s="12" t="s">
        <v>1962</v>
      </c>
      <c r="B17" s="40" t="s">
        <v>1269</v>
      </c>
      <c r="C17" s="8">
        <v>829</v>
      </c>
      <c r="D17" s="17">
        <f t="shared" si="0"/>
        <v>1.7914640734737978E-2</v>
      </c>
      <c r="E17" s="21"/>
    </row>
    <row r="18" spans="1:7" s="2" customFormat="1" ht="16.5" customHeight="1" thickBot="1">
      <c r="A18" s="12" t="s">
        <v>1975</v>
      </c>
      <c r="B18" s="37" t="s">
        <v>1286</v>
      </c>
      <c r="C18" s="8">
        <v>230</v>
      </c>
      <c r="D18" s="17">
        <f t="shared" si="0"/>
        <v>4.9702863317125879E-3</v>
      </c>
      <c r="E18" s="21"/>
    </row>
    <row r="19" spans="1:7" s="2" customFormat="1" ht="16.5" customHeight="1" thickBot="1">
      <c r="A19" s="12" t="s">
        <v>1967</v>
      </c>
      <c r="B19" s="38" t="s">
        <v>1958</v>
      </c>
      <c r="C19" s="8">
        <v>91</v>
      </c>
      <c r="D19" s="17">
        <f t="shared" si="0"/>
        <v>1.9665045921123717E-3</v>
      </c>
      <c r="E19" s="21"/>
    </row>
    <row r="20" spans="1:7" s="2" customFormat="1" ht="16.5" customHeight="1">
      <c r="A20" s="75"/>
      <c r="B20" s="76"/>
      <c r="C20" s="23">
        <f>SUM(C14:C19)</f>
        <v>46275</v>
      </c>
      <c r="D20" s="17"/>
      <c r="E20" s="10" t="s">
        <v>1874</v>
      </c>
      <c r="F20" s="21">
        <f>(C14-C15)</f>
        <v>1161</v>
      </c>
    </row>
    <row r="21" spans="1:7" s="2" customFormat="1" ht="12" customHeight="1">
      <c r="A21" s="1"/>
    </row>
    <row r="22" spans="1:7" s="2" customFormat="1" ht="16.5" customHeight="1">
      <c r="A22" s="1" t="s">
        <v>2459</v>
      </c>
    </row>
    <row r="23" spans="1:7" s="2" customFormat="1" ht="9.75" customHeight="1" thickBot="1">
      <c r="A23" s="3"/>
    </row>
    <row r="24" spans="1:7" s="2" customFormat="1" ht="16.5" customHeight="1" thickBot="1">
      <c r="A24" s="4" t="s">
        <v>1244</v>
      </c>
      <c r="B24" s="5" t="s">
        <v>1245</v>
      </c>
      <c r="C24" s="5" t="s">
        <v>1248</v>
      </c>
      <c r="D24" s="10"/>
      <c r="E24" s="10" t="s">
        <v>1413</v>
      </c>
      <c r="F24" s="11">
        <f>(50823/59086)</f>
        <v>0.86015299732593165</v>
      </c>
    </row>
    <row r="25" spans="1:7" s="2" customFormat="1" ht="16.5" customHeight="1" thickBot="1">
      <c r="A25" s="6" t="s">
        <v>1978</v>
      </c>
      <c r="B25" s="25" t="s">
        <v>1247</v>
      </c>
      <c r="C25" s="36">
        <v>20294</v>
      </c>
      <c r="D25" s="17">
        <f t="shared" ref="D25:D30" si="1">SUM(C25/$C$31)</f>
        <v>0.40052102863683908</v>
      </c>
      <c r="E25" s="16"/>
    </row>
    <row r="26" spans="1:7" s="2" customFormat="1" ht="16.5" customHeight="1" thickBot="1">
      <c r="A26" s="12" t="s">
        <v>1453</v>
      </c>
      <c r="B26" s="27" t="s">
        <v>1258</v>
      </c>
      <c r="C26" s="8">
        <v>18411</v>
      </c>
      <c r="D26" s="17">
        <f t="shared" si="1"/>
        <v>0.36335826639562652</v>
      </c>
      <c r="E26" s="16"/>
      <c r="G26" s="14"/>
    </row>
    <row r="27" spans="1:7" s="2" customFormat="1" ht="16.5" customHeight="1" thickBot="1">
      <c r="A27" s="12" t="s">
        <v>1981</v>
      </c>
      <c r="B27" s="20" t="s">
        <v>1261</v>
      </c>
      <c r="C27" s="8">
        <v>11205</v>
      </c>
      <c r="D27" s="17">
        <f t="shared" si="1"/>
        <v>0.22114113165841046</v>
      </c>
      <c r="E27" s="16"/>
      <c r="G27" s="14"/>
    </row>
    <row r="28" spans="1:7" s="2" customFormat="1" ht="16.5" customHeight="1" thickBot="1">
      <c r="A28" s="12" t="s">
        <v>2461</v>
      </c>
      <c r="B28" s="40" t="s">
        <v>1269</v>
      </c>
      <c r="C28" s="8">
        <v>460</v>
      </c>
      <c r="D28" s="17">
        <f t="shared" si="1"/>
        <v>9.0785292782569228E-3</v>
      </c>
      <c r="E28" s="21"/>
    </row>
    <row r="29" spans="1:7" s="2" customFormat="1" ht="16.5" customHeight="1" thickBot="1">
      <c r="A29" s="12" t="s">
        <v>2460</v>
      </c>
      <c r="B29" s="37" t="s">
        <v>1286</v>
      </c>
      <c r="C29" s="8">
        <v>238</v>
      </c>
      <c r="D29" s="17">
        <f t="shared" si="1"/>
        <v>4.6971521048372773E-3</v>
      </c>
      <c r="E29" s="16"/>
      <c r="G29" s="14"/>
    </row>
    <row r="30" spans="1:7" s="2" customFormat="1" ht="16.5" customHeight="1" thickBot="1">
      <c r="A30" s="12" t="s">
        <v>2462</v>
      </c>
      <c r="B30" s="38" t="s">
        <v>1958</v>
      </c>
      <c r="C30" s="8">
        <v>61</v>
      </c>
      <c r="D30" s="17">
        <f t="shared" si="1"/>
        <v>1.2038919260297224E-3</v>
      </c>
      <c r="E30" s="21"/>
    </row>
    <row r="31" spans="1:7" s="2" customFormat="1" ht="16.5" customHeight="1">
      <c r="A31" s="75"/>
      <c r="B31" s="76"/>
      <c r="C31" s="23">
        <f>SUM(C25:C30)</f>
        <v>50669</v>
      </c>
      <c r="D31" s="17"/>
      <c r="E31" s="10" t="s">
        <v>1874</v>
      </c>
      <c r="F31" s="21">
        <f>(C25-C26)</f>
        <v>1883</v>
      </c>
    </row>
    <row r="32" spans="1:7" s="2" customFormat="1" ht="12" customHeight="1">
      <c r="A32" s="1"/>
    </row>
    <row r="33" spans="1:7" s="2" customFormat="1" ht="16.5" customHeight="1">
      <c r="A33" s="1" t="s">
        <v>2463</v>
      </c>
    </row>
    <row r="34" spans="1:7" s="2" customFormat="1" ht="9.75" customHeight="1" thickBot="1">
      <c r="A34" s="3"/>
    </row>
    <row r="35" spans="1:7" s="2" customFormat="1" ht="16.5" customHeight="1" thickBot="1">
      <c r="A35" s="4" t="s">
        <v>1244</v>
      </c>
      <c r="B35" s="5" t="s">
        <v>1245</v>
      </c>
      <c r="C35" s="5" t="s">
        <v>1248</v>
      </c>
      <c r="D35" s="10"/>
      <c r="E35" s="10" t="s">
        <v>1413</v>
      </c>
      <c r="F35" s="11">
        <f>(48034/67905)</f>
        <v>0.70737059126721158</v>
      </c>
    </row>
    <row r="36" spans="1:7" s="2" customFormat="1" ht="16.5" customHeight="1" thickBot="1">
      <c r="A36" s="6" t="s">
        <v>2410</v>
      </c>
      <c r="B36" s="7" t="s">
        <v>1261</v>
      </c>
      <c r="C36" s="36">
        <v>25109</v>
      </c>
      <c r="D36" s="17">
        <f>SUM(C36/$C$41)</f>
        <v>0.52512809787723513</v>
      </c>
      <c r="E36" s="16"/>
    </row>
    <row r="37" spans="1:7" s="2" customFormat="1" ht="16.5" customHeight="1" thickBot="1">
      <c r="A37" s="12" t="s">
        <v>1908</v>
      </c>
      <c r="B37" s="13" t="s">
        <v>1247</v>
      </c>
      <c r="C37" s="8">
        <v>11445</v>
      </c>
      <c r="D37" s="17">
        <f>SUM(C37/$C$41)</f>
        <v>0.23936003346230261</v>
      </c>
      <c r="E37" s="16"/>
      <c r="G37" s="14"/>
    </row>
    <row r="38" spans="1:7" s="2" customFormat="1" ht="16.5" customHeight="1" thickBot="1">
      <c r="A38" s="12" t="s">
        <v>1988</v>
      </c>
      <c r="B38" s="27" t="s">
        <v>1258</v>
      </c>
      <c r="C38" s="8">
        <v>10290</v>
      </c>
      <c r="D38" s="17">
        <f>SUM(C38/$C$41)</f>
        <v>0.21520443375509776</v>
      </c>
      <c r="E38" s="16"/>
      <c r="G38" s="14"/>
    </row>
    <row r="39" spans="1:7" s="2" customFormat="1" ht="16.5" customHeight="1" thickBot="1">
      <c r="A39" s="12" t="s">
        <v>2464</v>
      </c>
      <c r="B39" s="40" t="s">
        <v>1269</v>
      </c>
      <c r="C39" s="8">
        <v>817</v>
      </c>
      <c r="D39" s="17">
        <f>SUM(C39/$C$41)</f>
        <v>1.708668827773711E-2</v>
      </c>
      <c r="E39" s="21"/>
    </row>
    <row r="40" spans="1:7" s="2" customFormat="1" ht="16.5" customHeight="1" thickBot="1">
      <c r="A40" s="12" t="s">
        <v>2000</v>
      </c>
      <c r="B40" s="38" t="s">
        <v>1958</v>
      </c>
      <c r="C40" s="8">
        <v>154</v>
      </c>
      <c r="D40" s="17">
        <f>SUM(C40/$C$41)</f>
        <v>3.2207466276273134E-3</v>
      </c>
      <c r="E40" s="21"/>
    </row>
    <row r="41" spans="1:7" s="2" customFormat="1" ht="16.5" customHeight="1">
      <c r="A41" s="75"/>
      <c r="B41" s="76"/>
      <c r="C41" s="23">
        <f>SUM(C36:C40)</f>
        <v>47815</v>
      </c>
      <c r="D41" s="17"/>
      <c r="E41" s="10" t="s">
        <v>1874</v>
      </c>
      <c r="F41" s="21">
        <f>(C36-C37)</f>
        <v>13664</v>
      </c>
    </row>
    <row r="42" spans="1:7" s="2" customFormat="1" ht="12" customHeight="1">
      <c r="A42" s="1"/>
    </row>
    <row r="43" spans="1:7" s="2" customFormat="1" ht="16.5" customHeight="1">
      <c r="A43" s="1" t="s">
        <v>2465</v>
      </c>
    </row>
    <row r="44" spans="1:7" s="2" customFormat="1" ht="9.75" customHeight="1" thickBot="1">
      <c r="A44" s="3"/>
    </row>
    <row r="45" spans="1:7" s="2" customFormat="1" ht="16.5" customHeight="1" thickBot="1">
      <c r="A45" s="4" t="s">
        <v>1244</v>
      </c>
      <c r="B45" s="5" t="s">
        <v>1245</v>
      </c>
      <c r="C45" s="5" t="s">
        <v>1248</v>
      </c>
      <c r="D45" s="10"/>
      <c r="E45" s="10" t="s">
        <v>1413</v>
      </c>
      <c r="F45" s="11">
        <f>(38214/58938)</f>
        <v>0.64837625979843228</v>
      </c>
    </row>
    <row r="46" spans="1:7" s="2" customFormat="1" ht="16.5" customHeight="1" thickBot="1">
      <c r="A46" s="6" t="s">
        <v>2417</v>
      </c>
      <c r="B46" s="9" t="s">
        <v>1257</v>
      </c>
      <c r="C46" s="36">
        <v>13558</v>
      </c>
      <c r="D46" s="17">
        <f t="shared" ref="D46:D53" si="2">SUM(C46/$C$54)</f>
        <v>0.35583433940475567</v>
      </c>
      <c r="E46" s="16"/>
    </row>
    <row r="47" spans="1:7" s="2" customFormat="1" ht="16.5" customHeight="1" thickBot="1">
      <c r="A47" s="12" t="s">
        <v>2002</v>
      </c>
      <c r="B47" s="27" t="s">
        <v>1258</v>
      </c>
      <c r="C47" s="8">
        <v>9764</v>
      </c>
      <c r="D47" s="17">
        <f t="shared" si="2"/>
        <v>0.25625951393627633</v>
      </c>
      <c r="E47" s="16"/>
      <c r="G47" s="14"/>
    </row>
    <row r="48" spans="1:7" s="2" customFormat="1" ht="16.5" customHeight="1" thickBot="1">
      <c r="A48" s="12" t="s">
        <v>2009</v>
      </c>
      <c r="B48" s="20" t="s">
        <v>1261</v>
      </c>
      <c r="C48" s="8">
        <v>8273</v>
      </c>
      <c r="D48" s="17">
        <f t="shared" si="2"/>
        <v>0.21712770983150489</v>
      </c>
      <c r="E48" s="16"/>
      <c r="G48" s="14"/>
    </row>
    <row r="49" spans="1:7" s="2" customFormat="1" ht="16.5" customHeight="1" thickBot="1">
      <c r="A49" s="12" t="s">
        <v>2007</v>
      </c>
      <c r="B49" s="13" t="s">
        <v>1247</v>
      </c>
      <c r="C49" s="8">
        <v>3463</v>
      </c>
      <c r="D49" s="17">
        <f t="shared" si="2"/>
        <v>9.0887617447902996E-2</v>
      </c>
      <c r="E49" s="16"/>
      <c r="G49" s="14"/>
    </row>
    <row r="50" spans="1:7" s="2" customFormat="1" ht="16.5" customHeight="1" thickBot="1">
      <c r="A50" s="12" t="s">
        <v>1305</v>
      </c>
      <c r="B50" s="40" t="s">
        <v>1269</v>
      </c>
      <c r="C50" s="8">
        <v>2427</v>
      </c>
      <c r="D50" s="17">
        <f t="shared" si="2"/>
        <v>6.3697443703742584E-2</v>
      </c>
      <c r="E50" s="21"/>
    </row>
    <row r="51" spans="1:7" s="2" customFormat="1" ht="16.5" customHeight="1" thickBot="1">
      <c r="A51" s="12" t="s">
        <v>1287</v>
      </c>
      <c r="B51" s="22" t="s">
        <v>1408</v>
      </c>
      <c r="C51" s="8">
        <v>436</v>
      </c>
      <c r="D51" s="17">
        <f t="shared" si="2"/>
        <v>1.1442968873025037E-2</v>
      </c>
      <c r="E51" s="16"/>
      <c r="G51" s="14"/>
    </row>
    <row r="52" spans="1:7" s="2" customFormat="1" ht="16.5" customHeight="1" thickBot="1">
      <c r="A52" s="12" t="s">
        <v>2466</v>
      </c>
      <c r="B52" s="38" t="s">
        <v>1958</v>
      </c>
      <c r="C52" s="8">
        <v>100</v>
      </c>
      <c r="D52" s="17">
        <f t="shared" si="2"/>
        <v>2.6245341451892291E-3</v>
      </c>
      <c r="E52" s="16"/>
      <c r="G52" s="14"/>
    </row>
    <row r="53" spans="1:7" s="2" customFormat="1" ht="16.5" customHeight="1" thickBot="1">
      <c r="A53" s="12" t="s">
        <v>2467</v>
      </c>
      <c r="B53" s="38" t="s">
        <v>2468</v>
      </c>
      <c r="C53" s="8">
        <v>81</v>
      </c>
      <c r="D53" s="17">
        <f t="shared" si="2"/>
        <v>2.1258726576032752E-3</v>
      </c>
      <c r="E53" s="21"/>
    </row>
    <row r="54" spans="1:7" s="2" customFormat="1" ht="16.5" customHeight="1">
      <c r="A54" s="75"/>
      <c r="B54" s="76"/>
      <c r="C54" s="23">
        <f>SUM(C46:C53)</f>
        <v>38102</v>
      </c>
      <c r="D54" s="17"/>
      <c r="E54" s="10" t="s">
        <v>1874</v>
      </c>
      <c r="F54" s="21">
        <f>(C46-C47)</f>
        <v>3794</v>
      </c>
    </row>
    <row r="55" spans="1:7" s="2" customFormat="1" ht="12" customHeight="1">
      <c r="A55" s="1"/>
    </row>
    <row r="56" spans="1:7" s="2" customFormat="1" ht="16.5" customHeight="1">
      <c r="A56" s="1" t="s">
        <v>2470</v>
      </c>
    </row>
    <row r="57" spans="1:7" s="2" customFormat="1" ht="9.75" customHeight="1" thickBot="1">
      <c r="A57" s="3"/>
    </row>
    <row r="58" spans="1:7" s="2" customFormat="1" ht="16.5" customHeight="1" thickBot="1">
      <c r="A58" s="4" t="s">
        <v>1244</v>
      </c>
      <c r="B58" s="5" t="s">
        <v>1245</v>
      </c>
      <c r="C58" s="5" t="s">
        <v>1248</v>
      </c>
      <c r="D58" s="10"/>
      <c r="E58" s="10" t="s">
        <v>1413</v>
      </c>
      <c r="F58" s="11">
        <f>(53503/70807)</f>
        <v>0.7556173824621859</v>
      </c>
    </row>
    <row r="59" spans="1:7" s="2" customFormat="1" ht="16.5" customHeight="1" thickBot="1">
      <c r="A59" s="6" t="s">
        <v>2414</v>
      </c>
      <c r="B59" s="7" t="s">
        <v>1261</v>
      </c>
      <c r="C59" s="36">
        <v>22904</v>
      </c>
      <c r="D59" s="17">
        <f>SUM(C59/$C$64)</f>
        <v>0.4299202252463632</v>
      </c>
      <c r="E59" s="16"/>
    </row>
    <row r="60" spans="1:7" s="2" customFormat="1" ht="16.5" customHeight="1" thickBot="1">
      <c r="A60" s="12" t="s">
        <v>1891</v>
      </c>
      <c r="B60" s="22" t="s">
        <v>1257</v>
      </c>
      <c r="C60" s="8">
        <v>18015</v>
      </c>
      <c r="D60" s="17">
        <f>SUM(C60/$C$64)</f>
        <v>0.33815110276865323</v>
      </c>
      <c r="E60" s="16"/>
      <c r="G60" s="14"/>
    </row>
    <row r="61" spans="1:7" s="2" customFormat="1" ht="16.5" customHeight="1" thickBot="1">
      <c r="A61" s="12" t="s">
        <v>2469</v>
      </c>
      <c r="B61" s="13" t="s">
        <v>1247</v>
      </c>
      <c r="C61" s="8">
        <v>11218</v>
      </c>
      <c r="D61" s="17">
        <f>SUM(C61/$C$64)</f>
        <v>0.21056780854059126</v>
      </c>
      <c r="E61" s="16"/>
      <c r="G61" s="14"/>
    </row>
    <row r="62" spans="1:7" s="2" customFormat="1" ht="16.5" customHeight="1" thickBot="1">
      <c r="A62" s="12" t="s">
        <v>1312</v>
      </c>
      <c r="B62" s="40" t="s">
        <v>1269</v>
      </c>
      <c r="C62" s="8">
        <v>1015</v>
      </c>
      <c r="D62" s="17">
        <f>SUM(C62/$C$64)</f>
        <v>1.9052088221492257E-2</v>
      </c>
      <c r="E62" s="16"/>
      <c r="G62" s="14"/>
    </row>
    <row r="63" spans="1:7" s="2" customFormat="1" ht="16.5" customHeight="1" thickBot="1">
      <c r="A63" s="12" t="s">
        <v>2025</v>
      </c>
      <c r="B63" s="38" t="s">
        <v>1958</v>
      </c>
      <c r="C63" s="8">
        <v>123</v>
      </c>
      <c r="D63" s="17">
        <f>SUM(C63/$C$64)</f>
        <v>2.3087752229000468E-3</v>
      </c>
      <c r="E63" s="16"/>
      <c r="G63" s="14"/>
    </row>
    <row r="64" spans="1:7" s="2" customFormat="1" ht="16.5" customHeight="1">
      <c r="A64" s="75"/>
      <c r="B64" s="76"/>
      <c r="C64" s="23">
        <f>SUM(C59:C63)</f>
        <v>53275</v>
      </c>
      <c r="D64" s="17"/>
      <c r="E64" s="10" t="s">
        <v>1874</v>
      </c>
      <c r="F64" s="21">
        <f>(C59-C60)</f>
        <v>4889</v>
      </c>
    </row>
    <row r="65" spans="1:7" s="2" customFormat="1" ht="12" customHeight="1">
      <c r="A65" s="1"/>
    </row>
    <row r="66" spans="1:7" s="2" customFormat="1" ht="16.5" customHeight="1">
      <c r="A66" s="1" t="s">
        <v>2471</v>
      </c>
    </row>
    <row r="67" spans="1:7" s="2" customFormat="1" ht="9.75" customHeight="1" thickBot="1">
      <c r="A67" s="3"/>
    </row>
    <row r="68" spans="1:7" s="2" customFormat="1" ht="16.5" customHeight="1" thickBot="1">
      <c r="A68" s="4" t="s">
        <v>1244</v>
      </c>
      <c r="B68" s="5" t="s">
        <v>1245</v>
      </c>
      <c r="C68" s="5" t="s">
        <v>1248</v>
      </c>
      <c r="D68" s="10"/>
      <c r="E68" s="10" t="s">
        <v>1413</v>
      </c>
      <c r="F68" s="11">
        <f>(49734/69977)</f>
        <v>0.71071923632050527</v>
      </c>
    </row>
    <row r="69" spans="1:7" s="2" customFormat="1" ht="16.5" customHeight="1" thickBot="1">
      <c r="A69" s="6" t="s">
        <v>2371</v>
      </c>
      <c r="B69" s="7" t="s">
        <v>1261</v>
      </c>
      <c r="C69" s="36">
        <v>26181</v>
      </c>
      <c r="D69" s="17">
        <f>SUM(C69/$C$74)</f>
        <v>0.52905872367942453</v>
      </c>
      <c r="E69" s="16"/>
    </row>
    <row r="70" spans="1:7" s="2" customFormat="1" ht="16.5" customHeight="1" thickBot="1">
      <c r="A70" s="12" t="s">
        <v>2027</v>
      </c>
      <c r="B70" s="22" t="s">
        <v>1257</v>
      </c>
      <c r="C70" s="8">
        <v>16248</v>
      </c>
      <c r="D70" s="17">
        <f>SUM(C70/$C$74)</f>
        <v>0.32833528674776702</v>
      </c>
      <c r="E70" s="16"/>
      <c r="G70" s="14"/>
    </row>
    <row r="71" spans="1:7" s="2" customFormat="1" ht="16.5" customHeight="1" thickBot="1">
      <c r="A71" s="12" t="s">
        <v>2031</v>
      </c>
      <c r="B71" s="13" t="s">
        <v>1247</v>
      </c>
      <c r="C71" s="8">
        <v>5127</v>
      </c>
      <c r="D71" s="17">
        <f>SUM(C71/$C$74)</f>
        <v>0.1036050600169745</v>
      </c>
      <c r="E71" s="16"/>
      <c r="G71" s="14"/>
    </row>
    <row r="72" spans="1:7" s="2" customFormat="1" ht="16.5" customHeight="1" thickBot="1">
      <c r="A72" s="12" t="s">
        <v>2382</v>
      </c>
      <c r="B72" s="40" t="s">
        <v>1269</v>
      </c>
      <c r="C72" s="8">
        <v>1711</v>
      </c>
      <c r="D72" s="17">
        <f>SUM(C72/$C$74)</f>
        <v>3.4575435476700479E-2</v>
      </c>
      <c r="E72" s="16"/>
      <c r="G72" s="14"/>
    </row>
    <row r="73" spans="1:7" s="2" customFormat="1" ht="16.5" customHeight="1" thickBot="1">
      <c r="A73" s="12" t="s">
        <v>2472</v>
      </c>
      <c r="B73" s="38" t="s">
        <v>1958</v>
      </c>
      <c r="C73" s="8">
        <v>219</v>
      </c>
      <c r="D73" s="17">
        <f>SUM(C73/$C$74)</f>
        <v>4.4254940791334926E-3</v>
      </c>
      <c r="E73" s="21"/>
    </row>
    <row r="74" spans="1:7" s="2" customFormat="1" ht="16.5" customHeight="1">
      <c r="A74" s="75"/>
      <c r="B74" s="76"/>
      <c r="C74" s="23">
        <f>SUM(C69:C73)</f>
        <v>49486</v>
      </c>
      <c r="D74" s="17"/>
      <c r="E74" s="10" t="s">
        <v>1874</v>
      </c>
      <c r="F74" s="21">
        <f>(C69-C70)</f>
        <v>9933</v>
      </c>
    </row>
    <row r="75" spans="1:7" s="2" customFormat="1" ht="12" customHeight="1">
      <c r="A75" s="1"/>
    </row>
    <row r="76" spans="1:7" s="2" customFormat="1" ht="16.5" customHeight="1">
      <c r="A76" s="1" t="s">
        <v>2473</v>
      </c>
    </row>
    <row r="77" spans="1:7" s="2" customFormat="1" ht="9.75" customHeight="1" thickBot="1">
      <c r="A77" s="3"/>
    </row>
    <row r="78" spans="1:7" s="2" customFormat="1" ht="16.5" customHeight="1" thickBot="1">
      <c r="A78" s="4" t="s">
        <v>1244</v>
      </c>
      <c r="B78" s="5" t="s">
        <v>1245</v>
      </c>
      <c r="C78" s="5" t="s">
        <v>1248</v>
      </c>
      <c r="D78" s="10"/>
      <c r="E78" s="10" t="s">
        <v>1413</v>
      </c>
      <c r="F78" s="11">
        <f>(47907/70503)</f>
        <v>0.67950299987234586</v>
      </c>
    </row>
    <row r="79" spans="1:7" s="2" customFormat="1" ht="16.5" customHeight="1" thickBot="1">
      <c r="A79" s="6" t="s">
        <v>1743</v>
      </c>
      <c r="B79" s="9" t="s">
        <v>1257</v>
      </c>
      <c r="C79" s="36">
        <v>20836</v>
      </c>
      <c r="D79" s="17">
        <f t="shared" ref="D79:D86" si="3">SUM(C79/$C$87)</f>
        <v>0.43601816393579845</v>
      </c>
      <c r="E79" s="16"/>
    </row>
    <row r="80" spans="1:7" s="2" customFormat="1" ht="16.5" customHeight="1" thickBot="1">
      <c r="A80" s="12" t="s">
        <v>2048</v>
      </c>
      <c r="B80" s="20" t="s">
        <v>1261</v>
      </c>
      <c r="C80" s="8">
        <v>11584</v>
      </c>
      <c r="D80" s="17">
        <f t="shared" si="3"/>
        <v>0.24240902337455794</v>
      </c>
      <c r="E80" s="16"/>
      <c r="G80" s="14"/>
    </row>
    <row r="81" spans="1:7" s="2" customFormat="1" ht="16.5" customHeight="1" thickBot="1">
      <c r="A81" s="12" t="s">
        <v>2474</v>
      </c>
      <c r="B81" s="13" t="s">
        <v>1247</v>
      </c>
      <c r="C81" s="8">
        <v>5773</v>
      </c>
      <c r="D81" s="17">
        <f t="shared" si="3"/>
        <v>0.12080691401427167</v>
      </c>
      <c r="E81" s="16"/>
      <c r="G81" s="14"/>
    </row>
    <row r="82" spans="1:7" s="2" customFormat="1" ht="16.5" customHeight="1" thickBot="1">
      <c r="A82" s="12" t="s">
        <v>2045</v>
      </c>
      <c r="B82" s="27" t="s">
        <v>1258</v>
      </c>
      <c r="C82" s="8">
        <v>5482</v>
      </c>
      <c r="D82" s="17">
        <f t="shared" si="3"/>
        <v>0.11471739175926507</v>
      </c>
      <c r="E82" s="16"/>
      <c r="G82" s="14"/>
    </row>
    <row r="83" spans="1:7" s="2" customFormat="1" ht="16.5" customHeight="1" thickBot="1">
      <c r="A83" s="12" t="s">
        <v>2476</v>
      </c>
      <c r="B83" s="40" t="s">
        <v>1269</v>
      </c>
      <c r="C83" s="8">
        <v>3017</v>
      </c>
      <c r="D83" s="17">
        <f t="shared" si="3"/>
        <v>6.3134325234896524E-2</v>
      </c>
      <c r="E83" s="21"/>
    </row>
    <row r="84" spans="1:7" s="2" customFormat="1" ht="16.5" customHeight="1" thickBot="1">
      <c r="A84" s="12" t="s">
        <v>1754</v>
      </c>
      <c r="B84" s="37" t="s">
        <v>1286</v>
      </c>
      <c r="C84" s="8">
        <v>554</v>
      </c>
      <c r="D84" s="17">
        <f t="shared" si="3"/>
        <v>1.1593111097160316E-2</v>
      </c>
      <c r="E84" s="16"/>
      <c r="G84" s="14"/>
    </row>
    <row r="85" spans="1:7" s="2" customFormat="1" ht="16.5" customHeight="1" thickBot="1">
      <c r="A85" s="12" t="s">
        <v>2475</v>
      </c>
      <c r="B85" s="22" t="s">
        <v>1408</v>
      </c>
      <c r="C85" s="8">
        <v>433</v>
      </c>
      <c r="D85" s="17">
        <f t="shared" si="3"/>
        <v>9.0610417059032791E-3</v>
      </c>
      <c r="E85" s="16"/>
      <c r="G85" s="14"/>
    </row>
    <row r="86" spans="1:7" s="2" customFormat="1" ht="16.5" customHeight="1" thickBot="1">
      <c r="A86" s="12" t="s">
        <v>2055</v>
      </c>
      <c r="B86" s="38" t="s">
        <v>1958</v>
      </c>
      <c r="C86" s="8">
        <v>108</v>
      </c>
      <c r="D86" s="17">
        <f t="shared" si="3"/>
        <v>2.2600288781467765E-3</v>
      </c>
      <c r="E86" s="21"/>
    </row>
    <row r="87" spans="1:7" s="2" customFormat="1" ht="16.5" customHeight="1">
      <c r="A87" s="75"/>
      <c r="B87" s="76"/>
      <c r="C87" s="23">
        <f>SUM(C79:C86)</f>
        <v>47787</v>
      </c>
      <c r="D87" s="17"/>
      <c r="E87" s="10" t="s">
        <v>1874</v>
      </c>
      <c r="F87" s="21">
        <f>(C79-C80)</f>
        <v>9252</v>
      </c>
    </row>
    <row r="88" spans="1:7" s="2" customFormat="1" ht="12" customHeight="1">
      <c r="A88" s="1"/>
    </row>
    <row r="89" spans="1:7" s="2" customFormat="1" ht="16.5" customHeight="1">
      <c r="A89" s="1" t="s">
        <v>2478</v>
      </c>
    </row>
    <row r="90" spans="1:7" s="2" customFormat="1" ht="9.75" customHeight="1" thickBot="1">
      <c r="A90" s="3"/>
    </row>
    <row r="91" spans="1:7" s="2" customFormat="1" ht="16.5" customHeight="1" thickBot="1">
      <c r="A91" s="4" t="s">
        <v>1244</v>
      </c>
      <c r="B91" s="5" t="s">
        <v>1245</v>
      </c>
      <c r="C91" s="5" t="s">
        <v>1248</v>
      </c>
      <c r="D91" s="10"/>
      <c r="E91" s="10" t="s">
        <v>1413</v>
      </c>
      <c r="F91" s="11">
        <f>(44443/71341)</f>
        <v>0.62296575601687665</v>
      </c>
    </row>
    <row r="92" spans="1:7" s="2" customFormat="1" ht="16.5" customHeight="1" thickBot="1">
      <c r="A92" s="6" t="s">
        <v>2477</v>
      </c>
      <c r="B92" s="9" t="s">
        <v>1257</v>
      </c>
      <c r="C92" s="36">
        <v>24560</v>
      </c>
      <c r="D92" s="17">
        <f t="shared" ref="D92:D99" si="4">SUM(C92/$C$100)</f>
        <v>0.55427668697810883</v>
      </c>
      <c r="E92" s="16"/>
    </row>
    <row r="93" spans="1:7" s="2" customFormat="1" ht="16.5" customHeight="1" thickBot="1">
      <c r="A93" s="12" t="s">
        <v>2059</v>
      </c>
      <c r="B93" s="40" t="s">
        <v>1269</v>
      </c>
      <c r="C93" s="8">
        <v>7635</v>
      </c>
      <c r="D93" s="17">
        <f t="shared" si="4"/>
        <v>0.17230873392010831</v>
      </c>
      <c r="E93" s="16"/>
      <c r="G93" s="14"/>
    </row>
    <row r="94" spans="1:7" s="2" customFormat="1" ht="16.5" customHeight="1" thickBot="1">
      <c r="A94" s="12" t="s">
        <v>2058</v>
      </c>
      <c r="B94" s="27" t="s">
        <v>1258</v>
      </c>
      <c r="C94" s="8">
        <v>6005</v>
      </c>
      <c r="D94" s="17">
        <f t="shared" si="4"/>
        <v>0.13552245542766869</v>
      </c>
      <c r="E94" s="16"/>
      <c r="G94" s="14"/>
    </row>
    <row r="95" spans="1:7" s="2" customFormat="1" ht="16.5" customHeight="1" thickBot="1">
      <c r="A95" s="12" t="s">
        <v>1747</v>
      </c>
      <c r="B95" s="20" t="s">
        <v>1261</v>
      </c>
      <c r="C95" s="8">
        <v>3436</v>
      </c>
      <c r="D95" s="17">
        <f t="shared" si="4"/>
        <v>7.7544572331302186E-2</v>
      </c>
      <c r="E95" s="21"/>
    </row>
    <row r="96" spans="1:7" s="2" customFormat="1" ht="16.5" customHeight="1" thickBot="1">
      <c r="A96" s="12" t="s">
        <v>2479</v>
      </c>
      <c r="B96" s="22" t="s">
        <v>1408</v>
      </c>
      <c r="C96" s="8">
        <v>1212</v>
      </c>
      <c r="D96" s="17">
        <f t="shared" si="4"/>
        <v>2.7352742044685172E-2</v>
      </c>
      <c r="E96" s="21"/>
    </row>
    <row r="97" spans="1:7" s="2" customFormat="1" ht="16.5" customHeight="1" thickBot="1">
      <c r="A97" s="12" t="s">
        <v>2167</v>
      </c>
      <c r="B97" s="13" t="s">
        <v>1247</v>
      </c>
      <c r="C97" s="8">
        <v>1110</v>
      </c>
      <c r="D97" s="17">
        <f t="shared" si="4"/>
        <v>2.5050778605280974E-2</v>
      </c>
      <c r="E97" s="16"/>
      <c r="G97" s="14"/>
    </row>
    <row r="98" spans="1:7" s="2" customFormat="1" ht="16.5" customHeight="1" thickBot="1">
      <c r="A98" s="12" t="s">
        <v>1764</v>
      </c>
      <c r="B98" s="37" t="s">
        <v>1286</v>
      </c>
      <c r="C98" s="8">
        <v>203</v>
      </c>
      <c r="D98" s="17">
        <f t="shared" si="4"/>
        <v>4.5813586097946286E-3</v>
      </c>
      <c r="E98" s="21"/>
    </row>
    <row r="99" spans="1:7" s="2" customFormat="1" ht="16.5" customHeight="1" thickBot="1">
      <c r="A99" s="12" t="s">
        <v>2480</v>
      </c>
      <c r="B99" s="38" t="s">
        <v>1958</v>
      </c>
      <c r="C99" s="8">
        <v>149</v>
      </c>
      <c r="D99" s="17">
        <f t="shared" si="4"/>
        <v>3.3626720830512301E-3</v>
      </c>
      <c r="E99" s="21"/>
    </row>
    <row r="100" spans="1:7" s="2" customFormat="1" ht="16.5" customHeight="1">
      <c r="A100" s="75"/>
      <c r="B100" s="76"/>
      <c r="C100" s="23">
        <f>SUM(C92:C99)</f>
        <v>44310</v>
      </c>
      <c r="D100" s="17"/>
      <c r="E100" s="10" t="s">
        <v>1874</v>
      </c>
      <c r="F100" s="21">
        <f>(C92-C93)</f>
        <v>16925</v>
      </c>
    </row>
    <row r="101" spans="1:7" s="2" customFormat="1" ht="12" customHeight="1">
      <c r="A101" s="1"/>
    </row>
    <row r="102" spans="1:7" s="2" customFormat="1" ht="16.5" customHeight="1">
      <c r="A102" s="1" t="s">
        <v>2483</v>
      </c>
    </row>
    <row r="103" spans="1:7" s="2" customFormat="1" ht="9.75" customHeight="1" thickBot="1">
      <c r="A103" s="3"/>
    </row>
    <row r="104" spans="1:7" s="2" customFormat="1" ht="16.5" customHeight="1" thickBot="1">
      <c r="A104" s="4" t="s">
        <v>1244</v>
      </c>
      <c r="B104" s="5" t="s">
        <v>1245</v>
      </c>
      <c r="C104" s="5" t="s">
        <v>1248</v>
      </c>
      <c r="D104" s="10"/>
      <c r="E104" s="10" t="s">
        <v>1413</v>
      </c>
      <c r="F104" s="11">
        <f>(40343/69512)</f>
        <v>0.58037461157785708</v>
      </c>
    </row>
    <row r="105" spans="1:7" s="2" customFormat="1" ht="16.5" customHeight="1" thickBot="1">
      <c r="A105" s="6" t="s">
        <v>2481</v>
      </c>
      <c r="B105" s="9" t="s">
        <v>1257</v>
      </c>
      <c r="C105" s="36">
        <v>23108</v>
      </c>
      <c r="D105" s="17">
        <f t="shared" ref="D105:D110" si="5">SUM(C105/$C$111)</f>
        <v>0.57489737529543472</v>
      </c>
      <c r="E105" s="16"/>
    </row>
    <row r="106" spans="1:7" s="2" customFormat="1" ht="16.5" customHeight="1" thickBot="1">
      <c r="A106" s="12" t="s">
        <v>2075</v>
      </c>
      <c r="B106" s="20" t="s">
        <v>1261</v>
      </c>
      <c r="C106" s="8">
        <v>6497</v>
      </c>
      <c r="D106" s="17">
        <f t="shared" si="5"/>
        <v>0.16163701952979226</v>
      </c>
      <c r="E106" s="16"/>
      <c r="G106" s="14"/>
    </row>
    <row r="107" spans="1:7" s="2" customFormat="1" ht="16.5" customHeight="1" thickBot="1">
      <c r="A107" s="12" t="s">
        <v>2074</v>
      </c>
      <c r="B107" s="40" t="s">
        <v>1269</v>
      </c>
      <c r="C107" s="8">
        <v>4668</v>
      </c>
      <c r="D107" s="17">
        <f t="shared" si="5"/>
        <v>0.11613384749346933</v>
      </c>
      <c r="E107" s="16"/>
      <c r="G107" s="14"/>
    </row>
    <row r="108" spans="1:7" s="2" customFormat="1" ht="16.5" customHeight="1" thickBot="1">
      <c r="A108" s="12" t="s">
        <v>1841</v>
      </c>
      <c r="B108" s="63" t="s">
        <v>1276</v>
      </c>
      <c r="C108" s="8">
        <v>3490</v>
      </c>
      <c r="D108" s="17">
        <f t="shared" si="5"/>
        <v>8.6826719741261355E-2</v>
      </c>
      <c r="E108" s="16"/>
      <c r="G108" s="14"/>
    </row>
    <row r="109" spans="1:7" s="2" customFormat="1" ht="16.5" customHeight="1" thickBot="1">
      <c r="A109" s="12" t="s">
        <v>2386</v>
      </c>
      <c r="B109" s="13" t="s">
        <v>1247</v>
      </c>
      <c r="C109" s="8">
        <v>2229</v>
      </c>
      <c r="D109" s="17">
        <f t="shared" si="5"/>
        <v>5.5454658539619353E-2</v>
      </c>
      <c r="E109" s="21"/>
    </row>
    <row r="110" spans="1:7" s="2" customFormat="1" ht="16.5" customHeight="1" thickBot="1">
      <c r="A110" s="12" t="s">
        <v>2482</v>
      </c>
      <c r="B110" s="38" t="s">
        <v>1958</v>
      </c>
      <c r="C110" s="8">
        <v>203</v>
      </c>
      <c r="D110" s="17">
        <f t="shared" si="5"/>
        <v>5.0503794004229385E-3</v>
      </c>
      <c r="E110" s="21"/>
    </row>
    <row r="111" spans="1:7" s="2" customFormat="1" ht="16.5" customHeight="1">
      <c r="A111" s="75"/>
      <c r="B111" s="76"/>
      <c r="C111" s="23">
        <f>SUM(C105:C110)</f>
        <v>40195</v>
      </c>
      <c r="D111" s="17"/>
      <c r="E111" s="10" t="s">
        <v>1874</v>
      </c>
      <c r="F111" s="21">
        <f>(C105-C106)</f>
        <v>16611</v>
      </c>
    </row>
    <row r="112" spans="1:7" s="2" customFormat="1" ht="12" customHeight="1">
      <c r="A112" s="1"/>
    </row>
    <row r="113" spans="1:7" s="2" customFormat="1" ht="16.5" customHeight="1">
      <c r="A113" s="1" t="s">
        <v>2484</v>
      </c>
    </row>
    <row r="114" spans="1:7" s="2" customFormat="1" ht="9.75" customHeight="1" thickBot="1">
      <c r="A114" s="3"/>
    </row>
    <row r="115" spans="1:7" s="2" customFormat="1" ht="16.5" customHeight="1" thickBot="1">
      <c r="A115" s="4" t="s">
        <v>1244</v>
      </c>
      <c r="B115" s="5" t="s">
        <v>1245</v>
      </c>
      <c r="C115" s="5" t="s">
        <v>1248</v>
      </c>
      <c r="D115" s="10"/>
      <c r="E115" s="10" t="s">
        <v>1413</v>
      </c>
      <c r="F115" s="11">
        <f>(46301/72491)</f>
        <v>0.63871377136472118</v>
      </c>
    </row>
    <row r="116" spans="1:7" s="2" customFormat="1" ht="16.5" customHeight="1" thickBot="1">
      <c r="A116" s="6" t="s">
        <v>1464</v>
      </c>
      <c r="B116" s="28" t="s">
        <v>1258</v>
      </c>
      <c r="C116" s="36">
        <v>21495</v>
      </c>
      <c r="D116" s="17">
        <f t="shared" ref="D116:D122" si="6">SUM(C116/$C$123)</f>
        <v>0.46540077079634523</v>
      </c>
      <c r="E116" s="16"/>
    </row>
    <row r="117" spans="1:7" s="2" customFormat="1" ht="16.5" customHeight="1" thickBot="1">
      <c r="A117" s="12" t="s">
        <v>1518</v>
      </c>
      <c r="B117" s="22" t="s">
        <v>1257</v>
      </c>
      <c r="C117" s="8">
        <v>10921</v>
      </c>
      <c r="D117" s="17">
        <f t="shared" si="6"/>
        <v>0.23645693500194864</v>
      </c>
      <c r="E117" s="16"/>
      <c r="G117" s="14"/>
    </row>
    <row r="118" spans="1:7" s="2" customFormat="1" ht="16.5" customHeight="1" thickBot="1">
      <c r="A118" s="12" t="s">
        <v>2086</v>
      </c>
      <c r="B118" s="20" t="s">
        <v>1261</v>
      </c>
      <c r="C118" s="8">
        <v>7333</v>
      </c>
      <c r="D118" s="17">
        <f t="shared" si="6"/>
        <v>0.15877105616420562</v>
      </c>
      <c r="E118" s="16"/>
      <c r="G118" s="14"/>
    </row>
    <row r="119" spans="1:7" s="2" customFormat="1" ht="16.5" customHeight="1" thickBot="1">
      <c r="A119" s="12" t="s">
        <v>2088</v>
      </c>
      <c r="B119" s="13" t="s">
        <v>1247</v>
      </c>
      <c r="C119" s="8">
        <v>2896</v>
      </c>
      <c r="D119" s="17">
        <f t="shared" si="6"/>
        <v>6.2702983588100294E-2</v>
      </c>
      <c r="E119" s="21"/>
    </row>
    <row r="120" spans="1:7" s="2" customFormat="1" ht="16.5" customHeight="1" thickBot="1">
      <c r="A120" s="12" t="s">
        <v>2394</v>
      </c>
      <c r="B120" s="40" t="s">
        <v>1269</v>
      </c>
      <c r="C120" s="8">
        <v>2845</v>
      </c>
      <c r="D120" s="17">
        <f t="shared" si="6"/>
        <v>6.1598752868834712E-2</v>
      </c>
      <c r="E120" s="21"/>
    </row>
    <row r="121" spans="1:7" s="2" customFormat="1" ht="16.5" customHeight="1" thickBot="1">
      <c r="A121" s="12" t="s">
        <v>2485</v>
      </c>
      <c r="B121" s="29" t="s">
        <v>1267</v>
      </c>
      <c r="C121" s="8">
        <v>580</v>
      </c>
      <c r="D121" s="17">
        <f t="shared" si="6"/>
        <v>1.2557917983804616E-2</v>
      </c>
      <c r="E121" s="21"/>
    </row>
    <row r="122" spans="1:7" s="2" customFormat="1" ht="16.5" customHeight="1" thickBot="1">
      <c r="A122" s="12" t="s">
        <v>1848</v>
      </c>
      <c r="B122" s="38" t="s">
        <v>1958</v>
      </c>
      <c r="C122" s="8">
        <v>116</v>
      </c>
      <c r="D122" s="17">
        <f t="shared" si="6"/>
        <v>2.5115835967609232E-3</v>
      </c>
      <c r="E122" s="21"/>
    </row>
    <row r="123" spans="1:7" s="2" customFormat="1" ht="16.5" customHeight="1">
      <c r="A123" s="75"/>
      <c r="B123" s="76"/>
      <c r="C123" s="23">
        <f>SUM(C116:C122)</f>
        <v>46186</v>
      </c>
      <c r="D123" s="17"/>
      <c r="E123" s="10" t="s">
        <v>1874</v>
      </c>
      <c r="F123" s="21">
        <f>(C116-C117)</f>
        <v>10574</v>
      </c>
    </row>
    <row r="124" spans="1:7" s="2" customFormat="1" ht="12" customHeight="1">
      <c r="A124" s="1"/>
    </row>
    <row r="125" spans="1:7" s="2" customFormat="1" ht="16.5" customHeight="1">
      <c r="A125" s="1" t="s">
        <v>2486</v>
      </c>
    </row>
    <row r="126" spans="1:7" s="2" customFormat="1" ht="9.75" customHeight="1" thickBot="1">
      <c r="A126" s="3"/>
    </row>
    <row r="127" spans="1:7" s="2" customFormat="1" ht="16.5" customHeight="1" thickBot="1">
      <c r="A127" s="4" t="s">
        <v>1244</v>
      </c>
      <c r="B127" s="5" t="s">
        <v>1245</v>
      </c>
      <c r="C127" s="5" t="s">
        <v>1248</v>
      </c>
      <c r="D127" s="10"/>
      <c r="E127" s="10" t="s">
        <v>1413</v>
      </c>
      <c r="F127" s="11">
        <f>(34437/59032)</f>
        <v>0.58336156660794147</v>
      </c>
    </row>
    <row r="128" spans="1:7" s="2" customFormat="1" ht="16.5" customHeight="1" thickBot="1">
      <c r="A128" s="6" t="s">
        <v>2372</v>
      </c>
      <c r="B128" s="9" t="s">
        <v>1257</v>
      </c>
      <c r="C128" s="36">
        <v>13318</v>
      </c>
      <c r="D128" s="17">
        <f t="shared" ref="D128:D136" si="7">SUM(C128/$C$137)</f>
        <v>0.38774856610475444</v>
      </c>
      <c r="E128" s="16"/>
    </row>
    <row r="129" spans="1:7" s="2" customFormat="1" ht="16.5" customHeight="1" thickBot="1">
      <c r="A129" s="12" t="s">
        <v>2101</v>
      </c>
      <c r="B129" s="40" t="s">
        <v>1269</v>
      </c>
      <c r="C129" s="8">
        <v>6929</v>
      </c>
      <c r="D129" s="17">
        <f t="shared" si="7"/>
        <v>0.20173523160683612</v>
      </c>
      <c r="E129" s="16"/>
      <c r="G129" s="14"/>
    </row>
    <row r="130" spans="1:7" s="2" customFormat="1" ht="16.5" customHeight="1" thickBot="1">
      <c r="A130" s="12" t="s">
        <v>1795</v>
      </c>
      <c r="B130" s="27" t="s">
        <v>1258</v>
      </c>
      <c r="C130" s="8">
        <v>6682</v>
      </c>
      <c r="D130" s="17">
        <f t="shared" si="7"/>
        <v>0.19454391941072</v>
      </c>
      <c r="E130" s="16"/>
      <c r="G130" s="14"/>
    </row>
    <row r="131" spans="1:7" s="2" customFormat="1" ht="16.5" customHeight="1" thickBot="1">
      <c r="A131" s="12" t="s">
        <v>1863</v>
      </c>
      <c r="B131" s="22" t="s">
        <v>1408</v>
      </c>
      <c r="C131" s="8">
        <v>2334</v>
      </c>
      <c r="D131" s="17">
        <f t="shared" si="7"/>
        <v>6.795353305965586E-2</v>
      </c>
      <c r="E131" s="16"/>
      <c r="G131" s="14"/>
    </row>
    <row r="132" spans="1:7" s="2" customFormat="1" ht="16.5" customHeight="1" thickBot="1">
      <c r="A132" s="12" t="s">
        <v>2488</v>
      </c>
      <c r="B132" s="63" t="s">
        <v>1276</v>
      </c>
      <c r="C132" s="8">
        <v>1751</v>
      </c>
      <c r="D132" s="17">
        <f t="shared" si="7"/>
        <v>5.0979707106879789E-2</v>
      </c>
      <c r="E132" s="21"/>
    </row>
    <row r="133" spans="1:7" s="2" customFormat="1" ht="16.5" customHeight="1" thickBot="1">
      <c r="A133" s="12" t="s">
        <v>1483</v>
      </c>
      <c r="B133" s="20" t="s">
        <v>1261</v>
      </c>
      <c r="C133" s="8">
        <v>1576</v>
      </c>
      <c r="D133" s="17">
        <f>SUM(C133/$C$137)</f>
        <v>4.5884647858619385E-2</v>
      </c>
      <c r="E133" s="16"/>
      <c r="G133" s="14"/>
    </row>
    <row r="134" spans="1:7" s="2" customFormat="1" ht="16.5" customHeight="1" thickBot="1">
      <c r="A134" s="12" t="s">
        <v>1798</v>
      </c>
      <c r="B134" s="38" t="s">
        <v>1270</v>
      </c>
      <c r="C134" s="8">
        <v>1145</v>
      </c>
      <c r="D134" s="17">
        <f t="shared" si="7"/>
        <v>3.333624479576091E-2</v>
      </c>
      <c r="E134" s="16"/>
      <c r="G134" s="14"/>
    </row>
    <row r="135" spans="1:7" s="2" customFormat="1" ht="16.5" customHeight="1" thickBot="1">
      <c r="A135" s="12" t="s">
        <v>2487</v>
      </c>
      <c r="B135" s="13" t="s">
        <v>1247</v>
      </c>
      <c r="C135" s="8">
        <v>543</v>
      </c>
      <c r="D135" s="17">
        <f>SUM(C135/$C$137)</f>
        <v>1.5809240981745132E-2</v>
      </c>
      <c r="E135" s="16"/>
      <c r="G135" s="14"/>
    </row>
    <row r="136" spans="1:7" s="2" customFormat="1" ht="16.5" customHeight="1" thickBot="1">
      <c r="A136" s="12" t="s">
        <v>2015</v>
      </c>
      <c r="B136" s="38" t="s">
        <v>1958</v>
      </c>
      <c r="C136" s="8">
        <v>69</v>
      </c>
      <c r="D136" s="17">
        <f t="shared" si="7"/>
        <v>2.0089090750283868E-3</v>
      </c>
      <c r="E136" s="21"/>
    </row>
    <row r="137" spans="1:7" s="2" customFormat="1" ht="16.5" customHeight="1">
      <c r="A137" s="75"/>
      <c r="B137" s="76"/>
      <c r="C137" s="23">
        <f>SUM(C128:C136)</f>
        <v>34347</v>
      </c>
      <c r="D137" s="17"/>
      <c r="E137" s="10" t="s">
        <v>1874</v>
      </c>
      <c r="F137" s="21">
        <f>(C128-C129)</f>
        <v>6389</v>
      </c>
    </row>
    <row r="138" spans="1:7" s="2" customFormat="1" ht="12" customHeight="1">
      <c r="A138" s="1"/>
    </row>
    <row r="139" spans="1:7" s="2" customFormat="1" ht="16.5" customHeight="1">
      <c r="A139" s="1" t="s">
        <v>2491</v>
      </c>
    </row>
    <row r="140" spans="1:7" s="2" customFormat="1" ht="9.75" customHeight="1" thickBot="1">
      <c r="A140" s="3"/>
    </row>
    <row r="141" spans="1:7" s="2" customFormat="1" ht="16.5" customHeight="1" thickBot="1">
      <c r="A141" s="4" t="s">
        <v>1244</v>
      </c>
      <c r="B141" s="5" t="s">
        <v>1245</v>
      </c>
      <c r="C141" s="5" t="s">
        <v>1248</v>
      </c>
      <c r="D141" s="10"/>
      <c r="E141" s="10" t="s">
        <v>1413</v>
      </c>
      <c r="F141" s="11">
        <f>(41703/70073)</f>
        <v>0.59513650050661449</v>
      </c>
    </row>
    <row r="142" spans="1:7" s="2" customFormat="1" ht="16.5" customHeight="1" thickBot="1">
      <c r="A142" s="6" t="s">
        <v>1802</v>
      </c>
      <c r="B142" s="9" t="s">
        <v>1257</v>
      </c>
      <c r="C142" s="36">
        <v>18431</v>
      </c>
      <c r="D142" s="17">
        <f t="shared" ref="D142:D148" si="8">SUM(C142/$C$149)</f>
        <v>0.44285062111055046</v>
      </c>
      <c r="E142" s="16"/>
    </row>
    <row r="143" spans="1:7" s="2" customFormat="1" ht="16.5" customHeight="1" thickBot="1">
      <c r="A143" s="12" t="s">
        <v>2114</v>
      </c>
      <c r="B143" s="27" t="s">
        <v>1258</v>
      </c>
      <c r="C143" s="8">
        <v>12579</v>
      </c>
      <c r="D143" s="17">
        <f t="shared" si="8"/>
        <v>0.30224176457867802</v>
      </c>
      <c r="E143" s="16"/>
      <c r="G143" s="14"/>
    </row>
    <row r="144" spans="1:7" s="2" customFormat="1" ht="16.5" customHeight="1" thickBot="1">
      <c r="A144" s="12" t="s">
        <v>2116</v>
      </c>
      <c r="B144" s="40" t="s">
        <v>1269</v>
      </c>
      <c r="C144" s="8">
        <v>5467</v>
      </c>
      <c r="D144" s="17">
        <f t="shared" si="8"/>
        <v>0.13135827386530191</v>
      </c>
      <c r="E144" s="16"/>
      <c r="G144" s="14"/>
    </row>
    <row r="145" spans="1:7" s="2" customFormat="1" ht="16.5" customHeight="1" thickBot="1">
      <c r="A145" s="12" t="s">
        <v>2489</v>
      </c>
      <c r="B145" s="20" t="s">
        <v>1261</v>
      </c>
      <c r="C145" s="8">
        <v>2775</v>
      </c>
      <c r="D145" s="17">
        <f t="shared" si="8"/>
        <v>6.6676277661644925E-2</v>
      </c>
      <c r="E145" s="16"/>
      <c r="G145" s="14"/>
    </row>
    <row r="146" spans="1:7" s="2" customFormat="1" ht="16.5" customHeight="1" thickBot="1">
      <c r="A146" s="12" t="s">
        <v>2490</v>
      </c>
      <c r="B146" s="22" t="s">
        <v>1408</v>
      </c>
      <c r="C146" s="8">
        <v>1743</v>
      </c>
      <c r="D146" s="17">
        <f t="shared" si="8"/>
        <v>4.18799106177467E-2</v>
      </c>
      <c r="E146" s="21"/>
    </row>
    <row r="147" spans="1:7" s="2" customFormat="1" ht="16.5" customHeight="1" thickBot="1">
      <c r="A147" s="12" t="s">
        <v>2032</v>
      </c>
      <c r="B147" s="13" t="s">
        <v>1247</v>
      </c>
      <c r="C147" s="8">
        <v>503</v>
      </c>
      <c r="D147" s="17">
        <f>SUM(C147/$C$149)</f>
        <v>1.2085826185155819E-2</v>
      </c>
      <c r="E147" s="21"/>
    </row>
    <row r="148" spans="1:7" s="2" customFormat="1" ht="16.5" customHeight="1" thickBot="1">
      <c r="A148" s="12" t="s">
        <v>2130</v>
      </c>
      <c r="B148" s="78" t="s">
        <v>1958</v>
      </c>
      <c r="C148" s="8">
        <v>121</v>
      </c>
      <c r="D148" s="17">
        <f t="shared" si="8"/>
        <v>2.9073259809221752E-3</v>
      </c>
      <c r="E148" s="21"/>
    </row>
    <row r="149" spans="1:7" s="2" customFormat="1" ht="16.5" customHeight="1">
      <c r="A149" s="75"/>
      <c r="B149" s="76"/>
      <c r="C149" s="23">
        <f>SUM(C142:C148)</f>
        <v>41619</v>
      </c>
      <c r="D149" s="17"/>
      <c r="E149" s="10" t="s">
        <v>1874</v>
      </c>
      <c r="F149" s="21">
        <f>(C142-C143)</f>
        <v>5852</v>
      </c>
    </row>
    <row r="150" spans="1:7" s="2" customFormat="1" ht="12" customHeight="1">
      <c r="A150" s="1"/>
    </row>
    <row r="151" spans="1:7" s="2" customFormat="1" ht="16.5" customHeight="1">
      <c r="A151" s="1" t="s">
        <v>2492</v>
      </c>
    </row>
    <row r="152" spans="1:7" s="2" customFormat="1" ht="9.75" customHeight="1" thickBot="1">
      <c r="A152" s="3"/>
    </row>
    <row r="153" spans="1:7" s="2" customFormat="1" ht="16.5" customHeight="1" thickBot="1">
      <c r="A153" s="4" t="s">
        <v>1244</v>
      </c>
      <c r="B153" s="5" t="s">
        <v>1245</v>
      </c>
      <c r="C153" s="5" t="s">
        <v>1248</v>
      </c>
      <c r="D153" s="10"/>
      <c r="E153" s="10" t="s">
        <v>1413</v>
      </c>
      <c r="F153" s="11">
        <f>(36653/63101)</f>
        <v>0.58086242690290169</v>
      </c>
    </row>
    <row r="154" spans="1:7" s="2" customFormat="1" ht="16.5" customHeight="1" thickBot="1">
      <c r="A154" s="6" t="s">
        <v>1506</v>
      </c>
      <c r="B154" s="72" t="s">
        <v>1304</v>
      </c>
      <c r="C154" s="36">
        <v>12817</v>
      </c>
      <c r="D154" s="17">
        <f t="shared" ref="D154:D161" si="9">SUM(C154/$C$162)</f>
        <v>0.35061275850749535</v>
      </c>
      <c r="E154" s="16"/>
    </row>
    <row r="155" spans="1:7" s="2" customFormat="1" ht="16.5" customHeight="1" thickBot="1">
      <c r="A155" s="12" t="s">
        <v>2133</v>
      </c>
      <c r="B155" s="22" t="s">
        <v>1257</v>
      </c>
      <c r="C155" s="8">
        <v>11368</v>
      </c>
      <c r="D155" s="17">
        <f t="shared" si="9"/>
        <v>0.31097494255388991</v>
      </c>
      <c r="E155" s="16"/>
      <c r="G155" s="14"/>
    </row>
    <row r="156" spans="1:7" s="2" customFormat="1" ht="16.5" customHeight="1" thickBot="1">
      <c r="A156" s="12" t="s">
        <v>2360</v>
      </c>
      <c r="B156" s="40" t="s">
        <v>1269</v>
      </c>
      <c r="C156" s="8">
        <v>7554</v>
      </c>
      <c r="D156" s="17">
        <f t="shared" si="9"/>
        <v>0.20664186453660138</v>
      </c>
      <c r="E156" s="16"/>
      <c r="G156" s="14"/>
    </row>
    <row r="157" spans="1:7" s="2" customFormat="1" ht="16.5" customHeight="1" thickBot="1">
      <c r="A157" s="12" t="s">
        <v>2493</v>
      </c>
      <c r="B157" s="22" t="s">
        <v>1408</v>
      </c>
      <c r="C157" s="8">
        <v>1810</v>
      </c>
      <c r="D157" s="17">
        <f t="shared" si="9"/>
        <v>4.9513075828865299E-2</v>
      </c>
      <c r="E157" s="21"/>
    </row>
    <row r="158" spans="1:7" s="2" customFormat="1" ht="16.5" customHeight="1" thickBot="1">
      <c r="A158" s="12" t="s">
        <v>2138</v>
      </c>
      <c r="B158" s="20" t="s">
        <v>1261</v>
      </c>
      <c r="C158" s="8">
        <v>1602</v>
      </c>
      <c r="D158" s="17">
        <f>SUM(C158/$C$162)</f>
        <v>4.3823175402122772E-2</v>
      </c>
      <c r="E158" s="21"/>
    </row>
    <row r="159" spans="1:7" s="2" customFormat="1" ht="16.5" customHeight="1" thickBot="1">
      <c r="A159" s="12" t="s">
        <v>2135</v>
      </c>
      <c r="B159" s="29" t="s">
        <v>1267</v>
      </c>
      <c r="C159" s="8">
        <v>1240</v>
      </c>
      <c r="D159" s="17">
        <f>SUM(C159/$C$162)</f>
        <v>3.3920560236349713E-2</v>
      </c>
      <c r="E159" s="21"/>
    </row>
    <row r="160" spans="1:7" s="2" customFormat="1" ht="16.5" customHeight="1" thickBot="1">
      <c r="A160" s="12" t="s">
        <v>2040</v>
      </c>
      <c r="B160" s="78" t="s">
        <v>1958</v>
      </c>
      <c r="C160" s="8">
        <v>108</v>
      </c>
      <c r="D160" s="17">
        <f t="shared" si="9"/>
        <v>2.9543713754240069E-3</v>
      </c>
      <c r="E160" s="21"/>
    </row>
    <row r="161" spans="1:12" s="2" customFormat="1" ht="16.5" customHeight="1" thickBot="1">
      <c r="A161" s="12" t="s">
        <v>2494</v>
      </c>
      <c r="B161" s="78" t="s">
        <v>1270</v>
      </c>
      <c r="C161" s="8">
        <v>57</v>
      </c>
      <c r="D161" s="17">
        <f t="shared" si="9"/>
        <v>1.5592515592515593E-3</v>
      </c>
      <c r="E161" s="21"/>
    </row>
    <row r="162" spans="1:12" s="2" customFormat="1" ht="16.5" customHeight="1">
      <c r="A162" s="75"/>
      <c r="B162" s="76"/>
      <c r="C162" s="23">
        <f>SUM(C154:C161)</f>
        <v>36556</v>
      </c>
      <c r="D162" s="17"/>
      <c r="E162" s="10" t="s">
        <v>1874</v>
      </c>
      <c r="F162" s="21">
        <f>(C154-C155)</f>
        <v>1449</v>
      </c>
    </row>
    <row r="163" spans="1:12" s="2" customFormat="1" ht="12" customHeight="1">
      <c r="A163" s="1"/>
      <c r="E163"/>
      <c r="L163"/>
    </row>
    <row r="164" spans="1:12" s="2" customFormat="1" ht="16.5" customHeight="1">
      <c r="A164" s="1" t="s">
        <v>2495</v>
      </c>
    </row>
    <row r="165" spans="1:12" s="2" customFormat="1" ht="9.75" customHeight="1" thickBot="1">
      <c r="A165" s="3"/>
    </row>
    <row r="166" spans="1:12" s="2" customFormat="1" ht="16.5" customHeight="1" thickBot="1">
      <c r="A166" s="4" t="s">
        <v>1244</v>
      </c>
      <c r="B166" s="5" t="s">
        <v>1245</v>
      </c>
      <c r="C166" s="5" t="s">
        <v>1248</v>
      </c>
      <c r="D166" s="10"/>
      <c r="E166" s="10" t="s">
        <v>1413</v>
      </c>
      <c r="F166" s="11">
        <f>(41580/64645)</f>
        <v>0.64320519761775852</v>
      </c>
    </row>
    <row r="167" spans="1:12" s="2" customFormat="1" ht="16.5" customHeight="1" thickBot="1">
      <c r="A167" s="6" t="s">
        <v>2434</v>
      </c>
      <c r="B167" s="9" t="s">
        <v>1257</v>
      </c>
      <c r="C167" s="36">
        <v>21478</v>
      </c>
      <c r="D167" s="17">
        <f t="shared" ref="D167:D173" si="10">SUM(C167/$C$174)</f>
        <v>0.51814146482678758</v>
      </c>
      <c r="E167" s="16"/>
    </row>
    <row r="168" spans="1:12" s="2" customFormat="1" ht="16.5" customHeight="1" thickBot="1">
      <c r="A168" s="12" t="s">
        <v>1937</v>
      </c>
      <c r="B168" s="20" t="s">
        <v>1261</v>
      </c>
      <c r="C168" s="8">
        <v>8454</v>
      </c>
      <c r="D168" s="17">
        <f t="shared" si="10"/>
        <v>0.20394673357135965</v>
      </c>
      <c r="E168" s="16"/>
      <c r="G168" s="14"/>
    </row>
    <row r="169" spans="1:12" s="2" customFormat="1" ht="16.5" customHeight="1" thickBot="1">
      <c r="A169" s="12" t="s">
        <v>1939</v>
      </c>
      <c r="B169" s="13" t="s">
        <v>1247</v>
      </c>
      <c r="C169" s="8">
        <v>8375</v>
      </c>
      <c r="D169" s="17">
        <f t="shared" si="10"/>
        <v>0.20204091479301362</v>
      </c>
      <c r="E169" s="16"/>
      <c r="G169" s="14"/>
    </row>
    <row r="170" spans="1:12" s="2" customFormat="1" ht="16.5" customHeight="1" thickBot="1">
      <c r="A170" s="12" t="s">
        <v>2496</v>
      </c>
      <c r="B170" s="40" t="s">
        <v>1269</v>
      </c>
      <c r="C170" s="8">
        <v>2221</v>
      </c>
      <c r="D170" s="17">
        <f t="shared" si="10"/>
        <v>5.3580044388690531E-2</v>
      </c>
      <c r="E170" s="16"/>
      <c r="G170" s="14"/>
    </row>
    <row r="171" spans="1:12" s="2" customFormat="1" ht="16.5" customHeight="1" thickBot="1">
      <c r="A171" s="12" t="s">
        <v>1704</v>
      </c>
      <c r="B171" s="39" t="s">
        <v>1320</v>
      </c>
      <c r="C171" s="8">
        <v>539</v>
      </c>
      <c r="D171" s="17">
        <f t="shared" si="10"/>
        <v>1.3002991411753354E-2</v>
      </c>
      <c r="E171" s="21"/>
    </row>
    <row r="172" spans="1:12" s="2" customFormat="1" ht="16.5" customHeight="1" thickBot="1">
      <c r="A172" s="12" t="s">
        <v>2497</v>
      </c>
      <c r="B172" s="37" t="s">
        <v>1286</v>
      </c>
      <c r="C172" s="8">
        <v>297</v>
      </c>
      <c r="D172" s="17">
        <f>SUM(C172/$C$174)</f>
        <v>7.1649136350477663E-3</v>
      </c>
      <c r="E172" s="21"/>
    </row>
    <row r="173" spans="1:12" s="2" customFormat="1" ht="16.5" customHeight="1" thickBot="1">
      <c r="A173" s="12" t="s">
        <v>2145</v>
      </c>
      <c r="B173" s="78" t="s">
        <v>1958</v>
      </c>
      <c r="C173" s="8">
        <v>88</v>
      </c>
      <c r="D173" s="17">
        <f t="shared" si="10"/>
        <v>2.1229373733474863E-3</v>
      </c>
      <c r="E173" s="21"/>
    </row>
    <row r="174" spans="1:12" s="2" customFormat="1" ht="16.5" customHeight="1">
      <c r="A174" s="75"/>
      <c r="B174" s="76"/>
      <c r="C174" s="23">
        <f>SUM(C167:C173)</f>
        <v>41452</v>
      </c>
      <c r="D174" s="17"/>
      <c r="E174" s="10" t="s">
        <v>1874</v>
      </c>
      <c r="F174" s="21">
        <f>(C167-C168)</f>
        <v>13024</v>
      </c>
    </row>
    <row r="175" spans="1:12" s="2" customFormat="1" ht="12" customHeight="1">
      <c r="A175" s="1"/>
    </row>
    <row r="176" spans="1:12" s="2" customFormat="1" ht="16.5" customHeight="1">
      <c r="A176" s="1" t="s">
        <v>2498</v>
      </c>
    </row>
    <row r="177" spans="1:7" s="2" customFormat="1" ht="9.75" customHeight="1" thickBot="1">
      <c r="A177" s="3"/>
    </row>
    <row r="178" spans="1:7" s="2" customFormat="1" ht="16.5" customHeight="1" thickBot="1">
      <c r="A178" s="4" t="s">
        <v>1244</v>
      </c>
      <c r="B178" s="5" t="s">
        <v>1245</v>
      </c>
      <c r="C178" s="5" t="s">
        <v>1248</v>
      </c>
      <c r="D178" s="10"/>
      <c r="E178" s="10" t="s">
        <v>1413</v>
      </c>
      <c r="F178" s="11">
        <f>(46123/61920)</f>
        <v>0.74488049095607234</v>
      </c>
    </row>
    <row r="179" spans="1:7" s="2" customFormat="1" ht="16.5" customHeight="1" thickBot="1">
      <c r="A179" s="6" t="s">
        <v>2165</v>
      </c>
      <c r="B179" s="25" t="s">
        <v>1247</v>
      </c>
      <c r="C179" s="36">
        <v>25662</v>
      </c>
      <c r="D179" s="17">
        <f t="shared" ref="D179:D184" si="11">SUM(C179/$C$185)</f>
        <v>0.55926773455377576</v>
      </c>
      <c r="E179" s="16"/>
    </row>
    <row r="180" spans="1:7" s="2" customFormat="1" ht="16.5" customHeight="1" thickBot="1">
      <c r="A180" s="12" t="s">
        <v>1838</v>
      </c>
      <c r="B180" s="20" t="s">
        <v>1261</v>
      </c>
      <c r="C180" s="8">
        <v>17753</v>
      </c>
      <c r="D180" s="17">
        <f t="shared" si="11"/>
        <v>0.38690203770295306</v>
      </c>
      <c r="E180" s="16"/>
      <c r="G180" s="14"/>
    </row>
    <row r="181" spans="1:7" s="2" customFormat="1" ht="16.5" customHeight="1" thickBot="1">
      <c r="A181" s="12" t="s">
        <v>2499</v>
      </c>
      <c r="B181" s="22" t="s">
        <v>1257</v>
      </c>
      <c r="C181" s="8">
        <v>1556</v>
      </c>
      <c r="D181" s="17">
        <f t="shared" si="11"/>
        <v>3.3910864116813773E-2</v>
      </c>
      <c r="E181" s="16"/>
      <c r="G181" s="14"/>
    </row>
    <row r="182" spans="1:7" s="2" customFormat="1" ht="16.5" customHeight="1" thickBot="1">
      <c r="A182" s="12" t="s">
        <v>1720</v>
      </c>
      <c r="B182" s="37" t="s">
        <v>1286</v>
      </c>
      <c r="C182" s="8">
        <v>721</v>
      </c>
      <c r="D182" s="17">
        <f t="shared" si="11"/>
        <v>1.5713196033562166E-2</v>
      </c>
      <c r="E182" s="21"/>
    </row>
    <row r="183" spans="1:7" s="2" customFormat="1" ht="16.5" customHeight="1" thickBot="1">
      <c r="A183" s="12" t="s">
        <v>2399</v>
      </c>
      <c r="B183" s="78" t="s">
        <v>1270</v>
      </c>
      <c r="C183" s="8">
        <v>102</v>
      </c>
      <c r="D183" s="17">
        <f t="shared" si="11"/>
        <v>2.2229486760379207E-3</v>
      </c>
      <c r="E183" s="21"/>
    </row>
    <row r="184" spans="1:7" s="2" customFormat="1" ht="16.5" customHeight="1" thickBot="1">
      <c r="A184" s="12" t="s">
        <v>1985</v>
      </c>
      <c r="B184" s="78" t="s">
        <v>1958</v>
      </c>
      <c r="C184" s="8">
        <v>91</v>
      </c>
      <c r="D184" s="17">
        <f t="shared" si="11"/>
        <v>1.983218916857361E-3</v>
      </c>
      <c r="E184" s="21"/>
    </row>
    <row r="185" spans="1:7" s="2" customFormat="1" ht="16.5" customHeight="1">
      <c r="A185" s="75"/>
      <c r="B185" s="76"/>
      <c r="C185" s="23">
        <f>SUM(C179:C184)</f>
        <v>45885</v>
      </c>
      <c r="D185" s="17"/>
      <c r="E185" s="10" t="s">
        <v>1874</v>
      </c>
      <c r="F185" s="21">
        <f>(C179-C180)</f>
        <v>7909</v>
      </c>
    </row>
    <row r="186" spans="1:7" s="2" customFormat="1" ht="12" customHeight="1">
      <c r="A186" s="1"/>
    </row>
    <row r="187" spans="1:7" s="2" customFormat="1" ht="16.5" customHeight="1">
      <c r="A187" s="1" t="s">
        <v>2500</v>
      </c>
    </row>
    <row r="188" spans="1:7" s="2" customFormat="1" ht="9.75" customHeight="1" thickBot="1">
      <c r="A188" s="3"/>
    </row>
    <row r="189" spans="1:7" s="2" customFormat="1" ht="16.5" customHeight="1" thickBot="1">
      <c r="A189" s="4" t="s">
        <v>1244</v>
      </c>
      <c r="B189" s="5" t="s">
        <v>1245</v>
      </c>
      <c r="C189" s="5" t="s">
        <v>1248</v>
      </c>
      <c r="D189" s="10"/>
      <c r="E189" s="10" t="s">
        <v>1413</v>
      </c>
      <c r="F189" s="11">
        <f>(39728/63633)</f>
        <v>0.62433014316471014</v>
      </c>
    </row>
    <row r="190" spans="1:7" s="2" customFormat="1" ht="16.5" customHeight="1" thickBot="1">
      <c r="A190" s="6" t="s">
        <v>2439</v>
      </c>
      <c r="B190" s="9" t="s">
        <v>1257</v>
      </c>
      <c r="C190" s="36">
        <v>14201</v>
      </c>
      <c r="D190" s="17">
        <f>SUM(C190/$C$200)</f>
        <v>0.35966467429845</v>
      </c>
      <c r="E190" s="16"/>
    </row>
    <row r="191" spans="1:7" s="2" customFormat="1" ht="16.5" customHeight="1" thickBot="1">
      <c r="A191" s="12" t="s">
        <v>2177</v>
      </c>
      <c r="B191" s="20" t="s">
        <v>1261</v>
      </c>
      <c r="C191" s="8">
        <v>9601</v>
      </c>
      <c r="D191" s="17">
        <f>SUM(C191/$C$200)</f>
        <v>0.2431617870529835</v>
      </c>
      <c r="E191" s="16"/>
      <c r="G191" s="14"/>
    </row>
    <row r="192" spans="1:7" s="2" customFormat="1" ht="16.5" customHeight="1" thickBot="1">
      <c r="A192" s="12" t="s">
        <v>2192</v>
      </c>
      <c r="B192" s="63" t="s">
        <v>1276</v>
      </c>
      <c r="C192" s="8">
        <v>5687</v>
      </c>
      <c r="D192" s="17">
        <f>SUM(C192/$C$200)</f>
        <v>0.14403302603586263</v>
      </c>
      <c r="E192" s="16"/>
      <c r="G192" s="14"/>
    </row>
    <row r="193" spans="1:7" s="2" customFormat="1" ht="16.5" customHeight="1" thickBot="1">
      <c r="A193" s="12" t="s">
        <v>2182</v>
      </c>
      <c r="B193" s="40" t="s">
        <v>1269</v>
      </c>
      <c r="C193" s="8">
        <v>5112</v>
      </c>
      <c r="D193" s="17">
        <f t="shared" ref="D193:D198" si="12">SUM(C193/$C$200)</f>
        <v>0.12947016513017931</v>
      </c>
      <c r="E193" s="21"/>
    </row>
    <row r="194" spans="1:7" s="2" customFormat="1" ht="16.5" customHeight="1" thickBot="1">
      <c r="A194" s="12" t="s">
        <v>2180</v>
      </c>
      <c r="B194" s="13" t="s">
        <v>1247</v>
      </c>
      <c r="C194" s="8">
        <v>2019</v>
      </c>
      <c r="D194" s="17">
        <f t="shared" si="12"/>
        <v>5.1134636814912371E-2</v>
      </c>
      <c r="E194" s="16"/>
      <c r="G194" s="14"/>
    </row>
    <row r="195" spans="1:7" s="2" customFormat="1" ht="16.5" customHeight="1" thickBot="1">
      <c r="A195" s="12" t="s">
        <v>2067</v>
      </c>
      <c r="B195" s="29" t="s">
        <v>1267</v>
      </c>
      <c r="C195" s="8">
        <v>1204</v>
      </c>
      <c r="D195" s="17">
        <f t="shared" si="12"/>
        <v>3.0493364400769933E-2</v>
      </c>
      <c r="E195" s="16"/>
      <c r="G195" s="14"/>
    </row>
    <row r="196" spans="1:7" s="2" customFormat="1" ht="16.5" customHeight="1" thickBot="1">
      <c r="A196" s="12" t="s">
        <v>2501</v>
      </c>
      <c r="B196" s="22" t="s">
        <v>1408</v>
      </c>
      <c r="C196" s="8">
        <v>962</v>
      </c>
      <c r="D196" s="17">
        <f t="shared" si="12"/>
        <v>2.4364299463073651E-2</v>
      </c>
      <c r="E196" s="16"/>
      <c r="G196" s="14"/>
    </row>
    <row r="197" spans="1:7" s="2" customFormat="1" ht="16.5" customHeight="1" thickBot="1">
      <c r="A197" s="12" t="s">
        <v>2190</v>
      </c>
      <c r="B197" s="80" t="s">
        <v>1997</v>
      </c>
      <c r="C197" s="8">
        <v>292</v>
      </c>
      <c r="D197" s="17">
        <f t="shared" si="12"/>
        <v>7.3954006686252662E-3</v>
      </c>
      <c r="E197" s="16"/>
      <c r="G197" s="14"/>
    </row>
    <row r="198" spans="1:7" s="2" customFormat="1" ht="16.5" customHeight="1" thickBot="1">
      <c r="A198" s="12" t="s">
        <v>2401</v>
      </c>
      <c r="B198" s="37" t="s">
        <v>1286</v>
      </c>
      <c r="C198" s="8">
        <v>286</v>
      </c>
      <c r="D198" s="17">
        <f t="shared" si="12"/>
        <v>7.2434403809137878E-3</v>
      </c>
      <c r="E198" s="16"/>
      <c r="G198" s="14"/>
    </row>
    <row r="199" spans="1:7" s="2" customFormat="1" ht="16.5" customHeight="1" thickBot="1">
      <c r="A199" s="12" t="s">
        <v>2188</v>
      </c>
      <c r="B199" s="78" t="s">
        <v>1958</v>
      </c>
      <c r="C199" s="8">
        <v>120</v>
      </c>
      <c r="D199" s="17">
        <f>SUM(C199/$C$200)</f>
        <v>3.0392057542295613E-3</v>
      </c>
      <c r="E199" s="21"/>
    </row>
    <row r="200" spans="1:7" s="2" customFormat="1" ht="16.5" customHeight="1">
      <c r="A200" s="75"/>
      <c r="B200" s="76"/>
      <c r="C200" s="23">
        <f>SUM(C190:C199)</f>
        <v>39484</v>
      </c>
      <c r="D200" s="17"/>
      <c r="E200" s="10" t="s">
        <v>1874</v>
      </c>
      <c r="F200" s="21">
        <f>(C190-C191)</f>
        <v>4600</v>
      </c>
    </row>
    <row r="201" spans="1:7" s="2" customFormat="1" ht="12" customHeight="1">
      <c r="A201" s="1"/>
    </row>
    <row r="202" spans="1:7" s="2" customFormat="1" ht="16.5" customHeight="1">
      <c r="A202" s="1" t="s">
        <v>2502</v>
      </c>
    </row>
    <row r="203" spans="1:7" s="2" customFormat="1" ht="9.75" customHeight="1" thickBot="1">
      <c r="A203" s="3"/>
    </row>
    <row r="204" spans="1:7" s="2" customFormat="1" ht="16.5" customHeight="1" thickBot="1">
      <c r="A204" s="4" t="s">
        <v>1244</v>
      </c>
      <c r="B204" s="5" t="s">
        <v>1245</v>
      </c>
      <c r="C204" s="5" t="s">
        <v>1248</v>
      </c>
      <c r="D204" s="10"/>
      <c r="E204" s="10" t="s">
        <v>1413</v>
      </c>
      <c r="F204" s="11">
        <f>(39154/61837)</f>
        <v>0.6331807817326196</v>
      </c>
    </row>
    <row r="205" spans="1:7" s="2" customFormat="1" ht="16.5" customHeight="1" thickBot="1">
      <c r="A205" s="6" t="s">
        <v>1660</v>
      </c>
      <c r="B205" s="28" t="s">
        <v>1258</v>
      </c>
      <c r="C205" s="36">
        <v>16640</v>
      </c>
      <c r="D205" s="17">
        <f>SUM(C205/$C$214)</f>
        <v>0.42634963744907634</v>
      </c>
      <c r="E205" s="16"/>
    </row>
    <row r="206" spans="1:7" s="2" customFormat="1" ht="16.5" customHeight="1" thickBot="1">
      <c r="A206" s="12" t="s">
        <v>1904</v>
      </c>
      <c r="B206" s="22" t="s">
        <v>1257</v>
      </c>
      <c r="C206" s="8">
        <v>9886</v>
      </c>
      <c r="D206" s="17">
        <f t="shared" ref="D206:D213" si="13">SUM(C206/$C$214)</f>
        <v>0.25329882907581541</v>
      </c>
      <c r="E206" s="16"/>
      <c r="G206" s="14"/>
    </row>
    <row r="207" spans="1:7" s="2" customFormat="1" ht="16.5" customHeight="1" thickBot="1">
      <c r="A207" s="12" t="s">
        <v>2503</v>
      </c>
      <c r="B207" s="40" t="s">
        <v>1269</v>
      </c>
      <c r="C207" s="8">
        <v>9288</v>
      </c>
      <c r="D207" s="17">
        <f t="shared" si="13"/>
        <v>0.23797688897998923</v>
      </c>
      <c r="E207" s="16"/>
      <c r="G207" s="14"/>
    </row>
    <row r="208" spans="1:7" s="2" customFormat="1" ht="16.5" customHeight="1" thickBot="1">
      <c r="A208" s="12" t="s">
        <v>2506</v>
      </c>
      <c r="B208" s="22" t="s">
        <v>1408</v>
      </c>
      <c r="C208" s="8">
        <v>928</v>
      </c>
      <c r="D208" s="17">
        <f t="shared" si="13"/>
        <v>2.3777191319275411E-2</v>
      </c>
      <c r="E208" s="16"/>
      <c r="G208" s="14"/>
    </row>
    <row r="209" spans="1:7" s="2" customFormat="1" ht="16.5" customHeight="1" thickBot="1">
      <c r="A209" s="12" t="s">
        <v>2505</v>
      </c>
      <c r="B209" s="13" t="s">
        <v>1247</v>
      </c>
      <c r="C209" s="8">
        <v>810</v>
      </c>
      <c r="D209" s="17">
        <f t="shared" si="13"/>
        <v>2.0753798457557201E-2</v>
      </c>
      <c r="E209" s="21"/>
    </row>
    <row r="210" spans="1:7" s="2" customFormat="1" ht="16.5" customHeight="1" thickBot="1">
      <c r="A210" s="12" t="s">
        <v>2060</v>
      </c>
      <c r="B210" s="20" t="s">
        <v>1261</v>
      </c>
      <c r="C210" s="8">
        <v>629</v>
      </c>
      <c r="D210" s="17">
        <f t="shared" si="13"/>
        <v>1.6116221271362322E-2</v>
      </c>
      <c r="E210" s="21"/>
    </row>
    <row r="211" spans="1:7" s="2" customFormat="1" ht="16.5" customHeight="1" thickBot="1">
      <c r="A211" s="12" t="s">
        <v>2504</v>
      </c>
      <c r="B211" s="78" t="s">
        <v>1270</v>
      </c>
      <c r="C211" s="8">
        <v>541</v>
      </c>
      <c r="D211" s="17">
        <f t="shared" si="13"/>
        <v>1.386148761177586E-2</v>
      </c>
      <c r="E211" s="21"/>
    </row>
    <row r="212" spans="1:7" s="2" customFormat="1" ht="16.5" customHeight="1" thickBot="1">
      <c r="A212" s="12" t="s">
        <v>2404</v>
      </c>
      <c r="B212" s="37" t="s">
        <v>1286</v>
      </c>
      <c r="C212" s="8">
        <v>237</v>
      </c>
      <c r="D212" s="17">
        <f t="shared" si="13"/>
        <v>6.0724076968408109E-3</v>
      </c>
      <c r="E212" s="21"/>
    </row>
    <row r="213" spans="1:7" s="2" customFormat="1" ht="16.5" customHeight="1" thickBot="1">
      <c r="A213" s="12" t="s">
        <v>2200</v>
      </c>
      <c r="B213" s="78" t="s">
        <v>1958</v>
      </c>
      <c r="C213" s="8">
        <v>70</v>
      </c>
      <c r="D213" s="17">
        <f t="shared" si="13"/>
        <v>1.7935381383074125E-3</v>
      </c>
      <c r="E213" s="21"/>
    </row>
    <row r="214" spans="1:7" s="2" customFormat="1" ht="16.5" customHeight="1">
      <c r="A214" s="75"/>
      <c r="B214" s="76"/>
      <c r="C214" s="23">
        <f>SUM(C205:C213)</f>
        <v>39029</v>
      </c>
      <c r="D214" s="17"/>
      <c r="E214" s="10" t="s">
        <v>1874</v>
      </c>
      <c r="F214" s="21">
        <f>(C205-C206)</f>
        <v>6754</v>
      </c>
    </row>
    <row r="216" spans="1:7" ht="15">
      <c r="A216" s="104" t="s">
        <v>1072</v>
      </c>
    </row>
    <row r="217" spans="1:7" s="2" customFormat="1" ht="16.5" customHeight="1">
      <c r="A217" s="1" t="s">
        <v>1200</v>
      </c>
    </row>
    <row r="218" spans="1:7" s="2" customFormat="1" ht="9.75" customHeight="1" thickBot="1">
      <c r="A218" s="3"/>
    </row>
    <row r="219" spans="1:7" s="2" customFormat="1" ht="16.5" customHeight="1" thickBot="1">
      <c r="A219" s="4" t="s">
        <v>1244</v>
      </c>
      <c r="B219" s="5" t="s">
        <v>1245</v>
      </c>
      <c r="C219" s="5" t="s">
        <v>1248</v>
      </c>
      <c r="D219" s="10"/>
      <c r="E219" s="10" t="s">
        <v>1413</v>
      </c>
      <c r="F219" s="11">
        <f>(30690/71047)</f>
        <v>0.43196757076301601</v>
      </c>
    </row>
    <row r="220" spans="1:7" s="2" customFormat="1" ht="16.5" customHeight="1" thickBot="1">
      <c r="A220" s="6" t="s">
        <v>1977</v>
      </c>
      <c r="B220" s="28" t="s">
        <v>1258</v>
      </c>
      <c r="C220" s="36">
        <v>11601</v>
      </c>
      <c r="D220" s="17">
        <f t="shared" ref="D220:D225" si="14">SUM(C220/$C$226)</f>
        <v>0.37952694081852978</v>
      </c>
      <c r="E220" s="16"/>
    </row>
    <row r="221" spans="1:7" s="2" customFormat="1" ht="16.5" customHeight="1" thickBot="1">
      <c r="A221" s="12" t="s">
        <v>1770</v>
      </c>
      <c r="B221" s="22" t="s">
        <v>1257</v>
      </c>
      <c r="C221" s="8">
        <v>10779</v>
      </c>
      <c r="D221" s="17">
        <f t="shared" si="14"/>
        <v>0.35263519481794092</v>
      </c>
      <c r="E221" s="16"/>
      <c r="G221" s="14"/>
    </row>
    <row r="222" spans="1:7" s="2" customFormat="1" ht="16.5" customHeight="1" thickBot="1">
      <c r="A222" s="12" t="s">
        <v>2075</v>
      </c>
      <c r="B222" s="20" t="s">
        <v>1261</v>
      </c>
      <c r="C222" s="8">
        <v>3496</v>
      </c>
      <c r="D222" s="17">
        <f t="shared" si="14"/>
        <v>0.1143717080511663</v>
      </c>
      <c r="E222" s="16"/>
      <c r="G222" s="14"/>
    </row>
    <row r="223" spans="1:7" s="2" customFormat="1" ht="16.5" customHeight="1" thickBot="1">
      <c r="A223" s="12" t="s">
        <v>1768</v>
      </c>
      <c r="B223" s="13" t="s">
        <v>1247</v>
      </c>
      <c r="C223" s="8">
        <v>2611</v>
      </c>
      <c r="D223" s="17">
        <f t="shared" si="14"/>
        <v>8.5418915824254912E-2</v>
      </c>
      <c r="E223" s="16"/>
      <c r="G223" s="14"/>
    </row>
    <row r="224" spans="1:7" s="2" customFormat="1" ht="16.5" customHeight="1" thickBot="1">
      <c r="A224" s="12" t="s">
        <v>2074</v>
      </c>
      <c r="B224" s="40" t="s">
        <v>1269</v>
      </c>
      <c r="C224" s="8">
        <v>2031</v>
      </c>
      <c r="D224" s="17">
        <f t="shared" si="14"/>
        <v>6.6444204534301693E-2</v>
      </c>
      <c r="E224" s="21"/>
    </row>
    <row r="225" spans="1:6" s="2" customFormat="1" ht="16.5" customHeight="1" thickBot="1">
      <c r="A225" s="12" t="s">
        <v>2200</v>
      </c>
      <c r="B225" s="38" t="s">
        <v>1958</v>
      </c>
      <c r="C225" s="8">
        <v>49</v>
      </c>
      <c r="D225" s="17">
        <f t="shared" si="14"/>
        <v>1.6030359538063924E-3</v>
      </c>
      <c r="E225" s="21"/>
    </row>
    <row r="226" spans="1:6" s="2" customFormat="1" ht="16.5" customHeight="1">
      <c r="A226" s="75"/>
      <c r="B226" s="76"/>
      <c r="C226" s="23">
        <f>SUM(C220:C225)</f>
        <v>30567</v>
      </c>
      <c r="D226" s="17"/>
      <c r="E226" s="10" t="s">
        <v>1874</v>
      </c>
      <c r="F226" s="21">
        <f>(C220-C221)</f>
        <v>822</v>
      </c>
    </row>
    <row r="227" spans="1:6" s="2" customFormat="1" ht="12" customHeight="1">
      <c r="A227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8"/>
  <dimension ref="A1:L199"/>
  <sheetViews>
    <sheetView workbookViewId="0">
      <selection activeCell="N1" sqref="N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829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(55696/70253)</f>
        <v>0.79279176689963415</v>
      </c>
    </row>
    <row r="4" spans="1:7" s="2" customFormat="1" ht="16.5" customHeight="1" thickBot="1">
      <c r="A4" s="6" t="s">
        <v>2457</v>
      </c>
      <c r="B4" s="9" t="s">
        <v>1257</v>
      </c>
      <c r="C4" s="36">
        <v>26923</v>
      </c>
      <c r="D4" s="17">
        <f t="shared" ref="D4:D9" si="0">SUM(C4/$C$10)</f>
        <v>0.48837251487447397</v>
      </c>
      <c r="E4" s="16"/>
    </row>
    <row r="5" spans="1:7" s="2" customFormat="1" ht="16.5" customHeight="1" thickBot="1">
      <c r="A5" s="12" t="s">
        <v>1951</v>
      </c>
      <c r="B5" s="20" t="s">
        <v>1261</v>
      </c>
      <c r="C5" s="8">
        <v>12810</v>
      </c>
      <c r="D5" s="17">
        <f t="shared" si="0"/>
        <v>0.2323683064867218</v>
      </c>
      <c r="E5" s="16"/>
      <c r="G5" s="14"/>
    </row>
    <row r="6" spans="1:7" s="2" customFormat="1" ht="16.5" customHeight="1" thickBot="1">
      <c r="A6" s="12" t="s">
        <v>2225</v>
      </c>
      <c r="B6" s="13" t="s">
        <v>1247</v>
      </c>
      <c r="C6" s="8">
        <v>12604</v>
      </c>
      <c r="D6" s="17">
        <f t="shared" si="0"/>
        <v>0.22863154839645916</v>
      </c>
      <c r="E6" s="16"/>
      <c r="G6" s="14"/>
    </row>
    <row r="7" spans="1:7" s="2" customFormat="1" ht="16.5" customHeight="1" thickBot="1">
      <c r="A7" s="12" t="s">
        <v>2508</v>
      </c>
      <c r="B7" s="38" t="s">
        <v>332</v>
      </c>
      <c r="C7" s="8">
        <v>1094</v>
      </c>
      <c r="D7" s="17">
        <f t="shared" si="0"/>
        <v>1.9844725003627921E-2</v>
      </c>
      <c r="E7" s="21"/>
    </row>
    <row r="8" spans="1:7" s="2" customFormat="1" ht="16.5" customHeight="1" thickBot="1">
      <c r="A8" s="12" t="s">
        <v>2509</v>
      </c>
      <c r="B8" s="40" t="s">
        <v>1269</v>
      </c>
      <c r="C8" s="8">
        <v>950</v>
      </c>
      <c r="D8" s="17">
        <f t="shared" si="0"/>
        <v>1.7232622260920042E-2</v>
      </c>
      <c r="E8" s="21"/>
    </row>
    <row r="9" spans="1:7" s="2" customFormat="1" ht="16.5" customHeight="1" thickBot="1">
      <c r="A9" s="12" t="s">
        <v>2510</v>
      </c>
      <c r="B9" s="38" t="s">
        <v>2507</v>
      </c>
      <c r="C9" s="8">
        <v>747</v>
      </c>
      <c r="D9" s="17">
        <f t="shared" si="0"/>
        <v>1.3550282977797127E-2</v>
      </c>
      <c r="E9" s="21"/>
    </row>
    <row r="10" spans="1:7" s="2" customFormat="1" ht="16.5" customHeight="1">
      <c r="A10" s="75"/>
      <c r="B10" s="76"/>
      <c r="C10" s="23">
        <f>SUM(C4:C9)</f>
        <v>55128</v>
      </c>
      <c r="D10" s="17"/>
      <c r="E10" s="10" t="s">
        <v>1874</v>
      </c>
      <c r="F10" s="21">
        <f>(C4-C5)</f>
        <v>14113</v>
      </c>
    </row>
    <row r="11" spans="1:7" s="2" customFormat="1" ht="12" customHeight="1">
      <c r="A11" s="1"/>
      <c r="D11" s="11"/>
    </row>
    <row r="12" spans="1:7" s="2" customFormat="1" ht="16.5" customHeight="1">
      <c r="A12" s="1" t="s">
        <v>2513</v>
      </c>
    </row>
    <row r="13" spans="1:7" s="2" customFormat="1" ht="9.75" customHeight="1" thickBot="1">
      <c r="A13" s="3"/>
    </row>
    <row r="14" spans="1:7" s="2" customFormat="1" ht="16.5" customHeight="1" thickBot="1">
      <c r="A14" s="4" t="s">
        <v>1244</v>
      </c>
      <c r="B14" s="5" t="s">
        <v>1245</v>
      </c>
      <c r="C14" s="5" t="s">
        <v>1248</v>
      </c>
      <c r="D14" s="10"/>
      <c r="E14" s="10" t="s">
        <v>1413</v>
      </c>
      <c r="F14" s="11">
        <f>(55138/69138)</f>
        <v>0.79750643640255725</v>
      </c>
    </row>
    <row r="15" spans="1:7" s="2" customFormat="1" ht="16.5" customHeight="1" thickBot="1">
      <c r="A15" s="6" t="s">
        <v>1453</v>
      </c>
      <c r="B15" s="28" t="s">
        <v>1258</v>
      </c>
      <c r="C15" s="36">
        <v>23181</v>
      </c>
      <c r="D15" s="17">
        <f t="shared" ref="D15:D22" si="1">SUM(C15/$C$23)</f>
        <v>0.42329675145627521</v>
      </c>
      <c r="E15" s="16"/>
    </row>
    <row r="16" spans="1:7" s="2" customFormat="1" ht="16.5" customHeight="1" thickBot="1">
      <c r="A16" s="12" t="s">
        <v>1981</v>
      </c>
      <c r="B16" s="20" t="s">
        <v>1261</v>
      </c>
      <c r="C16" s="8">
        <v>16994</v>
      </c>
      <c r="D16" s="17">
        <f t="shared" si="1"/>
        <v>0.31031901101108411</v>
      </c>
      <c r="E16" s="16"/>
      <c r="G16" s="14"/>
    </row>
    <row r="17" spans="1:7" s="2" customFormat="1" ht="16.5" customHeight="1" thickBot="1">
      <c r="A17" s="12" t="s">
        <v>1970</v>
      </c>
      <c r="B17" s="13" t="s">
        <v>1247</v>
      </c>
      <c r="C17" s="8">
        <v>10248</v>
      </c>
      <c r="D17" s="17">
        <f t="shared" si="1"/>
        <v>0.18713364863137519</v>
      </c>
      <c r="E17" s="16"/>
      <c r="G17" s="14"/>
    </row>
    <row r="18" spans="1:7" s="2" customFormat="1" ht="16.5" customHeight="1" thickBot="1">
      <c r="A18" s="12" t="s">
        <v>2511</v>
      </c>
      <c r="B18" s="38" t="s">
        <v>1270</v>
      </c>
      <c r="C18" s="8">
        <v>1996</v>
      </c>
      <c r="D18" s="17">
        <f t="shared" si="1"/>
        <v>3.6447966692840054E-2</v>
      </c>
      <c r="E18" s="21"/>
    </row>
    <row r="19" spans="1:7" s="2" customFormat="1" ht="16.5" customHeight="1" thickBot="1">
      <c r="A19" s="12" t="s">
        <v>1962</v>
      </c>
      <c r="B19" s="40" t="s">
        <v>1269</v>
      </c>
      <c r="C19" s="8">
        <v>1506</v>
      </c>
      <c r="D19" s="17">
        <f t="shared" si="1"/>
        <v>2.7500319558826213E-2</v>
      </c>
      <c r="E19" s="16"/>
      <c r="G19" s="14"/>
    </row>
    <row r="20" spans="1:7" s="2" customFormat="1" ht="16.5" customHeight="1" thickBot="1">
      <c r="A20" s="12" t="s">
        <v>1361</v>
      </c>
      <c r="B20" s="38" t="s">
        <v>2512</v>
      </c>
      <c r="C20" s="8">
        <v>389</v>
      </c>
      <c r="D20" s="17">
        <f t="shared" si="1"/>
        <v>7.1033361941456822E-3</v>
      </c>
      <c r="E20" s="21"/>
    </row>
    <row r="21" spans="1:7" s="2" customFormat="1" ht="16.5" customHeight="1" thickBot="1">
      <c r="A21" s="12" t="s">
        <v>1975</v>
      </c>
      <c r="B21" s="37" t="s">
        <v>1286</v>
      </c>
      <c r="C21" s="8">
        <v>285</v>
      </c>
      <c r="D21" s="17">
        <f t="shared" si="1"/>
        <v>5.2042437412121324E-3</v>
      </c>
      <c r="E21" s="16"/>
      <c r="G21" s="14"/>
    </row>
    <row r="22" spans="1:7" s="2" customFormat="1" ht="16.5" customHeight="1" thickBot="1">
      <c r="A22" s="12" t="s">
        <v>2188</v>
      </c>
      <c r="B22" s="38" t="s">
        <v>1958</v>
      </c>
      <c r="C22" s="8">
        <v>164</v>
      </c>
      <c r="D22" s="17">
        <f t="shared" si="1"/>
        <v>2.9947227142413674E-3</v>
      </c>
      <c r="E22" s="21"/>
    </row>
    <row r="23" spans="1:7" s="2" customFormat="1" ht="16.5" customHeight="1">
      <c r="A23" s="75"/>
      <c r="B23" s="76"/>
      <c r="C23" s="23">
        <f>SUM(C15:C22)</f>
        <v>54763</v>
      </c>
      <c r="D23" s="17"/>
      <c r="E23" s="10" t="s">
        <v>1874</v>
      </c>
      <c r="F23" s="21">
        <f>(C15-C16)</f>
        <v>6187</v>
      </c>
    </row>
    <row r="24" spans="1:7" s="2" customFormat="1" ht="12" customHeight="1">
      <c r="A24" s="1"/>
    </row>
    <row r="25" spans="1:7" s="2" customFormat="1" ht="16.5" customHeight="1">
      <c r="A25" s="1" t="s">
        <v>2517</v>
      </c>
    </row>
    <row r="26" spans="1:7" s="2" customFormat="1" ht="9.75" customHeight="1" thickBot="1">
      <c r="A26" s="3"/>
    </row>
    <row r="27" spans="1:7" s="2" customFormat="1" ht="16.5" customHeight="1" thickBot="1">
      <c r="A27" s="4" t="s">
        <v>1244</v>
      </c>
      <c r="B27" s="5" t="s">
        <v>1245</v>
      </c>
      <c r="C27" s="5" t="s">
        <v>1248</v>
      </c>
      <c r="D27" s="10"/>
      <c r="E27" s="10" t="s">
        <v>1413</v>
      </c>
      <c r="F27" s="11">
        <f>(52285/74673)</f>
        <v>0.70018614492520725</v>
      </c>
    </row>
    <row r="28" spans="1:7" s="2" customFormat="1" ht="16.5" customHeight="1" thickBot="1">
      <c r="A28" s="6" t="s">
        <v>2410</v>
      </c>
      <c r="B28" s="7" t="s">
        <v>1261</v>
      </c>
      <c r="C28" s="36">
        <v>26710</v>
      </c>
      <c r="D28" s="17">
        <f t="shared" ref="D28:D33" si="2">SUM(C28/$C$34)</f>
        <v>0.51474272499518214</v>
      </c>
      <c r="E28" s="16"/>
    </row>
    <row r="29" spans="1:7" s="2" customFormat="1" ht="16.5" customHeight="1" thickBot="1">
      <c r="A29" s="12" t="s">
        <v>2002</v>
      </c>
      <c r="B29" s="27" t="s">
        <v>1258</v>
      </c>
      <c r="C29" s="8">
        <v>13705</v>
      </c>
      <c r="D29" s="17">
        <f t="shared" si="2"/>
        <v>0.26411640007708614</v>
      </c>
      <c r="E29" s="16"/>
      <c r="G29" s="14"/>
    </row>
    <row r="30" spans="1:7" s="2" customFormat="1" ht="16.5" customHeight="1" thickBot="1">
      <c r="A30" s="12" t="s">
        <v>1978</v>
      </c>
      <c r="B30" s="13" t="s">
        <v>1247</v>
      </c>
      <c r="C30" s="8">
        <v>9149</v>
      </c>
      <c r="D30" s="17">
        <f t="shared" si="2"/>
        <v>0.17631528232800153</v>
      </c>
      <c r="E30" s="16"/>
      <c r="G30" s="14"/>
    </row>
    <row r="31" spans="1:7" s="2" customFormat="1" ht="16.5" customHeight="1" thickBot="1">
      <c r="A31" s="12" t="s">
        <v>2514</v>
      </c>
      <c r="B31" s="40" t="s">
        <v>1269</v>
      </c>
      <c r="C31" s="8">
        <v>1390</v>
      </c>
      <c r="D31" s="17">
        <f t="shared" si="2"/>
        <v>2.6787434958566197E-2</v>
      </c>
      <c r="E31" s="21"/>
    </row>
    <row r="32" spans="1:7" s="2" customFormat="1" ht="16.5" customHeight="1" thickBot="1">
      <c r="A32" s="12" t="s">
        <v>2515</v>
      </c>
      <c r="B32" s="37" t="s">
        <v>1286</v>
      </c>
      <c r="C32" s="8">
        <v>514</v>
      </c>
      <c r="D32" s="17">
        <f t="shared" si="2"/>
        <v>9.905569473887068E-3</v>
      </c>
      <c r="E32" s="21"/>
    </row>
    <row r="33" spans="1:7" s="2" customFormat="1" ht="16.5" customHeight="1" thickBot="1">
      <c r="A33" s="12" t="s">
        <v>2516</v>
      </c>
      <c r="B33" s="38" t="s">
        <v>1958</v>
      </c>
      <c r="C33" s="8">
        <v>422</v>
      </c>
      <c r="D33" s="17">
        <f t="shared" si="2"/>
        <v>8.1325881672769315E-3</v>
      </c>
      <c r="E33" s="21"/>
    </row>
    <row r="34" spans="1:7" s="2" customFormat="1" ht="16.5" customHeight="1">
      <c r="A34" s="75"/>
      <c r="B34" s="76"/>
      <c r="C34" s="23">
        <f>SUM(C28:C33)</f>
        <v>51890</v>
      </c>
      <c r="D34" s="17"/>
      <c r="E34" s="10" t="s">
        <v>1874</v>
      </c>
      <c r="F34" s="21">
        <f>(C28-C29)</f>
        <v>13005</v>
      </c>
    </row>
    <row r="35" spans="1:7" s="2" customFormat="1" ht="12" customHeight="1">
      <c r="A35" s="1"/>
    </row>
    <row r="36" spans="1:7" s="2" customFormat="1" ht="16.5" customHeight="1">
      <c r="A36" s="1" t="s">
        <v>2521</v>
      </c>
    </row>
    <row r="37" spans="1:7" s="2" customFormat="1" ht="9.75" customHeight="1" thickBot="1">
      <c r="A37" s="3"/>
    </row>
    <row r="38" spans="1:7" s="2" customFormat="1" ht="16.5" customHeight="1" thickBot="1">
      <c r="A38" s="4" t="s">
        <v>1244</v>
      </c>
      <c r="B38" s="5" t="s">
        <v>1245</v>
      </c>
      <c r="C38" s="5" t="s">
        <v>1248</v>
      </c>
      <c r="D38" s="10"/>
      <c r="E38" s="10" t="s">
        <v>1413</v>
      </c>
      <c r="F38" s="11">
        <f>(53051/75576)</f>
        <v>0.70195564729543769</v>
      </c>
    </row>
    <row r="39" spans="1:7" s="2" customFormat="1" ht="16.5" customHeight="1" thickBot="1">
      <c r="A39" s="6" t="s">
        <v>2417</v>
      </c>
      <c r="B39" s="9" t="s">
        <v>1257</v>
      </c>
      <c r="C39" s="36">
        <v>30370</v>
      </c>
      <c r="D39" s="17">
        <f>SUM(C39/$C$44)</f>
        <v>0.57589835972314407</v>
      </c>
      <c r="E39" s="16"/>
    </row>
    <row r="40" spans="1:7" s="2" customFormat="1" ht="16.5" customHeight="1" thickBot="1">
      <c r="A40" s="12" t="s">
        <v>2009</v>
      </c>
      <c r="B40" s="20" t="s">
        <v>1261</v>
      </c>
      <c r="C40" s="8">
        <v>11843</v>
      </c>
      <c r="D40" s="17">
        <f>SUM(C40/$C$44)</f>
        <v>0.22457570873234095</v>
      </c>
      <c r="E40" s="16"/>
      <c r="G40" s="14"/>
    </row>
    <row r="41" spans="1:7" s="2" customFormat="1" ht="16.5" customHeight="1" thickBot="1">
      <c r="A41" s="12" t="s">
        <v>2518</v>
      </c>
      <c r="B41" s="13" t="s">
        <v>1247</v>
      </c>
      <c r="C41" s="8">
        <v>5320</v>
      </c>
      <c r="D41" s="17">
        <f>SUM(C41/$C$44)</f>
        <v>0.10088176732720205</v>
      </c>
      <c r="E41" s="16"/>
      <c r="G41" s="14"/>
    </row>
    <row r="42" spans="1:7" s="2" customFormat="1" ht="16.5" customHeight="1" thickBot="1">
      <c r="A42" s="12" t="s">
        <v>2519</v>
      </c>
      <c r="B42" s="40" t="s">
        <v>1269</v>
      </c>
      <c r="C42" s="8">
        <v>3613</v>
      </c>
      <c r="D42" s="17">
        <f>SUM(C42/$C$44)</f>
        <v>6.8512373186688152E-2</v>
      </c>
      <c r="E42" s="21"/>
    </row>
    <row r="43" spans="1:7" s="2" customFormat="1" ht="16.5" customHeight="1" thickBot="1">
      <c r="A43" s="12" t="s">
        <v>2520</v>
      </c>
      <c r="B43" s="22" t="s">
        <v>1408</v>
      </c>
      <c r="C43" s="8">
        <v>1589</v>
      </c>
      <c r="D43" s="17">
        <f>SUM(C43/$C$44)</f>
        <v>3.0131791030624824E-2</v>
      </c>
      <c r="E43" s="16"/>
      <c r="G43" s="14"/>
    </row>
    <row r="44" spans="1:7" s="2" customFormat="1" ht="16.5" customHeight="1">
      <c r="A44" s="75"/>
      <c r="B44" s="76"/>
      <c r="C44" s="23">
        <f>SUM(C39:C43)</f>
        <v>52735</v>
      </c>
      <c r="D44" s="17"/>
      <c r="E44" s="10" t="s">
        <v>1874</v>
      </c>
      <c r="F44" s="21">
        <f>(C39-C40)</f>
        <v>18527</v>
      </c>
    </row>
    <row r="45" spans="1:7" s="2" customFormat="1" ht="12" customHeight="1">
      <c r="A45" s="1"/>
    </row>
    <row r="46" spans="1:7" s="2" customFormat="1" ht="16.5" customHeight="1">
      <c r="A46" s="1" t="s">
        <v>2524</v>
      </c>
    </row>
    <row r="47" spans="1:7" s="2" customFormat="1" ht="9.75" customHeight="1" thickBot="1">
      <c r="A47" s="3"/>
    </row>
    <row r="48" spans="1:7" s="2" customFormat="1" ht="16.5" customHeight="1" thickBot="1">
      <c r="A48" s="4" t="s">
        <v>1244</v>
      </c>
      <c r="B48" s="5" t="s">
        <v>1245</v>
      </c>
      <c r="C48" s="5" t="s">
        <v>1248</v>
      </c>
      <c r="D48" s="10"/>
      <c r="E48" s="10" t="s">
        <v>1413</v>
      </c>
      <c r="F48" s="11">
        <f>(52968/67531)</f>
        <v>0.784350890702048</v>
      </c>
    </row>
    <row r="49" spans="1:7" s="2" customFormat="1" ht="16.5" customHeight="1" thickBot="1">
      <c r="A49" s="6" t="s">
        <v>2414</v>
      </c>
      <c r="B49" s="7" t="s">
        <v>1261</v>
      </c>
      <c r="C49" s="36">
        <v>26073</v>
      </c>
      <c r="D49" s="17">
        <f>SUM(C49/$C$53)</f>
        <v>0.49592954692433522</v>
      </c>
      <c r="E49" s="16"/>
    </row>
    <row r="50" spans="1:7" s="2" customFormat="1" ht="16.5" customHeight="1" thickBot="1">
      <c r="A50" s="12" t="s">
        <v>2522</v>
      </c>
      <c r="B50" s="22" t="s">
        <v>1257</v>
      </c>
      <c r="C50" s="8">
        <v>18982</v>
      </c>
      <c r="D50" s="17">
        <f>SUM(C50/$C$53)</f>
        <v>0.36105299197321872</v>
      </c>
      <c r="E50" s="16"/>
      <c r="G50" s="14"/>
    </row>
    <row r="51" spans="1:7" s="2" customFormat="1" ht="16.5" customHeight="1" thickBot="1">
      <c r="A51" s="12" t="s">
        <v>2523</v>
      </c>
      <c r="B51" s="13" t="s">
        <v>1247</v>
      </c>
      <c r="C51" s="8">
        <v>6547</v>
      </c>
      <c r="D51" s="17">
        <f>SUM(C51/$C$53)</f>
        <v>0.12452923498307147</v>
      </c>
      <c r="E51" s="16"/>
      <c r="G51" s="14"/>
    </row>
    <row r="52" spans="1:7" s="2" customFormat="1" ht="16.5" customHeight="1" thickBot="1">
      <c r="A52" s="12" t="s">
        <v>2134</v>
      </c>
      <c r="B52" s="40" t="s">
        <v>1269</v>
      </c>
      <c r="C52" s="8">
        <v>972</v>
      </c>
      <c r="D52" s="17">
        <f>SUM(C52/$C$53)</f>
        <v>1.8488226119374597E-2</v>
      </c>
      <c r="E52" s="16"/>
      <c r="G52" s="14"/>
    </row>
    <row r="53" spans="1:7" s="2" customFormat="1" ht="16.5" customHeight="1">
      <c r="A53" s="75"/>
      <c r="B53" s="76"/>
      <c r="C53" s="23">
        <f>SUM(C49:C52)</f>
        <v>52574</v>
      </c>
      <c r="D53" s="17"/>
      <c r="E53" s="10" t="s">
        <v>1874</v>
      </c>
      <c r="F53" s="21">
        <f>(C49-C50)</f>
        <v>7091</v>
      </c>
    </row>
    <row r="54" spans="1:7" s="2" customFormat="1" ht="12" customHeight="1">
      <c r="A54" s="1"/>
    </row>
    <row r="55" spans="1:7" s="2" customFormat="1" ht="16.5" customHeight="1">
      <c r="A55" s="1" t="s">
        <v>2529</v>
      </c>
    </row>
    <row r="56" spans="1:7" s="2" customFormat="1" ht="9.75" customHeight="1" thickBot="1">
      <c r="A56" s="3"/>
    </row>
    <row r="57" spans="1:7" s="2" customFormat="1" ht="16.5" customHeight="1" thickBot="1">
      <c r="A57" s="4" t="s">
        <v>1244</v>
      </c>
      <c r="B57" s="5" t="s">
        <v>1245</v>
      </c>
      <c r="C57" s="5" t="s">
        <v>1248</v>
      </c>
      <c r="D57" s="10"/>
      <c r="E57" s="10" t="s">
        <v>1413</v>
      </c>
      <c r="F57" s="11">
        <f>(61932/76186)</f>
        <v>0.81290525818391834</v>
      </c>
    </row>
    <row r="58" spans="1:7" s="2" customFormat="1" ht="16.5" customHeight="1" thickBot="1">
      <c r="A58" s="6" t="s">
        <v>2371</v>
      </c>
      <c r="B58" s="7" t="s">
        <v>1261</v>
      </c>
      <c r="C58" s="36">
        <v>31523</v>
      </c>
      <c r="D58" s="17">
        <f>SUM(C58/$C$63)</f>
        <v>0.51192815499293565</v>
      </c>
      <c r="E58" s="16"/>
    </row>
    <row r="59" spans="1:7" s="2" customFormat="1" ht="16.5" customHeight="1" thickBot="1">
      <c r="A59" s="12" t="s">
        <v>2525</v>
      </c>
      <c r="B59" s="22" t="s">
        <v>1257</v>
      </c>
      <c r="C59" s="8">
        <v>25181</v>
      </c>
      <c r="D59" s="17">
        <f>SUM(C59/$C$63)</f>
        <v>0.40893515435958233</v>
      </c>
      <c r="E59" s="16"/>
      <c r="G59" s="14"/>
    </row>
    <row r="60" spans="1:7" s="2" customFormat="1" ht="16.5" customHeight="1" thickBot="1">
      <c r="A60" s="12" t="s">
        <v>2526</v>
      </c>
      <c r="B60" s="13" t="s">
        <v>1247</v>
      </c>
      <c r="C60" s="8">
        <v>1843</v>
      </c>
      <c r="D60" s="17">
        <f>SUM(C60/$C$63)</f>
        <v>2.9930006333533623E-2</v>
      </c>
      <c r="E60" s="16"/>
      <c r="G60" s="14"/>
    </row>
    <row r="61" spans="1:7" s="2" customFormat="1" ht="16.5" customHeight="1" thickBot="1">
      <c r="A61" s="12" t="s">
        <v>2527</v>
      </c>
      <c r="B61" s="40" t="s">
        <v>1269</v>
      </c>
      <c r="C61" s="8">
        <v>1542</v>
      </c>
      <c r="D61" s="17">
        <f>SUM(C61/$C$63)</f>
        <v>2.5041817561751951E-2</v>
      </c>
      <c r="E61" s="16"/>
      <c r="G61" s="14"/>
    </row>
    <row r="62" spans="1:7" s="2" customFormat="1" ht="16.5" customHeight="1" thickBot="1">
      <c r="A62" s="12" t="s">
        <v>2528</v>
      </c>
      <c r="B62" s="22" t="s">
        <v>1408</v>
      </c>
      <c r="C62" s="8">
        <v>1488</v>
      </c>
      <c r="D62" s="17">
        <f>SUM(C62/$C$63)</f>
        <v>2.4164866752196437E-2</v>
      </c>
      <c r="E62" s="21"/>
    </row>
    <row r="63" spans="1:7" s="2" customFormat="1" ht="16.5" customHeight="1">
      <c r="A63" s="75"/>
      <c r="B63" s="76"/>
      <c r="C63" s="23">
        <f>SUM(C58:C62)</f>
        <v>61577</v>
      </c>
      <c r="D63" s="17"/>
      <c r="E63" s="10" t="s">
        <v>1874</v>
      </c>
      <c r="F63" s="21">
        <f>(C58-C59)</f>
        <v>6342</v>
      </c>
    </row>
    <row r="64" spans="1:7" s="2" customFormat="1" ht="12" customHeight="1">
      <c r="A64" s="1"/>
    </row>
    <row r="65" spans="1:7" s="2" customFormat="1" ht="16.5" customHeight="1">
      <c r="A65" s="1" t="s">
        <v>2531</v>
      </c>
    </row>
    <row r="66" spans="1:7" s="2" customFormat="1" ht="9.75" customHeight="1" thickBot="1">
      <c r="A66" s="3"/>
    </row>
    <row r="67" spans="1:7" s="2" customFormat="1" ht="16.5" customHeight="1" thickBot="1">
      <c r="A67" s="4" t="s">
        <v>1244</v>
      </c>
      <c r="B67" s="5" t="s">
        <v>1245</v>
      </c>
      <c r="C67" s="5" t="s">
        <v>1248</v>
      </c>
      <c r="D67" s="10"/>
      <c r="E67" s="10" t="s">
        <v>1413</v>
      </c>
      <c r="F67" s="11">
        <f>(45807/67460)</f>
        <v>0.67902460717462199</v>
      </c>
    </row>
    <row r="68" spans="1:7" s="2" customFormat="1" ht="16.5" customHeight="1" thickBot="1">
      <c r="A68" s="6" t="s">
        <v>1743</v>
      </c>
      <c r="B68" s="9" t="s">
        <v>1257</v>
      </c>
      <c r="C68" s="36">
        <v>26824</v>
      </c>
      <c r="D68" s="17">
        <f t="shared" ref="D68:D73" si="3">SUM(C68/$C$74)</f>
        <v>0.58981068185316299</v>
      </c>
      <c r="E68" s="16"/>
    </row>
    <row r="69" spans="1:7" s="2" customFormat="1" ht="16.5" customHeight="1" thickBot="1">
      <c r="A69" s="12" t="s">
        <v>2048</v>
      </c>
      <c r="B69" s="20" t="s">
        <v>1261</v>
      </c>
      <c r="C69" s="8">
        <v>10661</v>
      </c>
      <c r="D69" s="17">
        <f t="shared" si="3"/>
        <v>0.23441588425427121</v>
      </c>
      <c r="E69" s="16"/>
      <c r="G69" s="14"/>
    </row>
    <row r="70" spans="1:7" s="2" customFormat="1" ht="16.5" customHeight="1" thickBot="1">
      <c r="A70" s="12" t="s">
        <v>2523</v>
      </c>
      <c r="B70" s="13" t="s">
        <v>1247</v>
      </c>
      <c r="C70" s="8">
        <v>2777</v>
      </c>
      <c r="D70" s="17">
        <f t="shared" si="3"/>
        <v>6.1061149101783244E-2</v>
      </c>
      <c r="E70" s="16"/>
      <c r="G70" s="14"/>
    </row>
    <row r="71" spans="1:7" s="2" customFormat="1" ht="16.5" customHeight="1" thickBot="1">
      <c r="A71" s="12" t="s">
        <v>2476</v>
      </c>
      <c r="B71" s="40" t="s">
        <v>1269</v>
      </c>
      <c r="C71" s="8">
        <v>2541</v>
      </c>
      <c r="D71" s="17">
        <f t="shared" si="3"/>
        <v>5.5871940895798063E-2</v>
      </c>
      <c r="E71" s="21"/>
    </row>
    <row r="72" spans="1:7" s="2" customFormat="1" ht="16.5" customHeight="1" thickBot="1">
      <c r="A72" s="12" t="s">
        <v>2530</v>
      </c>
      <c r="B72" s="22" t="s">
        <v>1408</v>
      </c>
      <c r="C72" s="8">
        <v>1556</v>
      </c>
      <c r="D72" s="17">
        <f t="shared" si="3"/>
        <v>3.4213593086919236E-2</v>
      </c>
      <c r="E72" s="16"/>
      <c r="G72" s="14"/>
    </row>
    <row r="73" spans="1:7" s="2" customFormat="1" ht="16.5" customHeight="1" thickBot="1">
      <c r="A73" s="12" t="s">
        <v>1754</v>
      </c>
      <c r="B73" s="37" t="s">
        <v>1286</v>
      </c>
      <c r="C73" s="8">
        <v>1120</v>
      </c>
      <c r="D73" s="17">
        <f t="shared" si="3"/>
        <v>2.462675080806526E-2</v>
      </c>
      <c r="E73" s="16"/>
      <c r="G73" s="14"/>
    </row>
    <row r="74" spans="1:7" s="2" customFormat="1" ht="16.5" customHeight="1">
      <c r="A74" s="75"/>
      <c r="B74" s="76"/>
      <c r="C74" s="23">
        <f>SUM(C68:C73)</f>
        <v>45479</v>
      </c>
      <c r="D74" s="17"/>
      <c r="E74" s="10" t="s">
        <v>1874</v>
      </c>
      <c r="F74" s="21">
        <f>(C68-C69)</f>
        <v>16163</v>
      </c>
    </row>
    <row r="75" spans="1:7" s="2" customFormat="1" ht="12" customHeight="1">
      <c r="A75" s="1"/>
    </row>
    <row r="76" spans="1:7" s="2" customFormat="1" ht="16.5" customHeight="1">
      <c r="A76" s="1" t="s">
        <v>2537</v>
      </c>
    </row>
    <row r="77" spans="1:7" s="2" customFormat="1" ht="9.75" customHeight="1" thickBot="1">
      <c r="A77" s="3"/>
    </row>
    <row r="78" spans="1:7" s="2" customFormat="1" ht="16.5" customHeight="1" thickBot="1">
      <c r="A78" s="4" t="s">
        <v>1244</v>
      </c>
      <c r="B78" s="5" t="s">
        <v>1245</v>
      </c>
      <c r="C78" s="5" t="s">
        <v>1248</v>
      </c>
      <c r="D78" s="10"/>
      <c r="E78" s="10" t="s">
        <v>1413</v>
      </c>
      <c r="F78" s="11">
        <f>(49233/72708)</f>
        <v>0.67713319029542829</v>
      </c>
    </row>
    <row r="79" spans="1:7" s="2" customFormat="1" ht="16.5" customHeight="1" thickBot="1">
      <c r="A79" s="6" t="s">
        <v>2532</v>
      </c>
      <c r="B79" s="9" t="s">
        <v>1257</v>
      </c>
      <c r="C79" s="36">
        <v>29772</v>
      </c>
      <c r="D79" s="17">
        <f t="shared" ref="D79:D84" si="4">SUM(C79/$C$85)</f>
        <v>0.60813791976468667</v>
      </c>
      <c r="E79" s="16"/>
    </row>
    <row r="80" spans="1:7" s="2" customFormat="1" ht="16.5" customHeight="1" thickBot="1">
      <c r="A80" s="12" t="s">
        <v>2059</v>
      </c>
      <c r="B80" s="40" t="s">
        <v>1269</v>
      </c>
      <c r="C80" s="8">
        <v>6207</v>
      </c>
      <c r="D80" s="17">
        <f t="shared" si="4"/>
        <v>0.12678731922542691</v>
      </c>
      <c r="E80" s="16"/>
      <c r="G80" s="14"/>
    </row>
    <row r="81" spans="1:7" s="2" customFormat="1" ht="16.5" customHeight="1" thickBot="1">
      <c r="A81" s="12" t="s">
        <v>2533</v>
      </c>
      <c r="B81" s="20" t="s">
        <v>1261</v>
      </c>
      <c r="C81" s="8">
        <v>4626</v>
      </c>
      <c r="D81" s="17">
        <f t="shared" si="4"/>
        <v>9.4493014135141759E-2</v>
      </c>
      <c r="E81" s="21"/>
    </row>
    <row r="82" spans="1:7" s="2" customFormat="1" ht="16.5" customHeight="1" thickBot="1">
      <c r="A82" s="12" t="s">
        <v>2534</v>
      </c>
      <c r="B82" s="22" t="s">
        <v>1408</v>
      </c>
      <c r="C82" s="8">
        <v>4423</v>
      </c>
      <c r="D82" s="17">
        <f t="shared" si="4"/>
        <v>9.0346433532151313E-2</v>
      </c>
      <c r="E82" s="21"/>
    </row>
    <row r="83" spans="1:7" s="2" customFormat="1" ht="16.5" customHeight="1" thickBot="1">
      <c r="A83" s="12" t="s">
        <v>2535</v>
      </c>
      <c r="B83" s="13" t="s">
        <v>1247</v>
      </c>
      <c r="C83" s="8">
        <v>3346</v>
      </c>
      <c r="D83" s="17">
        <f t="shared" si="4"/>
        <v>6.8347087180325186E-2</v>
      </c>
      <c r="E83" s="16"/>
      <c r="G83" s="14"/>
    </row>
    <row r="84" spans="1:7" s="2" customFormat="1" ht="16.5" customHeight="1" thickBot="1">
      <c r="A84" s="12" t="s">
        <v>2536</v>
      </c>
      <c r="B84" s="37" t="s">
        <v>1286</v>
      </c>
      <c r="C84" s="8">
        <v>582</v>
      </c>
      <c r="D84" s="17">
        <f t="shared" si="4"/>
        <v>1.1888226162268159E-2</v>
      </c>
      <c r="E84" s="21"/>
    </row>
    <row r="85" spans="1:7" s="2" customFormat="1" ht="16.5" customHeight="1">
      <c r="A85" s="75"/>
      <c r="B85" s="76"/>
      <c r="C85" s="23">
        <f>SUM(C79:C84)</f>
        <v>48956</v>
      </c>
      <c r="D85" s="17"/>
      <c r="E85" s="10" t="s">
        <v>1874</v>
      </c>
      <c r="F85" s="21">
        <f>(C79-C80)</f>
        <v>23565</v>
      </c>
    </row>
    <row r="86" spans="1:7" s="2" customFormat="1" ht="12" customHeight="1">
      <c r="A86" s="1"/>
    </row>
    <row r="87" spans="1:7" s="2" customFormat="1" ht="16.5" customHeight="1">
      <c r="A87" s="1" t="s">
        <v>2540</v>
      </c>
    </row>
    <row r="88" spans="1:7" s="2" customFormat="1" ht="9.75" customHeight="1" thickBot="1">
      <c r="A88" s="3"/>
    </row>
    <row r="89" spans="1:7" s="2" customFormat="1" ht="16.5" customHeight="1" thickBot="1">
      <c r="A89" s="4" t="s">
        <v>1244</v>
      </c>
      <c r="B89" s="5" t="s">
        <v>1245</v>
      </c>
      <c r="C89" s="5" t="s">
        <v>1248</v>
      </c>
      <c r="D89" s="10"/>
      <c r="E89" s="10" t="s">
        <v>1413</v>
      </c>
      <c r="F89" s="11">
        <f>(42408/67192)</f>
        <v>0.63114656506726996</v>
      </c>
    </row>
    <row r="90" spans="1:7" s="2" customFormat="1" ht="16.5" customHeight="1" thickBot="1">
      <c r="A90" s="6" t="s">
        <v>2481</v>
      </c>
      <c r="B90" s="9" t="s">
        <v>1257</v>
      </c>
      <c r="C90" s="36">
        <v>29956</v>
      </c>
      <c r="D90" s="17">
        <f>SUM(C90/$C$95)</f>
        <v>0.70920239589005418</v>
      </c>
      <c r="E90" s="16"/>
    </row>
    <row r="91" spans="1:7" s="2" customFormat="1" ht="16.5" customHeight="1" thickBot="1">
      <c r="A91" s="12" t="s">
        <v>2075</v>
      </c>
      <c r="B91" s="20" t="s">
        <v>1261</v>
      </c>
      <c r="C91" s="8">
        <v>5397</v>
      </c>
      <c r="D91" s="17">
        <f>SUM(C91/$C$95)</f>
        <v>0.12777291129051352</v>
      </c>
      <c r="E91" s="16"/>
      <c r="G91" s="14"/>
    </row>
    <row r="92" spans="1:7" s="2" customFormat="1" ht="16.5" customHeight="1" thickBot="1">
      <c r="A92" s="12" t="s">
        <v>2538</v>
      </c>
      <c r="B92" s="40" t="s">
        <v>1269</v>
      </c>
      <c r="C92" s="8">
        <v>5224</v>
      </c>
      <c r="D92" s="17">
        <f>SUM(C92/$C$95)</f>
        <v>0.12367717038755652</v>
      </c>
      <c r="E92" s="16"/>
      <c r="G92" s="14"/>
    </row>
    <row r="93" spans="1:7" s="2" customFormat="1" ht="16.5" customHeight="1" thickBot="1">
      <c r="A93" s="12" t="s">
        <v>2386</v>
      </c>
      <c r="B93" s="13" t="s">
        <v>1247</v>
      </c>
      <c r="C93" s="8">
        <v>1220</v>
      </c>
      <c r="D93" s="17">
        <f>SUM(C93/$C$95)</f>
        <v>2.8883259546864274E-2</v>
      </c>
      <c r="E93" s="21"/>
    </row>
    <row r="94" spans="1:7" s="2" customFormat="1" ht="16.5" customHeight="1" thickBot="1">
      <c r="A94" s="12" t="s">
        <v>2539</v>
      </c>
      <c r="B94" s="38" t="s">
        <v>1270</v>
      </c>
      <c r="C94" s="8">
        <v>442</v>
      </c>
      <c r="D94" s="17">
        <f>SUM(C94/$C$95)</f>
        <v>1.0464262885011483E-2</v>
      </c>
      <c r="E94" s="21"/>
    </row>
    <row r="95" spans="1:7" s="2" customFormat="1" ht="16.5" customHeight="1">
      <c r="A95" s="75"/>
      <c r="B95" s="76"/>
      <c r="C95" s="23">
        <f>SUM(C90:C94)</f>
        <v>42239</v>
      </c>
      <c r="D95" s="17"/>
      <c r="E95" s="10" t="s">
        <v>1874</v>
      </c>
      <c r="F95" s="21">
        <f>(C90-C91)</f>
        <v>24559</v>
      </c>
    </row>
    <row r="96" spans="1:7" s="2" customFormat="1" ht="12" customHeight="1">
      <c r="A96" s="1"/>
    </row>
    <row r="97" spans="1:7" s="2" customFormat="1" ht="16.5" customHeight="1">
      <c r="A97" s="1" t="s">
        <v>2543</v>
      </c>
    </row>
    <row r="98" spans="1:7" s="2" customFormat="1" ht="9.75" customHeight="1" thickBot="1">
      <c r="A98" s="3"/>
    </row>
    <row r="99" spans="1:7" s="2" customFormat="1" ht="16.5" customHeight="1" thickBot="1">
      <c r="A99" s="4" t="s">
        <v>1244</v>
      </c>
      <c r="B99" s="5" t="s">
        <v>1245</v>
      </c>
      <c r="C99" s="5" t="s">
        <v>1248</v>
      </c>
      <c r="D99" s="10"/>
      <c r="E99" s="10" t="s">
        <v>1413</v>
      </c>
      <c r="F99" s="11">
        <f>(45751/69114)</f>
        <v>0.66196429088173159</v>
      </c>
    </row>
    <row r="100" spans="1:7" s="2" customFormat="1" ht="16.5" customHeight="1" thickBot="1">
      <c r="A100" s="6" t="s">
        <v>1464</v>
      </c>
      <c r="B100" s="28" t="s">
        <v>1258</v>
      </c>
      <c r="C100" s="36">
        <v>23152</v>
      </c>
      <c r="D100" s="17">
        <f t="shared" ref="D100:D105" si="5">SUM(C100/$C$106)</f>
        <v>0.50882398189050793</v>
      </c>
      <c r="E100" s="16"/>
    </row>
    <row r="101" spans="1:7" s="2" customFormat="1" ht="16.5" customHeight="1" thickBot="1">
      <c r="A101" s="12" t="s">
        <v>2306</v>
      </c>
      <c r="B101" s="22" t="s">
        <v>1257</v>
      </c>
      <c r="C101" s="8">
        <v>8216</v>
      </c>
      <c r="D101" s="17">
        <f t="shared" si="5"/>
        <v>0.18056746005582294</v>
      </c>
      <c r="E101" s="16"/>
      <c r="G101" s="14"/>
    </row>
    <row r="102" spans="1:7" s="2" customFormat="1" ht="16.5" customHeight="1" thickBot="1">
      <c r="A102" s="12" t="s">
        <v>2086</v>
      </c>
      <c r="B102" s="20" t="s">
        <v>1261</v>
      </c>
      <c r="C102" s="8">
        <v>6512</v>
      </c>
      <c r="D102" s="17">
        <f t="shared" si="5"/>
        <v>0.14311773367618294</v>
      </c>
      <c r="E102" s="16"/>
      <c r="G102" s="14"/>
    </row>
    <row r="103" spans="1:7" s="2" customFormat="1" ht="16.5" customHeight="1" thickBot="1">
      <c r="A103" s="12" t="s">
        <v>2541</v>
      </c>
      <c r="B103" s="40" t="s">
        <v>1269</v>
      </c>
      <c r="C103" s="8">
        <v>3442</v>
      </c>
      <c r="D103" s="17">
        <f t="shared" si="5"/>
        <v>7.5646689083756408E-2</v>
      </c>
      <c r="E103" s="21"/>
    </row>
    <row r="104" spans="1:7" s="2" customFormat="1" ht="16.5" customHeight="1" thickBot="1">
      <c r="A104" s="12" t="s">
        <v>2542</v>
      </c>
      <c r="B104" s="22" t="s">
        <v>1408</v>
      </c>
      <c r="C104" s="8">
        <v>2263</v>
      </c>
      <c r="D104" s="17">
        <f t="shared" si="5"/>
        <v>4.9735170655589987E-2</v>
      </c>
      <c r="E104" s="21"/>
    </row>
    <row r="105" spans="1:7" s="2" customFormat="1" ht="16.5" customHeight="1" thickBot="1">
      <c r="A105" s="12" t="s">
        <v>2088</v>
      </c>
      <c r="B105" s="13" t="s">
        <v>1247</v>
      </c>
      <c r="C105" s="8">
        <v>1916</v>
      </c>
      <c r="D105" s="17">
        <f t="shared" si="5"/>
        <v>4.2108964638139824E-2</v>
      </c>
      <c r="E105" s="21"/>
    </row>
    <row r="106" spans="1:7" s="2" customFormat="1" ht="16.5" customHeight="1">
      <c r="A106" s="75"/>
      <c r="B106" s="76"/>
      <c r="C106" s="23">
        <f>SUM(C100:C105)</f>
        <v>45501</v>
      </c>
      <c r="D106" s="17"/>
      <c r="E106" s="10" t="s">
        <v>1874</v>
      </c>
      <c r="F106" s="21">
        <f>(C100-C101)</f>
        <v>14936</v>
      </c>
    </row>
    <row r="107" spans="1:7" s="2" customFormat="1" ht="12" customHeight="1">
      <c r="A107" s="1"/>
    </row>
    <row r="108" spans="1:7" s="2" customFormat="1" ht="16.5" customHeight="1">
      <c r="A108" s="1" t="s">
        <v>2545</v>
      </c>
    </row>
    <row r="109" spans="1:7" s="2" customFormat="1" ht="9.75" customHeight="1" thickBot="1">
      <c r="A109" s="3"/>
    </row>
    <row r="110" spans="1:7" s="2" customFormat="1" ht="16.5" customHeight="1" thickBot="1">
      <c r="A110" s="4" t="s">
        <v>1244</v>
      </c>
      <c r="B110" s="5" t="s">
        <v>1245</v>
      </c>
      <c r="C110" s="5" t="s">
        <v>1248</v>
      </c>
      <c r="D110" s="10"/>
      <c r="E110" s="10" t="s">
        <v>1413</v>
      </c>
      <c r="F110" s="11">
        <f>(39453/62864)</f>
        <v>0.62759289895647752</v>
      </c>
    </row>
    <row r="111" spans="1:7" s="2" customFormat="1" ht="16.5" customHeight="1" thickBot="1">
      <c r="A111" s="6" t="s">
        <v>2372</v>
      </c>
      <c r="B111" s="9" t="s">
        <v>1257</v>
      </c>
      <c r="C111" s="36">
        <v>16966</v>
      </c>
      <c r="D111" s="17">
        <f>SUM(C111/$C$116)</f>
        <v>0.43224376449007668</v>
      </c>
      <c r="E111" s="16"/>
    </row>
    <row r="112" spans="1:7" s="2" customFormat="1" ht="16.5" customHeight="1" thickBot="1">
      <c r="A112" s="12" t="s">
        <v>2101</v>
      </c>
      <c r="B112" s="40" t="s">
        <v>1269</v>
      </c>
      <c r="C112" s="8">
        <v>9132</v>
      </c>
      <c r="D112" s="17">
        <f>SUM(C112/$C$116)</f>
        <v>0.23265649282820819</v>
      </c>
      <c r="E112" s="16"/>
      <c r="G112" s="14"/>
    </row>
    <row r="113" spans="1:7" s="2" customFormat="1" ht="16.5" customHeight="1" thickBot="1">
      <c r="A113" s="12" t="s">
        <v>2150</v>
      </c>
      <c r="B113" s="27" t="s">
        <v>1258</v>
      </c>
      <c r="C113" s="8">
        <v>9544</v>
      </c>
      <c r="D113" s="17">
        <f>SUM(C113/$C$116)</f>
        <v>0.24315304068686147</v>
      </c>
      <c r="E113" s="16"/>
      <c r="G113" s="14"/>
    </row>
    <row r="114" spans="1:7" s="2" customFormat="1" ht="16.5" customHeight="1" thickBot="1">
      <c r="A114" s="12" t="s">
        <v>2501</v>
      </c>
      <c r="B114" s="22" t="s">
        <v>1408</v>
      </c>
      <c r="C114" s="8">
        <v>3359</v>
      </c>
      <c r="D114" s="17">
        <f>SUM(C114/$C$116)</f>
        <v>8.5577437517515481E-2</v>
      </c>
      <c r="E114" s="16"/>
      <c r="G114" s="14"/>
    </row>
    <row r="115" spans="1:7" s="2" customFormat="1" ht="16.5" customHeight="1" thickBot="1">
      <c r="A115" s="12" t="s">
        <v>2544</v>
      </c>
      <c r="B115" s="38" t="s">
        <v>1958</v>
      </c>
      <c r="C115" s="8">
        <v>250</v>
      </c>
      <c r="D115" s="17">
        <f>SUM(C115/$C$116)</f>
        <v>6.3692644773381572E-3</v>
      </c>
      <c r="E115" s="21"/>
    </row>
    <row r="116" spans="1:7" s="2" customFormat="1" ht="16.5" customHeight="1">
      <c r="A116" s="75"/>
      <c r="B116" s="76"/>
      <c r="C116" s="23">
        <f>SUM(C111:C115)</f>
        <v>39251</v>
      </c>
      <c r="D116" s="17"/>
      <c r="E116" s="10" t="s">
        <v>1874</v>
      </c>
      <c r="F116" s="21">
        <f>(C111-C112)</f>
        <v>7834</v>
      </c>
    </row>
    <row r="117" spans="1:7" s="2" customFormat="1" ht="12" customHeight="1">
      <c r="A117" s="1"/>
    </row>
    <row r="118" spans="1:7" s="2" customFormat="1" ht="16.5" customHeight="1">
      <c r="A118" s="1" t="s">
        <v>2546</v>
      </c>
    </row>
    <row r="119" spans="1:7" s="2" customFormat="1" ht="9.75" customHeight="1" thickBot="1">
      <c r="A119" s="3"/>
    </row>
    <row r="120" spans="1:7" s="2" customFormat="1" ht="16.5" customHeight="1" thickBot="1">
      <c r="A120" s="4" t="s">
        <v>1244</v>
      </c>
      <c r="B120" s="5" t="s">
        <v>1245</v>
      </c>
      <c r="C120" s="5" t="s">
        <v>1248</v>
      </c>
      <c r="D120" s="10"/>
      <c r="E120" s="10" t="s">
        <v>1413</v>
      </c>
      <c r="F120" s="11">
        <f>(44790/68901)</f>
        <v>0.65006313406191496</v>
      </c>
    </row>
    <row r="121" spans="1:7" s="2" customFormat="1" ht="16.5" customHeight="1" thickBot="1">
      <c r="A121" s="6" t="s">
        <v>1802</v>
      </c>
      <c r="B121" s="9" t="s">
        <v>1257</v>
      </c>
      <c r="C121" s="36">
        <v>19517</v>
      </c>
      <c r="D121" s="17">
        <f>SUM(C121/$C$126)</f>
        <v>0.43579323434185552</v>
      </c>
      <c r="E121" s="16"/>
    </row>
    <row r="122" spans="1:7" s="2" customFormat="1" ht="16.5" customHeight="1" thickBot="1">
      <c r="A122" s="12" t="s">
        <v>2195</v>
      </c>
      <c r="B122" s="27" t="s">
        <v>1258</v>
      </c>
      <c r="C122" s="8">
        <v>10606</v>
      </c>
      <c r="D122" s="17">
        <f>SUM(C122/$C$126)</f>
        <v>0.2368203639611477</v>
      </c>
      <c r="E122" s="16"/>
      <c r="G122" s="14"/>
    </row>
    <row r="123" spans="1:7" s="2" customFormat="1" ht="16.5" customHeight="1" thickBot="1">
      <c r="A123" s="12" t="s">
        <v>2116</v>
      </c>
      <c r="B123" s="40" t="s">
        <v>1269</v>
      </c>
      <c r="C123" s="8">
        <v>7585</v>
      </c>
      <c r="D123" s="17">
        <f>SUM(C123/$C$126)</f>
        <v>0.16936474265937257</v>
      </c>
      <c r="E123" s="16"/>
      <c r="G123" s="14"/>
    </row>
    <row r="124" spans="1:7" s="2" customFormat="1" ht="16.5" customHeight="1" thickBot="1">
      <c r="A124" s="12" t="s">
        <v>2547</v>
      </c>
      <c r="B124" s="22" t="s">
        <v>1408</v>
      </c>
      <c r="C124" s="8">
        <v>6782</v>
      </c>
      <c r="D124" s="17">
        <f>SUM(C124/$C$126)</f>
        <v>0.15143463213129396</v>
      </c>
      <c r="E124" s="21"/>
    </row>
    <row r="125" spans="1:7" s="2" customFormat="1" ht="16.5" customHeight="1" thickBot="1">
      <c r="A125" s="12" t="s">
        <v>2548</v>
      </c>
      <c r="B125" s="78" t="s">
        <v>1958</v>
      </c>
      <c r="C125" s="8">
        <v>295</v>
      </c>
      <c r="D125" s="17">
        <f>SUM(C125/$C$126)</f>
        <v>6.5870269063302445E-3</v>
      </c>
      <c r="E125" s="21"/>
    </row>
    <row r="126" spans="1:7" s="2" customFormat="1" ht="16.5" customHeight="1">
      <c r="A126" s="75"/>
      <c r="B126" s="76"/>
      <c r="C126" s="23">
        <f>SUM(C121:C125)</f>
        <v>44785</v>
      </c>
      <c r="D126" s="17"/>
      <c r="E126" s="10" t="s">
        <v>1874</v>
      </c>
      <c r="F126" s="21">
        <f>(C121-C122)</f>
        <v>8911</v>
      </c>
    </row>
    <row r="127" spans="1:7" s="2" customFormat="1" ht="12" customHeight="1">
      <c r="A127" s="1"/>
    </row>
    <row r="128" spans="1:7" s="2" customFormat="1" ht="16.5" customHeight="1">
      <c r="A128" s="1" t="s">
        <v>2553</v>
      </c>
    </row>
    <row r="129" spans="1:12" s="2" customFormat="1" ht="9.75" customHeight="1" thickBot="1">
      <c r="A129" s="3"/>
    </row>
    <row r="130" spans="1:12" s="2" customFormat="1" ht="16.5" customHeight="1" thickBot="1">
      <c r="A130" s="4" t="s">
        <v>1244</v>
      </c>
      <c r="B130" s="5" t="s">
        <v>1245</v>
      </c>
      <c r="C130" s="5" t="s">
        <v>1248</v>
      </c>
      <c r="D130" s="10"/>
      <c r="E130" s="10" t="s">
        <v>1413</v>
      </c>
      <c r="F130" s="11">
        <f>(45108/68662)</f>
        <v>0.65695726894060757</v>
      </c>
    </row>
    <row r="131" spans="1:12" s="2" customFormat="1" ht="16.5" customHeight="1" thickBot="1">
      <c r="A131" s="6" t="s">
        <v>2549</v>
      </c>
      <c r="B131" s="62" t="s">
        <v>2314</v>
      </c>
      <c r="C131" s="36">
        <v>19305</v>
      </c>
      <c r="D131" s="17">
        <f>SUM(C131/$C$136)</f>
        <v>0.42941987721327518</v>
      </c>
      <c r="E131" s="16"/>
    </row>
    <row r="132" spans="1:12" s="2" customFormat="1" ht="16.5" customHeight="1" thickBot="1">
      <c r="A132" s="12" t="s">
        <v>2551</v>
      </c>
      <c r="B132" s="22" t="s">
        <v>1408</v>
      </c>
      <c r="C132" s="8">
        <v>14371</v>
      </c>
      <c r="D132" s="17">
        <f>SUM(C132/$C$136)</f>
        <v>0.3196681199394964</v>
      </c>
      <c r="E132" s="16"/>
      <c r="G132" s="14"/>
    </row>
    <row r="133" spans="1:12" s="2" customFormat="1" ht="16.5" customHeight="1" thickBot="1">
      <c r="A133" s="12" t="s">
        <v>2550</v>
      </c>
      <c r="B133" s="40" t="s">
        <v>1269</v>
      </c>
      <c r="C133" s="8">
        <v>6611</v>
      </c>
      <c r="D133" s="17">
        <f>SUM(C133/$C$136)</f>
        <v>0.14705489812260877</v>
      </c>
      <c r="E133" s="21"/>
    </row>
    <row r="134" spans="1:12" s="2" customFormat="1" ht="16.5" customHeight="1" thickBot="1">
      <c r="A134" s="12" t="s">
        <v>2367</v>
      </c>
      <c r="B134" s="27" t="s">
        <v>1258</v>
      </c>
      <c r="C134" s="8">
        <v>4414</v>
      </c>
      <c r="D134" s="17">
        <f>SUM(C134/$C$136)</f>
        <v>9.8184891894296647E-2</v>
      </c>
      <c r="E134" s="21"/>
    </row>
    <row r="135" spans="1:12" s="2" customFormat="1" ht="16.5" customHeight="1" thickBot="1">
      <c r="A135" s="12" t="s">
        <v>2552</v>
      </c>
      <c r="B135" s="78" t="s">
        <v>1958</v>
      </c>
      <c r="C135" s="8">
        <v>255</v>
      </c>
      <c r="D135" s="17">
        <f>SUM(C135/$C$136)</f>
        <v>5.6722128303229825E-3</v>
      </c>
      <c r="E135" s="21"/>
    </row>
    <row r="136" spans="1:12" s="2" customFormat="1" ht="16.5" customHeight="1">
      <c r="A136" s="75"/>
      <c r="B136" s="76"/>
      <c r="C136" s="23">
        <f>SUM(C131:C135)</f>
        <v>44956</v>
      </c>
      <c r="D136" s="17"/>
      <c r="E136" s="10" t="s">
        <v>1874</v>
      </c>
      <c r="F136" s="21">
        <f>(C131-C132)</f>
        <v>4934</v>
      </c>
    </row>
    <row r="137" spans="1:12" s="2" customFormat="1" ht="12" customHeight="1">
      <c r="A137" s="1"/>
      <c r="E137"/>
      <c r="L137"/>
    </row>
    <row r="138" spans="1:12" s="2" customFormat="1" ht="16.5" customHeight="1">
      <c r="A138" s="1" t="s">
        <v>2554</v>
      </c>
    </row>
    <row r="139" spans="1:12" s="2" customFormat="1" ht="9.75" customHeight="1" thickBot="1">
      <c r="A139" s="3"/>
    </row>
    <row r="140" spans="1:12" s="2" customFormat="1" ht="16.5" customHeight="1" thickBot="1">
      <c r="A140" s="4" t="s">
        <v>1244</v>
      </c>
      <c r="B140" s="5" t="s">
        <v>1245</v>
      </c>
      <c r="C140" s="5" t="s">
        <v>1248</v>
      </c>
      <c r="D140" s="10"/>
      <c r="E140" s="10" t="s">
        <v>1413</v>
      </c>
      <c r="F140" s="11">
        <f>(36113/55068)</f>
        <v>0.65578920607249214</v>
      </c>
    </row>
    <row r="141" spans="1:12" s="2" customFormat="1" ht="16.5" customHeight="1" thickBot="1">
      <c r="A141" s="6" t="s">
        <v>2434</v>
      </c>
      <c r="B141" s="9" t="s">
        <v>1257</v>
      </c>
      <c r="C141" s="36">
        <v>17240</v>
      </c>
      <c r="D141" s="17">
        <f t="shared" ref="D141:D148" si="6">SUM(C141/$C$149)</f>
        <v>0.48003564069722116</v>
      </c>
      <c r="E141" s="16"/>
    </row>
    <row r="142" spans="1:12" s="2" customFormat="1" ht="16.5" customHeight="1" thickBot="1">
      <c r="A142" s="12" t="s">
        <v>1937</v>
      </c>
      <c r="B142" s="20" t="s">
        <v>1261</v>
      </c>
      <c r="C142" s="8">
        <v>7615</v>
      </c>
      <c r="D142" s="17">
        <f t="shared" si="6"/>
        <v>0.21203430417107536</v>
      </c>
      <c r="E142" s="16"/>
      <c r="G142" s="14"/>
    </row>
    <row r="143" spans="1:12" s="2" customFormat="1" ht="16.5" customHeight="1" thickBot="1">
      <c r="A143" s="12" t="s">
        <v>2555</v>
      </c>
      <c r="B143" s="13" t="s">
        <v>1247</v>
      </c>
      <c r="C143" s="8">
        <v>4693</v>
      </c>
      <c r="D143" s="17">
        <f t="shared" si="6"/>
        <v>0.13067327504594309</v>
      </c>
      <c r="E143" s="16"/>
      <c r="G143" s="14"/>
    </row>
    <row r="144" spans="1:12" s="2" customFormat="1" ht="16.5" customHeight="1" thickBot="1">
      <c r="A144" s="12" t="s">
        <v>2496</v>
      </c>
      <c r="B144" s="40" t="s">
        <v>1269</v>
      </c>
      <c r="C144" s="8">
        <v>2246</v>
      </c>
      <c r="D144" s="17">
        <f t="shared" si="6"/>
        <v>6.2538285905218025E-2</v>
      </c>
      <c r="E144" s="16"/>
      <c r="G144" s="14"/>
    </row>
    <row r="145" spans="1:7" s="2" customFormat="1" ht="16.5" customHeight="1" thickBot="1">
      <c r="A145" s="12" t="s">
        <v>2558</v>
      </c>
      <c r="B145" s="22" t="s">
        <v>1408</v>
      </c>
      <c r="C145" s="8">
        <v>2107</v>
      </c>
      <c r="D145" s="17">
        <f>SUM(C145/$C$149)</f>
        <v>5.8667928941359915E-2</v>
      </c>
      <c r="E145" s="16"/>
      <c r="G145" s="14"/>
    </row>
    <row r="146" spans="1:7" s="2" customFormat="1" ht="16.5" customHeight="1" thickBot="1">
      <c r="A146" s="12" t="s">
        <v>2335</v>
      </c>
      <c r="B146" s="78" t="s">
        <v>2507</v>
      </c>
      <c r="C146" s="8">
        <v>1386</v>
      </c>
      <c r="D146" s="17">
        <f t="shared" si="6"/>
        <v>3.8592192459764994E-2</v>
      </c>
      <c r="E146" s="21"/>
    </row>
    <row r="147" spans="1:7" s="2" customFormat="1" ht="16.5" customHeight="1" thickBot="1">
      <c r="A147" s="12" t="s">
        <v>2556</v>
      </c>
      <c r="B147" s="37" t="s">
        <v>1286</v>
      </c>
      <c r="C147" s="8">
        <v>419</v>
      </c>
      <c r="D147" s="17">
        <f t="shared" si="6"/>
        <v>1.1666759480982346E-2</v>
      </c>
      <c r="E147" s="21"/>
    </row>
    <row r="148" spans="1:7" s="2" customFormat="1" ht="16.5" customHeight="1" thickBot="1">
      <c r="A148" s="12" t="s">
        <v>2557</v>
      </c>
      <c r="B148" s="78" t="s">
        <v>1958</v>
      </c>
      <c r="C148" s="8">
        <v>208</v>
      </c>
      <c r="D148" s="17">
        <f t="shared" si="6"/>
        <v>5.7916132984351509E-3</v>
      </c>
      <c r="E148" s="21"/>
    </row>
    <row r="149" spans="1:7" s="2" customFormat="1" ht="16.5" customHeight="1">
      <c r="A149" s="75"/>
      <c r="B149" s="76"/>
      <c r="C149" s="23">
        <f>SUM(C141:C148)</f>
        <v>35914</v>
      </c>
      <c r="D149" s="17"/>
      <c r="E149" s="10" t="s">
        <v>1874</v>
      </c>
      <c r="F149" s="21">
        <f>(C141-C142)</f>
        <v>9625</v>
      </c>
    </row>
    <row r="150" spans="1:7" s="2" customFormat="1" ht="12" customHeight="1">
      <c r="A150" s="1"/>
    </row>
    <row r="151" spans="1:7" s="2" customFormat="1" ht="16.5" customHeight="1">
      <c r="A151" s="1" t="s">
        <v>2559</v>
      </c>
    </row>
    <row r="152" spans="1:7" s="2" customFormat="1" ht="9.75" customHeight="1" thickBot="1">
      <c r="A152" s="3"/>
    </row>
    <row r="153" spans="1:7" s="2" customFormat="1" ht="16.5" customHeight="1" thickBot="1">
      <c r="A153" s="4" t="s">
        <v>1244</v>
      </c>
      <c r="B153" s="5" t="s">
        <v>1245</v>
      </c>
      <c r="C153" s="5" t="s">
        <v>1248</v>
      </c>
      <c r="D153" s="10"/>
      <c r="E153" s="10" t="s">
        <v>1413</v>
      </c>
      <c r="F153" s="11">
        <f>(40289/54644)</f>
        <v>0.73729961203425809</v>
      </c>
    </row>
    <row r="154" spans="1:7" s="2" customFormat="1" ht="16.5" customHeight="1" thickBot="1">
      <c r="A154" s="6" t="s">
        <v>2168</v>
      </c>
      <c r="B154" s="7" t="s">
        <v>1261</v>
      </c>
      <c r="C154" s="36">
        <v>17415</v>
      </c>
      <c r="D154" s="17">
        <f>SUM(C154/$C$159)</f>
        <v>0.43570177633224921</v>
      </c>
      <c r="E154" s="16"/>
    </row>
    <row r="155" spans="1:7" s="2" customFormat="1" ht="16.5" customHeight="1" thickBot="1">
      <c r="A155" s="12" t="s">
        <v>1709</v>
      </c>
      <c r="B155" s="13" t="s">
        <v>1247</v>
      </c>
      <c r="C155" s="8">
        <v>16826</v>
      </c>
      <c r="D155" s="17">
        <f>SUM(C155/$C$159)</f>
        <v>0.42096572429321993</v>
      </c>
      <c r="E155" s="16"/>
      <c r="G155" s="14"/>
    </row>
    <row r="156" spans="1:7" s="2" customFormat="1" ht="16.5" customHeight="1" thickBot="1">
      <c r="A156" s="12" t="s">
        <v>1935</v>
      </c>
      <c r="B156" s="22" t="s">
        <v>1257</v>
      </c>
      <c r="C156" s="8">
        <v>4766</v>
      </c>
      <c r="D156" s="17">
        <f>SUM(C156/$C$159)</f>
        <v>0.11923942957217913</v>
      </c>
      <c r="E156" s="16"/>
      <c r="G156" s="14"/>
    </row>
    <row r="157" spans="1:7" s="2" customFormat="1" ht="16.5" customHeight="1" thickBot="1">
      <c r="A157" s="12" t="s">
        <v>1720</v>
      </c>
      <c r="B157" s="37" t="s">
        <v>1286</v>
      </c>
      <c r="C157" s="8">
        <v>750</v>
      </c>
      <c r="D157" s="17">
        <f>SUM(C157/$C$159)</f>
        <v>1.8764073054791094E-2</v>
      </c>
      <c r="E157" s="21"/>
    </row>
    <row r="158" spans="1:7" s="2" customFormat="1" ht="16.5" customHeight="1" thickBot="1">
      <c r="A158" s="12" t="s">
        <v>2173</v>
      </c>
      <c r="B158" s="78" t="s">
        <v>1958</v>
      </c>
      <c r="C158" s="8">
        <v>213</v>
      </c>
      <c r="D158" s="17">
        <f>SUM(C158/$C$159)</f>
        <v>5.3289967475606704E-3</v>
      </c>
      <c r="E158" s="21"/>
    </row>
    <row r="159" spans="1:7" s="2" customFormat="1" ht="16.5" customHeight="1">
      <c r="A159" s="75"/>
      <c r="B159" s="76"/>
      <c r="C159" s="23">
        <f>SUM(C154:C158)</f>
        <v>39970</v>
      </c>
      <c r="D159" s="17"/>
      <c r="E159" s="10" t="s">
        <v>1874</v>
      </c>
      <c r="F159" s="21">
        <f>(C154-C155)</f>
        <v>589</v>
      </c>
    </row>
    <row r="160" spans="1:7" s="2" customFormat="1" ht="12" customHeight="1">
      <c r="A160" s="1"/>
    </row>
    <row r="161" spans="1:7" s="2" customFormat="1" ht="16.5" customHeight="1">
      <c r="A161" s="1" t="s">
        <v>323</v>
      </c>
    </row>
    <row r="162" spans="1:7" s="2" customFormat="1" ht="9.75" customHeight="1" thickBot="1">
      <c r="A162" s="3"/>
    </row>
    <row r="163" spans="1:7" s="2" customFormat="1" ht="16.5" customHeight="1" thickBot="1">
      <c r="A163" s="4" t="s">
        <v>1244</v>
      </c>
      <c r="B163" s="5" t="s">
        <v>1245</v>
      </c>
      <c r="C163" s="5" t="s">
        <v>1248</v>
      </c>
      <c r="D163" s="10"/>
      <c r="E163" s="10" t="s">
        <v>1413</v>
      </c>
      <c r="F163" s="11">
        <f>(33719/52050)</f>
        <v>0.64781940441882802</v>
      </c>
    </row>
    <row r="164" spans="1:7" s="2" customFormat="1" ht="16.5" customHeight="1" thickBot="1">
      <c r="A164" s="6" t="s">
        <v>2439</v>
      </c>
      <c r="B164" s="9" t="s">
        <v>1257</v>
      </c>
      <c r="C164" s="36">
        <v>16336</v>
      </c>
      <c r="D164" s="17">
        <f t="shared" ref="D164:D171" si="7">SUM(C164/$C$172)</f>
        <v>0.48642210576464984</v>
      </c>
      <c r="E164" s="16"/>
    </row>
    <row r="165" spans="1:7" s="2" customFormat="1" ht="16.5" customHeight="1" thickBot="1">
      <c r="A165" s="12" t="s">
        <v>2177</v>
      </c>
      <c r="B165" s="20" t="s">
        <v>1261</v>
      </c>
      <c r="C165" s="8">
        <v>6266</v>
      </c>
      <c r="D165" s="17">
        <f t="shared" si="7"/>
        <v>0.186576941400667</v>
      </c>
      <c r="E165" s="16"/>
      <c r="G165" s="14"/>
    </row>
    <row r="166" spans="1:7" s="2" customFormat="1" ht="16.5" customHeight="1" thickBot="1">
      <c r="A166" s="12" t="s">
        <v>324</v>
      </c>
      <c r="B166" s="40" t="s">
        <v>1269</v>
      </c>
      <c r="C166" s="8">
        <v>5054</v>
      </c>
      <c r="D166" s="17">
        <f t="shared" si="7"/>
        <v>0.15048832777513102</v>
      </c>
      <c r="E166" s="21"/>
    </row>
    <row r="167" spans="1:7" s="2" customFormat="1" ht="16.5" customHeight="1" thickBot="1">
      <c r="A167" s="12" t="s">
        <v>2142</v>
      </c>
      <c r="B167" s="22" t="s">
        <v>1408</v>
      </c>
      <c r="C167" s="8">
        <v>3356</v>
      </c>
      <c r="D167" s="17">
        <f t="shared" si="7"/>
        <v>9.9928537398761313E-2</v>
      </c>
      <c r="E167" s="16"/>
      <c r="G167" s="14"/>
    </row>
    <row r="168" spans="1:7" s="2" customFormat="1" ht="16.5" customHeight="1" thickBot="1">
      <c r="A168" s="12" t="s">
        <v>2180</v>
      </c>
      <c r="B168" s="13" t="s">
        <v>1247</v>
      </c>
      <c r="C168" s="8">
        <v>1123</v>
      </c>
      <c r="D168" s="17">
        <f t="shared" si="7"/>
        <v>3.343854216293473E-2</v>
      </c>
      <c r="E168" s="16"/>
      <c r="G168" s="14"/>
    </row>
    <row r="169" spans="1:7" s="2" customFormat="1" ht="16.5" customHeight="1" thickBot="1">
      <c r="A169" s="12" t="s">
        <v>325</v>
      </c>
      <c r="B169" s="78" t="s">
        <v>2512</v>
      </c>
      <c r="C169" s="8">
        <v>875</v>
      </c>
      <c r="D169" s="17">
        <f t="shared" si="7"/>
        <v>2.6054073368270605E-2</v>
      </c>
      <c r="E169" s="16"/>
      <c r="G169" s="14"/>
    </row>
    <row r="170" spans="1:7" s="2" customFormat="1" ht="16.5" customHeight="1" thickBot="1">
      <c r="A170" s="12" t="s">
        <v>2401</v>
      </c>
      <c r="B170" s="37" t="s">
        <v>1286</v>
      </c>
      <c r="C170" s="8">
        <v>362</v>
      </c>
      <c r="D170" s="17">
        <f t="shared" si="7"/>
        <v>1.0778942353501667E-2</v>
      </c>
      <c r="E170" s="16"/>
      <c r="G170" s="14"/>
    </row>
    <row r="171" spans="1:7" s="2" customFormat="1" ht="16.5" customHeight="1" thickBot="1">
      <c r="A171" s="12" t="s">
        <v>326</v>
      </c>
      <c r="B171" s="78" t="s">
        <v>1958</v>
      </c>
      <c r="C171" s="8">
        <v>212</v>
      </c>
      <c r="D171" s="17">
        <f t="shared" si="7"/>
        <v>6.3125297760838498E-3</v>
      </c>
      <c r="E171" s="21"/>
    </row>
    <row r="172" spans="1:7" s="2" customFormat="1" ht="16.5" customHeight="1">
      <c r="A172" s="75"/>
      <c r="B172" s="76"/>
      <c r="C172" s="23">
        <f>SUM(C164:C171)</f>
        <v>33584</v>
      </c>
      <c r="D172" s="17"/>
      <c r="E172" s="10" t="s">
        <v>1874</v>
      </c>
      <c r="F172" s="21">
        <f>(C164-C165)</f>
        <v>10070</v>
      </c>
    </row>
    <row r="173" spans="1:7" s="2" customFormat="1" ht="12" customHeight="1">
      <c r="A173" s="1"/>
    </row>
    <row r="174" spans="1:7" s="2" customFormat="1" ht="16.5" customHeight="1">
      <c r="A174" s="1" t="s">
        <v>327</v>
      </c>
    </row>
    <row r="175" spans="1:7" s="2" customFormat="1" ht="9.75" customHeight="1" thickBot="1">
      <c r="A175" s="3"/>
    </row>
    <row r="176" spans="1:7" s="2" customFormat="1" ht="16.5" customHeight="1" thickBot="1">
      <c r="A176" s="4" t="s">
        <v>1244</v>
      </c>
      <c r="B176" s="5" t="s">
        <v>1245</v>
      </c>
      <c r="C176" s="5" t="s">
        <v>1248</v>
      </c>
      <c r="D176" s="10"/>
      <c r="E176" s="10" t="s">
        <v>1413</v>
      </c>
      <c r="F176" s="11">
        <f>(35908/52869)</f>
        <v>0.67918818211049958</v>
      </c>
    </row>
    <row r="177" spans="1:7" s="2" customFormat="1" ht="16.5" customHeight="1" thickBot="1">
      <c r="A177" s="6" t="s">
        <v>1660</v>
      </c>
      <c r="B177" s="28" t="s">
        <v>1258</v>
      </c>
      <c r="C177" s="36">
        <v>18437</v>
      </c>
      <c r="D177" s="17">
        <f t="shared" ref="D177:D183" si="8">SUM(C177/$C$184)</f>
        <v>0.515129501830069</v>
      </c>
      <c r="E177" s="16"/>
    </row>
    <row r="178" spans="1:7" s="2" customFormat="1" ht="16.5" customHeight="1" thickBot="1">
      <c r="A178" s="12" t="s">
        <v>329</v>
      </c>
      <c r="B178" s="40" t="s">
        <v>1269</v>
      </c>
      <c r="C178" s="8">
        <v>10650</v>
      </c>
      <c r="D178" s="17">
        <f t="shared" si="8"/>
        <v>0.29756083931714677</v>
      </c>
      <c r="E178" s="16"/>
      <c r="G178" s="14"/>
    </row>
    <row r="179" spans="1:7" s="2" customFormat="1" ht="16.5" customHeight="1" thickBot="1">
      <c r="A179" s="12" t="s">
        <v>330</v>
      </c>
      <c r="B179" s="22" t="s">
        <v>1408</v>
      </c>
      <c r="C179" s="8">
        <v>3314</v>
      </c>
      <c r="D179" s="17">
        <f t="shared" si="8"/>
        <v>9.2593109999720605E-2</v>
      </c>
      <c r="E179" s="16"/>
      <c r="G179" s="14"/>
    </row>
    <row r="180" spans="1:7" s="2" customFormat="1" ht="16.5" customHeight="1" thickBot="1">
      <c r="A180" s="12" t="s">
        <v>2363</v>
      </c>
      <c r="B180" s="78" t="s">
        <v>328</v>
      </c>
      <c r="C180" s="8">
        <v>2256</v>
      </c>
      <c r="D180" s="17">
        <f t="shared" si="8"/>
        <v>6.3032605962392782E-2</v>
      </c>
      <c r="E180" s="21"/>
    </row>
    <row r="181" spans="1:7" s="2" customFormat="1" ht="16.5" customHeight="1" thickBot="1">
      <c r="A181" s="12" t="s">
        <v>1860</v>
      </c>
      <c r="B181" s="13" t="s">
        <v>1247</v>
      </c>
      <c r="C181" s="8">
        <v>679</v>
      </c>
      <c r="D181" s="17">
        <f t="shared" si="8"/>
        <v>1.8971249755525131E-2</v>
      </c>
      <c r="E181" s="21"/>
    </row>
    <row r="182" spans="1:7" s="2" customFormat="1" ht="16.5" customHeight="1" thickBot="1">
      <c r="A182" s="12" t="s">
        <v>2404</v>
      </c>
      <c r="B182" s="37" t="s">
        <v>1286</v>
      </c>
      <c r="C182" s="8">
        <v>327</v>
      </c>
      <c r="D182" s="17">
        <f t="shared" si="8"/>
        <v>9.1363750663574633E-3</v>
      </c>
      <c r="E182" s="21"/>
    </row>
    <row r="183" spans="1:7" s="2" customFormat="1" ht="16.5" customHeight="1" thickBot="1">
      <c r="A183" s="12" t="s">
        <v>331</v>
      </c>
      <c r="B183" s="78" t="s">
        <v>1958</v>
      </c>
      <c r="C183" s="8">
        <v>128</v>
      </c>
      <c r="D183" s="17">
        <f t="shared" si="8"/>
        <v>3.5763180687882427E-3</v>
      </c>
      <c r="E183" s="21"/>
    </row>
    <row r="184" spans="1:7" s="2" customFormat="1" ht="16.5" customHeight="1">
      <c r="A184" s="75"/>
      <c r="B184" s="76"/>
      <c r="C184" s="23">
        <f>SUM(C177:C183)</f>
        <v>35791</v>
      </c>
      <c r="D184" s="17"/>
      <c r="E184" s="10" t="s">
        <v>1874</v>
      </c>
      <c r="F184" s="21">
        <f>(C177-C178)</f>
        <v>7787</v>
      </c>
    </row>
    <row r="186" spans="1:7" ht="15">
      <c r="A186" s="104" t="s">
        <v>1072</v>
      </c>
    </row>
    <row r="187" spans="1:7" s="2" customFormat="1" ht="16.5" customHeight="1">
      <c r="A187" s="1" t="s">
        <v>1079</v>
      </c>
    </row>
    <row r="188" spans="1:7" s="2" customFormat="1" ht="9.75" customHeight="1" thickBot="1">
      <c r="A188" s="3"/>
    </row>
    <row r="189" spans="1:7" s="2" customFormat="1" ht="16.5" customHeight="1" thickBot="1">
      <c r="A189" s="4" t="s">
        <v>1244</v>
      </c>
      <c r="B189" s="5" t="s">
        <v>1245</v>
      </c>
      <c r="C189" s="5" t="s">
        <v>1248</v>
      </c>
      <c r="D189" s="10"/>
      <c r="E189" s="10" t="s">
        <v>1413</v>
      </c>
      <c r="F189" s="11">
        <f>(27464/70872)</f>
        <v>0.38751552093915792</v>
      </c>
    </row>
    <row r="190" spans="1:7" s="2" customFormat="1" ht="16.5" customHeight="1" thickBot="1">
      <c r="A190" s="6" t="s">
        <v>1339</v>
      </c>
      <c r="B190" s="72" t="s">
        <v>1304</v>
      </c>
      <c r="C190" s="36">
        <v>10124</v>
      </c>
      <c r="D190" s="17">
        <f>SUM(C190/$C$198)</f>
        <v>0.36965094201840221</v>
      </c>
      <c r="E190" s="16"/>
    </row>
    <row r="191" spans="1:7" s="2" customFormat="1" ht="16.5" customHeight="1" thickBot="1">
      <c r="A191" s="12" t="s">
        <v>2133</v>
      </c>
      <c r="B191" s="22" t="s">
        <v>1257</v>
      </c>
      <c r="C191" s="8">
        <v>7232</v>
      </c>
      <c r="D191" s="17">
        <f t="shared" ref="D191:D197" si="9">SUM(C191/$C$198)</f>
        <v>0.26405725135095665</v>
      </c>
      <c r="E191" s="16"/>
      <c r="G191" s="14"/>
    </row>
    <row r="192" spans="1:7" s="2" customFormat="1" ht="16.5" customHeight="1" thickBot="1">
      <c r="A192" s="12" t="s">
        <v>2360</v>
      </c>
      <c r="B192" s="40" t="s">
        <v>1269</v>
      </c>
      <c r="C192" s="8">
        <v>6970</v>
      </c>
      <c r="D192" s="17">
        <f t="shared" si="9"/>
        <v>0.25449101796407186</v>
      </c>
      <c r="E192" s="21"/>
    </row>
    <row r="193" spans="1:12" s="2" customFormat="1" ht="16.5" customHeight="1" thickBot="1">
      <c r="A193" s="12" t="s">
        <v>1516</v>
      </c>
      <c r="B193" s="78" t="s">
        <v>328</v>
      </c>
      <c r="C193" s="8">
        <v>2170</v>
      </c>
      <c r="D193" s="17">
        <f t="shared" si="9"/>
        <v>7.9231780341755514E-2</v>
      </c>
      <c r="E193" s="21"/>
    </row>
    <row r="194" spans="1:12" s="2" customFormat="1" ht="16.5" customHeight="1" thickBot="1">
      <c r="A194" s="12" t="s">
        <v>2479</v>
      </c>
      <c r="B194" s="22" t="s">
        <v>1408</v>
      </c>
      <c r="C194" s="8">
        <v>583</v>
      </c>
      <c r="D194" s="17">
        <f t="shared" si="9"/>
        <v>2.1286694902877174E-2</v>
      </c>
      <c r="E194" s="21"/>
    </row>
    <row r="195" spans="1:12" s="2" customFormat="1" ht="16.5" customHeight="1" thickBot="1">
      <c r="A195" s="12" t="s">
        <v>598</v>
      </c>
      <c r="B195" s="78" t="s">
        <v>1270</v>
      </c>
      <c r="C195" s="8">
        <v>108</v>
      </c>
      <c r="D195" s="17">
        <f t="shared" si="9"/>
        <v>3.9433328465021174E-3</v>
      </c>
      <c r="E195" s="21"/>
    </row>
    <row r="196" spans="1:12" s="2" customFormat="1" ht="16.5" customHeight="1" thickBot="1">
      <c r="A196" s="12" t="s">
        <v>1521</v>
      </c>
      <c r="B196" s="78" t="s">
        <v>2053</v>
      </c>
      <c r="C196" s="8">
        <v>101</v>
      </c>
      <c r="D196" s="17">
        <f t="shared" si="9"/>
        <v>3.6877464583029065E-3</v>
      </c>
      <c r="E196" s="21"/>
    </row>
    <row r="197" spans="1:12" s="2" customFormat="1" ht="16.5" customHeight="1" thickBot="1">
      <c r="A197" s="12" t="s">
        <v>2188</v>
      </c>
      <c r="B197" s="78" t="s">
        <v>1958</v>
      </c>
      <c r="C197" s="8">
        <v>100</v>
      </c>
      <c r="D197" s="17">
        <f t="shared" si="9"/>
        <v>3.6512341171315906E-3</v>
      </c>
      <c r="E197" s="21"/>
    </row>
    <row r="198" spans="1:12" s="2" customFormat="1" ht="16.5" customHeight="1">
      <c r="A198" s="75"/>
      <c r="B198" s="76"/>
      <c r="C198" s="23">
        <f>SUM(C190:C197)</f>
        <v>27388</v>
      </c>
      <c r="D198" s="17"/>
      <c r="E198" s="10" t="s">
        <v>1874</v>
      </c>
      <c r="F198" s="21">
        <f>(C190-C191)</f>
        <v>2892</v>
      </c>
    </row>
    <row r="199" spans="1:12" s="2" customFormat="1" ht="12" customHeight="1">
      <c r="A199" s="1"/>
      <c r="E199"/>
      <c r="L199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9"/>
  <dimension ref="A1:L179"/>
  <sheetViews>
    <sheetView workbookViewId="0">
      <selection activeCell="J1" sqref="J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830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(55842/69131)</f>
        <v>0.80777075407559562</v>
      </c>
    </row>
    <row r="4" spans="1:7" s="2" customFormat="1" ht="16.5" customHeight="1" thickBot="1">
      <c r="A4" s="6" t="s">
        <v>2457</v>
      </c>
      <c r="B4" s="9" t="s">
        <v>1257</v>
      </c>
      <c r="C4" s="36">
        <v>27446</v>
      </c>
      <c r="D4" s="17">
        <f>SUM(C4/$C$9)</f>
        <v>0.49563882618510158</v>
      </c>
      <c r="E4" s="16"/>
    </row>
    <row r="5" spans="1:7" s="2" customFormat="1" ht="16.5" customHeight="1" thickBot="1">
      <c r="A5" s="12" t="s">
        <v>624</v>
      </c>
      <c r="B5" s="13" t="s">
        <v>1247</v>
      </c>
      <c r="C5" s="8">
        <v>14623</v>
      </c>
      <c r="D5" s="17">
        <f>SUM(C5/$C$9)</f>
        <v>0.2640722347629797</v>
      </c>
      <c r="E5" s="16"/>
      <c r="G5" s="14"/>
    </row>
    <row r="6" spans="1:7" s="2" customFormat="1" ht="16.5" customHeight="1" thickBot="1">
      <c r="A6" s="12" t="s">
        <v>623</v>
      </c>
      <c r="B6" s="20" t="s">
        <v>1261</v>
      </c>
      <c r="C6" s="8">
        <v>10581</v>
      </c>
      <c r="D6" s="17">
        <f>SUM(C6/$C$9)</f>
        <v>0.19107900677200904</v>
      </c>
      <c r="E6" s="16"/>
      <c r="G6" s="14"/>
    </row>
    <row r="7" spans="1:7" s="2" customFormat="1" ht="16.5" customHeight="1" thickBot="1">
      <c r="A7" s="12" t="s">
        <v>625</v>
      </c>
      <c r="B7" s="37" t="s">
        <v>1286</v>
      </c>
      <c r="C7" s="8">
        <v>1784</v>
      </c>
      <c r="D7" s="17">
        <f>SUM(C7/$C$9)</f>
        <v>3.2216704288939052E-2</v>
      </c>
      <c r="E7" s="21"/>
    </row>
    <row r="8" spans="1:7" s="2" customFormat="1" ht="16.5" customHeight="1" thickBot="1">
      <c r="A8" s="12" t="s">
        <v>2233</v>
      </c>
      <c r="B8" s="40" t="s">
        <v>1269</v>
      </c>
      <c r="C8" s="8">
        <v>941</v>
      </c>
      <c r="D8" s="17">
        <f>SUM(C8/$C$9)</f>
        <v>1.6993227990970656E-2</v>
      </c>
      <c r="E8" s="21"/>
    </row>
    <row r="9" spans="1:7" s="2" customFormat="1" ht="16.5" customHeight="1">
      <c r="A9" s="75"/>
      <c r="B9" s="76"/>
      <c r="C9" s="23">
        <f>SUM(C4:C8)</f>
        <v>55375</v>
      </c>
      <c r="D9" s="17"/>
      <c r="E9" s="10" t="s">
        <v>1874</v>
      </c>
      <c r="F9" s="21">
        <f>(C4-C5)</f>
        <v>12823</v>
      </c>
    </row>
    <row r="10" spans="1:7" s="2" customFormat="1" ht="12" customHeight="1">
      <c r="A10" s="1"/>
      <c r="D10" s="11"/>
    </row>
    <row r="11" spans="1:7" s="2" customFormat="1" ht="16.5" customHeight="1">
      <c r="A11" s="1" t="s">
        <v>626</v>
      </c>
    </row>
    <row r="12" spans="1:7" s="2" customFormat="1" ht="9.75" customHeight="1" thickBot="1">
      <c r="A12" s="3"/>
    </row>
    <row r="13" spans="1:7" s="2" customFormat="1" ht="16.5" customHeight="1" thickBot="1">
      <c r="A13" s="4" t="s">
        <v>1244</v>
      </c>
      <c r="B13" s="5" t="s">
        <v>1245</v>
      </c>
      <c r="C13" s="5" t="s">
        <v>1248</v>
      </c>
      <c r="D13" s="10"/>
      <c r="E13" s="10" t="s">
        <v>1413</v>
      </c>
      <c r="F13" s="11">
        <f>(52470/67343)</f>
        <v>0.7791455682105044</v>
      </c>
    </row>
    <row r="14" spans="1:7" s="2" customFormat="1" ht="16.5" customHeight="1" thickBot="1">
      <c r="A14" s="6" t="s">
        <v>1453</v>
      </c>
      <c r="B14" s="28" t="s">
        <v>1258</v>
      </c>
      <c r="C14" s="36">
        <v>23004</v>
      </c>
      <c r="D14" s="17">
        <f>SUM(C14/$C$19)</f>
        <v>0.44173899685075657</v>
      </c>
      <c r="E14" s="16"/>
    </row>
    <row r="15" spans="1:7" s="2" customFormat="1" ht="16.5" customHeight="1" thickBot="1">
      <c r="A15" s="12" t="s">
        <v>1981</v>
      </c>
      <c r="B15" s="20" t="s">
        <v>1261</v>
      </c>
      <c r="C15" s="8">
        <v>13644</v>
      </c>
      <c r="D15" s="17">
        <f>SUM(C15/$C$19)</f>
        <v>0.26200168983792921</v>
      </c>
      <c r="E15" s="16"/>
      <c r="G15" s="14"/>
    </row>
    <row r="16" spans="1:7" s="2" customFormat="1" ht="16.5" customHeight="1" thickBot="1">
      <c r="A16" s="12" t="s">
        <v>627</v>
      </c>
      <c r="B16" s="13" t="s">
        <v>1247</v>
      </c>
      <c r="C16" s="8">
        <v>12449</v>
      </c>
      <c r="D16" s="17">
        <f>SUM(C16/$C$19)</f>
        <v>0.2390544588678086</v>
      </c>
      <c r="E16" s="16"/>
      <c r="G16" s="14"/>
    </row>
    <row r="17" spans="1:7" s="2" customFormat="1" ht="16.5" customHeight="1" thickBot="1">
      <c r="A17" s="12" t="s">
        <v>628</v>
      </c>
      <c r="B17" s="40" t="s">
        <v>1269</v>
      </c>
      <c r="C17" s="8">
        <v>1846</v>
      </c>
      <c r="D17" s="17">
        <f>SUM(C17/$C$19)</f>
        <v>3.5448191105307628E-2</v>
      </c>
      <c r="E17" s="16"/>
      <c r="G17" s="14"/>
    </row>
    <row r="18" spans="1:7" s="2" customFormat="1" ht="16.5" customHeight="1" thickBot="1">
      <c r="A18" s="12" t="s">
        <v>629</v>
      </c>
      <c r="B18" s="37" t="s">
        <v>1286</v>
      </c>
      <c r="C18" s="8">
        <v>1133</v>
      </c>
      <c r="D18" s="17">
        <f>SUM(C18/$C$19)</f>
        <v>2.1756663338198017E-2</v>
      </c>
      <c r="E18" s="16"/>
      <c r="G18" s="14"/>
    </row>
    <row r="19" spans="1:7" s="2" customFormat="1" ht="16.5" customHeight="1">
      <c r="A19" s="75"/>
      <c r="B19" s="76"/>
      <c r="C19" s="23">
        <f>SUM(C14:C18)</f>
        <v>52076</v>
      </c>
      <c r="D19" s="17"/>
      <c r="E19" s="10" t="s">
        <v>1874</v>
      </c>
      <c r="F19" s="21">
        <f>(C14-C15)</f>
        <v>9360</v>
      </c>
    </row>
    <row r="20" spans="1:7" s="2" customFormat="1" ht="12" customHeight="1">
      <c r="A20" s="1"/>
    </row>
    <row r="21" spans="1:7" s="2" customFormat="1" ht="16.5" customHeight="1">
      <c r="A21" s="1" t="s">
        <v>630</v>
      </c>
    </row>
    <row r="22" spans="1:7" s="2" customFormat="1" ht="9.75" customHeight="1" thickBot="1">
      <c r="A22" s="3"/>
    </row>
    <row r="23" spans="1:7" s="2" customFormat="1" ht="16.5" customHeight="1" thickBot="1">
      <c r="A23" s="4" t="s">
        <v>1244</v>
      </c>
      <c r="B23" s="5" t="s">
        <v>1245</v>
      </c>
      <c r="C23" s="5" t="s">
        <v>1248</v>
      </c>
      <c r="D23" s="10"/>
      <c r="E23" s="10" t="s">
        <v>1413</v>
      </c>
      <c r="F23" s="11">
        <f>(49064/70583)</f>
        <v>0.69512488842922515</v>
      </c>
    </row>
    <row r="24" spans="1:7" s="2" customFormat="1" ht="16.5" customHeight="1" thickBot="1">
      <c r="A24" s="6" t="s">
        <v>2410</v>
      </c>
      <c r="B24" s="7" t="s">
        <v>1261</v>
      </c>
      <c r="C24" s="36">
        <v>23743</v>
      </c>
      <c r="D24" s="17">
        <f>SUM(C24/$C$29)</f>
        <v>0.48822767370607228</v>
      </c>
      <c r="E24" s="16"/>
    </row>
    <row r="25" spans="1:7" s="2" customFormat="1" ht="16.5" customHeight="1" thickBot="1">
      <c r="A25" s="12" t="s">
        <v>2002</v>
      </c>
      <c r="B25" s="27" t="s">
        <v>1258</v>
      </c>
      <c r="C25" s="8">
        <v>13883</v>
      </c>
      <c r="D25" s="17">
        <f>SUM(C25/$C$29)</f>
        <v>0.28547634225082769</v>
      </c>
      <c r="E25" s="16"/>
      <c r="G25" s="14"/>
    </row>
    <row r="26" spans="1:7" s="2" customFormat="1" ht="16.5" customHeight="1" thickBot="1">
      <c r="A26" s="12" t="s">
        <v>1978</v>
      </c>
      <c r="B26" s="13" t="s">
        <v>1247</v>
      </c>
      <c r="C26" s="8">
        <v>8707</v>
      </c>
      <c r="D26" s="17">
        <f>SUM(C26/$C$29)</f>
        <v>0.17904217474450454</v>
      </c>
      <c r="E26" s="16"/>
      <c r="G26" s="14"/>
    </row>
    <row r="27" spans="1:7" s="2" customFormat="1" ht="16.5" customHeight="1" thickBot="1">
      <c r="A27" s="12" t="s">
        <v>631</v>
      </c>
      <c r="B27" s="40" t="s">
        <v>1269</v>
      </c>
      <c r="C27" s="8">
        <v>1276</v>
      </c>
      <c r="D27" s="17">
        <f>SUM(C27/$C$29)</f>
        <v>2.6238407600090476E-2</v>
      </c>
      <c r="E27" s="21"/>
    </row>
    <row r="28" spans="1:7" s="2" customFormat="1" ht="16.5" customHeight="1" thickBot="1">
      <c r="A28" s="12" t="s">
        <v>2246</v>
      </c>
      <c r="B28" s="37" t="s">
        <v>1286</v>
      </c>
      <c r="C28" s="8">
        <v>1022</v>
      </c>
      <c r="D28" s="17">
        <f>SUM(C28/$C$29)</f>
        <v>2.1015401698505069E-2</v>
      </c>
      <c r="E28" s="21"/>
    </row>
    <row r="29" spans="1:7" s="2" customFormat="1" ht="16.5" customHeight="1">
      <c r="A29" s="75"/>
      <c r="B29" s="76"/>
      <c r="C29" s="23">
        <f>SUM(C24:C28)</f>
        <v>48631</v>
      </c>
      <c r="D29" s="17"/>
      <c r="E29" s="10" t="s">
        <v>1874</v>
      </c>
      <c r="F29" s="21">
        <f>(C24-C25)</f>
        <v>9860</v>
      </c>
    </row>
    <row r="30" spans="1:7" s="2" customFormat="1" ht="12" customHeight="1">
      <c r="A30" s="1"/>
    </row>
    <row r="31" spans="1:7" s="2" customFormat="1" ht="16.5" customHeight="1">
      <c r="A31" s="1" t="s">
        <v>632</v>
      </c>
    </row>
    <row r="32" spans="1:7" s="2" customFormat="1" ht="9.75" customHeight="1" thickBot="1">
      <c r="A32" s="3"/>
    </row>
    <row r="33" spans="1:7" s="2" customFormat="1" ht="16.5" customHeight="1" thickBot="1">
      <c r="A33" s="4" t="s">
        <v>1244</v>
      </c>
      <c r="B33" s="5" t="s">
        <v>1245</v>
      </c>
      <c r="C33" s="5" t="s">
        <v>1248</v>
      </c>
      <c r="D33" s="10"/>
      <c r="E33" s="10" t="s">
        <v>1413</v>
      </c>
      <c r="F33" s="11">
        <f>(49124/71097)</f>
        <v>0.69094335907281601</v>
      </c>
    </row>
    <row r="34" spans="1:7" s="2" customFormat="1" ht="16.5" customHeight="1" thickBot="1">
      <c r="A34" s="6" t="s">
        <v>2417</v>
      </c>
      <c r="B34" s="9" t="s">
        <v>1257</v>
      </c>
      <c r="C34" s="36">
        <v>29532</v>
      </c>
      <c r="D34" s="17">
        <f t="shared" ref="D34:D39" si="0">SUM(C34/$C$40)</f>
        <v>0.60486645911846637</v>
      </c>
      <c r="E34" s="16"/>
    </row>
    <row r="35" spans="1:7" s="2" customFormat="1" ht="16.5" customHeight="1" thickBot="1">
      <c r="A35" s="12" t="s">
        <v>2009</v>
      </c>
      <c r="B35" s="20" t="s">
        <v>1261</v>
      </c>
      <c r="C35" s="8">
        <v>9375</v>
      </c>
      <c r="D35" s="17">
        <f t="shared" si="0"/>
        <v>0.19201622153039488</v>
      </c>
      <c r="E35" s="16"/>
      <c r="G35" s="14"/>
    </row>
    <row r="36" spans="1:7" s="2" customFormat="1" ht="16.5" customHeight="1" thickBot="1">
      <c r="A36" s="12" t="s">
        <v>633</v>
      </c>
      <c r="B36" s="13" t="s">
        <v>1247</v>
      </c>
      <c r="C36" s="8">
        <v>5464</v>
      </c>
      <c r="D36" s="17">
        <f t="shared" si="0"/>
        <v>0.11191217434048828</v>
      </c>
      <c r="E36" s="16"/>
      <c r="G36" s="14"/>
    </row>
    <row r="37" spans="1:7" s="2" customFormat="1" ht="16.5" customHeight="1" thickBot="1">
      <c r="A37" s="12" t="s">
        <v>2519</v>
      </c>
      <c r="B37" s="40" t="s">
        <v>1269</v>
      </c>
      <c r="C37" s="8">
        <v>3237</v>
      </c>
      <c r="D37" s="17">
        <f t="shared" si="0"/>
        <v>6.6299360970014751E-2</v>
      </c>
      <c r="E37" s="21"/>
    </row>
    <row r="38" spans="1:7" s="2" customFormat="1" ht="16.5" customHeight="1" thickBot="1">
      <c r="A38" s="12" t="s">
        <v>1285</v>
      </c>
      <c r="B38" s="37" t="s">
        <v>1286</v>
      </c>
      <c r="C38" s="8">
        <v>935</v>
      </c>
      <c r="D38" s="17">
        <f t="shared" si="0"/>
        <v>1.9150417827298049E-2</v>
      </c>
      <c r="E38" s="16"/>
      <c r="G38" s="14"/>
    </row>
    <row r="39" spans="1:7" s="2" customFormat="1" ht="16.5" customHeight="1" thickBot="1">
      <c r="A39" s="12" t="s">
        <v>2312</v>
      </c>
      <c r="B39" s="39" t="s">
        <v>2303</v>
      </c>
      <c r="C39" s="8">
        <v>281</v>
      </c>
      <c r="D39" s="17">
        <f t="shared" si="0"/>
        <v>5.755366213337703E-3</v>
      </c>
      <c r="E39" s="16"/>
      <c r="G39" s="14"/>
    </row>
    <row r="40" spans="1:7" s="2" customFormat="1" ht="16.5" customHeight="1">
      <c r="A40" s="75"/>
      <c r="B40" s="76"/>
      <c r="C40" s="23">
        <f>SUM(C34:C39)</f>
        <v>48824</v>
      </c>
      <c r="D40" s="17"/>
      <c r="E40" s="10" t="s">
        <v>1874</v>
      </c>
      <c r="F40" s="21">
        <f>(C34-C35)</f>
        <v>20157</v>
      </c>
    </row>
    <row r="41" spans="1:7" s="2" customFormat="1" ht="12" customHeight="1">
      <c r="A41" s="1"/>
    </row>
    <row r="42" spans="1:7" s="2" customFormat="1" ht="16.5" customHeight="1">
      <c r="A42" s="1" t="s">
        <v>620</v>
      </c>
    </row>
    <row r="43" spans="1:7" s="2" customFormat="1" ht="9.75" customHeight="1" thickBot="1">
      <c r="A43" s="3"/>
    </row>
    <row r="44" spans="1:7" s="2" customFormat="1" ht="16.5" customHeight="1" thickBot="1">
      <c r="A44" s="4" t="s">
        <v>1244</v>
      </c>
      <c r="B44" s="5" t="s">
        <v>1245</v>
      </c>
      <c r="C44" s="5" t="s">
        <v>1248</v>
      </c>
      <c r="D44" s="10"/>
      <c r="E44" s="10" t="s">
        <v>1413</v>
      </c>
      <c r="F44" s="11">
        <f>(52549/66151)</f>
        <v>0.79437952563075387</v>
      </c>
    </row>
    <row r="45" spans="1:7" s="2" customFormat="1" ht="16.5" customHeight="1" thickBot="1">
      <c r="A45" s="6" t="s">
        <v>2414</v>
      </c>
      <c r="B45" s="7" t="s">
        <v>1261</v>
      </c>
      <c r="C45" s="36">
        <v>25137</v>
      </c>
      <c r="D45" s="17">
        <f>SUM(C45/$C$50)</f>
        <v>0.48092523149919647</v>
      </c>
      <c r="E45" s="16"/>
    </row>
    <row r="46" spans="1:7" s="2" customFormat="1" ht="16.5" customHeight="1" thickBot="1">
      <c r="A46" s="12" t="s">
        <v>2263</v>
      </c>
      <c r="B46" s="22" t="s">
        <v>1257</v>
      </c>
      <c r="C46" s="8">
        <v>19812</v>
      </c>
      <c r="D46" s="17">
        <f>SUM(C46/$C$50)</f>
        <v>0.37904645289660976</v>
      </c>
      <c r="E46" s="16"/>
      <c r="G46" s="14"/>
    </row>
    <row r="47" spans="1:7" s="2" customFormat="1" ht="16.5" customHeight="1" thickBot="1">
      <c r="A47" s="12" t="s">
        <v>621</v>
      </c>
      <c r="B47" s="13" t="s">
        <v>1247</v>
      </c>
      <c r="C47" s="8">
        <v>6173</v>
      </c>
      <c r="D47" s="17">
        <f>SUM(C47/$C$50)</f>
        <v>0.11810285451901738</v>
      </c>
      <c r="E47" s="16"/>
      <c r="G47" s="14"/>
    </row>
    <row r="48" spans="1:7" s="2" customFormat="1" ht="16.5" customHeight="1" thickBot="1">
      <c r="A48" s="12" t="s">
        <v>2261</v>
      </c>
      <c r="B48" s="40" t="s">
        <v>1269</v>
      </c>
      <c r="C48" s="8">
        <v>664</v>
      </c>
      <c r="D48" s="17">
        <f>SUM(C48/$C$50)</f>
        <v>1.2703757557205174E-2</v>
      </c>
      <c r="E48" s="16"/>
      <c r="G48" s="14"/>
    </row>
    <row r="49" spans="1:7" s="2" customFormat="1" ht="16.5" customHeight="1" thickBot="1">
      <c r="A49" s="12" t="s">
        <v>622</v>
      </c>
      <c r="B49" s="37" t="s">
        <v>1286</v>
      </c>
      <c r="C49" s="8">
        <v>482</v>
      </c>
      <c r="D49" s="17">
        <f>SUM(C49/$C$50)</f>
        <v>9.2217035279712253E-3</v>
      </c>
      <c r="E49" s="16"/>
      <c r="G49" s="14"/>
    </row>
    <row r="50" spans="1:7" s="2" customFormat="1" ht="16.5" customHeight="1">
      <c r="A50" s="75"/>
      <c r="B50" s="76"/>
      <c r="C50" s="23">
        <f>SUM(C45:C49)</f>
        <v>52268</v>
      </c>
      <c r="D50" s="17"/>
      <c r="E50" s="10" t="s">
        <v>1874</v>
      </c>
      <c r="F50" s="21">
        <f>(C45-C46)</f>
        <v>5325</v>
      </c>
    </row>
    <row r="51" spans="1:7" s="2" customFormat="1" ht="12" customHeight="1">
      <c r="A51" s="1"/>
    </row>
    <row r="52" spans="1:7" s="2" customFormat="1" ht="16.5" customHeight="1">
      <c r="A52" s="1" t="s">
        <v>611</v>
      </c>
    </row>
    <row r="53" spans="1:7" s="2" customFormat="1" ht="9.75" customHeight="1" thickBot="1">
      <c r="A53" s="3"/>
    </row>
    <row r="54" spans="1:7" s="2" customFormat="1" ht="16.5" customHeight="1" thickBot="1">
      <c r="A54" s="4" t="s">
        <v>1244</v>
      </c>
      <c r="B54" s="5" t="s">
        <v>1245</v>
      </c>
      <c r="C54" s="5" t="s">
        <v>1248</v>
      </c>
      <c r="D54" s="10"/>
      <c r="E54" s="10" t="s">
        <v>1413</v>
      </c>
      <c r="F54" s="11">
        <f>(56870/71443)</f>
        <v>0.79601920412076765</v>
      </c>
    </row>
    <row r="55" spans="1:7" s="2" customFormat="1" ht="16.5" customHeight="1" thickBot="1">
      <c r="A55" s="6" t="s">
        <v>2030</v>
      </c>
      <c r="B55" s="7" t="s">
        <v>1261</v>
      </c>
      <c r="C55" s="36">
        <v>26579</v>
      </c>
      <c r="D55" s="17">
        <f>SUM(C55/$C$60)</f>
        <v>0.47014186153465171</v>
      </c>
      <c r="E55" s="16"/>
    </row>
    <row r="56" spans="1:7" s="2" customFormat="1" ht="16.5" customHeight="1" thickBot="1">
      <c r="A56" s="12" t="s">
        <v>612</v>
      </c>
      <c r="B56" s="22" t="s">
        <v>1257</v>
      </c>
      <c r="C56" s="8">
        <v>25848</v>
      </c>
      <c r="D56" s="17">
        <f>SUM(C56/$C$60)</f>
        <v>0.45721158948597307</v>
      </c>
      <c r="E56" s="16"/>
      <c r="G56" s="14"/>
    </row>
    <row r="57" spans="1:7" s="2" customFormat="1" ht="16.5" customHeight="1" thickBot="1">
      <c r="A57" s="12" t="s">
        <v>613</v>
      </c>
      <c r="B57" s="13" t="s">
        <v>1247</v>
      </c>
      <c r="C57" s="8">
        <v>2363</v>
      </c>
      <c r="D57" s="17">
        <f>SUM(C57/$C$60)</f>
        <v>4.1797856157356636E-2</v>
      </c>
      <c r="E57" s="16"/>
      <c r="G57" s="14"/>
    </row>
    <row r="58" spans="1:7" s="2" customFormat="1" ht="16.5" customHeight="1" thickBot="1">
      <c r="A58" s="12" t="s">
        <v>614</v>
      </c>
      <c r="B58" s="40" t="s">
        <v>1269</v>
      </c>
      <c r="C58" s="8">
        <v>1069</v>
      </c>
      <c r="D58" s="17">
        <f>SUM(C58/$C$60)</f>
        <v>1.8908975130010261E-2</v>
      </c>
      <c r="E58" s="16"/>
      <c r="G58" s="14"/>
    </row>
    <row r="59" spans="1:7" s="2" customFormat="1" ht="16.5" customHeight="1" thickBot="1">
      <c r="A59" s="12" t="s">
        <v>615</v>
      </c>
      <c r="B59" s="37" t="s">
        <v>1286</v>
      </c>
      <c r="C59" s="8">
        <v>675</v>
      </c>
      <c r="D59" s="17">
        <f>SUM(C59/$C$60)</f>
        <v>1.1939717692008349E-2</v>
      </c>
      <c r="E59" s="21"/>
    </row>
    <row r="60" spans="1:7" s="2" customFormat="1" ht="16.5" customHeight="1">
      <c r="A60" s="75"/>
      <c r="B60" s="76"/>
      <c r="C60" s="23">
        <f>SUM(C55:C59)</f>
        <v>56534</v>
      </c>
      <c r="D60" s="17"/>
      <c r="E60" s="10" t="s">
        <v>1874</v>
      </c>
      <c r="F60" s="21">
        <f>(C55-C56)</f>
        <v>731</v>
      </c>
    </row>
    <row r="61" spans="1:7" s="2" customFormat="1" ht="12" customHeight="1">
      <c r="A61" s="1"/>
    </row>
    <row r="62" spans="1:7" s="2" customFormat="1" ht="16.5" customHeight="1">
      <c r="A62" s="1" t="s">
        <v>617</v>
      </c>
    </row>
    <row r="63" spans="1:7" s="2" customFormat="1" ht="9.75" customHeight="1" thickBot="1">
      <c r="A63" s="3"/>
    </row>
    <row r="64" spans="1:7" s="2" customFormat="1" ht="16.5" customHeight="1" thickBot="1">
      <c r="A64" s="4" t="s">
        <v>1244</v>
      </c>
      <c r="B64" s="5" t="s">
        <v>1245</v>
      </c>
      <c r="C64" s="5" t="s">
        <v>1248</v>
      </c>
      <c r="D64" s="10"/>
      <c r="E64" s="10" t="s">
        <v>1413</v>
      </c>
      <c r="F64" s="11">
        <f>(42625/64596)</f>
        <v>0.65987058022168554</v>
      </c>
    </row>
    <row r="65" spans="1:7" s="2" customFormat="1" ht="16.5" customHeight="1" thickBot="1">
      <c r="A65" s="6" t="s">
        <v>618</v>
      </c>
      <c r="B65" s="9" t="s">
        <v>1257</v>
      </c>
      <c r="C65" s="36">
        <v>26037</v>
      </c>
      <c r="D65" s="17">
        <f>SUM(C65/$C$70)</f>
        <v>0.61509567682494681</v>
      </c>
      <c r="E65" s="16"/>
    </row>
    <row r="66" spans="1:7" s="2" customFormat="1" ht="16.5" customHeight="1" thickBot="1">
      <c r="A66" s="12" t="s">
        <v>2048</v>
      </c>
      <c r="B66" s="20" t="s">
        <v>1261</v>
      </c>
      <c r="C66" s="8">
        <v>8676</v>
      </c>
      <c r="D66" s="17">
        <f>SUM(C66/$C$70)</f>
        <v>0.20496102055279944</v>
      </c>
      <c r="E66" s="16"/>
      <c r="G66" s="14"/>
    </row>
    <row r="67" spans="1:7" s="2" customFormat="1" ht="16.5" customHeight="1" thickBot="1">
      <c r="A67" s="12" t="s">
        <v>2523</v>
      </c>
      <c r="B67" s="13" t="s">
        <v>1247</v>
      </c>
      <c r="C67" s="8">
        <v>3126</v>
      </c>
      <c r="D67" s="17">
        <f>SUM(C67/$C$70)</f>
        <v>7.3848334514528699E-2</v>
      </c>
      <c r="E67" s="16"/>
      <c r="G67" s="14"/>
    </row>
    <row r="68" spans="1:7" s="2" customFormat="1" ht="16.5" customHeight="1" thickBot="1">
      <c r="A68" s="12" t="s">
        <v>619</v>
      </c>
      <c r="B68" s="40" t="s">
        <v>1269</v>
      </c>
      <c r="C68" s="8">
        <v>2487</v>
      </c>
      <c r="D68" s="17">
        <f>SUM(C68/$C$70)</f>
        <v>5.8752657689581857E-2</v>
      </c>
      <c r="E68" s="21"/>
    </row>
    <row r="69" spans="1:7" s="2" customFormat="1" ht="16.5" customHeight="1" thickBot="1">
      <c r="A69" s="12" t="s">
        <v>1754</v>
      </c>
      <c r="B69" s="37" t="s">
        <v>1286</v>
      </c>
      <c r="C69" s="8">
        <v>2004</v>
      </c>
      <c r="D69" s="17">
        <f>SUM(C69/$C$70)</f>
        <v>4.7342310418143158E-2</v>
      </c>
      <c r="E69" s="16"/>
      <c r="G69" s="14"/>
    </row>
    <row r="70" spans="1:7" s="2" customFormat="1" ht="16.5" customHeight="1">
      <c r="A70" s="75"/>
      <c r="B70" s="76"/>
      <c r="C70" s="23">
        <f>SUM(C65:C69)</f>
        <v>42330</v>
      </c>
      <c r="D70" s="17"/>
      <c r="E70" s="10" t="s">
        <v>1874</v>
      </c>
      <c r="F70" s="21">
        <f>(C65-C66)</f>
        <v>17361</v>
      </c>
    </row>
    <row r="71" spans="1:7" s="2" customFormat="1" ht="12" customHeight="1">
      <c r="A71" s="1"/>
    </row>
    <row r="72" spans="1:7" s="2" customFormat="1" ht="16.5" customHeight="1">
      <c r="A72" s="1" t="s">
        <v>616</v>
      </c>
    </row>
    <row r="73" spans="1:7" s="2" customFormat="1" ht="9.75" customHeight="1" thickBot="1">
      <c r="A73" s="3"/>
    </row>
    <row r="74" spans="1:7" s="2" customFormat="1" ht="16.5" customHeight="1" thickBot="1">
      <c r="A74" s="4" t="s">
        <v>1244</v>
      </c>
      <c r="B74" s="5" t="s">
        <v>1245</v>
      </c>
      <c r="C74" s="5" t="s">
        <v>1248</v>
      </c>
      <c r="D74" s="10"/>
      <c r="E74" s="10" t="s">
        <v>1413</v>
      </c>
      <c r="F74" s="11">
        <f>(41833/64937)</f>
        <v>0.64420900257172331</v>
      </c>
    </row>
    <row r="75" spans="1:7" s="2" customFormat="1" ht="16.5" customHeight="1" thickBot="1">
      <c r="A75" s="6" t="s">
        <v>2532</v>
      </c>
      <c r="B75" s="9" t="s">
        <v>1257</v>
      </c>
      <c r="C75" s="36">
        <v>29101</v>
      </c>
      <c r="D75" s="17">
        <f>SUM(C75/$C$80)</f>
        <v>0.69974511878426471</v>
      </c>
      <c r="E75" s="16"/>
    </row>
    <row r="76" spans="1:7" s="2" customFormat="1" ht="16.5" customHeight="1" thickBot="1">
      <c r="A76" s="12" t="s">
        <v>2059</v>
      </c>
      <c r="B76" s="40" t="s">
        <v>1269</v>
      </c>
      <c r="C76" s="8">
        <v>5728</v>
      </c>
      <c r="D76" s="17">
        <f>SUM(C76/$C$80)</f>
        <v>0.13773203808790999</v>
      </c>
      <c r="E76" s="16"/>
      <c r="G76" s="14"/>
    </row>
    <row r="77" spans="1:7" s="2" customFormat="1" ht="16.5" customHeight="1" thickBot="1">
      <c r="A77" s="12" t="s">
        <v>2293</v>
      </c>
      <c r="B77" s="20" t="s">
        <v>1261</v>
      </c>
      <c r="C77" s="8">
        <v>2888</v>
      </c>
      <c r="D77" s="17">
        <f>SUM(C77/$C$80)</f>
        <v>6.9443108589016062E-2</v>
      </c>
      <c r="E77" s="21"/>
    </row>
    <row r="78" spans="1:7" s="2" customFormat="1" ht="16.5" customHeight="1" thickBot="1">
      <c r="A78" s="12" t="s">
        <v>2535</v>
      </c>
      <c r="B78" s="13" t="s">
        <v>1247</v>
      </c>
      <c r="C78" s="8">
        <v>2656</v>
      </c>
      <c r="D78" s="17">
        <f>SUM(C78/$C$80)</f>
        <v>6.3864576320092334E-2</v>
      </c>
      <c r="E78" s="16"/>
      <c r="G78" s="14"/>
    </row>
    <row r="79" spans="1:7" s="2" customFormat="1" ht="16.5" customHeight="1" thickBot="1">
      <c r="A79" s="12" t="s">
        <v>1720</v>
      </c>
      <c r="B79" s="37" t="s">
        <v>1286</v>
      </c>
      <c r="C79" s="8">
        <v>1215</v>
      </c>
      <c r="D79" s="17">
        <f>SUM(C79/$C$80)</f>
        <v>2.9215158218716938E-2</v>
      </c>
      <c r="E79" s="21"/>
    </row>
    <row r="80" spans="1:7" s="2" customFormat="1" ht="16.5" customHeight="1">
      <c r="A80" s="75"/>
      <c r="B80" s="76"/>
      <c r="C80" s="23">
        <f>SUM(C75:C79)</f>
        <v>41588</v>
      </c>
      <c r="D80" s="17"/>
      <c r="E80" s="10" t="s">
        <v>1874</v>
      </c>
      <c r="F80" s="21">
        <f>(C75-C76)</f>
        <v>23373</v>
      </c>
    </row>
    <row r="81" spans="1:7" s="2" customFormat="1" ht="12" customHeight="1">
      <c r="A81" s="1"/>
    </row>
    <row r="82" spans="1:7" s="2" customFormat="1" ht="16.5" customHeight="1">
      <c r="A82" s="1" t="s">
        <v>637</v>
      </c>
    </row>
    <row r="83" spans="1:7" s="2" customFormat="1" ht="9.75" customHeight="1" thickBot="1">
      <c r="A83" s="3"/>
    </row>
    <row r="84" spans="1:7" s="2" customFormat="1" ht="16.5" customHeight="1" thickBot="1">
      <c r="A84" s="4" t="s">
        <v>1244</v>
      </c>
      <c r="B84" s="5" t="s">
        <v>1245</v>
      </c>
      <c r="C84" s="5" t="s">
        <v>1248</v>
      </c>
      <c r="D84" s="10"/>
      <c r="E84" s="10" t="s">
        <v>1413</v>
      </c>
      <c r="F84" s="11">
        <f>(36650/61706)</f>
        <v>0.59394548342138531</v>
      </c>
    </row>
    <row r="85" spans="1:7" s="2" customFormat="1" ht="16.5" customHeight="1" thickBot="1">
      <c r="A85" s="6" t="s">
        <v>2481</v>
      </c>
      <c r="B85" s="9" t="s">
        <v>1257</v>
      </c>
      <c r="C85" s="36">
        <v>25395</v>
      </c>
      <c r="D85" s="17">
        <f>SUM(C85/$C$89)</f>
        <v>0.69754985441960116</v>
      </c>
      <c r="E85" s="16"/>
    </row>
    <row r="86" spans="1:7" s="2" customFormat="1" ht="16.5" customHeight="1" thickBot="1">
      <c r="A86" s="12" t="s">
        <v>2288</v>
      </c>
      <c r="B86" s="40" t="s">
        <v>1269</v>
      </c>
      <c r="C86" s="8">
        <v>5808</v>
      </c>
      <c r="D86" s="17">
        <f>SUM(C86/$C$89)</f>
        <v>0.15953414272372685</v>
      </c>
      <c r="E86" s="16"/>
      <c r="G86" s="14"/>
    </row>
    <row r="87" spans="1:7" s="2" customFormat="1" ht="16.5" customHeight="1" thickBot="1">
      <c r="A87" s="12" t="s">
        <v>2075</v>
      </c>
      <c r="B87" s="20" t="s">
        <v>1261</v>
      </c>
      <c r="C87" s="8">
        <v>3611</v>
      </c>
      <c r="D87" s="17">
        <f>SUM(C87/$C$89)</f>
        <v>9.9186947206504422E-2</v>
      </c>
      <c r="E87" s="16"/>
      <c r="G87" s="14"/>
    </row>
    <row r="88" spans="1:7" s="2" customFormat="1" ht="16.5" customHeight="1" thickBot="1">
      <c r="A88" s="12" t="s">
        <v>2386</v>
      </c>
      <c r="B88" s="13" t="s">
        <v>1247</v>
      </c>
      <c r="C88" s="8">
        <v>1592</v>
      </c>
      <c r="D88" s="17">
        <f>SUM(C88/$C$89)</f>
        <v>4.3729055650167555E-2</v>
      </c>
      <c r="E88" s="21"/>
    </row>
    <row r="89" spans="1:7" s="2" customFormat="1" ht="16.5" customHeight="1">
      <c r="A89" s="75"/>
      <c r="B89" s="76"/>
      <c r="C89" s="23">
        <f>SUM(C85:C88)</f>
        <v>36406</v>
      </c>
      <c r="D89" s="17"/>
      <c r="E89" s="10" t="s">
        <v>1874</v>
      </c>
      <c r="F89" s="21">
        <f>(C85-C86)</f>
        <v>19587</v>
      </c>
    </row>
    <row r="90" spans="1:7" s="2" customFormat="1" ht="12" customHeight="1">
      <c r="A90" s="1"/>
    </row>
    <row r="91" spans="1:7" s="2" customFormat="1" ht="16.5" customHeight="1">
      <c r="A91" s="1" t="s">
        <v>634</v>
      </c>
    </row>
    <row r="92" spans="1:7" s="2" customFormat="1" ht="9.75" customHeight="1" thickBot="1">
      <c r="A92" s="3"/>
    </row>
    <row r="93" spans="1:7" s="2" customFormat="1" ht="16.5" customHeight="1" thickBot="1">
      <c r="A93" s="4" t="s">
        <v>1244</v>
      </c>
      <c r="B93" s="5" t="s">
        <v>1245</v>
      </c>
      <c r="C93" s="5" t="s">
        <v>1248</v>
      </c>
      <c r="D93" s="10"/>
      <c r="E93" s="10" t="s">
        <v>1413</v>
      </c>
      <c r="F93" s="11">
        <f>(41624/65774)</f>
        <v>0.63283364247270957</v>
      </c>
    </row>
    <row r="94" spans="1:7" s="2" customFormat="1" ht="16.5" customHeight="1" thickBot="1">
      <c r="A94" s="6" t="s">
        <v>1464</v>
      </c>
      <c r="B94" s="28" t="s">
        <v>1258</v>
      </c>
      <c r="C94" s="36">
        <v>28383</v>
      </c>
      <c r="D94" s="17">
        <f>SUM(C94/$C$98)</f>
        <v>0.68715651858128557</v>
      </c>
      <c r="E94" s="16"/>
    </row>
    <row r="95" spans="1:7" s="2" customFormat="1" ht="16.5" customHeight="1" thickBot="1">
      <c r="A95" s="12" t="s">
        <v>2086</v>
      </c>
      <c r="B95" s="20" t="s">
        <v>1261</v>
      </c>
      <c r="C95" s="8">
        <v>5149</v>
      </c>
      <c r="D95" s="17">
        <f>SUM(C95/$C$98)</f>
        <v>0.12465803171528871</v>
      </c>
      <c r="E95" s="16"/>
      <c r="G95" s="14"/>
    </row>
    <row r="96" spans="1:7" s="2" customFormat="1" ht="16.5" customHeight="1" thickBot="1">
      <c r="A96" s="12" t="s">
        <v>2541</v>
      </c>
      <c r="B96" s="40" t="s">
        <v>1269</v>
      </c>
      <c r="C96" s="8">
        <v>5140</v>
      </c>
      <c r="D96" s="17">
        <f>SUM(C96/$C$98)</f>
        <v>0.1244401404188355</v>
      </c>
      <c r="E96" s="16"/>
      <c r="G96" s="14"/>
    </row>
    <row r="97" spans="1:7" s="2" customFormat="1" ht="16.5" customHeight="1" thickBot="1">
      <c r="A97" s="12" t="s">
        <v>635</v>
      </c>
      <c r="B97" s="13" t="s">
        <v>1247</v>
      </c>
      <c r="C97" s="8">
        <v>2633</v>
      </c>
      <c r="D97" s="17">
        <f>SUM(C97/$C$98)</f>
        <v>6.374530928459024E-2</v>
      </c>
      <c r="E97" s="21"/>
    </row>
    <row r="98" spans="1:7" s="2" customFormat="1" ht="16.5" customHeight="1">
      <c r="A98" s="75"/>
      <c r="B98" s="76"/>
      <c r="C98" s="23">
        <f>SUM(C94:C97)</f>
        <v>41305</v>
      </c>
      <c r="D98" s="17"/>
      <c r="E98" s="10" t="s">
        <v>1874</v>
      </c>
      <c r="F98" s="21">
        <f>(C94-C95)</f>
        <v>23234</v>
      </c>
    </row>
    <row r="99" spans="1:7" s="2" customFormat="1" ht="12" customHeight="1">
      <c r="A99" s="1"/>
    </row>
    <row r="100" spans="1:7" s="2" customFormat="1" ht="16.5" customHeight="1">
      <c r="A100" s="1" t="s">
        <v>636</v>
      </c>
    </row>
    <row r="101" spans="1:7" s="2" customFormat="1" ht="9.75" customHeight="1" thickBot="1">
      <c r="A101" s="3"/>
    </row>
    <row r="102" spans="1:7" s="2" customFormat="1" ht="16.5" customHeight="1" thickBot="1">
      <c r="A102" s="4" t="s">
        <v>1244</v>
      </c>
      <c r="B102" s="5" t="s">
        <v>1245</v>
      </c>
      <c r="C102" s="5" t="s">
        <v>1248</v>
      </c>
      <c r="D102" s="10"/>
      <c r="E102" s="10" t="s">
        <v>1413</v>
      </c>
      <c r="F102" s="11">
        <f>(33649/60600)</f>
        <v>0.55526402640264028</v>
      </c>
    </row>
    <row r="103" spans="1:7" s="2" customFormat="1" ht="16.5" customHeight="1" thickBot="1">
      <c r="A103" s="6" t="s">
        <v>2372</v>
      </c>
      <c r="B103" s="9" t="s">
        <v>1257</v>
      </c>
      <c r="C103" s="36">
        <v>23942</v>
      </c>
      <c r="D103" s="17">
        <f>SUM(C103/$C$106)</f>
        <v>0.71554094441123728</v>
      </c>
      <c r="E103" s="16"/>
    </row>
    <row r="104" spans="1:7" s="2" customFormat="1" ht="16.5" customHeight="1" thickBot="1">
      <c r="A104" s="12" t="s">
        <v>2101</v>
      </c>
      <c r="B104" s="40" t="s">
        <v>1269</v>
      </c>
      <c r="C104" s="8">
        <v>8582</v>
      </c>
      <c r="D104" s="17">
        <f>SUM(C104/$C$106)</f>
        <v>0.25648535564853558</v>
      </c>
      <c r="E104" s="16"/>
      <c r="G104" s="14"/>
    </row>
    <row r="105" spans="1:7" s="2" customFormat="1" ht="16.5" customHeight="1" thickBot="1">
      <c r="A105" s="12" t="s">
        <v>2298</v>
      </c>
      <c r="B105" s="37" t="s">
        <v>1286</v>
      </c>
      <c r="C105" s="8">
        <v>936</v>
      </c>
      <c r="D105" s="17">
        <f>SUM(C105/$C$106)</f>
        <v>2.7973699940227137E-2</v>
      </c>
      <c r="E105" s="21"/>
    </row>
    <row r="106" spans="1:7" s="2" customFormat="1" ht="16.5" customHeight="1">
      <c r="A106" s="75"/>
      <c r="B106" s="76"/>
      <c r="C106" s="23">
        <f>SUM(C103:C105)</f>
        <v>33460</v>
      </c>
      <c r="D106" s="17"/>
      <c r="E106" s="10" t="s">
        <v>1874</v>
      </c>
      <c r="F106" s="21">
        <f>(C103-C104)</f>
        <v>15360</v>
      </c>
    </row>
    <row r="107" spans="1:7" s="2" customFormat="1" ht="12" customHeight="1">
      <c r="A107" s="1"/>
    </row>
    <row r="108" spans="1:7" s="2" customFormat="1" ht="16.5" customHeight="1">
      <c r="A108" s="1" t="s">
        <v>609</v>
      </c>
    </row>
    <row r="109" spans="1:7" s="2" customFormat="1" ht="9.75" customHeight="1" thickBot="1">
      <c r="A109" s="3"/>
    </row>
    <row r="110" spans="1:7" s="2" customFormat="1" ht="16.5" customHeight="1" thickBot="1">
      <c r="A110" s="4" t="s">
        <v>1244</v>
      </c>
      <c r="B110" s="5" t="s">
        <v>1245</v>
      </c>
      <c r="C110" s="5" t="s">
        <v>1248</v>
      </c>
      <c r="D110" s="10"/>
      <c r="E110" s="10" t="s">
        <v>1413</v>
      </c>
      <c r="F110" s="11">
        <f>(37338/64475)</f>
        <v>0.57910818146568432</v>
      </c>
    </row>
    <row r="111" spans="1:7" s="2" customFormat="1" ht="16.5" customHeight="1" thickBot="1">
      <c r="A111" s="6" t="s">
        <v>1802</v>
      </c>
      <c r="B111" s="9" t="s">
        <v>1257</v>
      </c>
      <c r="C111" s="36">
        <v>28199</v>
      </c>
      <c r="D111" s="17">
        <f>SUM(C111/$C$114)</f>
        <v>0.75932358564235125</v>
      </c>
      <c r="E111" s="16"/>
    </row>
    <row r="112" spans="1:7" s="2" customFormat="1" ht="16.5" customHeight="1" thickBot="1">
      <c r="A112" s="12" t="s">
        <v>2366</v>
      </c>
      <c r="B112" s="40" t="s">
        <v>1269</v>
      </c>
      <c r="C112" s="8">
        <v>7553</v>
      </c>
      <c r="D112" s="17">
        <f>SUM(C112/$C$114)</f>
        <v>0.20338207178824352</v>
      </c>
      <c r="E112" s="16"/>
      <c r="G112" s="14"/>
    </row>
    <row r="113" spans="1:12" s="2" customFormat="1" ht="16.5" customHeight="1" thickBot="1">
      <c r="A113" s="12" t="s">
        <v>610</v>
      </c>
      <c r="B113" s="37" t="s">
        <v>1286</v>
      </c>
      <c r="C113" s="8">
        <v>1385</v>
      </c>
      <c r="D113" s="17">
        <f>SUM(C113/$C$114)</f>
        <v>3.7294342569405177E-2</v>
      </c>
      <c r="E113" s="21"/>
    </row>
    <row r="114" spans="1:12" s="2" customFormat="1" ht="16.5" customHeight="1">
      <c r="A114" s="75"/>
      <c r="B114" s="76"/>
      <c r="C114" s="23">
        <f>SUM(C111:C113)</f>
        <v>37137</v>
      </c>
      <c r="D114" s="17"/>
      <c r="E114" s="10" t="s">
        <v>1874</v>
      </c>
      <c r="F114" s="21">
        <f>(C111-C112)</f>
        <v>20646</v>
      </c>
    </row>
    <row r="115" spans="1:12" s="2" customFormat="1" ht="12" customHeight="1">
      <c r="A115" s="1"/>
    </row>
    <row r="116" spans="1:12" s="2" customFormat="1" ht="16.5" customHeight="1">
      <c r="A116" s="1" t="s">
        <v>607</v>
      </c>
    </row>
    <row r="117" spans="1:12" s="2" customFormat="1" ht="9.75" customHeight="1" thickBot="1">
      <c r="A117" s="3"/>
    </row>
    <row r="118" spans="1:12" s="2" customFormat="1" ht="16.5" customHeight="1" thickBot="1">
      <c r="A118" s="4" t="s">
        <v>1244</v>
      </c>
      <c r="B118" s="5" t="s">
        <v>1245</v>
      </c>
      <c r="C118" s="5" t="s">
        <v>1248</v>
      </c>
      <c r="D118" s="10"/>
      <c r="E118" s="10" t="s">
        <v>1413</v>
      </c>
      <c r="F118" s="11">
        <f>(40961/65044)</f>
        <v>0.62974294323842317</v>
      </c>
    </row>
    <row r="119" spans="1:12" s="2" customFormat="1" ht="16.5" customHeight="1" thickBot="1">
      <c r="A119" s="6" t="s">
        <v>2549</v>
      </c>
      <c r="B119" s="62" t="s">
        <v>2314</v>
      </c>
      <c r="C119" s="36">
        <v>18420</v>
      </c>
      <c r="D119" s="17">
        <f>SUM(C119/$C$122)</f>
        <v>0.45126044244102009</v>
      </c>
      <c r="E119" s="16"/>
    </row>
    <row r="120" spans="1:12" s="2" customFormat="1" ht="16.5" customHeight="1" thickBot="1">
      <c r="A120" s="12" t="s">
        <v>1339</v>
      </c>
      <c r="B120" s="78" t="s">
        <v>608</v>
      </c>
      <c r="C120" s="8">
        <v>14467</v>
      </c>
      <c r="D120" s="17">
        <f>SUM(C120/$C$122)</f>
        <v>0.35441828560229305</v>
      </c>
      <c r="E120" s="16"/>
      <c r="G120" s="14"/>
    </row>
    <row r="121" spans="1:12" s="2" customFormat="1" ht="16.5" customHeight="1" thickBot="1">
      <c r="A121" s="12" t="s">
        <v>2315</v>
      </c>
      <c r="B121" s="40" t="s">
        <v>1269</v>
      </c>
      <c r="C121" s="8">
        <v>7932</v>
      </c>
      <c r="D121" s="17">
        <f>SUM(C121/$C$122)</f>
        <v>0.19432127195668683</v>
      </c>
      <c r="E121" s="21"/>
    </row>
    <row r="122" spans="1:12" s="2" customFormat="1" ht="16.5" customHeight="1">
      <c r="A122" s="75"/>
      <c r="B122" s="76"/>
      <c r="C122" s="23">
        <f>SUM(C119:C121)</f>
        <v>40819</v>
      </c>
      <c r="D122" s="17"/>
      <c r="E122" s="10" t="s">
        <v>1874</v>
      </c>
      <c r="F122" s="21">
        <f>(C119-C120)</f>
        <v>3953</v>
      </c>
    </row>
    <row r="123" spans="1:12" s="2" customFormat="1" ht="12" customHeight="1">
      <c r="A123" s="1"/>
      <c r="E123"/>
      <c r="L123"/>
    </row>
    <row r="124" spans="1:12" s="2" customFormat="1" ht="16.5" customHeight="1">
      <c r="A124" s="1" t="s">
        <v>638</v>
      </c>
    </row>
    <row r="125" spans="1:12" s="2" customFormat="1" ht="9.75" customHeight="1" thickBot="1">
      <c r="A125" s="3"/>
    </row>
    <row r="126" spans="1:12" s="2" customFormat="1" ht="16.5" customHeight="1" thickBot="1">
      <c r="A126" s="4" t="s">
        <v>1244</v>
      </c>
      <c r="B126" s="5" t="s">
        <v>1245</v>
      </c>
      <c r="C126" s="5" t="s">
        <v>1248</v>
      </c>
      <c r="D126" s="10"/>
      <c r="E126" s="10" t="s">
        <v>1413</v>
      </c>
      <c r="F126" s="11">
        <f>(37079/59159)</f>
        <v>0.62676853902195773</v>
      </c>
    </row>
    <row r="127" spans="1:12" s="2" customFormat="1" ht="16.5" customHeight="1" thickBot="1">
      <c r="A127" s="6" t="s">
        <v>2434</v>
      </c>
      <c r="B127" s="9" t="s">
        <v>1257</v>
      </c>
      <c r="C127" s="36">
        <v>14355</v>
      </c>
      <c r="D127" s="17">
        <f t="shared" ref="D127:D132" si="1">SUM(C127/$C$133)</f>
        <v>0.38991199478487615</v>
      </c>
      <c r="E127" s="16"/>
    </row>
    <row r="128" spans="1:12" s="2" customFormat="1" ht="16.5" customHeight="1" thickBot="1">
      <c r="A128" s="12" t="s">
        <v>1937</v>
      </c>
      <c r="B128" s="20" t="s">
        <v>1261</v>
      </c>
      <c r="C128" s="8">
        <v>5795</v>
      </c>
      <c r="D128" s="17">
        <f t="shared" si="1"/>
        <v>0.15740438939591481</v>
      </c>
      <c r="E128" s="16"/>
      <c r="G128" s="14"/>
    </row>
    <row r="129" spans="1:7" s="2" customFormat="1" ht="16.5" customHeight="1" thickBot="1">
      <c r="A129" s="12" t="s">
        <v>2325</v>
      </c>
      <c r="B129" s="78" t="s">
        <v>639</v>
      </c>
      <c r="C129" s="8">
        <v>5671</v>
      </c>
      <c r="D129" s="17">
        <f t="shared" si="1"/>
        <v>0.15403628857018686</v>
      </c>
      <c r="E129" s="16"/>
      <c r="G129" s="14"/>
    </row>
    <row r="130" spans="1:7" s="2" customFormat="1" ht="16.5" customHeight="1" thickBot="1">
      <c r="A130" s="12" t="s">
        <v>2555</v>
      </c>
      <c r="B130" s="13" t="s">
        <v>1247</v>
      </c>
      <c r="C130" s="8">
        <v>5062</v>
      </c>
      <c r="D130" s="17">
        <f t="shared" si="1"/>
        <v>0.13749456757931333</v>
      </c>
      <c r="E130" s="16"/>
      <c r="G130" s="14"/>
    </row>
    <row r="131" spans="1:7" s="2" customFormat="1" ht="16.5" customHeight="1" thickBot="1">
      <c r="A131" s="12" t="s">
        <v>2335</v>
      </c>
      <c r="B131" s="37" t="s">
        <v>1286</v>
      </c>
      <c r="C131" s="8">
        <v>3062</v>
      </c>
      <c r="D131" s="17">
        <f t="shared" si="1"/>
        <v>8.3170360712733593E-2</v>
      </c>
      <c r="E131" s="21"/>
    </row>
    <row r="132" spans="1:7" s="2" customFormat="1" ht="16.5" customHeight="1" thickBot="1">
      <c r="A132" s="12" t="s">
        <v>2496</v>
      </c>
      <c r="B132" s="40" t="s">
        <v>1269</v>
      </c>
      <c r="C132" s="8">
        <v>2871</v>
      </c>
      <c r="D132" s="17">
        <f t="shared" si="1"/>
        <v>7.798239895697523E-2</v>
      </c>
      <c r="E132" s="21"/>
    </row>
    <row r="133" spans="1:7" s="2" customFormat="1" ht="16.5" customHeight="1">
      <c r="A133" s="75"/>
      <c r="B133" s="76"/>
      <c r="C133" s="23">
        <f>SUM(C127:C132)</f>
        <v>36816</v>
      </c>
      <c r="D133" s="17"/>
      <c r="E133" s="10" t="s">
        <v>1874</v>
      </c>
      <c r="F133" s="21">
        <f>(C127-C128)</f>
        <v>8560</v>
      </c>
    </row>
    <row r="134" spans="1:7" s="2" customFormat="1" ht="12" customHeight="1">
      <c r="A134" s="1"/>
    </row>
    <row r="135" spans="1:7" s="2" customFormat="1" ht="16.5" customHeight="1">
      <c r="A135" s="1" t="s">
        <v>643</v>
      </c>
    </row>
    <row r="136" spans="1:7" s="2" customFormat="1" ht="9.75" customHeight="1" thickBot="1">
      <c r="A136" s="3"/>
    </row>
    <row r="137" spans="1:7" s="2" customFormat="1" ht="16.5" customHeight="1" thickBot="1">
      <c r="A137" s="4" t="s">
        <v>1244</v>
      </c>
      <c r="B137" s="5" t="s">
        <v>1245</v>
      </c>
      <c r="C137" s="5" t="s">
        <v>1248</v>
      </c>
      <c r="D137" s="10"/>
      <c r="E137" s="10" t="s">
        <v>1413</v>
      </c>
      <c r="F137" s="11">
        <f>(41311/59400)</f>
        <v>0.69547138047138046</v>
      </c>
    </row>
    <row r="138" spans="1:7" s="2" customFormat="1" ht="16.5" customHeight="1" thickBot="1">
      <c r="A138" s="6" t="s">
        <v>1709</v>
      </c>
      <c r="B138" s="25" t="s">
        <v>1247</v>
      </c>
      <c r="C138" s="36">
        <v>16862</v>
      </c>
      <c r="D138" s="17">
        <f>SUM(C138/$C$142)</f>
        <v>0.41158953329427844</v>
      </c>
      <c r="E138" s="16"/>
    </row>
    <row r="139" spans="1:7" s="2" customFormat="1" ht="16.5" customHeight="1" thickBot="1">
      <c r="A139" s="12" t="s">
        <v>2168</v>
      </c>
      <c r="B139" s="20" t="s">
        <v>1261</v>
      </c>
      <c r="C139" s="8">
        <v>14641</v>
      </c>
      <c r="D139" s="17">
        <f>SUM(C139/$C$142)</f>
        <v>0.35737648896699864</v>
      </c>
      <c r="E139" s="16"/>
      <c r="G139" s="14"/>
    </row>
    <row r="140" spans="1:7" s="2" customFormat="1" ht="16.5" customHeight="1" thickBot="1">
      <c r="A140" s="12" t="s">
        <v>2290</v>
      </c>
      <c r="B140" s="22" t="s">
        <v>1257</v>
      </c>
      <c r="C140" s="8">
        <v>7646</v>
      </c>
      <c r="D140" s="17">
        <f>SUM(C140/$C$142)</f>
        <v>0.18663347002538566</v>
      </c>
      <c r="E140" s="16"/>
      <c r="G140" s="14"/>
    </row>
    <row r="141" spans="1:7" s="2" customFormat="1" ht="16.5" customHeight="1" thickBot="1">
      <c r="A141" s="12" t="s">
        <v>2339</v>
      </c>
      <c r="B141" s="37" t="s">
        <v>1286</v>
      </c>
      <c r="C141" s="8">
        <v>1819</v>
      </c>
      <c r="D141" s="17">
        <f>SUM(C141/$C$142)</f>
        <v>4.4400507713337242E-2</v>
      </c>
      <c r="E141" s="21"/>
    </row>
    <row r="142" spans="1:7" s="2" customFormat="1" ht="16.5" customHeight="1">
      <c r="A142" s="75"/>
      <c r="B142" s="76"/>
      <c r="C142" s="23">
        <f>SUM(C138:C141)</f>
        <v>40968</v>
      </c>
      <c r="D142" s="17"/>
      <c r="E142" s="10" t="s">
        <v>1874</v>
      </c>
      <c r="F142" s="21">
        <f>(C138-C139)</f>
        <v>2221</v>
      </c>
    </row>
    <row r="143" spans="1:7" s="2" customFormat="1" ht="12" customHeight="1">
      <c r="A143" s="1"/>
    </row>
    <row r="144" spans="1:7" s="2" customFormat="1" ht="16.5" customHeight="1">
      <c r="A144" s="1" t="s">
        <v>641</v>
      </c>
    </row>
    <row r="145" spans="1:7" s="2" customFormat="1" ht="9.75" customHeight="1" thickBot="1">
      <c r="A145" s="3"/>
    </row>
    <row r="146" spans="1:7" s="2" customFormat="1" ht="16.5" customHeight="1" thickBot="1">
      <c r="A146" s="4" t="s">
        <v>1244</v>
      </c>
      <c r="B146" s="5" t="s">
        <v>1245</v>
      </c>
      <c r="C146" s="5" t="s">
        <v>1248</v>
      </c>
      <c r="D146" s="10"/>
      <c r="E146" s="10" t="s">
        <v>1413</v>
      </c>
      <c r="F146" s="11">
        <f>(32880/54284)</f>
        <v>0.60570333800014742</v>
      </c>
    </row>
    <row r="147" spans="1:7" s="2" customFormat="1" ht="16.5" customHeight="1" thickBot="1">
      <c r="A147" s="6" t="s">
        <v>2439</v>
      </c>
      <c r="B147" s="9" t="s">
        <v>1257</v>
      </c>
      <c r="C147" s="36">
        <v>18917</v>
      </c>
      <c r="D147" s="17">
        <f>SUM(C147/$C$152)</f>
        <v>0.57839540145539048</v>
      </c>
      <c r="E147" s="16"/>
    </row>
    <row r="148" spans="1:7" s="2" customFormat="1" ht="16.5" customHeight="1" thickBot="1">
      <c r="A148" s="12" t="s">
        <v>2348</v>
      </c>
      <c r="B148" s="40" t="s">
        <v>1269</v>
      </c>
      <c r="C148" s="8">
        <v>6963</v>
      </c>
      <c r="D148" s="17">
        <f>SUM(C148/$C$152)</f>
        <v>0.21289671619886261</v>
      </c>
      <c r="E148" s="16"/>
      <c r="G148" s="14"/>
    </row>
    <row r="149" spans="1:7" s="2" customFormat="1" ht="16.5" customHeight="1" thickBot="1">
      <c r="A149" s="12" t="s">
        <v>2177</v>
      </c>
      <c r="B149" s="20" t="s">
        <v>1261</v>
      </c>
      <c r="C149" s="8">
        <v>4268</v>
      </c>
      <c r="D149" s="17">
        <f>SUM(C149/$C$152)</f>
        <v>0.13049593346786523</v>
      </c>
      <c r="E149" s="21"/>
    </row>
    <row r="150" spans="1:7" s="2" customFormat="1" ht="16.5" customHeight="1" thickBot="1">
      <c r="A150" s="12" t="s">
        <v>2359</v>
      </c>
      <c r="B150" s="37" t="s">
        <v>1286</v>
      </c>
      <c r="C150" s="8">
        <v>1528</v>
      </c>
      <c r="D150" s="17">
        <f>SUM(C150/$C$152)</f>
        <v>4.6719256405552495E-2</v>
      </c>
      <c r="E150" s="16"/>
      <c r="G150" s="14"/>
    </row>
    <row r="151" spans="1:7" s="2" customFormat="1" ht="16.5" customHeight="1" thickBot="1">
      <c r="A151" s="12" t="s">
        <v>642</v>
      </c>
      <c r="B151" s="13" t="s">
        <v>1247</v>
      </c>
      <c r="C151" s="8">
        <v>1030</v>
      </c>
      <c r="D151" s="17">
        <f>SUM(C151/$C$152)</f>
        <v>3.1492692472329234E-2</v>
      </c>
      <c r="E151" s="16"/>
      <c r="G151" s="14"/>
    </row>
    <row r="152" spans="1:7" s="2" customFormat="1" ht="16.5" customHeight="1">
      <c r="A152" s="75"/>
      <c r="B152" s="76"/>
      <c r="C152" s="23">
        <f>SUM(C147:C151)</f>
        <v>32706</v>
      </c>
      <c r="D152" s="17"/>
      <c r="E152" s="10" t="s">
        <v>1874</v>
      </c>
      <c r="F152" s="21">
        <f>(C147-C148)</f>
        <v>11954</v>
      </c>
    </row>
    <row r="153" spans="1:7" s="2" customFormat="1" ht="12" customHeight="1">
      <c r="A153" s="1"/>
    </row>
    <row r="154" spans="1:7" s="2" customFormat="1" ht="16.5" customHeight="1">
      <c r="A154" s="1" t="s">
        <v>640</v>
      </c>
    </row>
    <row r="155" spans="1:7" s="2" customFormat="1" ht="9.75" customHeight="1" thickBot="1">
      <c r="A155" s="3"/>
    </row>
    <row r="156" spans="1:7" s="2" customFormat="1" ht="16.5" customHeight="1" thickBot="1">
      <c r="A156" s="4" t="s">
        <v>1244</v>
      </c>
      <c r="B156" s="5" t="s">
        <v>1245</v>
      </c>
      <c r="C156" s="5" t="s">
        <v>1248</v>
      </c>
      <c r="D156" s="10"/>
      <c r="E156" s="10" t="s">
        <v>1413</v>
      </c>
      <c r="F156" s="11">
        <f>(33134/54666)</f>
        <v>0.60611714777009473</v>
      </c>
    </row>
    <row r="157" spans="1:7" s="2" customFormat="1" ht="16.5" customHeight="1" thickBot="1">
      <c r="A157" s="6" t="s">
        <v>1660</v>
      </c>
      <c r="B157" s="28" t="s">
        <v>1258</v>
      </c>
      <c r="C157" s="36">
        <v>20372</v>
      </c>
      <c r="D157" s="17">
        <f>SUM(C157/$C$161)</f>
        <v>0.61904038408945883</v>
      </c>
      <c r="E157" s="16"/>
    </row>
    <row r="158" spans="1:7" s="2" customFormat="1" ht="16.5" customHeight="1" thickBot="1">
      <c r="A158" s="12" t="s">
        <v>329</v>
      </c>
      <c r="B158" s="40" t="s">
        <v>1269</v>
      </c>
      <c r="C158" s="8">
        <v>10574</v>
      </c>
      <c r="D158" s="17">
        <f>SUM(C158/$C$161)</f>
        <v>0.32131027986265154</v>
      </c>
      <c r="E158" s="16"/>
      <c r="G158" s="14"/>
    </row>
    <row r="159" spans="1:7" s="2" customFormat="1" ht="16.5" customHeight="1" thickBot="1">
      <c r="A159" s="12" t="s">
        <v>2369</v>
      </c>
      <c r="B159" s="37" t="s">
        <v>1286</v>
      </c>
      <c r="C159" s="8">
        <v>1314</v>
      </c>
      <c r="D159" s="17">
        <f>SUM(C159/$C$161)</f>
        <v>3.9928287094715728E-2</v>
      </c>
      <c r="E159" s="21"/>
    </row>
    <row r="160" spans="1:7" s="2" customFormat="1" ht="16.5" customHeight="1" thickBot="1">
      <c r="A160" s="12" t="s">
        <v>1860</v>
      </c>
      <c r="B160" s="13" t="s">
        <v>1247</v>
      </c>
      <c r="C160" s="8">
        <v>649</v>
      </c>
      <c r="D160" s="17">
        <f>SUM(C160/$C$161)</f>
        <v>1.9721048953173902E-2</v>
      </c>
      <c r="E160" s="21"/>
    </row>
    <row r="161" spans="1:7" s="2" customFormat="1" ht="16.5" customHeight="1">
      <c r="A161" s="75"/>
      <c r="B161" s="76"/>
      <c r="C161" s="23">
        <f>SUM(C157:C160)</f>
        <v>32909</v>
      </c>
      <c r="D161" s="17"/>
      <c r="E161" s="10" t="s">
        <v>1874</v>
      </c>
      <c r="F161" s="21">
        <f>(C157-C158)</f>
        <v>9798</v>
      </c>
    </row>
    <row r="163" spans="1:7" ht="15">
      <c r="A163" s="104" t="s">
        <v>1072</v>
      </c>
    </row>
    <row r="164" spans="1:7" s="2" customFormat="1" ht="16.5" customHeight="1">
      <c r="A164" s="1" t="s">
        <v>1073</v>
      </c>
    </row>
    <row r="165" spans="1:7" s="2" customFormat="1" ht="9.75" customHeight="1" thickBot="1">
      <c r="A165" s="3"/>
    </row>
    <row r="166" spans="1:7" s="2" customFormat="1" ht="16.5" customHeight="1" thickBot="1">
      <c r="A166" s="4" t="s">
        <v>1244</v>
      </c>
      <c r="B166" s="5" t="s">
        <v>1245</v>
      </c>
      <c r="C166" s="5" t="s">
        <v>1248</v>
      </c>
      <c r="D166" s="10"/>
      <c r="E166" s="10" t="s">
        <v>1413</v>
      </c>
      <c r="F166" s="11">
        <f>(35620/66377)</f>
        <v>0.53663166458261147</v>
      </c>
    </row>
    <row r="167" spans="1:7" s="2" customFormat="1" ht="16.5" customHeight="1" thickBot="1">
      <c r="A167" s="6" t="s">
        <v>2042</v>
      </c>
      <c r="B167" s="9" t="s">
        <v>1257</v>
      </c>
      <c r="C167" s="36">
        <v>20547</v>
      </c>
      <c r="D167" s="17">
        <f>SUM(C167/$C$178)</f>
        <v>0.57967048468092308</v>
      </c>
      <c r="E167" s="16"/>
    </row>
    <row r="168" spans="1:7" s="2" customFormat="1" ht="16.5" customHeight="1" thickBot="1">
      <c r="A168" s="12" t="s">
        <v>2048</v>
      </c>
      <c r="B168" s="20" t="s">
        <v>1261</v>
      </c>
      <c r="C168" s="8">
        <v>6698</v>
      </c>
      <c r="D168" s="17">
        <f t="shared" ref="D168:D177" si="2">SUM(C168/$C$178)</f>
        <v>0.18896349376516391</v>
      </c>
      <c r="E168" s="16"/>
      <c r="G168" s="14"/>
    </row>
    <row r="169" spans="1:7" s="2" customFormat="1" ht="16.5" customHeight="1" thickBot="1">
      <c r="A169" s="12" t="s">
        <v>1074</v>
      </c>
      <c r="B169" s="13" t="s">
        <v>1247</v>
      </c>
      <c r="C169" s="8">
        <v>2033</v>
      </c>
      <c r="D169" s="17">
        <f t="shared" si="2"/>
        <v>5.735484963042374E-2</v>
      </c>
      <c r="E169" s="16"/>
      <c r="G169" s="14"/>
    </row>
    <row r="170" spans="1:7" s="2" customFormat="1" ht="16.5" customHeight="1" thickBot="1">
      <c r="A170" s="12" t="s">
        <v>1078</v>
      </c>
      <c r="B170" s="38" t="s">
        <v>2053</v>
      </c>
      <c r="C170" s="8">
        <v>1534</v>
      </c>
      <c r="D170" s="17">
        <f t="shared" si="2"/>
        <v>4.3277097556847034E-2</v>
      </c>
      <c r="E170" s="21"/>
    </row>
    <row r="171" spans="1:7" s="2" customFormat="1" ht="16.5" customHeight="1" thickBot="1">
      <c r="A171" s="12" t="s">
        <v>1754</v>
      </c>
      <c r="B171" s="37" t="s">
        <v>1286</v>
      </c>
      <c r="C171" s="8">
        <v>1083</v>
      </c>
      <c r="D171" s="17">
        <f t="shared" si="2"/>
        <v>3.0553518027421993E-2</v>
      </c>
      <c r="E171" s="16"/>
      <c r="G171" s="14"/>
    </row>
    <row r="172" spans="1:7" s="2" customFormat="1" ht="16.5" customHeight="1" thickBot="1">
      <c r="A172" s="12" t="s">
        <v>2530</v>
      </c>
      <c r="B172" s="22" t="s">
        <v>1408</v>
      </c>
      <c r="C172" s="8">
        <v>1038</v>
      </c>
      <c r="D172" s="17">
        <f t="shared" si="2"/>
        <v>2.9283981267279807E-2</v>
      </c>
      <c r="E172" s="16"/>
    </row>
    <row r="173" spans="1:7" s="2" customFormat="1" ht="16.5" customHeight="1" thickBot="1">
      <c r="A173" s="12" t="s">
        <v>2476</v>
      </c>
      <c r="B173" s="40" t="s">
        <v>1269</v>
      </c>
      <c r="C173" s="8">
        <v>948</v>
      </c>
      <c r="D173" s="17">
        <f t="shared" si="2"/>
        <v>2.6744907746995429E-2</v>
      </c>
      <c r="E173" s="16"/>
      <c r="G173" s="14"/>
    </row>
    <row r="174" spans="1:7" s="2" customFormat="1" ht="16.5" customHeight="1" thickBot="1">
      <c r="A174" s="12" t="s">
        <v>2066</v>
      </c>
      <c r="B174" s="38" t="s">
        <v>2012</v>
      </c>
      <c r="C174" s="8">
        <v>600</v>
      </c>
      <c r="D174" s="17">
        <f t="shared" si="2"/>
        <v>1.692715680189584E-2</v>
      </c>
      <c r="E174" s="16"/>
      <c r="G174" s="14"/>
    </row>
    <row r="175" spans="1:7" s="2" customFormat="1" ht="16.5" customHeight="1" thickBot="1">
      <c r="A175" s="12" t="s">
        <v>1075</v>
      </c>
      <c r="B175" s="39" t="s">
        <v>1320</v>
      </c>
      <c r="C175" s="8">
        <v>576</v>
      </c>
      <c r="D175" s="17">
        <f t="shared" si="2"/>
        <v>1.6250070529820009E-2</v>
      </c>
      <c r="E175" s="21"/>
    </row>
    <row r="176" spans="1:7" s="2" customFormat="1" ht="16.5" customHeight="1" thickBot="1">
      <c r="A176" s="12" t="s">
        <v>453</v>
      </c>
      <c r="B176" s="38" t="s">
        <v>1997</v>
      </c>
      <c r="C176" s="8">
        <v>235</v>
      </c>
      <c r="D176" s="17">
        <f t="shared" si="2"/>
        <v>6.6298030807425377E-3</v>
      </c>
      <c r="E176" s="16"/>
      <c r="G176" s="14"/>
    </row>
    <row r="177" spans="1:7" s="2" customFormat="1" ht="16.5" customHeight="1" thickBot="1">
      <c r="A177" s="12" t="s">
        <v>1077</v>
      </c>
      <c r="B177" s="38" t="s">
        <v>1076</v>
      </c>
      <c r="C177" s="8">
        <v>154</v>
      </c>
      <c r="D177" s="17">
        <f t="shared" si="2"/>
        <v>4.3446369124865991E-3</v>
      </c>
      <c r="E177" s="16"/>
      <c r="G177" s="14"/>
    </row>
    <row r="178" spans="1:7" s="2" customFormat="1" ht="16.5" customHeight="1">
      <c r="A178" s="75"/>
      <c r="B178" s="76"/>
      <c r="C178" s="23">
        <f>SUM(C167:C177)</f>
        <v>35446</v>
      </c>
      <c r="D178" s="17"/>
      <c r="E178" s="10" t="s">
        <v>1874</v>
      </c>
      <c r="F178" s="21">
        <f>(C167-C168)</f>
        <v>13849</v>
      </c>
    </row>
    <row r="179" spans="1:7" s="2" customFormat="1" ht="12" customHeight="1">
      <c r="A179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20"/>
  <dimension ref="A1:L115"/>
  <sheetViews>
    <sheetView workbookViewId="0">
      <selection activeCell="L1" sqref="L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1062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(56573/69919)</f>
        <v>0.80912198401006874</v>
      </c>
    </row>
    <row r="4" spans="1:7" s="2" customFormat="1" ht="16.5" customHeight="1" thickBot="1">
      <c r="A4" s="6" t="s">
        <v>2223</v>
      </c>
      <c r="B4" s="9" t="s">
        <v>1257</v>
      </c>
      <c r="C4" s="36">
        <v>27857</v>
      </c>
      <c r="D4" s="17">
        <f>SUM(C4/$C$8)</f>
        <v>0.49673680456490726</v>
      </c>
      <c r="E4" s="16"/>
    </row>
    <row r="5" spans="1:7" s="2" customFormat="1" ht="16.5" customHeight="1" thickBot="1">
      <c r="A5" s="12" t="s">
        <v>2224</v>
      </c>
      <c r="B5" s="13" t="s">
        <v>1247</v>
      </c>
      <c r="C5" s="8">
        <v>15278</v>
      </c>
      <c r="D5" s="17">
        <f>SUM(C5/$C$8)</f>
        <v>0.27243223965763197</v>
      </c>
      <c r="E5" s="16"/>
      <c r="G5" s="14"/>
    </row>
    <row r="6" spans="1:7" s="2" customFormat="1" ht="16.5" customHeight="1" thickBot="1">
      <c r="A6" s="12" t="s">
        <v>2222</v>
      </c>
      <c r="B6" s="20" t="s">
        <v>1261</v>
      </c>
      <c r="C6" s="8">
        <v>12081</v>
      </c>
      <c r="D6" s="17">
        <f>SUM(C6/$C$8)</f>
        <v>0.21542439372325251</v>
      </c>
      <c r="E6" s="16"/>
      <c r="G6" s="14"/>
    </row>
    <row r="7" spans="1:7" s="2" customFormat="1" ht="16.5" customHeight="1" thickBot="1">
      <c r="A7" s="12" t="s">
        <v>625</v>
      </c>
      <c r="B7" s="37" t="s">
        <v>1286</v>
      </c>
      <c r="C7" s="8">
        <v>864</v>
      </c>
      <c r="D7" s="17">
        <f>SUM(C7/$C$8)</f>
        <v>1.5406562054208274E-2</v>
      </c>
      <c r="E7" s="21"/>
    </row>
    <row r="8" spans="1:7" s="2" customFormat="1" ht="16.5" customHeight="1">
      <c r="A8" s="75"/>
      <c r="B8" s="76"/>
      <c r="C8" s="23">
        <f>SUM(C4:C7)</f>
        <v>56080</v>
      </c>
      <c r="D8" s="17"/>
      <c r="E8" s="10" t="s">
        <v>1874</v>
      </c>
      <c r="F8" s="21">
        <f>(C4-C5)</f>
        <v>12579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1063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(51865/66830)</f>
        <v>0.7760736196319018</v>
      </c>
    </row>
    <row r="13" spans="1:7" s="2" customFormat="1" ht="16.5" customHeight="1" thickBot="1">
      <c r="A13" s="6" t="s">
        <v>1977</v>
      </c>
      <c r="B13" s="28" t="s">
        <v>1258</v>
      </c>
      <c r="C13" s="36">
        <v>23695</v>
      </c>
      <c r="D13" s="17">
        <f>SUM(C13/$C$17)</f>
        <v>0.46094737865966345</v>
      </c>
      <c r="E13" s="16"/>
    </row>
    <row r="14" spans="1:7" s="2" customFormat="1" ht="16.5" customHeight="1" thickBot="1">
      <c r="A14" s="12" t="s">
        <v>2234</v>
      </c>
      <c r="B14" s="13" t="s">
        <v>1247</v>
      </c>
      <c r="C14" s="8">
        <v>13998</v>
      </c>
      <c r="D14" s="17">
        <f>SUM(C14/$C$17)</f>
        <v>0.27230814123139774</v>
      </c>
      <c r="E14" s="16"/>
      <c r="G14" s="14"/>
    </row>
    <row r="15" spans="1:7" s="2" customFormat="1" ht="16.5" customHeight="1" thickBot="1">
      <c r="A15" s="12" t="s">
        <v>644</v>
      </c>
      <c r="B15" s="20" t="s">
        <v>1261</v>
      </c>
      <c r="C15" s="8">
        <v>13021</v>
      </c>
      <c r="D15" s="17">
        <f>SUM(C15/$C$17)</f>
        <v>0.2533022079564245</v>
      </c>
      <c r="E15" s="16"/>
      <c r="G15" s="14"/>
    </row>
    <row r="16" spans="1:7" s="2" customFormat="1" ht="16.5" customHeight="1" thickBot="1">
      <c r="A16" s="12" t="s">
        <v>1975</v>
      </c>
      <c r="B16" s="37" t="s">
        <v>1286</v>
      </c>
      <c r="C16" s="8">
        <v>691</v>
      </c>
      <c r="D16" s="17">
        <f>SUM(C16/$C$17)</f>
        <v>1.3442272152514347E-2</v>
      </c>
      <c r="E16" s="16"/>
      <c r="G16" s="14"/>
    </row>
    <row r="17" spans="1:7" s="2" customFormat="1" ht="16.5" customHeight="1">
      <c r="A17" s="75"/>
      <c r="B17" s="76"/>
      <c r="C17" s="23">
        <f>SUM(C13:C16)</f>
        <v>51405</v>
      </c>
      <c r="D17" s="17"/>
      <c r="E17" s="10" t="s">
        <v>1874</v>
      </c>
      <c r="F17" s="21">
        <f>(C13-C14)</f>
        <v>9697</v>
      </c>
    </row>
    <row r="18" spans="1:7" s="2" customFormat="1" ht="12" customHeight="1">
      <c r="A18" s="1"/>
    </row>
    <row r="19" spans="1:7" s="2" customFormat="1" ht="16.5" customHeight="1">
      <c r="A19" s="1" t="s">
        <v>1064</v>
      </c>
    </row>
    <row r="20" spans="1:7" s="2" customFormat="1" ht="9.75" customHeight="1" thickBot="1">
      <c r="A20" s="3"/>
    </row>
    <row r="21" spans="1:7" s="2" customFormat="1" ht="16.5" customHeight="1" thickBot="1">
      <c r="A21" s="4" t="s">
        <v>1244</v>
      </c>
      <c r="B21" s="5" t="s">
        <v>1245</v>
      </c>
      <c r="C21" s="5" t="s">
        <v>1248</v>
      </c>
      <c r="D21" s="10"/>
      <c r="E21" s="10" t="s">
        <v>1413</v>
      </c>
      <c r="F21" s="11">
        <f>(34079/70375)</f>
        <v>0.48424866785079929</v>
      </c>
    </row>
    <row r="22" spans="1:7" s="2" customFormat="1" ht="16.5" customHeight="1" thickBot="1">
      <c r="A22" s="6" t="s">
        <v>1888</v>
      </c>
      <c r="B22" s="9" t="s">
        <v>1257</v>
      </c>
      <c r="C22" s="36">
        <v>30922</v>
      </c>
      <c r="D22" s="17">
        <f>SUM(C22/$C$24)</f>
        <v>0.93922182061173043</v>
      </c>
      <c r="E22" s="16"/>
    </row>
    <row r="23" spans="1:7" s="2" customFormat="1" ht="16.5" customHeight="1" thickBot="1">
      <c r="A23" s="12" t="s">
        <v>646</v>
      </c>
      <c r="B23" s="78" t="s">
        <v>645</v>
      </c>
      <c r="C23" s="8">
        <v>2001</v>
      </c>
      <c r="D23" s="17">
        <f>SUM(C23/$C$24)</f>
        <v>6.0778179388269599E-2</v>
      </c>
      <c r="E23" s="16"/>
      <c r="G23" s="14"/>
    </row>
    <row r="24" spans="1:7" s="2" customFormat="1" ht="16.5" customHeight="1">
      <c r="A24" s="75"/>
      <c r="B24" s="76"/>
      <c r="C24" s="23">
        <f>SUM(C22:C23)</f>
        <v>32923</v>
      </c>
      <c r="D24" s="17"/>
      <c r="E24" s="10" t="s">
        <v>1874</v>
      </c>
      <c r="F24" s="21">
        <f>(C22-C23)</f>
        <v>28921</v>
      </c>
    </row>
    <row r="25" spans="1:7" s="2" customFormat="1" ht="12" customHeight="1">
      <c r="A25" s="1"/>
    </row>
    <row r="26" spans="1:7" s="2" customFormat="1" ht="16.5" customHeight="1">
      <c r="A26" s="1" t="s">
        <v>1061</v>
      </c>
    </row>
    <row r="27" spans="1:7" s="2" customFormat="1" ht="9.75" customHeight="1" thickBot="1">
      <c r="A27" s="3"/>
    </row>
    <row r="28" spans="1:7" s="2" customFormat="1" ht="16.5" customHeight="1" thickBot="1">
      <c r="A28" s="4" t="s">
        <v>1244</v>
      </c>
      <c r="B28" s="5" t="s">
        <v>1245</v>
      </c>
      <c r="C28" s="5" t="s">
        <v>1248</v>
      </c>
      <c r="D28" s="10"/>
      <c r="E28" s="10" t="s">
        <v>1413</v>
      </c>
      <c r="F28" s="11">
        <f>(50382/65482)</f>
        <v>0.76940227848874498</v>
      </c>
    </row>
    <row r="29" spans="1:7" s="2" customFormat="1" ht="16.5" customHeight="1" thickBot="1">
      <c r="A29" s="6" t="s">
        <v>2021</v>
      </c>
      <c r="B29" s="7" t="s">
        <v>1261</v>
      </c>
      <c r="C29" s="36">
        <v>22694</v>
      </c>
      <c r="D29" s="17">
        <f>SUM(C29/$C$33)</f>
        <v>0.45452542610506919</v>
      </c>
      <c r="E29" s="16"/>
    </row>
    <row r="30" spans="1:7" s="2" customFormat="1" ht="16.5" customHeight="1" thickBot="1">
      <c r="A30" s="12" t="s">
        <v>2263</v>
      </c>
      <c r="B30" s="22" t="s">
        <v>1257</v>
      </c>
      <c r="C30" s="8">
        <v>20111</v>
      </c>
      <c r="D30" s="17">
        <f>SUM(C30/$C$33)</f>
        <v>0.40279196458971739</v>
      </c>
      <c r="E30" s="16"/>
      <c r="G30" s="14"/>
    </row>
    <row r="31" spans="1:7" s="2" customFormat="1" ht="16.5" customHeight="1" thickBot="1">
      <c r="A31" s="12" t="s">
        <v>621</v>
      </c>
      <c r="B31" s="13" t="s">
        <v>1247</v>
      </c>
      <c r="C31" s="8">
        <v>6609</v>
      </c>
      <c r="D31" s="17">
        <f>SUM(C31/$C$33)</f>
        <v>0.13236796250675961</v>
      </c>
      <c r="E31" s="16"/>
      <c r="G31" s="14"/>
    </row>
    <row r="32" spans="1:7" s="2" customFormat="1" ht="16.5" customHeight="1" thickBot="1">
      <c r="A32" s="12" t="s">
        <v>647</v>
      </c>
      <c r="B32" s="37" t="s">
        <v>1286</v>
      </c>
      <c r="C32" s="8">
        <v>515</v>
      </c>
      <c r="D32" s="17">
        <f>SUM(C32/$C$33)</f>
        <v>1.0314646798453805E-2</v>
      </c>
      <c r="E32" s="16"/>
      <c r="G32" s="14"/>
    </row>
    <row r="33" spans="1:7" s="2" customFormat="1" ht="16.5" customHeight="1">
      <c r="A33" s="75"/>
      <c r="B33" s="76"/>
      <c r="C33" s="23">
        <f>SUM(C29:C32)</f>
        <v>49929</v>
      </c>
      <c r="D33" s="17"/>
      <c r="E33" s="10" t="s">
        <v>1874</v>
      </c>
      <c r="F33" s="21">
        <f>(C29-C30)</f>
        <v>2583</v>
      </c>
    </row>
    <row r="34" spans="1:7" s="2" customFormat="1" ht="12" customHeight="1">
      <c r="A34" s="1"/>
    </row>
    <row r="35" spans="1:7" s="2" customFormat="1" ht="16.5" customHeight="1">
      <c r="A35" s="1" t="s">
        <v>1058</v>
      </c>
    </row>
    <row r="36" spans="1:7" s="2" customFormat="1" ht="9.75" customHeight="1" thickBot="1">
      <c r="A36" s="3"/>
    </row>
    <row r="37" spans="1:7" s="2" customFormat="1" ht="16.5" customHeight="1" thickBot="1">
      <c r="A37" s="4" t="s">
        <v>1244</v>
      </c>
      <c r="B37" s="5" t="s">
        <v>1245</v>
      </c>
      <c r="C37" s="5" t="s">
        <v>1248</v>
      </c>
      <c r="D37" s="10"/>
      <c r="E37" s="10" t="s">
        <v>1413</v>
      </c>
      <c r="F37" s="11">
        <f>(51924/70108)</f>
        <v>0.74062874422319847</v>
      </c>
    </row>
    <row r="38" spans="1:7" s="2" customFormat="1" ht="16.5" customHeight="1" thickBot="1">
      <c r="A38" s="6" t="s">
        <v>650</v>
      </c>
      <c r="B38" s="9" t="s">
        <v>1257</v>
      </c>
      <c r="C38" s="36">
        <v>24963</v>
      </c>
      <c r="D38" s="17">
        <f>SUM(C38/$C$42)</f>
        <v>0.4843234643591634</v>
      </c>
      <c r="E38" s="16"/>
    </row>
    <row r="39" spans="1:7" s="2" customFormat="1" ht="16.5" customHeight="1" thickBot="1">
      <c r="A39" s="12" t="s">
        <v>2030</v>
      </c>
      <c r="B39" s="20" t="s">
        <v>1261</v>
      </c>
      <c r="C39" s="8">
        <v>23121</v>
      </c>
      <c r="D39" s="17">
        <f>SUM(C39/$C$42)</f>
        <v>0.44858561949478093</v>
      </c>
      <c r="E39" s="16"/>
      <c r="G39" s="14"/>
    </row>
    <row r="40" spans="1:7" s="2" customFormat="1" ht="16.5" customHeight="1" thickBot="1">
      <c r="A40" s="12" t="s">
        <v>648</v>
      </c>
      <c r="B40" s="13" t="s">
        <v>1247</v>
      </c>
      <c r="C40" s="8">
        <v>2936</v>
      </c>
      <c r="D40" s="17">
        <f>SUM(C40/$C$42)</f>
        <v>5.6963253269178532E-2</v>
      </c>
      <c r="E40" s="16"/>
      <c r="G40" s="14"/>
    </row>
    <row r="41" spans="1:7" s="2" customFormat="1" ht="16.5" customHeight="1" thickBot="1">
      <c r="A41" s="12" t="s">
        <v>649</v>
      </c>
      <c r="B41" s="37" t="s">
        <v>1286</v>
      </c>
      <c r="C41" s="8">
        <v>522</v>
      </c>
      <c r="D41" s="17">
        <f>SUM(C41/$C$42)</f>
        <v>1.012766287687711E-2</v>
      </c>
      <c r="E41" s="21"/>
    </row>
    <row r="42" spans="1:7" s="2" customFormat="1" ht="16.5" customHeight="1">
      <c r="A42" s="75"/>
      <c r="B42" s="76"/>
      <c r="C42" s="23">
        <f>SUM(C38:C41)</f>
        <v>51542</v>
      </c>
      <c r="D42" s="17"/>
      <c r="E42" s="10" t="s">
        <v>1874</v>
      </c>
      <c r="F42" s="21">
        <f>(C38-C39)</f>
        <v>1842</v>
      </c>
    </row>
    <row r="43" spans="1:7" s="2" customFormat="1" ht="12" customHeight="1">
      <c r="A43" s="1"/>
    </row>
    <row r="44" spans="1:7" s="2" customFormat="1" ht="16.5" customHeight="1">
      <c r="A44" s="1" t="s">
        <v>1060</v>
      </c>
    </row>
    <row r="45" spans="1:7" s="2" customFormat="1" ht="9.75" customHeight="1" thickBot="1">
      <c r="A45" s="3"/>
    </row>
    <row r="46" spans="1:7" s="2" customFormat="1" ht="16.5" customHeight="1" thickBot="1">
      <c r="A46" s="4" t="s">
        <v>1244</v>
      </c>
      <c r="B46" s="5" t="s">
        <v>1245</v>
      </c>
      <c r="C46" s="5" t="s">
        <v>1248</v>
      </c>
      <c r="D46" s="10"/>
      <c r="E46" s="10" t="s">
        <v>1413</v>
      </c>
      <c r="F46" s="11">
        <f>(36877/63663)</f>
        <v>0.57925325542308714</v>
      </c>
    </row>
    <row r="47" spans="1:7" s="2" customFormat="1" ht="16.5" customHeight="1" thickBot="1">
      <c r="A47" s="6" t="s">
        <v>2255</v>
      </c>
      <c r="B47" s="9" t="s">
        <v>1257</v>
      </c>
      <c r="C47" s="36">
        <v>29311</v>
      </c>
      <c r="D47" s="17">
        <f>SUM(C47/$C$49)</f>
        <v>0.80771032544297172</v>
      </c>
      <c r="E47" s="16"/>
    </row>
    <row r="48" spans="1:7" s="2" customFormat="1" ht="16.5" customHeight="1" thickBot="1">
      <c r="A48" s="12" t="s">
        <v>1754</v>
      </c>
      <c r="B48" s="37" t="s">
        <v>1286</v>
      </c>
      <c r="C48" s="8">
        <v>6978</v>
      </c>
      <c r="D48" s="17">
        <f>SUM(C48/$C$49)</f>
        <v>0.19228967455702831</v>
      </c>
      <c r="E48" s="16"/>
      <c r="G48" s="14"/>
    </row>
    <row r="49" spans="1:7" s="2" customFormat="1" ht="16.5" customHeight="1">
      <c r="A49" s="75"/>
      <c r="B49" s="76"/>
      <c r="C49" s="23">
        <f>SUM(C47:C48)</f>
        <v>36289</v>
      </c>
      <c r="D49" s="17"/>
      <c r="E49" s="10" t="s">
        <v>1874</v>
      </c>
      <c r="F49" s="21">
        <f>(C47-C48)</f>
        <v>22333</v>
      </c>
    </row>
    <row r="50" spans="1:7" s="2" customFormat="1" ht="12" customHeight="1">
      <c r="A50" s="1"/>
    </row>
    <row r="51" spans="1:7" s="2" customFormat="1" ht="16.5" customHeight="1">
      <c r="A51" s="1" t="s">
        <v>1059</v>
      </c>
    </row>
    <row r="52" spans="1:7" s="2" customFormat="1" ht="9.75" customHeight="1" thickBot="1">
      <c r="A52" s="3"/>
    </row>
    <row r="53" spans="1:7" s="2" customFormat="1" ht="16.5" customHeight="1" thickBot="1">
      <c r="A53" s="4" t="s">
        <v>1244</v>
      </c>
      <c r="B53" s="5" t="s">
        <v>1245</v>
      </c>
      <c r="C53" s="5" t="s">
        <v>1248</v>
      </c>
      <c r="D53" s="10"/>
      <c r="E53" s="10" t="s">
        <v>1413</v>
      </c>
      <c r="F53" s="11">
        <f>(36597/63369)</f>
        <v>0.57752213227287785</v>
      </c>
    </row>
    <row r="54" spans="1:7" s="2" customFormat="1" ht="16.5" customHeight="1" thickBot="1">
      <c r="A54" s="6" t="s">
        <v>2276</v>
      </c>
      <c r="B54" s="9" t="s">
        <v>1257</v>
      </c>
      <c r="C54" s="36">
        <v>32514</v>
      </c>
      <c r="D54" s="17">
        <f>SUM(C54/$C$56)</f>
        <v>0.90714803861391669</v>
      </c>
      <c r="E54" s="16"/>
    </row>
    <row r="55" spans="1:7" s="2" customFormat="1" ht="16.5" customHeight="1" thickBot="1">
      <c r="A55" s="12" t="s">
        <v>1720</v>
      </c>
      <c r="B55" s="37" t="s">
        <v>1286</v>
      </c>
      <c r="C55" s="8">
        <v>3328</v>
      </c>
      <c r="D55" s="17">
        <f>SUM(C55/$C$56)</f>
        <v>9.285196138608337E-2</v>
      </c>
      <c r="E55" s="16"/>
      <c r="G55" s="14"/>
    </row>
    <row r="56" spans="1:7" s="2" customFormat="1" ht="16.5" customHeight="1">
      <c r="A56" s="75"/>
      <c r="B56" s="76"/>
      <c r="C56" s="23">
        <f>SUM(C54:C55)</f>
        <v>35842</v>
      </c>
      <c r="D56" s="17"/>
      <c r="E56" s="10" t="s">
        <v>1874</v>
      </c>
      <c r="F56" s="21">
        <f>(C54-C55)</f>
        <v>29186</v>
      </c>
    </row>
    <row r="57" spans="1:7" s="2" customFormat="1" ht="12" customHeight="1">
      <c r="A57" s="1"/>
    </row>
    <row r="58" spans="1:7" s="2" customFormat="1" ht="16.5" customHeight="1">
      <c r="A58" s="1" t="s">
        <v>1067</v>
      </c>
    </row>
    <row r="59" spans="1:7" s="2" customFormat="1" ht="9.75" customHeight="1" thickBot="1">
      <c r="A59" s="3"/>
    </row>
    <row r="60" spans="1:7" s="2" customFormat="1" ht="16.5" customHeight="1" thickBot="1">
      <c r="A60" s="4" t="s">
        <v>1244</v>
      </c>
      <c r="B60" s="5" t="s">
        <v>1245</v>
      </c>
      <c r="C60" s="5" t="s">
        <v>1248</v>
      </c>
      <c r="D60" s="10"/>
      <c r="E60" s="10" t="s">
        <v>1413</v>
      </c>
      <c r="F60" s="11">
        <f>(32809/61296)</f>
        <v>0.53525515531192902</v>
      </c>
    </row>
    <row r="61" spans="1:7" s="2" customFormat="1" ht="16.5" customHeight="1" thickBot="1">
      <c r="A61" s="6" t="s">
        <v>2285</v>
      </c>
      <c r="B61" s="9" t="s">
        <v>1257</v>
      </c>
      <c r="C61" s="36">
        <v>30087</v>
      </c>
      <c r="D61" s="17">
        <f>SUM(C61/$C$63)</f>
        <v>0.94148386894890013</v>
      </c>
      <c r="E61" s="16"/>
    </row>
    <row r="62" spans="1:7" s="2" customFormat="1" ht="16.5" customHeight="1" thickBot="1">
      <c r="A62" s="12" t="s">
        <v>646</v>
      </c>
      <c r="B62" s="78" t="s">
        <v>645</v>
      </c>
      <c r="C62" s="8">
        <v>1870</v>
      </c>
      <c r="D62" s="17">
        <f>SUM(C62/$C$63)</f>
        <v>5.8516131051099915E-2</v>
      </c>
      <c r="E62" s="16"/>
      <c r="G62" s="14"/>
    </row>
    <row r="63" spans="1:7" s="2" customFormat="1" ht="16.5" customHeight="1">
      <c r="A63" s="75"/>
      <c r="B63" s="76"/>
      <c r="C63" s="23">
        <f>SUM(C61:C62)</f>
        <v>31957</v>
      </c>
      <c r="D63" s="17"/>
      <c r="E63" s="10" t="s">
        <v>1874</v>
      </c>
      <c r="F63" s="21">
        <f>(C61-C62)</f>
        <v>28217</v>
      </c>
    </row>
    <row r="64" spans="1:7" s="2" customFormat="1" ht="12" customHeight="1">
      <c r="A64" s="1"/>
    </row>
    <row r="65" spans="1:7" s="2" customFormat="1" ht="16.5" customHeight="1">
      <c r="A65" s="1" t="s">
        <v>1065</v>
      </c>
    </row>
    <row r="66" spans="1:7" s="2" customFormat="1" ht="9.75" customHeight="1" thickBot="1">
      <c r="A66" s="3"/>
    </row>
    <row r="67" spans="1:7" s="2" customFormat="1" ht="16.5" customHeight="1" thickBot="1">
      <c r="A67" s="4" t="s">
        <v>1244</v>
      </c>
      <c r="B67" s="5" t="s">
        <v>1245</v>
      </c>
      <c r="C67" s="5" t="s">
        <v>1248</v>
      </c>
      <c r="D67" s="10"/>
      <c r="E67" s="10" t="s">
        <v>1413</v>
      </c>
      <c r="F67" s="11">
        <f>(35744/65334)</f>
        <v>0.54709645819940611</v>
      </c>
    </row>
    <row r="68" spans="1:7" s="2" customFormat="1" ht="16.5" customHeight="1" thickBot="1">
      <c r="A68" s="6" t="s">
        <v>2083</v>
      </c>
      <c r="B68" s="28" t="s">
        <v>1258</v>
      </c>
      <c r="C68" s="36">
        <v>33937</v>
      </c>
      <c r="D68" s="17">
        <f>SUM(C68/$C$70)</f>
        <v>0.97380200860832133</v>
      </c>
      <c r="E68" s="16"/>
    </row>
    <row r="69" spans="1:7" s="2" customFormat="1" ht="16.5" customHeight="1" thickBot="1">
      <c r="A69" s="12" t="s">
        <v>646</v>
      </c>
      <c r="B69" s="78" t="s">
        <v>645</v>
      </c>
      <c r="C69" s="8">
        <v>913</v>
      </c>
      <c r="D69" s="17">
        <f>SUM(C69/$C$70)</f>
        <v>2.6197991391678624E-2</v>
      </c>
      <c r="E69" s="16"/>
      <c r="G69" s="14"/>
    </row>
    <row r="70" spans="1:7" s="2" customFormat="1" ht="16.5" customHeight="1">
      <c r="A70" s="75"/>
      <c r="B70" s="76"/>
      <c r="C70" s="23">
        <f>SUM(C68:C69)</f>
        <v>34850</v>
      </c>
      <c r="D70" s="17"/>
      <c r="E70" s="10" t="s">
        <v>1874</v>
      </c>
      <c r="F70" s="21">
        <f>(C68-C69)</f>
        <v>33024</v>
      </c>
    </row>
    <row r="71" spans="1:7" s="2" customFormat="1" ht="12" customHeight="1">
      <c r="A71" s="1"/>
    </row>
    <row r="72" spans="1:7" s="2" customFormat="1" ht="16.5" customHeight="1">
      <c r="A72" s="1" t="s">
        <v>1066</v>
      </c>
    </row>
    <row r="73" spans="1:7" s="2" customFormat="1" ht="9.75" customHeight="1" thickBot="1">
      <c r="A73" s="3"/>
    </row>
    <row r="74" spans="1:7" s="2" customFormat="1" ht="16.5" customHeight="1" thickBot="1">
      <c r="A74" s="4" t="s">
        <v>1244</v>
      </c>
      <c r="B74" s="5" t="s">
        <v>1245</v>
      </c>
      <c r="C74" s="5" t="s">
        <v>1248</v>
      </c>
      <c r="D74" s="10"/>
      <c r="E74" s="10" t="s">
        <v>1413</v>
      </c>
      <c r="F74" s="11">
        <f>(35938/60851)</f>
        <v>0.59059012998964688</v>
      </c>
    </row>
    <row r="75" spans="1:7" s="2" customFormat="1" ht="16.5" customHeight="1" thickBot="1">
      <c r="A75" s="6" t="s">
        <v>2304</v>
      </c>
      <c r="B75" s="9" t="s">
        <v>1257</v>
      </c>
      <c r="C75" s="36">
        <v>30386</v>
      </c>
      <c r="D75" s="17">
        <f>SUM(C75/$C$77)</f>
        <v>0.84898438154843392</v>
      </c>
      <c r="E75" s="16"/>
    </row>
    <row r="76" spans="1:7" s="2" customFormat="1" ht="16.5" customHeight="1" thickBot="1">
      <c r="A76" s="12" t="s">
        <v>2101</v>
      </c>
      <c r="B76" s="40" t="s">
        <v>1269</v>
      </c>
      <c r="C76" s="8">
        <v>5405</v>
      </c>
      <c r="D76" s="17">
        <f>SUM(C76/$C$77)</f>
        <v>0.15101561845156602</v>
      </c>
      <c r="E76" s="16"/>
      <c r="G76" s="14"/>
    </row>
    <row r="77" spans="1:7" s="2" customFormat="1" ht="16.5" customHeight="1">
      <c r="A77" s="75"/>
      <c r="B77" s="76"/>
      <c r="C77" s="23">
        <f>SUM(C75:C76)</f>
        <v>35791</v>
      </c>
      <c r="D77" s="17"/>
      <c r="E77" s="10" t="s">
        <v>1874</v>
      </c>
      <c r="F77" s="21">
        <f>(C75-C76)</f>
        <v>24981</v>
      </c>
    </row>
    <row r="78" spans="1:7" s="2" customFormat="1" ht="12" customHeight="1">
      <c r="A78" s="1"/>
    </row>
    <row r="79" spans="1:7" s="2" customFormat="1" ht="16.5" customHeight="1">
      <c r="A79" s="1" t="s">
        <v>1057</v>
      </c>
    </row>
    <row r="80" spans="1:7" s="2" customFormat="1" ht="9.75" customHeight="1" thickBot="1">
      <c r="A80" s="3"/>
    </row>
    <row r="81" spans="1:12" s="2" customFormat="1" ht="16.5" customHeight="1" thickBot="1">
      <c r="A81" s="4" t="s">
        <v>1244</v>
      </c>
      <c r="B81" s="5" t="s">
        <v>1245</v>
      </c>
      <c r="C81" s="5" t="s">
        <v>1248</v>
      </c>
      <c r="D81" s="10"/>
      <c r="E81" s="10" t="s">
        <v>1413</v>
      </c>
      <c r="F81" s="11">
        <f>(35287/62896)</f>
        <v>0.56103726787077079</v>
      </c>
    </row>
    <row r="82" spans="1:12" s="2" customFormat="1" ht="16.5" customHeight="1" thickBot="1">
      <c r="A82" s="6" t="s">
        <v>2115</v>
      </c>
      <c r="B82" s="9" t="s">
        <v>1257</v>
      </c>
      <c r="C82" s="36">
        <v>32627</v>
      </c>
      <c r="D82" s="17">
        <f>SUM(C82/$C$84)</f>
        <v>0.94243212016175626</v>
      </c>
      <c r="E82" s="16"/>
    </row>
    <row r="83" spans="1:12" s="2" customFormat="1" ht="16.5" customHeight="1" thickBot="1">
      <c r="A83" s="12" t="s">
        <v>646</v>
      </c>
      <c r="B83" s="78" t="s">
        <v>645</v>
      </c>
      <c r="C83" s="8">
        <v>1993</v>
      </c>
      <c r="D83" s="17">
        <f>SUM(C83/$C$84)</f>
        <v>5.7567879838243789E-2</v>
      </c>
      <c r="E83" s="16"/>
      <c r="G83" s="14"/>
    </row>
    <row r="84" spans="1:12" s="2" customFormat="1" ht="16.5" customHeight="1">
      <c r="A84" s="75"/>
      <c r="B84" s="76"/>
      <c r="C84" s="23">
        <f>SUM(C82:C83)</f>
        <v>34620</v>
      </c>
      <c r="D84" s="17"/>
      <c r="E84" s="10" t="s">
        <v>1874</v>
      </c>
      <c r="F84" s="21">
        <f>(C82-C83)</f>
        <v>30634</v>
      </c>
    </row>
    <row r="85" spans="1:12" s="2" customFormat="1" ht="12" customHeight="1">
      <c r="A85" s="1"/>
    </row>
    <row r="86" spans="1:12" s="2" customFormat="1" ht="16.5" customHeight="1">
      <c r="A86" s="1" t="s">
        <v>1071</v>
      </c>
    </row>
    <row r="87" spans="1:12" s="2" customFormat="1" ht="9.75" customHeight="1" thickBot="1">
      <c r="A87" s="3"/>
    </row>
    <row r="88" spans="1:12" s="2" customFormat="1" ht="16.5" customHeight="1" thickBot="1">
      <c r="A88" s="4" t="s">
        <v>1244</v>
      </c>
      <c r="B88" s="5" t="s">
        <v>1245</v>
      </c>
      <c r="C88" s="5" t="s">
        <v>1248</v>
      </c>
      <c r="D88" s="10"/>
      <c r="E88" s="10" t="s">
        <v>1413</v>
      </c>
      <c r="F88" s="11">
        <f>(38981/64278)</f>
        <v>0.6064438843772364</v>
      </c>
    </row>
    <row r="89" spans="1:12" s="2" customFormat="1" ht="16.5" customHeight="1" thickBot="1">
      <c r="A89" s="6" t="s">
        <v>2313</v>
      </c>
      <c r="B89" s="62" t="s">
        <v>2314</v>
      </c>
      <c r="C89" s="36">
        <v>30793</v>
      </c>
      <c r="D89" s="17">
        <f>SUM(C89/$C$91)</f>
        <v>0.79242903831802158</v>
      </c>
      <c r="E89" s="16"/>
    </row>
    <row r="90" spans="1:12" s="2" customFormat="1" ht="16.5" customHeight="1" thickBot="1">
      <c r="A90" s="12" t="s">
        <v>2315</v>
      </c>
      <c r="B90" s="40" t="s">
        <v>1269</v>
      </c>
      <c r="C90" s="8">
        <v>8066</v>
      </c>
      <c r="D90" s="17">
        <f>SUM(C90/$C$91)</f>
        <v>0.20757096168197844</v>
      </c>
      <c r="E90" s="16"/>
      <c r="G90" s="14"/>
    </row>
    <row r="91" spans="1:12" s="2" customFormat="1" ht="16.5" customHeight="1">
      <c r="A91" s="75"/>
      <c r="B91" s="76"/>
      <c r="C91" s="23">
        <f>SUM(C89:C90)</f>
        <v>38859</v>
      </c>
      <c r="D91" s="17"/>
      <c r="E91" s="10" t="s">
        <v>1874</v>
      </c>
      <c r="F91" s="21">
        <f>(C89-C90)</f>
        <v>22727</v>
      </c>
    </row>
    <row r="92" spans="1:12" s="2" customFormat="1" ht="12" customHeight="1">
      <c r="A92" s="1"/>
      <c r="E92"/>
      <c r="L92"/>
    </row>
    <row r="93" spans="1:12" s="2" customFormat="1" ht="16.5" customHeight="1">
      <c r="A93" s="1" t="s">
        <v>1068</v>
      </c>
    </row>
    <row r="94" spans="1:12" s="2" customFormat="1" ht="9.75" customHeight="1" thickBot="1">
      <c r="A94" s="3"/>
    </row>
    <row r="95" spans="1:12" s="2" customFormat="1" ht="16.5" customHeight="1" thickBot="1">
      <c r="A95" s="4" t="s">
        <v>1244</v>
      </c>
      <c r="B95" s="5" t="s">
        <v>1245</v>
      </c>
      <c r="C95" s="5" t="s">
        <v>1248</v>
      </c>
      <c r="D95" s="10"/>
      <c r="E95" s="10" t="s">
        <v>1413</v>
      </c>
      <c r="F95" s="11">
        <f>(30823/59820)</f>
        <v>0.51526245402875293</v>
      </c>
    </row>
    <row r="96" spans="1:12" s="2" customFormat="1" ht="16.5" customHeight="1" thickBot="1">
      <c r="A96" s="6" t="s">
        <v>563</v>
      </c>
      <c r="B96" s="9" t="s">
        <v>1257</v>
      </c>
      <c r="C96" s="36">
        <v>21649</v>
      </c>
      <c r="D96" s="17">
        <f>SUM(C96/$C$99)</f>
        <v>0.7148659358076872</v>
      </c>
      <c r="E96" s="16"/>
    </row>
    <row r="97" spans="1:7" s="2" customFormat="1" ht="16.5" customHeight="1" thickBot="1">
      <c r="A97" s="12" t="s">
        <v>2333</v>
      </c>
      <c r="B97" s="40" t="s">
        <v>1269</v>
      </c>
      <c r="C97" s="8">
        <v>5072</v>
      </c>
      <c r="D97" s="17">
        <f>SUM(C97/$C$99)</f>
        <v>0.16748117817989697</v>
      </c>
      <c r="E97" s="16"/>
      <c r="G97" s="14"/>
    </row>
    <row r="98" spans="1:7" s="2" customFormat="1" ht="16.5" customHeight="1" thickBot="1">
      <c r="A98" s="12" t="s">
        <v>2335</v>
      </c>
      <c r="B98" s="37" t="s">
        <v>1286</v>
      </c>
      <c r="C98" s="8">
        <v>3563</v>
      </c>
      <c r="D98" s="17">
        <f>SUM(C98/$C$99)</f>
        <v>0.1176528860124158</v>
      </c>
      <c r="E98" s="16"/>
      <c r="G98" s="14"/>
    </row>
    <row r="99" spans="1:7" s="2" customFormat="1" ht="16.5" customHeight="1">
      <c r="A99" s="75"/>
      <c r="B99" s="76"/>
      <c r="C99" s="23">
        <f>SUM(C96:C98)</f>
        <v>30284</v>
      </c>
      <c r="D99" s="17"/>
      <c r="E99" s="10" t="s">
        <v>1874</v>
      </c>
      <c r="F99" s="21">
        <f>(C96-C97)</f>
        <v>16577</v>
      </c>
    </row>
    <row r="100" spans="1:7" s="2" customFormat="1" ht="12" customHeight="1">
      <c r="A100" s="1"/>
    </row>
    <row r="101" spans="1:7" s="2" customFormat="1" ht="16.5" customHeight="1">
      <c r="A101" s="1" t="s">
        <v>1069</v>
      </c>
    </row>
    <row r="102" spans="1:7" s="2" customFormat="1" ht="9.75" customHeight="1" thickBot="1">
      <c r="A102" s="3"/>
    </row>
    <row r="103" spans="1:7" s="2" customFormat="1" ht="16.5" customHeight="1" thickBot="1">
      <c r="A103" s="4" t="s">
        <v>1244</v>
      </c>
      <c r="B103" s="5" t="s">
        <v>1245</v>
      </c>
      <c r="C103" s="5" t="s">
        <v>1248</v>
      </c>
      <c r="D103" s="10"/>
      <c r="E103" s="10" t="s">
        <v>1413</v>
      </c>
      <c r="F103" s="11">
        <f>(30736/53971)</f>
        <v>0.56949102295677312</v>
      </c>
    </row>
    <row r="104" spans="1:7" s="2" customFormat="1" ht="16.5" customHeight="1" thickBot="1">
      <c r="A104" s="6" t="s">
        <v>2347</v>
      </c>
      <c r="B104" s="9" t="s">
        <v>1257</v>
      </c>
      <c r="C104" s="36">
        <v>21771</v>
      </c>
      <c r="D104" s="17">
        <f>SUM(C104/$C$107)</f>
        <v>0.71345240045879077</v>
      </c>
      <c r="E104" s="16"/>
    </row>
    <row r="105" spans="1:7" s="2" customFormat="1" ht="16.5" customHeight="1" thickBot="1">
      <c r="A105" s="12" t="s">
        <v>2348</v>
      </c>
      <c r="B105" s="40" t="s">
        <v>1269</v>
      </c>
      <c r="C105" s="8">
        <v>7635</v>
      </c>
      <c r="D105" s="17">
        <f>SUM(C105/$C$107)</f>
        <v>0.25020481730296573</v>
      </c>
      <c r="E105" s="16"/>
      <c r="G105" s="14"/>
    </row>
    <row r="106" spans="1:7" s="2" customFormat="1" ht="16.5" customHeight="1" thickBot="1">
      <c r="A106" s="12" t="s">
        <v>2359</v>
      </c>
      <c r="B106" s="37" t="s">
        <v>1286</v>
      </c>
      <c r="C106" s="8">
        <v>1109</v>
      </c>
      <c r="D106" s="17">
        <f>SUM(C106/$C$107)</f>
        <v>3.6342782238243485E-2</v>
      </c>
      <c r="E106" s="16"/>
      <c r="G106" s="14"/>
    </row>
    <row r="107" spans="1:7" s="2" customFormat="1" ht="16.5" customHeight="1">
      <c r="A107" s="75"/>
      <c r="B107" s="76"/>
      <c r="C107" s="23">
        <f>SUM(C104:C106)</f>
        <v>30515</v>
      </c>
      <c r="D107" s="17"/>
      <c r="E107" s="10" t="s">
        <v>1874</v>
      </c>
      <c r="F107" s="21">
        <f>(C104-C105)</f>
        <v>14136</v>
      </c>
    </row>
    <row r="108" spans="1:7" s="2" customFormat="1" ht="12" customHeight="1">
      <c r="A108" s="1"/>
    </row>
    <row r="109" spans="1:7" s="2" customFormat="1" ht="16.5" customHeight="1">
      <c r="A109" s="1" t="s">
        <v>1070</v>
      </c>
    </row>
    <row r="110" spans="1:7" s="2" customFormat="1" ht="9.75" customHeight="1" thickBot="1">
      <c r="A110" s="3"/>
    </row>
    <row r="111" spans="1:7" s="2" customFormat="1" ht="16.5" customHeight="1" thickBot="1">
      <c r="A111" s="4" t="s">
        <v>1244</v>
      </c>
      <c r="B111" s="5" t="s">
        <v>1245</v>
      </c>
      <c r="C111" s="5" t="s">
        <v>1248</v>
      </c>
      <c r="D111" s="10"/>
      <c r="E111" s="10" t="s">
        <v>1413</v>
      </c>
      <c r="F111" s="11">
        <f>(34257/55319)</f>
        <v>0.61926282109221065</v>
      </c>
    </row>
    <row r="112" spans="1:7" s="2" customFormat="1" ht="16.5" customHeight="1" thickBot="1">
      <c r="A112" s="6" t="s">
        <v>2191</v>
      </c>
      <c r="B112" s="28" t="s">
        <v>1258</v>
      </c>
      <c r="C112" s="36">
        <v>27607</v>
      </c>
      <c r="D112" s="17">
        <f>SUM(C112/$C$115)</f>
        <v>0.80954196234824938</v>
      </c>
      <c r="E112" s="16"/>
    </row>
    <row r="113" spans="1:7" s="2" customFormat="1" ht="16.5" customHeight="1" thickBot="1">
      <c r="A113" s="12" t="s">
        <v>329</v>
      </c>
      <c r="B113" s="40" t="s">
        <v>1269</v>
      </c>
      <c r="C113" s="8">
        <v>5917</v>
      </c>
      <c r="D113" s="17">
        <f>SUM(C113/$C$115)</f>
        <v>0.17350888510937776</v>
      </c>
      <c r="E113" s="16"/>
      <c r="G113" s="14"/>
    </row>
    <row r="114" spans="1:7" s="2" customFormat="1" ht="16.5" customHeight="1" thickBot="1">
      <c r="A114" s="12" t="s">
        <v>2369</v>
      </c>
      <c r="B114" s="37" t="s">
        <v>1286</v>
      </c>
      <c r="C114" s="8">
        <v>578</v>
      </c>
      <c r="D114" s="17">
        <f>SUM(C114/$C$115)</f>
        <v>1.6949152542372881E-2</v>
      </c>
      <c r="E114" s="21"/>
    </row>
    <row r="115" spans="1:7" s="2" customFormat="1" ht="16.5" customHeight="1">
      <c r="A115" s="75"/>
      <c r="B115" s="76"/>
      <c r="C115" s="23">
        <f>SUM(C112:C114)</f>
        <v>34102</v>
      </c>
      <c r="D115" s="17"/>
      <c r="E115" s="10" t="s">
        <v>1874</v>
      </c>
      <c r="F115" s="21">
        <f>(C112-C113)</f>
        <v>21690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1"/>
  <dimension ref="A1:L179"/>
  <sheetViews>
    <sheetView workbookViewId="0">
      <selection activeCell="L1" sqref="L1"/>
    </sheetView>
  </sheetViews>
  <sheetFormatPr defaultRowHeight="12.75"/>
  <cols>
    <col min="1" max="1" width="25.5703125" customWidth="1"/>
    <col min="2" max="2" width="9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831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(60613/67880)</f>
        <v>0.89294342958161466</v>
      </c>
    </row>
    <row r="4" spans="1:7" s="2" customFormat="1" ht="16.5" customHeight="1" thickBot="1">
      <c r="A4" s="6" t="s">
        <v>2223</v>
      </c>
      <c r="B4" s="9" t="s">
        <v>1257</v>
      </c>
      <c r="C4" s="36">
        <v>28630</v>
      </c>
      <c r="D4" s="17">
        <f>SUM(C4/$C$8)</f>
        <v>0.47592925061506747</v>
      </c>
      <c r="E4" s="16"/>
    </row>
    <row r="5" spans="1:7" s="2" customFormat="1" ht="16.5" customHeight="1" thickBot="1">
      <c r="A5" s="12" t="s">
        <v>665</v>
      </c>
      <c r="B5" s="13" t="s">
        <v>1247</v>
      </c>
      <c r="C5" s="8">
        <v>20954</v>
      </c>
      <c r="D5" s="17">
        <f>SUM(C5/$C$8)</f>
        <v>0.34832768136179265</v>
      </c>
      <c r="E5" s="16"/>
      <c r="G5" s="14"/>
    </row>
    <row r="6" spans="1:7" s="2" customFormat="1" ht="16.5" customHeight="1" thickBot="1">
      <c r="A6" s="12" t="s">
        <v>623</v>
      </c>
      <c r="B6" s="20" t="s">
        <v>1261</v>
      </c>
      <c r="C6" s="8">
        <v>9923</v>
      </c>
      <c r="D6" s="17">
        <f>SUM(C6/$C$8)</f>
        <v>0.16495445175876056</v>
      </c>
      <c r="E6" s="16"/>
      <c r="G6" s="14"/>
    </row>
    <row r="7" spans="1:7" s="2" customFormat="1" ht="16.5" customHeight="1" thickBot="1">
      <c r="A7" s="12" t="s">
        <v>625</v>
      </c>
      <c r="B7" s="37" t="s">
        <v>1286</v>
      </c>
      <c r="C7" s="8">
        <v>649</v>
      </c>
      <c r="D7" s="17">
        <f>SUM(C7/$C$8)</f>
        <v>1.078861626437928E-2</v>
      </c>
      <c r="E7" s="21"/>
    </row>
    <row r="8" spans="1:7" s="2" customFormat="1" ht="16.5" customHeight="1">
      <c r="A8" s="75"/>
      <c r="B8" s="76"/>
      <c r="C8" s="23">
        <f>SUM(C4:C7)</f>
        <v>60156</v>
      </c>
      <c r="D8" s="17"/>
      <c r="E8" s="10" t="s">
        <v>1874</v>
      </c>
      <c r="F8" s="21">
        <f>(C4-C5)</f>
        <v>7676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666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(54307/63899)</f>
        <v>0.84988810466517473</v>
      </c>
    </row>
    <row r="13" spans="1:7" s="2" customFormat="1" ht="16.5" customHeight="1" thickBot="1">
      <c r="A13" s="6" t="s">
        <v>1977</v>
      </c>
      <c r="B13" s="28" t="s">
        <v>1258</v>
      </c>
      <c r="C13" s="36">
        <v>16174</v>
      </c>
      <c r="D13" s="17">
        <f t="shared" ref="D13:D18" si="0">SUM(C13/$C$19)</f>
        <v>0.30018002635437352</v>
      </c>
      <c r="E13" s="16"/>
    </row>
    <row r="14" spans="1:7" s="2" customFormat="1" ht="16.5" customHeight="1" thickBot="1">
      <c r="A14" s="12" t="s">
        <v>2234</v>
      </c>
      <c r="B14" s="13" t="s">
        <v>1247</v>
      </c>
      <c r="C14" s="8">
        <v>16096</v>
      </c>
      <c r="D14" s="17">
        <f t="shared" si="0"/>
        <v>0.29873239175219463</v>
      </c>
      <c r="E14" s="16"/>
      <c r="G14" s="14"/>
    </row>
    <row r="15" spans="1:7" s="2" customFormat="1" ht="16.5" customHeight="1" thickBot="1">
      <c r="A15" s="12" t="s">
        <v>1981</v>
      </c>
      <c r="B15" s="20" t="s">
        <v>1261</v>
      </c>
      <c r="C15" s="8">
        <v>12044</v>
      </c>
      <c r="D15" s="17">
        <f t="shared" si="0"/>
        <v>0.22352963011079974</v>
      </c>
      <c r="E15" s="16"/>
      <c r="G15" s="14"/>
    </row>
    <row r="16" spans="1:7" s="2" customFormat="1" ht="16.5" customHeight="1" thickBot="1">
      <c r="A16" s="12" t="s">
        <v>2370</v>
      </c>
      <c r="B16" s="22" t="s">
        <v>1257</v>
      </c>
      <c r="C16" s="8">
        <v>7066</v>
      </c>
      <c r="D16" s="17">
        <f t="shared" si="0"/>
        <v>0.13114084742302481</v>
      </c>
      <c r="E16" s="16"/>
      <c r="G16" s="14"/>
    </row>
    <row r="17" spans="1:7" s="2" customFormat="1" ht="16.5" customHeight="1" thickBot="1">
      <c r="A17" s="12" t="s">
        <v>2240</v>
      </c>
      <c r="B17" s="40" t="s">
        <v>1269</v>
      </c>
      <c r="C17" s="8">
        <v>1735</v>
      </c>
      <c r="D17" s="17">
        <f t="shared" si="0"/>
        <v>3.220059018949166E-2</v>
      </c>
      <c r="E17" s="16"/>
      <c r="G17" s="14"/>
    </row>
    <row r="18" spans="1:7" s="2" customFormat="1" ht="16.5" customHeight="1" thickBot="1">
      <c r="A18" s="12" t="s">
        <v>1975</v>
      </c>
      <c r="B18" s="37" t="s">
        <v>1286</v>
      </c>
      <c r="C18" s="8">
        <v>766</v>
      </c>
      <c r="D18" s="17">
        <f t="shared" si="0"/>
        <v>1.4216514170115626E-2</v>
      </c>
      <c r="E18" s="16"/>
      <c r="G18" s="14"/>
    </row>
    <row r="19" spans="1:7" s="2" customFormat="1" ht="16.5" customHeight="1">
      <c r="A19" s="75"/>
      <c r="B19" s="76"/>
      <c r="C19" s="23">
        <f>SUM(C13:C18)</f>
        <v>53881</v>
      </c>
      <c r="D19" s="17"/>
      <c r="E19" s="10" t="s">
        <v>1874</v>
      </c>
      <c r="F19" s="21">
        <f>(C13-C14)</f>
        <v>78</v>
      </c>
    </row>
    <row r="20" spans="1:7" s="2" customFormat="1" ht="12" customHeight="1">
      <c r="A20" s="1"/>
    </row>
    <row r="21" spans="1:7" s="2" customFormat="1" ht="16.5" customHeight="1">
      <c r="A21" s="1" t="s">
        <v>667</v>
      </c>
    </row>
    <row r="22" spans="1:7" s="2" customFormat="1" ht="9.75" customHeight="1" thickBot="1">
      <c r="A22" s="3"/>
    </row>
    <row r="23" spans="1:7" s="2" customFormat="1" ht="16.5" customHeight="1" thickBot="1">
      <c r="A23" s="4" t="s">
        <v>1244</v>
      </c>
      <c r="B23" s="5" t="s">
        <v>1245</v>
      </c>
      <c r="C23" s="5" t="s">
        <v>1248</v>
      </c>
      <c r="D23" s="10"/>
      <c r="E23" s="10" t="s">
        <v>1413</v>
      </c>
      <c r="F23" s="11">
        <f>(52562/67431)</f>
        <v>0.77949311147691713</v>
      </c>
    </row>
    <row r="24" spans="1:7" s="2" customFormat="1" ht="16.5" customHeight="1" thickBot="1">
      <c r="A24" s="6" t="s">
        <v>1991</v>
      </c>
      <c r="B24" s="7" t="s">
        <v>1261</v>
      </c>
      <c r="C24" s="36">
        <v>24071</v>
      </c>
      <c r="D24" s="17">
        <f>SUM(C24/$C$29)</f>
        <v>0.46032778107131245</v>
      </c>
      <c r="E24" s="16"/>
    </row>
    <row r="25" spans="1:7" s="2" customFormat="1" ht="16.5" customHeight="1" thickBot="1">
      <c r="A25" s="12" t="s">
        <v>2002</v>
      </c>
      <c r="B25" s="27" t="s">
        <v>1258</v>
      </c>
      <c r="C25" s="8">
        <v>15923</v>
      </c>
      <c r="D25" s="17">
        <f>SUM(C25/$C$29)</f>
        <v>0.304507467824291</v>
      </c>
      <c r="E25" s="16"/>
      <c r="G25" s="14"/>
    </row>
    <row r="26" spans="1:7" s="2" customFormat="1" ht="16.5" customHeight="1" thickBot="1">
      <c r="A26" s="12" t="s">
        <v>1978</v>
      </c>
      <c r="B26" s="13" t="s">
        <v>1247</v>
      </c>
      <c r="C26" s="8">
        <v>10607</v>
      </c>
      <c r="D26" s="17">
        <f>SUM(C26/$C$29)</f>
        <v>0.20284561396798684</v>
      </c>
      <c r="E26" s="16"/>
      <c r="G26" s="14"/>
    </row>
    <row r="27" spans="1:7" s="2" customFormat="1" ht="16.5" customHeight="1" thickBot="1">
      <c r="A27" s="12" t="s">
        <v>668</v>
      </c>
      <c r="B27" s="40" t="s">
        <v>1269</v>
      </c>
      <c r="C27" s="8">
        <v>1108</v>
      </c>
      <c r="D27" s="17">
        <f>SUM(C27/$C$29)</f>
        <v>2.1189114761622458E-2</v>
      </c>
      <c r="E27" s="21"/>
    </row>
    <row r="28" spans="1:7" s="2" customFormat="1" ht="16.5" customHeight="1" thickBot="1">
      <c r="A28" s="12" t="s">
        <v>2246</v>
      </c>
      <c r="B28" s="37" t="s">
        <v>1286</v>
      </c>
      <c r="C28" s="8">
        <v>582</v>
      </c>
      <c r="D28" s="17">
        <f>SUM(C28/$C$29)</f>
        <v>1.1130022374787248E-2</v>
      </c>
      <c r="E28" s="21"/>
    </row>
    <row r="29" spans="1:7" s="2" customFormat="1" ht="16.5" customHeight="1">
      <c r="A29" s="75"/>
      <c r="B29" s="76"/>
      <c r="C29" s="23">
        <f>SUM(C24:C28)</f>
        <v>52291</v>
      </c>
      <c r="D29" s="17"/>
      <c r="E29" s="10" t="s">
        <v>1874</v>
      </c>
      <c r="F29" s="21">
        <f>(C24-C25)</f>
        <v>8148</v>
      </c>
    </row>
    <row r="30" spans="1:7" s="2" customFormat="1" ht="12" customHeight="1">
      <c r="A30" s="1"/>
    </row>
    <row r="31" spans="1:7" s="2" customFormat="1" ht="16.5" customHeight="1">
      <c r="A31" s="1" t="s">
        <v>669</v>
      </c>
    </row>
    <row r="32" spans="1:7" s="2" customFormat="1" ht="9.75" customHeight="1" thickBot="1">
      <c r="A32" s="3"/>
    </row>
    <row r="33" spans="1:7" s="2" customFormat="1" ht="16.5" customHeight="1" thickBot="1">
      <c r="A33" s="4" t="s">
        <v>1244</v>
      </c>
      <c r="B33" s="5" t="s">
        <v>1245</v>
      </c>
      <c r="C33" s="5" t="s">
        <v>1248</v>
      </c>
      <c r="D33" s="10"/>
      <c r="E33" s="10" t="s">
        <v>1413</v>
      </c>
      <c r="F33" s="11">
        <f>(51699/67365)</f>
        <v>0.76744600311734579</v>
      </c>
    </row>
    <row r="34" spans="1:7" s="2" customFormat="1" ht="16.5" customHeight="1" thickBot="1">
      <c r="A34" s="6" t="s">
        <v>2417</v>
      </c>
      <c r="B34" s="9" t="s">
        <v>1257</v>
      </c>
      <c r="C34" s="36">
        <v>19469</v>
      </c>
      <c r="D34" s="17">
        <f t="shared" ref="D34:D39" si="1">SUM(C34/$C$40)</f>
        <v>0.37902503601604176</v>
      </c>
      <c r="E34" s="16"/>
    </row>
    <row r="35" spans="1:7" s="2" customFormat="1" ht="16.5" customHeight="1" thickBot="1">
      <c r="A35" s="12" t="s">
        <v>2247</v>
      </c>
      <c r="B35" s="27" t="s">
        <v>1258</v>
      </c>
      <c r="C35" s="8">
        <v>12207</v>
      </c>
      <c r="D35" s="17">
        <f t="shared" si="1"/>
        <v>0.23764747108982595</v>
      </c>
      <c r="E35" s="16"/>
      <c r="G35" s="14"/>
    </row>
    <row r="36" spans="1:7" s="2" customFormat="1" ht="16.5" customHeight="1" thickBot="1">
      <c r="A36" s="12" t="s">
        <v>2009</v>
      </c>
      <c r="B36" s="20" t="s">
        <v>1261</v>
      </c>
      <c r="C36" s="8">
        <v>9397</v>
      </c>
      <c r="D36" s="17">
        <f t="shared" si="1"/>
        <v>0.18294202390686445</v>
      </c>
      <c r="E36" s="16"/>
      <c r="G36" s="14"/>
    </row>
    <row r="37" spans="1:7" s="2" customFormat="1" ht="16.5" customHeight="1" thickBot="1">
      <c r="A37" s="12" t="s">
        <v>633</v>
      </c>
      <c r="B37" s="13" t="s">
        <v>1247</v>
      </c>
      <c r="C37" s="8">
        <v>7073</v>
      </c>
      <c r="D37" s="17">
        <f t="shared" si="1"/>
        <v>0.13769808822956819</v>
      </c>
      <c r="E37" s="21"/>
    </row>
    <row r="38" spans="1:7" s="2" customFormat="1" ht="16.5" customHeight="1" thickBot="1">
      <c r="A38" s="12" t="s">
        <v>670</v>
      </c>
      <c r="B38" s="40" t="s">
        <v>1269</v>
      </c>
      <c r="C38" s="8">
        <v>2401</v>
      </c>
      <c r="D38" s="17">
        <f t="shared" si="1"/>
        <v>4.6742981738893429E-2</v>
      </c>
      <c r="E38" s="16"/>
      <c r="G38" s="14"/>
    </row>
    <row r="39" spans="1:7" s="2" customFormat="1" ht="16.5" customHeight="1" thickBot="1">
      <c r="A39" s="12" t="s">
        <v>1285</v>
      </c>
      <c r="B39" s="37" t="s">
        <v>1286</v>
      </c>
      <c r="C39" s="8">
        <v>819</v>
      </c>
      <c r="D39" s="17">
        <f t="shared" si="1"/>
        <v>1.5944399018806215E-2</v>
      </c>
      <c r="E39" s="16"/>
      <c r="G39" s="14"/>
    </row>
    <row r="40" spans="1:7" s="2" customFormat="1" ht="16.5" customHeight="1">
      <c r="A40" s="75"/>
      <c r="B40" s="76"/>
      <c r="C40" s="23">
        <f>SUM(C34:C39)</f>
        <v>51366</v>
      </c>
      <c r="D40" s="17"/>
      <c r="E40" s="10" t="s">
        <v>1874</v>
      </c>
      <c r="F40" s="21">
        <f>(C34-C35)</f>
        <v>7262</v>
      </c>
    </row>
    <row r="41" spans="1:7" s="2" customFormat="1" ht="12" customHeight="1">
      <c r="A41" s="1"/>
    </row>
    <row r="42" spans="1:7" s="2" customFormat="1" ht="16.5" customHeight="1">
      <c r="A42" s="1" t="s">
        <v>664</v>
      </c>
    </row>
    <row r="43" spans="1:7" s="2" customFormat="1" ht="9.75" customHeight="1" thickBot="1">
      <c r="A43" s="3"/>
    </row>
    <row r="44" spans="1:7" s="2" customFormat="1" ht="16.5" customHeight="1" thickBot="1">
      <c r="A44" s="4" t="s">
        <v>1244</v>
      </c>
      <c r="B44" s="5" t="s">
        <v>1245</v>
      </c>
      <c r="C44" s="5" t="s">
        <v>1248</v>
      </c>
      <c r="D44" s="10"/>
      <c r="E44" s="10" t="s">
        <v>1413</v>
      </c>
      <c r="F44" s="11">
        <f>(47781/62387)</f>
        <v>0.76588071232788879</v>
      </c>
    </row>
    <row r="45" spans="1:7" s="2" customFormat="1" ht="16.5" customHeight="1" thickBot="1">
      <c r="A45" s="6" t="s">
        <v>2263</v>
      </c>
      <c r="B45" s="9" t="s">
        <v>1257</v>
      </c>
      <c r="C45" s="36">
        <v>18988</v>
      </c>
      <c r="D45" s="17">
        <f>SUM(C45/$C$49)</f>
        <v>0.40042176296921128</v>
      </c>
      <c r="E45" s="16"/>
    </row>
    <row r="46" spans="1:7" s="2" customFormat="1" ht="16.5" customHeight="1" thickBot="1">
      <c r="A46" s="12" t="s">
        <v>2021</v>
      </c>
      <c r="B46" s="20" t="s">
        <v>1261</v>
      </c>
      <c r="C46" s="8">
        <v>17434</v>
      </c>
      <c r="D46" s="17">
        <f>SUM(C46/$C$49)</f>
        <v>0.36765078026149306</v>
      </c>
      <c r="E46" s="16"/>
      <c r="G46" s="14"/>
    </row>
    <row r="47" spans="1:7" s="2" customFormat="1" ht="16.5" customHeight="1" thickBot="1">
      <c r="A47" s="12" t="s">
        <v>621</v>
      </c>
      <c r="B47" s="13" t="s">
        <v>1247</v>
      </c>
      <c r="C47" s="8">
        <v>9928</v>
      </c>
      <c r="D47" s="17">
        <f>SUM(C47/$C$49)</f>
        <v>0.20936313791649094</v>
      </c>
      <c r="E47" s="16"/>
      <c r="G47" s="14"/>
    </row>
    <row r="48" spans="1:7" s="2" customFormat="1" ht="16.5" customHeight="1" thickBot="1">
      <c r="A48" s="12" t="s">
        <v>2275</v>
      </c>
      <c r="B48" s="37" t="s">
        <v>1286</v>
      </c>
      <c r="C48" s="8">
        <v>1070</v>
      </c>
      <c r="D48" s="17">
        <f>SUM(C48/$C$49)</f>
        <v>2.2564318852804723E-2</v>
      </c>
      <c r="E48" s="16"/>
      <c r="G48" s="14"/>
    </row>
    <row r="49" spans="1:7" s="2" customFormat="1" ht="16.5" customHeight="1">
      <c r="A49" s="75"/>
      <c r="B49" s="76"/>
      <c r="C49" s="23">
        <f>SUM(C45:C48)</f>
        <v>47420</v>
      </c>
      <c r="D49" s="17"/>
      <c r="E49" s="10" t="s">
        <v>1874</v>
      </c>
      <c r="F49" s="21">
        <f>(C45-C46)</f>
        <v>1554</v>
      </c>
    </row>
    <row r="50" spans="1:7" s="2" customFormat="1" ht="12" customHeight="1">
      <c r="A50" s="1"/>
    </row>
    <row r="51" spans="1:7" s="2" customFormat="1" ht="16.5" customHeight="1">
      <c r="A51" s="1" t="s">
        <v>657</v>
      </c>
    </row>
    <row r="52" spans="1:7" s="2" customFormat="1" ht="9.75" customHeight="1" thickBot="1">
      <c r="A52" s="3"/>
    </row>
    <row r="53" spans="1:7" s="2" customFormat="1" ht="16.5" customHeight="1" thickBot="1">
      <c r="A53" s="4" t="s">
        <v>1244</v>
      </c>
      <c r="B53" s="5" t="s">
        <v>1245</v>
      </c>
      <c r="C53" s="5" t="s">
        <v>1248</v>
      </c>
      <c r="D53" s="10"/>
      <c r="E53" s="10" t="s">
        <v>1413</v>
      </c>
      <c r="F53" s="11">
        <f>(51652/66987)</f>
        <v>0.77107498469852365</v>
      </c>
    </row>
    <row r="54" spans="1:7" s="2" customFormat="1" ht="16.5" customHeight="1" thickBot="1">
      <c r="A54" s="6" t="s">
        <v>612</v>
      </c>
      <c r="B54" s="9" t="s">
        <v>1257</v>
      </c>
      <c r="C54" s="36">
        <v>20693</v>
      </c>
      <c r="D54" s="17">
        <f t="shared" ref="D54:D59" si="2">SUM(C54/$C$60)</f>
        <v>0.40314442128231603</v>
      </c>
      <c r="E54" s="16"/>
    </row>
    <row r="55" spans="1:7" s="2" customFormat="1" ht="16.5" customHeight="1" thickBot="1">
      <c r="A55" s="12" t="s">
        <v>2030</v>
      </c>
      <c r="B55" s="20" t="s">
        <v>1261</v>
      </c>
      <c r="C55" s="8">
        <v>20145</v>
      </c>
      <c r="D55" s="17">
        <f t="shared" si="2"/>
        <v>0.39246819536714139</v>
      </c>
      <c r="E55" s="16"/>
      <c r="G55" s="14"/>
    </row>
    <row r="56" spans="1:7" s="2" customFormat="1" ht="16.5" customHeight="1" thickBot="1">
      <c r="A56" s="12" t="s">
        <v>658</v>
      </c>
      <c r="B56" s="13" t="s">
        <v>1247</v>
      </c>
      <c r="C56" s="8">
        <v>4074</v>
      </c>
      <c r="D56" s="17">
        <f t="shared" si="2"/>
        <v>7.9370336456973639E-2</v>
      </c>
      <c r="E56" s="16"/>
      <c r="G56" s="14"/>
    </row>
    <row r="57" spans="1:7" s="2" customFormat="1" ht="16.5" customHeight="1" thickBot="1">
      <c r="A57" s="12" t="s">
        <v>386</v>
      </c>
      <c r="B57" s="27" t="s">
        <v>1258</v>
      </c>
      <c r="C57" s="8">
        <v>3743</v>
      </c>
      <c r="D57" s="17">
        <f t="shared" si="2"/>
        <v>7.2921740146895522E-2</v>
      </c>
      <c r="E57" s="16"/>
      <c r="G57" s="14"/>
    </row>
    <row r="58" spans="1:7" s="2" customFormat="1" ht="16.5" customHeight="1" thickBot="1">
      <c r="A58" s="12" t="s">
        <v>2274</v>
      </c>
      <c r="B58" s="40" t="s">
        <v>1269</v>
      </c>
      <c r="C58" s="8">
        <v>1823</v>
      </c>
      <c r="D58" s="17">
        <f t="shared" si="2"/>
        <v>3.5515985115626647E-2</v>
      </c>
      <c r="E58" s="16"/>
      <c r="G58" s="14"/>
    </row>
    <row r="59" spans="1:7" s="2" customFormat="1" ht="16.5" customHeight="1" thickBot="1">
      <c r="A59" s="12" t="s">
        <v>659</v>
      </c>
      <c r="B59" s="37" t="s">
        <v>1286</v>
      </c>
      <c r="C59" s="8">
        <v>851</v>
      </c>
      <c r="D59" s="17">
        <f t="shared" si="2"/>
        <v>1.6579321631046778E-2</v>
      </c>
      <c r="E59" s="21"/>
    </row>
    <row r="60" spans="1:7" s="2" customFormat="1" ht="16.5" customHeight="1">
      <c r="A60" s="75"/>
      <c r="B60" s="76"/>
      <c r="C60" s="23">
        <f>SUM(C54:C59)</f>
        <v>51329</v>
      </c>
      <c r="D60" s="17"/>
      <c r="E60" s="10" t="s">
        <v>1874</v>
      </c>
      <c r="F60" s="21">
        <f>(C54-C55)</f>
        <v>548</v>
      </c>
    </row>
    <row r="61" spans="1:7" s="2" customFormat="1" ht="12" customHeight="1">
      <c r="A61" s="1"/>
    </row>
    <row r="62" spans="1:7" s="2" customFormat="1" ht="16.5" customHeight="1">
      <c r="A62" s="1" t="s">
        <v>663</v>
      </c>
    </row>
    <row r="63" spans="1:7" s="2" customFormat="1" ht="9.75" customHeight="1" thickBot="1">
      <c r="A63" s="3"/>
    </row>
    <row r="64" spans="1:7" s="2" customFormat="1" ht="16.5" customHeight="1" thickBot="1">
      <c r="A64" s="4" t="s">
        <v>1244</v>
      </c>
      <c r="B64" s="5" t="s">
        <v>1245</v>
      </c>
      <c r="C64" s="5" t="s">
        <v>1248</v>
      </c>
      <c r="D64" s="10"/>
      <c r="E64" s="10" t="s">
        <v>1413</v>
      </c>
      <c r="F64" s="11">
        <f>(44020/60795)</f>
        <v>0.72407270334731477</v>
      </c>
    </row>
    <row r="65" spans="1:7" s="2" customFormat="1" ht="16.5" customHeight="1" thickBot="1">
      <c r="A65" s="6" t="s">
        <v>618</v>
      </c>
      <c r="B65" s="9" t="s">
        <v>1257</v>
      </c>
      <c r="C65" s="36">
        <v>24888</v>
      </c>
      <c r="D65" s="17">
        <f>SUM(C65/$C$70)</f>
        <v>0.56893359241056118</v>
      </c>
      <c r="E65" s="16"/>
    </row>
    <row r="66" spans="1:7" s="2" customFormat="1" ht="16.5" customHeight="1" thickBot="1">
      <c r="A66" s="12" t="s">
        <v>2281</v>
      </c>
      <c r="B66" s="20" t="s">
        <v>1261</v>
      </c>
      <c r="C66" s="8">
        <v>7808</v>
      </c>
      <c r="D66" s="17">
        <f>SUM(C66/$C$70)</f>
        <v>0.17848897016801921</v>
      </c>
      <c r="E66" s="16"/>
      <c r="G66" s="14"/>
    </row>
    <row r="67" spans="1:7" s="2" customFormat="1" ht="16.5" customHeight="1" thickBot="1">
      <c r="A67" s="12" t="s">
        <v>1894</v>
      </c>
      <c r="B67" s="27" t="s">
        <v>1258</v>
      </c>
      <c r="C67" s="8">
        <v>4547</v>
      </c>
      <c r="D67" s="17">
        <f>SUM(C67/$C$70)</f>
        <v>0.10394330780660647</v>
      </c>
      <c r="E67" s="16"/>
      <c r="G67" s="14"/>
    </row>
    <row r="68" spans="1:7" s="2" customFormat="1" ht="16.5" customHeight="1" thickBot="1">
      <c r="A68" s="12" t="s">
        <v>2523</v>
      </c>
      <c r="B68" s="13" t="s">
        <v>1247</v>
      </c>
      <c r="C68" s="8">
        <v>4110</v>
      </c>
      <c r="D68" s="17">
        <f>SUM(C68/$C$70)</f>
        <v>9.3953594696536746E-2</v>
      </c>
      <c r="E68" s="21"/>
    </row>
    <row r="69" spans="1:7" s="2" customFormat="1" ht="16.5" customHeight="1" thickBot="1">
      <c r="A69" s="12" t="s">
        <v>1754</v>
      </c>
      <c r="B69" s="37" t="s">
        <v>1286</v>
      </c>
      <c r="C69" s="8">
        <v>2392</v>
      </c>
      <c r="D69" s="17">
        <f>SUM(C69/$C$70)</f>
        <v>5.4680534918276374E-2</v>
      </c>
      <c r="E69" s="16"/>
      <c r="G69" s="14"/>
    </row>
    <row r="70" spans="1:7" s="2" customFormat="1" ht="16.5" customHeight="1">
      <c r="A70" s="75"/>
      <c r="B70" s="76"/>
      <c r="C70" s="23">
        <f>SUM(C65:C69)</f>
        <v>43745</v>
      </c>
      <c r="D70" s="17"/>
      <c r="E70" s="10" t="s">
        <v>1874</v>
      </c>
      <c r="F70" s="21">
        <f>(C65-C66)</f>
        <v>17080</v>
      </c>
    </row>
    <row r="71" spans="1:7" s="2" customFormat="1" ht="12" customHeight="1">
      <c r="A71" s="1"/>
    </row>
    <row r="72" spans="1:7" s="2" customFormat="1" ht="16.5" customHeight="1">
      <c r="A72" s="1" t="s">
        <v>660</v>
      </c>
    </row>
    <row r="73" spans="1:7" s="2" customFormat="1" ht="9.75" customHeight="1" thickBot="1">
      <c r="A73" s="3"/>
    </row>
    <row r="74" spans="1:7" s="2" customFormat="1" ht="16.5" customHeight="1" thickBot="1">
      <c r="A74" s="4" t="s">
        <v>1244</v>
      </c>
      <c r="B74" s="5" t="s">
        <v>1245</v>
      </c>
      <c r="C74" s="5" t="s">
        <v>1248</v>
      </c>
      <c r="D74" s="10"/>
      <c r="E74" s="10" t="s">
        <v>1413</v>
      </c>
      <c r="F74" s="11">
        <f>(40752/60099)</f>
        <v>0.67808116607597468</v>
      </c>
    </row>
    <row r="75" spans="1:7" s="2" customFormat="1" ht="16.5" customHeight="1" thickBot="1">
      <c r="A75" s="6" t="s">
        <v>2532</v>
      </c>
      <c r="B75" s="9" t="s">
        <v>1257</v>
      </c>
      <c r="C75" s="36">
        <v>24017</v>
      </c>
      <c r="D75" s="17">
        <f t="shared" ref="D75:D80" si="3">SUM(C75/$C$81)</f>
        <v>0.59193079311874597</v>
      </c>
      <c r="E75" s="16"/>
    </row>
    <row r="76" spans="1:7" s="2" customFormat="1" ht="16.5" customHeight="1" thickBot="1">
      <c r="A76" s="12" t="s">
        <v>2280</v>
      </c>
      <c r="B76" s="27" t="s">
        <v>1258</v>
      </c>
      <c r="C76" s="8">
        <v>6801</v>
      </c>
      <c r="D76" s="17">
        <f t="shared" si="3"/>
        <v>0.16761965790900576</v>
      </c>
      <c r="E76" s="16"/>
      <c r="G76" s="14"/>
    </row>
    <row r="77" spans="1:7" s="2" customFormat="1" ht="16.5" customHeight="1" thickBot="1">
      <c r="A77" s="12" t="s">
        <v>2059</v>
      </c>
      <c r="B77" s="40" t="s">
        <v>1269</v>
      </c>
      <c r="C77" s="8">
        <v>4593</v>
      </c>
      <c r="D77" s="17">
        <f t="shared" si="3"/>
        <v>0.11320057179474541</v>
      </c>
      <c r="E77" s="21"/>
    </row>
    <row r="78" spans="1:7" s="2" customFormat="1" ht="16.5" customHeight="1" thickBot="1">
      <c r="A78" s="12" t="s">
        <v>2344</v>
      </c>
      <c r="B78" s="20" t="s">
        <v>1261</v>
      </c>
      <c r="C78" s="8">
        <v>2603</v>
      </c>
      <c r="D78" s="17">
        <f t="shared" si="3"/>
        <v>6.4154384581258939E-2</v>
      </c>
      <c r="E78" s="16"/>
      <c r="G78" s="14"/>
    </row>
    <row r="79" spans="1:7" s="2" customFormat="1" ht="16.5" customHeight="1" thickBot="1">
      <c r="A79" s="12" t="s">
        <v>661</v>
      </c>
      <c r="B79" s="13" t="s">
        <v>1247</v>
      </c>
      <c r="C79" s="8">
        <v>1751</v>
      </c>
      <c r="D79" s="17">
        <f t="shared" si="3"/>
        <v>4.3155715482821509E-2</v>
      </c>
      <c r="E79" s="16"/>
      <c r="G79" s="14"/>
    </row>
    <row r="80" spans="1:7" s="2" customFormat="1" ht="16.5" customHeight="1" thickBot="1">
      <c r="A80" s="12" t="s">
        <v>662</v>
      </c>
      <c r="B80" s="37" t="s">
        <v>1286</v>
      </c>
      <c r="C80" s="8">
        <v>809</v>
      </c>
      <c r="D80" s="17">
        <f t="shared" si="3"/>
        <v>1.993887711342239E-2</v>
      </c>
      <c r="E80" s="21"/>
    </row>
    <row r="81" spans="1:7" s="2" customFormat="1" ht="16.5" customHeight="1">
      <c r="A81" s="75"/>
      <c r="B81" s="76"/>
      <c r="C81" s="23">
        <f>SUM(C75:C80)</f>
        <v>40574</v>
      </c>
      <c r="D81" s="17"/>
      <c r="E81" s="10" t="s">
        <v>1874</v>
      </c>
      <c r="F81" s="21">
        <f>(C75-C76)</f>
        <v>17216</v>
      </c>
    </row>
    <row r="82" spans="1:7" s="2" customFormat="1" ht="12" customHeight="1">
      <c r="A82" s="1"/>
    </row>
    <row r="83" spans="1:7" s="2" customFormat="1" ht="16.5" customHeight="1">
      <c r="A83" s="1" t="s">
        <v>675</v>
      </c>
    </row>
    <row r="84" spans="1:7" s="2" customFormat="1" ht="9.75" customHeight="1" thickBot="1">
      <c r="A84" s="3"/>
    </row>
    <row r="85" spans="1:7" s="2" customFormat="1" ht="16.5" customHeight="1" thickBot="1">
      <c r="A85" s="4" t="s">
        <v>1244</v>
      </c>
      <c r="B85" s="5" t="s">
        <v>1245</v>
      </c>
      <c r="C85" s="5" t="s">
        <v>1248</v>
      </c>
      <c r="D85" s="10"/>
      <c r="E85" s="10" t="s">
        <v>1413</v>
      </c>
      <c r="F85" s="11">
        <f>(39007/59300)</f>
        <v>0.65779089376053967</v>
      </c>
    </row>
    <row r="86" spans="1:7" s="2" customFormat="1" ht="16.5" customHeight="1" thickBot="1">
      <c r="A86" s="6" t="s">
        <v>2285</v>
      </c>
      <c r="B86" s="9" t="s">
        <v>1257</v>
      </c>
      <c r="C86" s="36">
        <v>17727</v>
      </c>
      <c r="D86" s="17">
        <f t="shared" ref="D86:D91" si="4">SUM(C86/$C$92)</f>
        <v>0.45654021478791623</v>
      </c>
      <c r="E86" s="16"/>
    </row>
    <row r="87" spans="1:7" s="2" customFormat="1" ht="16.5" customHeight="1" thickBot="1">
      <c r="A87" s="12" t="s">
        <v>2284</v>
      </c>
      <c r="B87" s="27" t="s">
        <v>1258</v>
      </c>
      <c r="C87" s="8">
        <v>10935</v>
      </c>
      <c r="D87" s="17">
        <f t="shared" si="4"/>
        <v>0.2816194081743027</v>
      </c>
      <c r="E87" s="16"/>
      <c r="G87" s="14"/>
    </row>
    <row r="88" spans="1:7" s="2" customFormat="1" ht="16.5" customHeight="1" thickBot="1">
      <c r="A88" s="12" t="s">
        <v>2288</v>
      </c>
      <c r="B88" s="40" t="s">
        <v>1269</v>
      </c>
      <c r="C88" s="8">
        <v>4612</v>
      </c>
      <c r="D88" s="17">
        <f t="shared" si="4"/>
        <v>0.11877720260629941</v>
      </c>
      <c r="E88" s="16"/>
      <c r="G88" s="14"/>
    </row>
    <row r="89" spans="1:7" s="2" customFormat="1" ht="16.5" customHeight="1" thickBot="1">
      <c r="A89" s="12" t="s">
        <v>1937</v>
      </c>
      <c r="B89" s="20" t="s">
        <v>1261</v>
      </c>
      <c r="C89" s="8">
        <v>3377</v>
      </c>
      <c r="D89" s="17">
        <f t="shared" si="4"/>
        <v>8.6971078317752193E-2</v>
      </c>
      <c r="E89" s="21"/>
    </row>
    <row r="90" spans="1:7" s="2" customFormat="1" ht="16.5" customHeight="1" thickBot="1">
      <c r="A90" s="12" t="s">
        <v>676</v>
      </c>
      <c r="B90" s="13" t="s">
        <v>1247</v>
      </c>
      <c r="C90" s="8">
        <v>1629</v>
      </c>
      <c r="D90" s="17">
        <f t="shared" si="4"/>
        <v>4.1953179324731513E-2</v>
      </c>
      <c r="E90" s="16"/>
      <c r="G90" s="14"/>
    </row>
    <row r="91" spans="1:7" s="2" customFormat="1" ht="16.5" customHeight="1" thickBot="1">
      <c r="A91" s="12" t="s">
        <v>2283</v>
      </c>
      <c r="B91" s="37" t="s">
        <v>1286</v>
      </c>
      <c r="C91" s="8">
        <v>549</v>
      </c>
      <c r="D91" s="17">
        <f t="shared" si="4"/>
        <v>1.4138916788997914E-2</v>
      </c>
      <c r="E91" s="21"/>
    </row>
    <row r="92" spans="1:7" s="2" customFormat="1" ht="16.5" customHeight="1">
      <c r="A92" s="75"/>
      <c r="B92" s="76"/>
      <c r="C92" s="23">
        <f>SUM(C86:C91)</f>
        <v>38829</v>
      </c>
      <c r="D92" s="17"/>
      <c r="E92" s="10" t="s">
        <v>1874</v>
      </c>
      <c r="F92" s="21">
        <f>(C86-C87)</f>
        <v>6792</v>
      </c>
    </row>
    <row r="93" spans="1:7" s="2" customFormat="1" ht="12" customHeight="1">
      <c r="A93" s="1"/>
    </row>
    <row r="94" spans="1:7" s="2" customFormat="1" ht="16.5" customHeight="1">
      <c r="A94" s="1" t="s">
        <v>671</v>
      </c>
    </row>
    <row r="95" spans="1:7" s="2" customFormat="1" ht="9.75" customHeight="1" thickBot="1">
      <c r="A95" s="3"/>
    </row>
    <row r="96" spans="1:7" s="2" customFormat="1" ht="16.5" customHeight="1" thickBot="1">
      <c r="A96" s="4" t="s">
        <v>1244</v>
      </c>
      <c r="B96" s="5" t="s">
        <v>1245</v>
      </c>
      <c r="C96" s="5" t="s">
        <v>1248</v>
      </c>
      <c r="D96" s="10"/>
      <c r="E96" s="10" t="s">
        <v>1413</v>
      </c>
      <c r="F96" s="11">
        <f>(44417/63254)</f>
        <v>0.70220065134220766</v>
      </c>
    </row>
    <row r="97" spans="1:7" s="2" customFormat="1" ht="16.5" customHeight="1" thickBot="1">
      <c r="A97" s="6" t="s">
        <v>1464</v>
      </c>
      <c r="B97" s="28" t="s">
        <v>1258</v>
      </c>
      <c r="C97" s="36">
        <v>23922</v>
      </c>
      <c r="D97" s="17">
        <f>SUM(C97/$C$102)</f>
        <v>0.54152801358234293</v>
      </c>
      <c r="E97" s="16"/>
    </row>
    <row r="98" spans="1:7" s="2" customFormat="1" ht="16.5" customHeight="1" thickBot="1">
      <c r="A98" s="12" t="s">
        <v>2085</v>
      </c>
      <c r="B98" s="22" t="s">
        <v>1257</v>
      </c>
      <c r="C98" s="8">
        <v>10749</v>
      </c>
      <c r="D98" s="17">
        <f>SUM(C98/$C$102)</f>
        <v>0.24332767402376909</v>
      </c>
      <c r="E98" s="16"/>
      <c r="G98" s="14"/>
    </row>
    <row r="99" spans="1:7" s="2" customFormat="1" ht="16.5" customHeight="1" thickBot="1">
      <c r="A99" s="12" t="s">
        <v>2086</v>
      </c>
      <c r="B99" s="20" t="s">
        <v>1261</v>
      </c>
      <c r="C99" s="8">
        <v>6193</v>
      </c>
      <c r="D99" s="17">
        <f>SUM(C99/$C$102)</f>
        <v>0.14019241652518394</v>
      </c>
      <c r="E99" s="16"/>
      <c r="G99" s="14"/>
    </row>
    <row r="100" spans="1:7" s="2" customFormat="1" ht="16.5" customHeight="1" thickBot="1">
      <c r="A100" s="12" t="s">
        <v>672</v>
      </c>
      <c r="B100" s="13" t="s">
        <v>1247</v>
      </c>
      <c r="C100" s="8">
        <v>2860</v>
      </c>
      <c r="D100" s="17">
        <f>SUM(C100/$C$102)</f>
        <v>6.4742501414827389E-2</v>
      </c>
      <c r="E100" s="21"/>
    </row>
    <row r="101" spans="1:7" s="2" customFormat="1" ht="16.5" customHeight="1" thickBot="1">
      <c r="A101" s="12" t="s">
        <v>2312</v>
      </c>
      <c r="B101" s="39" t="s">
        <v>2303</v>
      </c>
      <c r="C101" s="8">
        <v>451</v>
      </c>
      <c r="D101" s="17">
        <f>SUM(C101/$C$102)</f>
        <v>1.0209394453876627E-2</v>
      </c>
      <c r="E101" s="21"/>
    </row>
    <row r="102" spans="1:7" s="2" customFormat="1" ht="16.5" customHeight="1">
      <c r="A102" s="75"/>
      <c r="B102" s="76"/>
      <c r="C102" s="23">
        <f>SUM(C97:C101)</f>
        <v>44175</v>
      </c>
      <c r="D102" s="17"/>
      <c r="E102" s="10" t="s">
        <v>1874</v>
      </c>
      <c r="F102" s="21">
        <f>(C97-C98)</f>
        <v>13173</v>
      </c>
    </row>
    <row r="103" spans="1:7" s="2" customFormat="1" ht="12" customHeight="1">
      <c r="A103" s="1"/>
    </row>
    <row r="104" spans="1:7" s="2" customFormat="1" ht="16.5" customHeight="1">
      <c r="A104" s="1" t="s">
        <v>673</v>
      </c>
    </row>
    <row r="105" spans="1:7" s="2" customFormat="1" ht="9.75" customHeight="1" thickBot="1">
      <c r="A105" s="3"/>
    </row>
    <row r="106" spans="1:7" s="2" customFormat="1" ht="16.5" customHeight="1" thickBot="1">
      <c r="A106" s="4" t="s">
        <v>1244</v>
      </c>
      <c r="B106" s="5" t="s">
        <v>1245</v>
      </c>
      <c r="C106" s="5" t="s">
        <v>1248</v>
      </c>
      <c r="D106" s="10"/>
      <c r="E106" s="10" t="s">
        <v>1413</v>
      </c>
      <c r="F106" s="11">
        <f>(38383/58780)</f>
        <v>0.65299421571963256</v>
      </c>
    </row>
    <row r="107" spans="1:7" s="2" customFormat="1" ht="16.5" customHeight="1" thickBot="1">
      <c r="A107" s="6" t="s">
        <v>2304</v>
      </c>
      <c r="B107" s="9" t="s">
        <v>1257</v>
      </c>
      <c r="C107" s="36">
        <v>14293</v>
      </c>
      <c r="D107" s="17">
        <f t="shared" ref="D107:D112" si="5">SUM(C107/$C$113)</f>
        <v>0.37408396147403683</v>
      </c>
      <c r="E107" s="16"/>
    </row>
    <row r="108" spans="1:7" s="2" customFormat="1" ht="16.5" customHeight="1" thickBot="1">
      <c r="A108" s="12" t="s">
        <v>1914</v>
      </c>
      <c r="B108" s="27" t="s">
        <v>1258</v>
      </c>
      <c r="C108" s="8">
        <v>13926</v>
      </c>
      <c r="D108" s="17">
        <f t="shared" si="5"/>
        <v>0.36447864321608042</v>
      </c>
      <c r="E108" s="16"/>
      <c r="G108" s="14"/>
    </row>
    <row r="109" spans="1:7" s="2" customFormat="1" ht="16.5" customHeight="1" thickBot="1">
      <c r="A109" s="12" t="s">
        <v>2101</v>
      </c>
      <c r="B109" s="40" t="s">
        <v>1269</v>
      </c>
      <c r="C109" s="8">
        <v>7620</v>
      </c>
      <c r="D109" s="17">
        <f t="shared" si="5"/>
        <v>0.19943467336683418</v>
      </c>
      <c r="E109" s="21"/>
    </row>
    <row r="110" spans="1:7" s="2" customFormat="1" ht="16.5" customHeight="1" thickBot="1">
      <c r="A110" s="12" t="s">
        <v>2310</v>
      </c>
      <c r="B110" s="20" t="s">
        <v>1261</v>
      </c>
      <c r="C110" s="8">
        <v>1047</v>
      </c>
      <c r="D110" s="17">
        <f t="shared" si="5"/>
        <v>2.7402638190954773E-2</v>
      </c>
      <c r="E110" s="16"/>
      <c r="G110" s="14"/>
    </row>
    <row r="111" spans="1:7" s="2" customFormat="1" ht="16.5" customHeight="1" thickBot="1">
      <c r="A111" s="12" t="s">
        <v>674</v>
      </c>
      <c r="B111" s="78" t="s">
        <v>1270</v>
      </c>
      <c r="C111" s="8">
        <v>741</v>
      </c>
      <c r="D111" s="17">
        <f t="shared" si="5"/>
        <v>1.9393844221105527E-2</v>
      </c>
      <c r="E111" s="21"/>
    </row>
    <row r="112" spans="1:7" s="2" customFormat="1" ht="16.5" customHeight="1" thickBot="1">
      <c r="A112" s="12" t="s">
        <v>2298</v>
      </c>
      <c r="B112" s="37" t="s">
        <v>1286</v>
      </c>
      <c r="C112" s="8">
        <v>581</v>
      </c>
      <c r="D112" s="17">
        <f t="shared" si="5"/>
        <v>1.5206239530988274E-2</v>
      </c>
      <c r="E112" s="21"/>
    </row>
    <row r="113" spans="1:7" s="2" customFormat="1" ht="16.5" customHeight="1">
      <c r="A113" s="75"/>
      <c r="B113" s="76"/>
      <c r="C113" s="23">
        <f>SUM(C107:C112)</f>
        <v>38208</v>
      </c>
      <c r="D113" s="17"/>
      <c r="E113" s="10" t="s">
        <v>1874</v>
      </c>
      <c r="F113" s="21">
        <f>(C107-C108)</f>
        <v>367</v>
      </c>
    </row>
    <row r="114" spans="1:7" s="2" customFormat="1" ht="12" customHeight="1">
      <c r="A114" s="1"/>
    </row>
    <row r="115" spans="1:7" s="2" customFormat="1" ht="16.5" customHeight="1">
      <c r="A115" s="1" t="s">
        <v>653</v>
      </c>
    </row>
    <row r="116" spans="1:7" s="2" customFormat="1" ht="9.75" customHeight="1" thickBot="1">
      <c r="A116" s="3"/>
    </row>
    <row r="117" spans="1:7" s="2" customFormat="1" ht="16.5" customHeight="1" thickBot="1">
      <c r="A117" s="4" t="s">
        <v>1244</v>
      </c>
      <c r="B117" s="5" t="s">
        <v>1245</v>
      </c>
      <c r="C117" s="5" t="s">
        <v>1248</v>
      </c>
      <c r="D117" s="10"/>
      <c r="E117" s="10" t="s">
        <v>1413</v>
      </c>
      <c r="F117" s="11">
        <f>(39244/60232)</f>
        <v>0.65154735024571653</v>
      </c>
    </row>
    <row r="118" spans="1:7" s="2" customFormat="1" ht="16.5" customHeight="1" thickBot="1">
      <c r="A118" s="6" t="s">
        <v>2115</v>
      </c>
      <c r="B118" s="9" t="s">
        <v>1257</v>
      </c>
      <c r="C118" s="36">
        <v>19086</v>
      </c>
      <c r="D118" s="17">
        <f>SUM(C118/$C$123)</f>
        <v>0.48793332651600368</v>
      </c>
      <c r="E118" s="16"/>
    </row>
    <row r="119" spans="1:7" s="2" customFormat="1" ht="16.5" customHeight="1" thickBot="1">
      <c r="A119" s="12" t="s">
        <v>2317</v>
      </c>
      <c r="B119" s="27" t="s">
        <v>1258</v>
      </c>
      <c r="C119" s="8">
        <v>11716</v>
      </c>
      <c r="D119" s="17">
        <f>SUM(C119/$C$123)</f>
        <v>0.29951937825953573</v>
      </c>
      <c r="E119" s="16"/>
      <c r="G119" s="14"/>
    </row>
    <row r="120" spans="1:7" s="2" customFormat="1" ht="16.5" customHeight="1" thickBot="1">
      <c r="A120" s="12" t="s">
        <v>2366</v>
      </c>
      <c r="B120" s="40" t="s">
        <v>1269</v>
      </c>
      <c r="C120" s="8">
        <v>6171</v>
      </c>
      <c r="D120" s="17">
        <f>SUM(C120/$C$123)</f>
        <v>0.15776152980877389</v>
      </c>
      <c r="E120" s="21"/>
    </row>
    <row r="121" spans="1:7" s="2" customFormat="1" ht="16.5" customHeight="1" thickBot="1">
      <c r="A121" s="12" t="s">
        <v>655</v>
      </c>
      <c r="B121" s="20" t="s">
        <v>1261</v>
      </c>
      <c r="C121" s="8">
        <v>1713</v>
      </c>
      <c r="D121" s="17">
        <f>SUM(C121/$C$123)</f>
        <v>4.3792821351876468E-2</v>
      </c>
      <c r="E121" s="21"/>
    </row>
    <row r="122" spans="1:7" s="2" customFormat="1" ht="16.5" customHeight="1" thickBot="1">
      <c r="A122" s="12" t="s">
        <v>656</v>
      </c>
      <c r="B122" s="78" t="s">
        <v>654</v>
      </c>
      <c r="C122" s="8">
        <v>430</v>
      </c>
      <c r="D122" s="17">
        <f>SUM(C122/$C$123)</f>
        <v>1.0992944063810206E-2</v>
      </c>
      <c r="E122" s="21"/>
    </row>
    <row r="123" spans="1:7" s="2" customFormat="1" ht="16.5" customHeight="1">
      <c r="A123" s="75"/>
      <c r="B123" s="76"/>
      <c r="C123" s="23">
        <f>SUM(C118:C122)</f>
        <v>39116</v>
      </c>
      <c r="D123" s="17"/>
      <c r="E123" s="10" t="s">
        <v>1874</v>
      </c>
      <c r="F123" s="21">
        <f>(C118-C119)</f>
        <v>7370</v>
      </c>
    </row>
    <row r="124" spans="1:7" s="2" customFormat="1" ht="12" customHeight="1">
      <c r="A124" s="1"/>
    </row>
    <row r="125" spans="1:7" s="2" customFormat="1" ht="16.5" customHeight="1">
      <c r="A125" s="1" t="s">
        <v>651</v>
      </c>
    </row>
    <row r="126" spans="1:7" s="2" customFormat="1" ht="9.75" customHeight="1" thickBot="1">
      <c r="A126" s="3"/>
    </row>
    <row r="127" spans="1:7" s="2" customFormat="1" ht="16.5" customHeight="1" thickBot="1">
      <c r="A127" s="4" t="s">
        <v>1244</v>
      </c>
      <c r="B127" s="5" t="s">
        <v>1245</v>
      </c>
      <c r="C127" s="5" t="s">
        <v>1248</v>
      </c>
      <c r="D127" s="10"/>
      <c r="E127" s="10" t="s">
        <v>1413</v>
      </c>
      <c r="F127" s="11">
        <f>(40899/61574)</f>
        <v>0.66422515997011722</v>
      </c>
    </row>
    <row r="128" spans="1:7" s="2" customFormat="1" ht="16.5" customHeight="1" thickBot="1">
      <c r="A128" s="6" t="s">
        <v>2549</v>
      </c>
      <c r="B128" s="62" t="s">
        <v>2314</v>
      </c>
      <c r="C128" s="36">
        <v>22861</v>
      </c>
      <c r="D128" s="17">
        <f>SUM(C128/$C$132)</f>
        <v>0.56056593595213577</v>
      </c>
      <c r="E128" s="16"/>
    </row>
    <row r="129" spans="1:12" s="2" customFormat="1" ht="16.5" customHeight="1" thickBot="1">
      <c r="A129" s="12" t="s">
        <v>2315</v>
      </c>
      <c r="B129" s="40" t="s">
        <v>1269</v>
      </c>
      <c r="C129" s="8">
        <v>9015</v>
      </c>
      <c r="D129" s="17">
        <f>SUM(C129/$C$132)</f>
        <v>0.221053405914374</v>
      </c>
      <c r="E129" s="16"/>
      <c r="G129" s="14"/>
    </row>
    <row r="130" spans="1:12" s="2" customFormat="1" ht="16.5" customHeight="1" thickBot="1">
      <c r="A130" s="12" t="s">
        <v>1339</v>
      </c>
      <c r="B130" s="22" t="s">
        <v>1257</v>
      </c>
      <c r="C130" s="8">
        <v>8261</v>
      </c>
      <c r="D130" s="17">
        <f>SUM(C130/$C$132)</f>
        <v>0.20256485704477464</v>
      </c>
      <c r="E130" s="21"/>
    </row>
    <row r="131" spans="1:12" s="2" customFormat="1" ht="16.5" customHeight="1" thickBot="1">
      <c r="A131" s="12" t="s">
        <v>652</v>
      </c>
      <c r="B131" s="20" t="s">
        <v>1261</v>
      </c>
      <c r="C131" s="8">
        <v>645</v>
      </c>
      <c r="D131" s="17">
        <f>SUM(C131/$C$132)</f>
        <v>1.5815801088715609E-2</v>
      </c>
      <c r="E131" s="21"/>
    </row>
    <row r="132" spans="1:12" s="2" customFormat="1" ht="16.5" customHeight="1">
      <c r="A132" s="75"/>
      <c r="B132" s="76"/>
      <c r="C132" s="23">
        <f>SUM(C128:C131)</f>
        <v>40782</v>
      </c>
      <c r="D132" s="17"/>
      <c r="E132" s="10" t="s">
        <v>1874</v>
      </c>
      <c r="F132" s="21">
        <f>(C128-C129)</f>
        <v>13846</v>
      </c>
    </row>
    <row r="133" spans="1:12" s="2" customFormat="1" ht="12" customHeight="1">
      <c r="A133" s="1"/>
      <c r="E133"/>
      <c r="L133"/>
    </row>
    <row r="134" spans="1:12" s="2" customFormat="1" ht="16.5" customHeight="1">
      <c r="A134" s="1" t="s">
        <v>677</v>
      </c>
    </row>
    <row r="135" spans="1:12" s="2" customFormat="1" ht="9.75" customHeight="1" thickBot="1">
      <c r="A135" s="3"/>
    </row>
    <row r="136" spans="1:12" s="2" customFormat="1" ht="16.5" customHeight="1" thickBot="1">
      <c r="A136" s="4" t="s">
        <v>1244</v>
      </c>
      <c r="B136" s="5" t="s">
        <v>1245</v>
      </c>
      <c r="C136" s="5" t="s">
        <v>1248</v>
      </c>
      <c r="D136" s="10"/>
      <c r="E136" s="10" t="s">
        <v>1413</v>
      </c>
      <c r="F136" s="11">
        <f>(42670/61128)</f>
        <v>0.69804344981023425</v>
      </c>
    </row>
    <row r="137" spans="1:12" s="2" customFormat="1" ht="16.5" customHeight="1" thickBot="1">
      <c r="A137" s="6" t="s">
        <v>563</v>
      </c>
      <c r="B137" s="9" t="s">
        <v>1257</v>
      </c>
      <c r="C137" s="36">
        <v>15339</v>
      </c>
      <c r="D137" s="17">
        <f t="shared" ref="D137:D143" si="6">SUM(C137/$C$144)</f>
        <v>0.36160682712935244</v>
      </c>
      <c r="E137" s="16"/>
    </row>
    <row r="138" spans="1:12" s="2" customFormat="1" ht="16.5" customHeight="1" thickBot="1">
      <c r="A138" s="12" t="s">
        <v>2325</v>
      </c>
      <c r="B138" s="27" t="s">
        <v>1258</v>
      </c>
      <c r="C138" s="8">
        <v>8260</v>
      </c>
      <c r="D138" s="17">
        <f t="shared" si="6"/>
        <v>0.19472406233055942</v>
      </c>
      <c r="E138" s="16"/>
      <c r="G138" s="14"/>
    </row>
    <row r="139" spans="1:12" s="2" customFormat="1" ht="16.5" customHeight="1" thickBot="1">
      <c r="A139" s="12" t="s">
        <v>678</v>
      </c>
      <c r="B139" s="20" t="s">
        <v>1261</v>
      </c>
      <c r="C139" s="8">
        <v>5944</v>
      </c>
      <c r="D139" s="17">
        <f t="shared" si="6"/>
        <v>0.14012588698460596</v>
      </c>
      <c r="E139" s="16"/>
      <c r="G139" s="14"/>
    </row>
    <row r="140" spans="1:12" s="2" customFormat="1" ht="16.5" customHeight="1" thickBot="1">
      <c r="A140" s="12" t="s">
        <v>2327</v>
      </c>
      <c r="B140" s="13" t="s">
        <v>1247</v>
      </c>
      <c r="C140" s="8">
        <v>5451</v>
      </c>
      <c r="D140" s="17">
        <f t="shared" si="6"/>
        <v>0.1285037365331573</v>
      </c>
      <c r="E140" s="16"/>
      <c r="G140" s="14"/>
    </row>
    <row r="141" spans="1:12" s="2" customFormat="1" ht="16.5" customHeight="1" thickBot="1">
      <c r="A141" s="12" t="s">
        <v>2333</v>
      </c>
      <c r="B141" s="40" t="s">
        <v>1269</v>
      </c>
      <c r="C141" s="8">
        <v>3879</v>
      </c>
      <c r="D141" s="17">
        <f t="shared" si="6"/>
        <v>9.1444871401966096E-2</v>
      </c>
      <c r="E141" s="21"/>
    </row>
    <row r="142" spans="1:12" s="2" customFormat="1" ht="16.5" customHeight="1" thickBot="1">
      <c r="A142" s="12" t="s">
        <v>2335</v>
      </c>
      <c r="B142" s="37" t="s">
        <v>1286</v>
      </c>
      <c r="C142" s="8">
        <v>2412</v>
      </c>
      <c r="D142" s="17">
        <f t="shared" si="6"/>
        <v>5.6861312147858271E-2</v>
      </c>
      <c r="E142" s="21"/>
    </row>
    <row r="143" spans="1:12" s="2" customFormat="1" ht="16.5" customHeight="1" thickBot="1">
      <c r="A143" s="12" t="s">
        <v>2332</v>
      </c>
      <c r="B143" s="78" t="s">
        <v>2277</v>
      </c>
      <c r="C143" s="8">
        <v>1134</v>
      </c>
      <c r="D143" s="17">
        <f t="shared" si="6"/>
        <v>2.6733303472500532E-2</v>
      </c>
      <c r="E143" s="21"/>
    </row>
    <row r="144" spans="1:12" s="2" customFormat="1" ht="16.5" customHeight="1">
      <c r="A144" s="75"/>
      <c r="B144" s="76"/>
      <c r="C144" s="23">
        <f>SUM(C137:C143)</f>
        <v>42419</v>
      </c>
      <c r="D144" s="17"/>
      <c r="E144" s="10" t="s">
        <v>1874</v>
      </c>
      <c r="F144" s="21">
        <f>(C137-C138)</f>
        <v>7079</v>
      </c>
    </row>
    <row r="145" spans="1:7" s="2" customFormat="1" ht="12" customHeight="1">
      <c r="A145" s="1"/>
    </row>
    <row r="146" spans="1:7" s="2" customFormat="1" ht="16.5" customHeight="1">
      <c r="A146" s="1" t="s">
        <v>679</v>
      </c>
    </row>
    <row r="147" spans="1:7" s="2" customFormat="1" ht="9.75" customHeight="1" thickBot="1">
      <c r="A147" s="3"/>
    </row>
    <row r="148" spans="1:7" s="2" customFormat="1" ht="16.5" customHeight="1" thickBot="1">
      <c r="A148" s="4" t="s">
        <v>1244</v>
      </c>
      <c r="B148" s="5" t="s">
        <v>1245</v>
      </c>
      <c r="C148" s="5" t="s">
        <v>1248</v>
      </c>
      <c r="D148" s="10"/>
      <c r="E148" s="10" t="s">
        <v>1413</v>
      </c>
      <c r="F148" s="11">
        <f>(44733/59750)</f>
        <v>0.74866945606694557</v>
      </c>
    </row>
    <row r="149" spans="1:7" s="2" customFormat="1" ht="16.5" customHeight="1" thickBot="1">
      <c r="A149" s="6" t="s">
        <v>2165</v>
      </c>
      <c r="B149" s="25" t="s">
        <v>1247</v>
      </c>
      <c r="C149" s="36">
        <v>16379</v>
      </c>
      <c r="D149" s="17">
        <f t="shared" ref="D149:D154" si="7">SUM(C149/$C$155)</f>
        <v>0.36917910111346525</v>
      </c>
      <c r="E149" s="16"/>
    </row>
    <row r="150" spans="1:7" s="2" customFormat="1" ht="16.5" customHeight="1" thickBot="1">
      <c r="A150" s="12" t="s">
        <v>2168</v>
      </c>
      <c r="B150" s="20" t="s">
        <v>1261</v>
      </c>
      <c r="C150" s="8">
        <v>10934</v>
      </c>
      <c r="D150" s="17">
        <f t="shared" si="7"/>
        <v>0.24644998422215209</v>
      </c>
      <c r="E150" s="16"/>
      <c r="G150" s="14"/>
    </row>
    <row r="151" spans="1:7" s="2" customFormat="1" ht="16.5" customHeight="1" thickBot="1">
      <c r="A151" s="12" t="s">
        <v>680</v>
      </c>
      <c r="B151" s="78" t="s">
        <v>681</v>
      </c>
      <c r="C151" s="8">
        <v>10326</v>
      </c>
      <c r="D151" s="17">
        <f t="shared" si="7"/>
        <v>0.23274579633052336</v>
      </c>
      <c r="E151" s="16"/>
      <c r="G151" s="14"/>
    </row>
    <row r="152" spans="1:7" s="2" customFormat="1" ht="16.5" customHeight="1" thickBot="1">
      <c r="A152" s="12" t="s">
        <v>2342</v>
      </c>
      <c r="B152" s="22" t="s">
        <v>1257</v>
      </c>
      <c r="C152" s="8">
        <v>2435</v>
      </c>
      <c r="D152" s="17">
        <f t="shared" si="7"/>
        <v>5.4884370914664381E-2</v>
      </c>
      <c r="E152" s="21"/>
    </row>
    <row r="153" spans="1:7" s="2" customFormat="1" ht="16.5" customHeight="1" thickBot="1">
      <c r="A153" s="12" t="s">
        <v>682</v>
      </c>
      <c r="B153" s="27" t="s">
        <v>1258</v>
      </c>
      <c r="C153" s="8">
        <v>2399</v>
      </c>
      <c r="D153" s="17">
        <f t="shared" si="7"/>
        <v>5.4072938736870579E-2</v>
      </c>
      <c r="E153" s="16"/>
      <c r="G153" s="14"/>
    </row>
    <row r="154" spans="1:7" s="2" customFormat="1" ht="16.5" customHeight="1" thickBot="1">
      <c r="A154" s="12" t="s">
        <v>2339</v>
      </c>
      <c r="B154" s="37" t="s">
        <v>1286</v>
      </c>
      <c r="C154" s="8">
        <v>1893</v>
      </c>
      <c r="D154" s="17">
        <f t="shared" si="7"/>
        <v>4.2667808682324303E-2</v>
      </c>
      <c r="E154" s="21"/>
    </row>
    <row r="155" spans="1:7" s="2" customFormat="1" ht="16.5" customHeight="1">
      <c r="A155" s="75"/>
      <c r="B155" s="76"/>
      <c r="C155" s="23">
        <f>SUM(C149:C154)</f>
        <v>44366</v>
      </c>
      <c r="D155" s="17"/>
      <c r="E155" s="10" t="s">
        <v>1874</v>
      </c>
      <c r="F155" s="21">
        <f>(C149-C150)</f>
        <v>5445</v>
      </c>
    </row>
    <row r="156" spans="1:7" s="2" customFormat="1" ht="12" customHeight="1">
      <c r="A156" s="1"/>
    </row>
    <row r="157" spans="1:7" s="2" customFormat="1" ht="16.5" customHeight="1">
      <c r="A157" s="1" t="s">
        <v>683</v>
      </c>
    </row>
    <row r="158" spans="1:7" s="2" customFormat="1" ht="9.75" customHeight="1" thickBot="1">
      <c r="A158" s="3"/>
    </row>
    <row r="159" spans="1:7" s="2" customFormat="1" ht="16.5" customHeight="1" thickBot="1">
      <c r="A159" s="4" t="s">
        <v>1244</v>
      </c>
      <c r="B159" s="5" t="s">
        <v>1245</v>
      </c>
      <c r="C159" s="5" t="s">
        <v>1248</v>
      </c>
      <c r="D159" s="10"/>
      <c r="E159" s="10" t="s">
        <v>1413</v>
      </c>
      <c r="F159" s="11">
        <f>(37492/53694)</f>
        <v>0.69825306365701945</v>
      </c>
    </row>
    <row r="160" spans="1:7" s="2" customFormat="1" ht="16.5" customHeight="1" thickBot="1">
      <c r="A160" s="6" t="s">
        <v>2439</v>
      </c>
      <c r="B160" s="9" t="s">
        <v>1257</v>
      </c>
      <c r="C160" s="36">
        <v>18669</v>
      </c>
      <c r="D160" s="17">
        <f t="shared" ref="D160:D165" si="8">SUM(C160/$C$166)</f>
        <v>0.49973231971732962</v>
      </c>
      <c r="E160" s="16"/>
    </row>
    <row r="161" spans="1:7" s="2" customFormat="1" ht="16.5" customHeight="1" thickBot="1">
      <c r="A161" s="12" t="s">
        <v>2348</v>
      </c>
      <c r="B161" s="40" t="s">
        <v>1269</v>
      </c>
      <c r="C161" s="8">
        <v>8945</v>
      </c>
      <c r="D161" s="17">
        <f t="shared" si="8"/>
        <v>0.23944001284865357</v>
      </c>
      <c r="E161" s="16"/>
      <c r="G161" s="14"/>
    </row>
    <row r="162" spans="1:7" s="2" customFormat="1" ht="16.5" customHeight="1" thickBot="1">
      <c r="A162" s="12" t="s">
        <v>2352</v>
      </c>
      <c r="B162" s="27" t="s">
        <v>1258</v>
      </c>
      <c r="C162" s="8">
        <v>4565</v>
      </c>
      <c r="D162" s="17">
        <f t="shared" si="8"/>
        <v>0.12219604903902778</v>
      </c>
      <c r="E162" s="21"/>
    </row>
    <row r="163" spans="1:7" s="2" customFormat="1" ht="16.5" customHeight="1" thickBot="1">
      <c r="A163" s="12" t="s">
        <v>2177</v>
      </c>
      <c r="B163" s="20" t="s">
        <v>1261</v>
      </c>
      <c r="C163" s="8">
        <v>3216</v>
      </c>
      <c r="D163" s="17">
        <f t="shared" si="8"/>
        <v>8.6085978906793731E-2</v>
      </c>
      <c r="E163" s="16"/>
      <c r="G163" s="14"/>
    </row>
    <row r="164" spans="1:7" s="2" customFormat="1" ht="16.5" customHeight="1" thickBot="1">
      <c r="A164" s="12" t="s">
        <v>642</v>
      </c>
      <c r="B164" s="13" t="s">
        <v>1247</v>
      </c>
      <c r="C164" s="8">
        <v>1107</v>
      </c>
      <c r="D164" s="17">
        <f t="shared" si="8"/>
        <v>2.9632207291610899E-2</v>
      </c>
      <c r="E164" s="16"/>
      <c r="G164" s="14"/>
    </row>
    <row r="165" spans="1:7" s="2" customFormat="1" ht="16.5" customHeight="1" thickBot="1">
      <c r="A165" s="12" t="s">
        <v>2359</v>
      </c>
      <c r="B165" s="37" t="s">
        <v>1286</v>
      </c>
      <c r="C165" s="8">
        <v>856</v>
      </c>
      <c r="D165" s="17">
        <f t="shared" si="8"/>
        <v>2.2913432196584399E-2</v>
      </c>
      <c r="E165" s="16"/>
      <c r="G165" s="14"/>
    </row>
    <row r="166" spans="1:7" s="2" customFormat="1" ht="16.5" customHeight="1">
      <c r="A166" s="75"/>
      <c r="B166" s="76"/>
      <c r="C166" s="23">
        <f>SUM(C160:C165)</f>
        <v>37358</v>
      </c>
      <c r="D166" s="17"/>
      <c r="E166" s="10" t="s">
        <v>1874</v>
      </c>
      <c r="F166" s="21">
        <f>(C160-C161)</f>
        <v>9724</v>
      </c>
    </row>
    <row r="167" spans="1:7" s="2" customFormat="1" ht="12" customHeight="1">
      <c r="A167" s="1"/>
    </row>
    <row r="168" spans="1:7" s="2" customFormat="1" ht="16.5" customHeight="1">
      <c r="A168" s="1" t="s">
        <v>684</v>
      </c>
    </row>
    <row r="169" spans="1:7" s="2" customFormat="1" ht="9.75" customHeight="1" thickBot="1">
      <c r="A169" s="3"/>
    </row>
    <row r="170" spans="1:7" s="2" customFormat="1" ht="16.5" customHeight="1" thickBot="1">
      <c r="A170" s="4" t="s">
        <v>1244</v>
      </c>
      <c r="B170" s="5" t="s">
        <v>1245</v>
      </c>
      <c r="C170" s="5" t="s">
        <v>1248</v>
      </c>
      <c r="D170" s="10"/>
      <c r="E170" s="10" t="s">
        <v>1413</v>
      </c>
      <c r="F170" s="11">
        <f>(39047/55581)</f>
        <v>0.70252424389629553</v>
      </c>
    </row>
    <row r="171" spans="1:7" s="2" customFormat="1" ht="16.5" customHeight="1" thickBot="1">
      <c r="A171" s="6" t="s">
        <v>1660</v>
      </c>
      <c r="B171" s="28" t="s">
        <v>1258</v>
      </c>
      <c r="C171" s="36">
        <v>17631</v>
      </c>
      <c r="D171" s="17">
        <f t="shared" ref="D171:D178" si="9">SUM(C171/$C$179)</f>
        <v>0.45311094549099229</v>
      </c>
      <c r="E171" s="16"/>
    </row>
    <row r="172" spans="1:7" s="2" customFormat="1" ht="16.5" customHeight="1" thickBot="1">
      <c r="A172" s="12" t="s">
        <v>2361</v>
      </c>
      <c r="B172" s="22" t="s">
        <v>1257</v>
      </c>
      <c r="C172" s="8">
        <v>9642</v>
      </c>
      <c r="D172" s="17">
        <f t="shared" si="9"/>
        <v>0.24779625298758706</v>
      </c>
      <c r="E172" s="16"/>
      <c r="G172" s="14"/>
    </row>
    <row r="173" spans="1:7" s="2" customFormat="1" ht="16.5" customHeight="1" thickBot="1">
      <c r="A173" s="12" t="s">
        <v>2360</v>
      </c>
      <c r="B173" s="40" t="s">
        <v>1269</v>
      </c>
      <c r="C173" s="8">
        <v>9373</v>
      </c>
      <c r="D173" s="17">
        <f t="shared" si="9"/>
        <v>0.24088304078538203</v>
      </c>
      <c r="E173" s="21"/>
    </row>
    <row r="174" spans="1:7" s="2" customFormat="1" ht="16.5" customHeight="1" thickBot="1">
      <c r="A174" s="12" t="s">
        <v>686</v>
      </c>
      <c r="B174" s="13" t="s">
        <v>1247</v>
      </c>
      <c r="C174" s="8">
        <v>682</v>
      </c>
      <c r="D174" s="17">
        <f t="shared" si="9"/>
        <v>1.7527177404846959E-2</v>
      </c>
      <c r="E174" s="21"/>
    </row>
    <row r="175" spans="1:7" s="2" customFormat="1" ht="16.5" customHeight="1" thickBot="1">
      <c r="A175" s="12" t="s">
        <v>688</v>
      </c>
      <c r="B175" s="78" t="s">
        <v>2512</v>
      </c>
      <c r="C175" s="8">
        <v>584</v>
      </c>
      <c r="D175" s="17">
        <f t="shared" si="9"/>
        <v>1.5008609390660739E-2</v>
      </c>
      <c r="E175" s="21"/>
    </row>
    <row r="176" spans="1:7" s="2" customFormat="1" ht="16.5" customHeight="1" thickBot="1">
      <c r="A176" s="12" t="s">
        <v>685</v>
      </c>
      <c r="B176" s="20" t="s">
        <v>1261</v>
      </c>
      <c r="C176" s="8">
        <v>519</v>
      </c>
      <c r="D176" s="17">
        <f t="shared" si="9"/>
        <v>1.3338130605741308E-2</v>
      </c>
      <c r="E176" s="21"/>
    </row>
    <row r="177" spans="1:6" s="2" customFormat="1" ht="16.5" customHeight="1" thickBot="1">
      <c r="A177" s="12" t="s">
        <v>2369</v>
      </c>
      <c r="B177" s="37" t="s">
        <v>1286</v>
      </c>
      <c r="C177" s="8">
        <v>421</v>
      </c>
      <c r="D177" s="17">
        <f t="shared" si="9"/>
        <v>1.0819562591555087E-2</v>
      </c>
      <c r="E177" s="21"/>
    </row>
    <row r="178" spans="1:6" s="2" customFormat="1" ht="16.5" customHeight="1" thickBot="1">
      <c r="A178" s="12" t="s">
        <v>687</v>
      </c>
      <c r="B178" s="78" t="s">
        <v>1755</v>
      </c>
      <c r="C178" s="8">
        <v>59</v>
      </c>
      <c r="D178" s="17">
        <f t="shared" si="9"/>
        <v>1.516280743234561E-3</v>
      </c>
      <c r="E178" s="21"/>
    </row>
    <row r="179" spans="1:6" s="2" customFormat="1" ht="16.5" customHeight="1">
      <c r="A179" s="75"/>
      <c r="B179" s="76"/>
      <c r="C179" s="23">
        <f>SUM(C171:C178)</f>
        <v>38911</v>
      </c>
      <c r="D179" s="17"/>
      <c r="E179" s="10" t="s">
        <v>1874</v>
      </c>
      <c r="F179" s="21">
        <f>(C171-C172)</f>
        <v>7989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2"/>
  <dimension ref="A1:L156"/>
  <sheetViews>
    <sheetView workbookViewId="0">
      <selection activeCell="M1" sqref="M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832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(62554/71541)</f>
        <v>0.87437972631078686</v>
      </c>
    </row>
    <row r="4" spans="1:7" s="2" customFormat="1" ht="16.5" customHeight="1" thickBot="1">
      <c r="A4" s="6" t="s">
        <v>721</v>
      </c>
      <c r="B4" s="77" t="s">
        <v>1270</v>
      </c>
      <c r="C4" s="36">
        <v>22398</v>
      </c>
      <c r="D4" s="17">
        <f>SUM(C4/$C$9)</f>
        <v>0.35968588909765381</v>
      </c>
      <c r="E4" s="16"/>
    </row>
    <row r="5" spans="1:7" s="2" customFormat="1" ht="16.5" customHeight="1" thickBot="1">
      <c r="A5" s="12" t="s">
        <v>2226</v>
      </c>
      <c r="B5" s="22" t="s">
        <v>2206</v>
      </c>
      <c r="C5" s="8">
        <v>17411</v>
      </c>
      <c r="D5" s="17">
        <f>SUM(C5/$C$9)</f>
        <v>0.27960045607104428</v>
      </c>
      <c r="E5" s="16"/>
      <c r="G5" s="14"/>
    </row>
    <row r="6" spans="1:7" s="2" customFormat="1" ht="16.5" customHeight="1" thickBot="1">
      <c r="A6" s="12" t="s">
        <v>2222</v>
      </c>
      <c r="B6" s="78" t="s">
        <v>2278</v>
      </c>
      <c r="C6" s="8">
        <v>10785</v>
      </c>
      <c r="D6" s="17">
        <f>SUM(C6/$C$9)</f>
        <v>0.17319458495929085</v>
      </c>
      <c r="E6" s="16"/>
      <c r="G6" s="14"/>
    </row>
    <row r="7" spans="1:7" s="2" customFormat="1" ht="16.5" customHeight="1" thickBot="1">
      <c r="A7" s="12" t="s">
        <v>2229</v>
      </c>
      <c r="B7" s="83" t="s">
        <v>2230</v>
      </c>
      <c r="C7" s="8">
        <v>10607</v>
      </c>
      <c r="D7" s="17">
        <f>SUM(C7/$C$9)</f>
        <v>0.1703361115125821</v>
      </c>
      <c r="E7" s="21"/>
    </row>
    <row r="8" spans="1:7" s="2" customFormat="1" ht="16.5" customHeight="1" thickBot="1">
      <c r="A8" s="12" t="s">
        <v>722</v>
      </c>
      <c r="B8" s="40" t="s">
        <v>1269</v>
      </c>
      <c r="C8" s="8">
        <v>1070</v>
      </c>
      <c r="D8" s="17">
        <f>SUM(C8/$C$9)</f>
        <v>1.7182958359428947E-2</v>
      </c>
      <c r="E8" s="21"/>
    </row>
    <row r="9" spans="1:7" s="2" customFormat="1" ht="16.5" customHeight="1">
      <c r="A9" s="75"/>
      <c r="B9" s="76"/>
      <c r="C9" s="23">
        <f>SUM(C4:C8)</f>
        <v>62271</v>
      </c>
      <c r="D9" s="17"/>
      <c r="E9" s="10" t="s">
        <v>1874</v>
      </c>
      <c r="F9" s="21">
        <f>(C4-C5)</f>
        <v>4987</v>
      </c>
    </row>
    <row r="10" spans="1:7" s="2" customFormat="1" ht="12" customHeight="1">
      <c r="A10" s="1"/>
      <c r="D10" s="11"/>
    </row>
    <row r="11" spans="1:7" s="2" customFormat="1" ht="16.5" customHeight="1">
      <c r="A11" s="1" t="s">
        <v>718</v>
      </c>
    </row>
    <row r="12" spans="1:7" s="2" customFormat="1" ht="9.75" customHeight="1" thickBot="1">
      <c r="A12" s="3"/>
    </row>
    <row r="13" spans="1:7" s="2" customFormat="1" ht="16.5" customHeight="1" thickBot="1">
      <c r="A13" s="4" t="s">
        <v>1244</v>
      </c>
      <c r="B13" s="5" t="s">
        <v>1245</v>
      </c>
      <c r="C13" s="5" t="s">
        <v>1248</v>
      </c>
      <c r="D13" s="10"/>
      <c r="E13" s="10" t="s">
        <v>1413</v>
      </c>
      <c r="F13" s="11">
        <f>(65939/81499)</f>
        <v>0.80907741199278516</v>
      </c>
    </row>
    <row r="14" spans="1:7" s="2" customFormat="1" ht="16.5" customHeight="1" thickBot="1">
      <c r="A14" s="6" t="s">
        <v>719</v>
      </c>
      <c r="B14" s="86" t="s">
        <v>2230</v>
      </c>
      <c r="C14" s="36">
        <v>29249</v>
      </c>
      <c r="D14" s="17">
        <f>SUM(C14/$C$19)</f>
        <v>0.44678836019246926</v>
      </c>
      <c r="E14" s="16"/>
    </row>
    <row r="15" spans="1:7" s="2" customFormat="1" ht="16.5" customHeight="1" thickBot="1">
      <c r="A15" s="12" t="s">
        <v>345</v>
      </c>
      <c r="B15" s="20" t="s">
        <v>1261</v>
      </c>
      <c r="C15" s="8">
        <v>19266</v>
      </c>
      <c r="D15" s="17">
        <f>SUM(C15/$C$19)</f>
        <v>0.29429466126938059</v>
      </c>
      <c r="E15" s="16"/>
      <c r="G15" s="14"/>
    </row>
    <row r="16" spans="1:7" s="2" customFormat="1" ht="16.5" customHeight="1" thickBot="1">
      <c r="A16" s="12" t="s">
        <v>720</v>
      </c>
      <c r="B16" s="95" t="s">
        <v>1864</v>
      </c>
      <c r="C16" s="8">
        <v>12055</v>
      </c>
      <c r="D16" s="17">
        <f>SUM(C16/$C$19)</f>
        <v>0.18414419919040709</v>
      </c>
      <c r="E16" s="16"/>
      <c r="G16" s="14"/>
    </row>
    <row r="17" spans="1:7" s="2" customFormat="1" ht="16.5" customHeight="1" thickBot="1">
      <c r="A17" s="12" t="s">
        <v>2240</v>
      </c>
      <c r="B17" s="40" t="s">
        <v>1269</v>
      </c>
      <c r="C17" s="8">
        <v>3481</v>
      </c>
      <c r="D17" s="17">
        <f>SUM(C17/$C$19)</f>
        <v>5.3173451462613611E-2</v>
      </c>
      <c r="E17" s="16"/>
      <c r="G17" s="14"/>
    </row>
    <row r="18" spans="1:7" s="2" customFormat="1" ht="16.5" customHeight="1" thickBot="1">
      <c r="A18" s="12" t="s">
        <v>1285</v>
      </c>
      <c r="B18" s="37" t="s">
        <v>2447</v>
      </c>
      <c r="C18" s="8">
        <v>1414</v>
      </c>
      <c r="D18" s="17">
        <f>SUM(C18/$C$19)</f>
        <v>2.1599327885129457E-2</v>
      </c>
      <c r="E18" s="16"/>
      <c r="G18" s="14"/>
    </row>
    <row r="19" spans="1:7" s="2" customFormat="1" ht="16.5" customHeight="1">
      <c r="A19" s="75"/>
      <c r="B19" s="76"/>
      <c r="C19" s="23">
        <f>SUM(C14:C18)</f>
        <v>65465</v>
      </c>
      <c r="D19" s="17"/>
      <c r="E19" s="10" t="s">
        <v>1874</v>
      </c>
      <c r="F19" s="21">
        <f>(C14-C15)</f>
        <v>9983</v>
      </c>
    </row>
    <row r="20" spans="1:7" s="2" customFormat="1" ht="12" customHeight="1">
      <c r="A20" s="1"/>
    </row>
    <row r="21" spans="1:7" s="2" customFormat="1" ht="16.5" customHeight="1">
      <c r="A21" s="1" t="s">
        <v>714</v>
      </c>
    </row>
    <row r="22" spans="1:7" s="2" customFormat="1" ht="9.75" customHeight="1" thickBot="1">
      <c r="A22" s="3"/>
    </row>
    <row r="23" spans="1:7" s="2" customFormat="1" ht="16.5" customHeight="1" thickBot="1">
      <c r="A23" s="4" t="s">
        <v>1244</v>
      </c>
      <c r="B23" s="5" t="s">
        <v>1245</v>
      </c>
      <c r="C23" s="5" t="s">
        <v>1248</v>
      </c>
      <c r="D23" s="10"/>
      <c r="E23" s="10" t="s">
        <v>1413</v>
      </c>
      <c r="F23" s="11">
        <f>(64137/94800)</f>
        <v>0.67655063291139239</v>
      </c>
    </row>
    <row r="24" spans="1:7" s="2" customFormat="1" ht="16.5" customHeight="1" thickBot="1">
      <c r="A24" s="6" t="s">
        <v>2417</v>
      </c>
      <c r="B24" s="9" t="s">
        <v>2206</v>
      </c>
      <c r="C24" s="36">
        <v>31592</v>
      </c>
      <c r="D24" s="17">
        <f t="shared" ref="D24:D29" si="0">SUM(C24/$C$30)</f>
        <v>0.49654998978356885</v>
      </c>
      <c r="E24" s="16"/>
    </row>
    <row r="25" spans="1:7" s="2" customFormat="1" ht="16.5" customHeight="1" thickBot="1">
      <c r="A25" s="12" t="s">
        <v>2245</v>
      </c>
      <c r="B25" s="20" t="s">
        <v>1261</v>
      </c>
      <c r="C25" s="8">
        <v>19185</v>
      </c>
      <c r="D25" s="17">
        <f t="shared" si="0"/>
        <v>0.30154189522656899</v>
      </c>
      <c r="E25" s="16"/>
      <c r="G25" s="14"/>
    </row>
    <row r="26" spans="1:7" s="2" customFormat="1" ht="16.5" customHeight="1" thickBot="1">
      <c r="A26" s="12" t="s">
        <v>717</v>
      </c>
      <c r="B26" s="40" t="s">
        <v>1269</v>
      </c>
      <c r="C26" s="8">
        <v>5830</v>
      </c>
      <c r="D26" s="17">
        <f t="shared" si="0"/>
        <v>9.1633528755324337E-2</v>
      </c>
      <c r="E26" s="16"/>
      <c r="G26" s="14"/>
    </row>
    <row r="27" spans="1:7" s="2" customFormat="1" ht="16.5" customHeight="1" thickBot="1">
      <c r="A27" s="12" t="s">
        <v>716</v>
      </c>
      <c r="B27" s="95" t="s">
        <v>1864</v>
      </c>
      <c r="C27" s="8">
        <v>5489</v>
      </c>
      <c r="D27" s="17">
        <f t="shared" si="0"/>
        <v>8.6273831790390262E-2</v>
      </c>
      <c r="E27" s="21"/>
    </row>
    <row r="28" spans="1:7" s="2" customFormat="1" ht="16.5" customHeight="1" thickBot="1">
      <c r="A28" s="12" t="s">
        <v>2246</v>
      </c>
      <c r="B28" s="37" t="s">
        <v>2447</v>
      </c>
      <c r="C28" s="8">
        <v>888</v>
      </c>
      <c r="D28" s="17">
        <f t="shared" si="0"/>
        <v>1.3957216729798973E-2</v>
      </c>
      <c r="E28" s="16"/>
      <c r="G28" s="14"/>
    </row>
    <row r="29" spans="1:7" s="2" customFormat="1" ht="16.5" customHeight="1" thickBot="1">
      <c r="A29" s="12" t="s">
        <v>715</v>
      </c>
      <c r="B29" s="78" t="s">
        <v>1270</v>
      </c>
      <c r="C29" s="8">
        <v>639</v>
      </c>
      <c r="D29" s="17">
        <f t="shared" si="0"/>
        <v>1.0043537714348585E-2</v>
      </c>
      <c r="E29" s="16"/>
      <c r="G29" s="14"/>
    </row>
    <row r="30" spans="1:7" s="2" customFormat="1" ht="16.5" customHeight="1">
      <c r="A30" s="75"/>
      <c r="B30" s="76"/>
      <c r="C30" s="23">
        <f>SUM(C24:C29)</f>
        <v>63623</v>
      </c>
      <c r="D30" s="17"/>
      <c r="E30" s="10" t="s">
        <v>1874</v>
      </c>
      <c r="F30" s="21">
        <f>(C24-C25)</f>
        <v>12407</v>
      </c>
    </row>
    <row r="31" spans="1:7" s="2" customFormat="1" ht="12" customHeight="1">
      <c r="A31" s="1"/>
    </row>
    <row r="32" spans="1:7" s="2" customFormat="1" ht="16.5" customHeight="1">
      <c r="A32" s="1" t="s">
        <v>706</v>
      </c>
    </row>
    <row r="33" spans="1:7" s="2" customFormat="1" ht="9.75" customHeight="1" thickBot="1">
      <c r="A33" s="3"/>
    </row>
    <row r="34" spans="1:7" s="2" customFormat="1" ht="16.5" customHeight="1" thickBot="1">
      <c r="A34" s="4" t="s">
        <v>1244</v>
      </c>
      <c r="B34" s="5" t="s">
        <v>1245</v>
      </c>
      <c r="C34" s="5" t="s">
        <v>1248</v>
      </c>
      <c r="D34" s="10"/>
      <c r="E34" s="10" t="s">
        <v>1413</v>
      </c>
      <c r="F34" s="11">
        <f>(66070/93097)</f>
        <v>0.70968989333705701</v>
      </c>
    </row>
    <row r="35" spans="1:7" s="2" customFormat="1" ht="16.5" customHeight="1" thickBot="1">
      <c r="A35" s="6" t="s">
        <v>618</v>
      </c>
      <c r="B35" s="9" t="s">
        <v>2206</v>
      </c>
      <c r="C35" s="36">
        <v>31668</v>
      </c>
      <c r="D35" s="17">
        <f>SUM(C35/$C$40)</f>
        <v>0.48547469761309808</v>
      </c>
      <c r="E35" s="16"/>
    </row>
    <row r="36" spans="1:7" s="2" customFormat="1" ht="16.5" customHeight="1" thickBot="1">
      <c r="A36" s="12" t="s">
        <v>2021</v>
      </c>
      <c r="B36" s="20" t="s">
        <v>1261</v>
      </c>
      <c r="C36" s="8">
        <v>23545</v>
      </c>
      <c r="D36" s="17">
        <f>SUM(C36/$C$40)</f>
        <v>0.36094801551409605</v>
      </c>
      <c r="E36" s="16"/>
      <c r="G36" s="14"/>
    </row>
    <row r="37" spans="1:7" s="2" customFormat="1" ht="16.5" customHeight="1" thickBot="1">
      <c r="A37" s="12" t="s">
        <v>1431</v>
      </c>
      <c r="B37" s="27" t="s">
        <v>1258</v>
      </c>
      <c r="C37" s="8">
        <v>5634</v>
      </c>
      <c r="D37" s="17">
        <f>SUM(C37/$C$40)</f>
        <v>8.636997746470236E-2</v>
      </c>
      <c r="E37" s="16"/>
      <c r="G37" s="14"/>
    </row>
    <row r="38" spans="1:7" s="2" customFormat="1" ht="16.5" customHeight="1" thickBot="1">
      <c r="A38" s="12" t="s">
        <v>2275</v>
      </c>
      <c r="B38" s="37" t="s">
        <v>2447</v>
      </c>
      <c r="C38" s="8">
        <v>2310</v>
      </c>
      <c r="D38" s="17">
        <f>SUM(C38/$C$40)</f>
        <v>3.5412610568594689E-2</v>
      </c>
      <c r="E38" s="16"/>
      <c r="G38" s="14"/>
    </row>
    <row r="39" spans="1:7" s="2" customFormat="1" ht="16.5" customHeight="1" thickBot="1">
      <c r="A39" s="12" t="s">
        <v>707</v>
      </c>
      <c r="B39" s="40" t="s">
        <v>1269</v>
      </c>
      <c r="C39" s="8">
        <v>2074</v>
      </c>
      <c r="D39" s="17">
        <f>SUM(C39/$C$40)</f>
        <v>3.179469883950882E-2</v>
      </c>
      <c r="E39" s="16"/>
      <c r="G39" s="14"/>
    </row>
    <row r="40" spans="1:7" s="2" customFormat="1" ht="16.5" customHeight="1">
      <c r="A40" s="75"/>
      <c r="B40" s="76"/>
      <c r="C40" s="23">
        <f>SUM(C35:C39)</f>
        <v>65231</v>
      </c>
      <c r="D40" s="17"/>
      <c r="E40" s="10" t="s">
        <v>1874</v>
      </c>
      <c r="F40" s="21">
        <f>(C35-C36)</f>
        <v>8123</v>
      </c>
    </row>
    <row r="41" spans="1:7" s="2" customFormat="1" ht="12" customHeight="1">
      <c r="A41" s="1"/>
    </row>
    <row r="42" spans="1:7" s="2" customFormat="1" ht="16.5" customHeight="1">
      <c r="A42" s="1" t="s">
        <v>709</v>
      </c>
    </row>
    <row r="43" spans="1:7" s="2" customFormat="1" ht="9.75" customHeight="1" thickBot="1">
      <c r="A43" s="3"/>
    </row>
    <row r="44" spans="1:7" s="2" customFormat="1" ht="16.5" customHeight="1" thickBot="1">
      <c r="A44" s="4" t="s">
        <v>1244</v>
      </c>
      <c r="B44" s="5" t="s">
        <v>1245</v>
      </c>
      <c r="C44" s="5" t="s">
        <v>1248</v>
      </c>
      <c r="D44" s="10"/>
      <c r="E44" s="10" t="s">
        <v>1413</v>
      </c>
      <c r="F44" s="11">
        <f>(65051/89597)</f>
        <v>0.72603993437280268</v>
      </c>
    </row>
    <row r="45" spans="1:7" s="2" customFormat="1" ht="16.5" customHeight="1" thickBot="1">
      <c r="A45" s="6" t="s">
        <v>612</v>
      </c>
      <c r="B45" s="9" t="s">
        <v>2206</v>
      </c>
      <c r="C45" s="36">
        <v>32254</v>
      </c>
      <c r="D45" s="17">
        <f t="shared" ref="D45:D51" si="1">SUM(C45/$C$52)</f>
        <v>0.50024815435200698</v>
      </c>
      <c r="E45" s="16"/>
    </row>
    <row r="46" spans="1:7" s="2" customFormat="1" ht="16.5" customHeight="1" thickBot="1">
      <c r="A46" s="12" t="s">
        <v>2030</v>
      </c>
      <c r="B46" s="20" t="s">
        <v>1261</v>
      </c>
      <c r="C46" s="8">
        <v>24033</v>
      </c>
      <c r="D46" s="17">
        <f t="shared" si="1"/>
        <v>0.3727433463614368</v>
      </c>
      <c r="E46" s="16"/>
      <c r="G46" s="14"/>
    </row>
    <row r="47" spans="1:7" s="2" customFormat="1" ht="16.5" customHeight="1" thickBot="1">
      <c r="A47" s="12" t="s">
        <v>2274</v>
      </c>
      <c r="B47" s="40" t="s">
        <v>1269</v>
      </c>
      <c r="C47" s="8">
        <v>4407</v>
      </c>
      <c r="D47" s="17">
        <f t="shared" si="1"/>
        <v>6.8351014330913826E-2</v>
      </c>
      <c r="E47" s="16"/>
      <c r="G47" s="14"/>
    </row>
    <row r="48" spans="1:7" s="2" customFormat="1" ht="16.5" customHeight="1" thickBot="1">
      <c r="A48" s="12" t="s">
        <v>711</v>
      </c>
      <c r="B48" s="95" t="s">
        <v>1864</v>
      </c>
      <c r="C48" s="8">
        <v>1853</v>
      </c>
      <c r="D48" s="17">
        <f t="shared" si="1"/>
        <v>2.8739375891804704E-2</v>
      </c>
      <c r="E48" s="16"/>
      <c r="G48" s="14"/>
    </row>
    <row r="49" spans="1:10" s="2" customFormat="1" ht="16.5" customHeight="1" thickBot="1">
      <c r="A49" s="12" t="s">
        <v>615</v>
      </c>
      <c r="B49" s="37" t="s">
        <v>2447</v>
      </c>
      <c r="C49" s="8">
        <v>1682</v>
      </c>
      <c r="D49" s="17">
        <f t="shared" si="1"/>
        <v>2.6087226254730443E-2</v>
      </c>
      <c r="E49" s="16"/>
      <c r="G49" s="14"/>
    </row>
    <row r="50" spans="1:10" s="2" customFormat="1" ht="16.5" customHeight="1" thickBot="1">
      <c r="A50" s="12" t="s">
        <v>713</v>
      </c>
      <c r="B50" s="78" t="s">
        <v>1270</v>
      </c>
      <c r="C50" s="8">
        <v>216</v>
      </c>
      <c r="D50" s="17">
        <f t="shared" si="1"/>
        <v>3.3500837520938024E-3</v>
      </c>
      <c r="E50" s="16"/>
      <c r="G50" s="14"/>
    </row>
    <row r="51" spans="1:10" s="2" customFormat="1" ht="16.5" customHeight="1" thickBot="1">
      <c r="A51" s="12" t="s">
        <v>712</v>
      </c>
      <c r="B51" s="78" t="s">
        <v>710</v>
      </c>
      <c r="C51" s="8">
        <v>31</v>
      </c>
      <c r="D51" s="17">
        <f t="shared" si="1"/>
        <v>4.8079905701346238E-4</v>
      </c>
      <c r="E51" s="21"/>
    </row>
    <row r="52" spans="1:10" s="2" customFormat="1" ht="16.5" customHeight="1">
      <c r="A52" s="75"/>
      <c r="B52" s="76"/>
      <c r="C52" s="23">
        <f>SUM(C45:C51)</f>
        <v>64476</v>
      </c>
      <c r="D52" s="17"/>
      <c r="E52" s="10" t="s">
        <v>1874</v>
      </c>
      <c r="F52" s="21">
        <f>(C45-C46)</f>
        <v>8221</v>
      </c>
    </row>
    <row r="53" spans="1:10" s="2" customFormat="1" ht="12" customHeight="1">
      <c r="A53" s="1"/>
    </row>
    <row r="54" spans="1:10" s="2" customFormat="1" ht="16.5" customHeight="1">
      <c r="A54" s="1" t="s">
        <v>703</v>
      </c>
    </row>
    <row r="55" spans="1:10" s="2" customFormat="1" ht="9.75" customHeight="1" thickBot="1">
      <c r="A55" s="3"/>
    </row>
    <row r="56" spans="1:10" s="2" customFormat="1" ht="16.5" customHeight="1" thickBot="1">
      <c r="A56" s="4" t="s">
        <v>1244</v>
      </c>
      <c r="B56" s="5" t="s">
        <v>1245</v>
      </c>
      <c r="C56" s="5" t="s">
        <v>1248</v>
      </c>
      <c r="D56" s="10"/>
      <c r="E56" s="10" t="s">
        <v>1413</v>
      </c>
      <c r="F56" s="11">
        <f>(74403/126493)</f>
        <v>0.58819855644185848</v>
      </c>
    </row>
    <row r="57" spans="1:10" s="2" customFormat="1" ht="16.5" customHeight="1" thickBot="1">
      <c r="A57" s="6" t="s">
        <v>2532</v>
      </c>
      <c r="B57" s="9" t="s">
        <v>2206</v>
      </c>
      <c r="C57" s="36">
        <v>50782</v>
      </c>
      <c r="D57" s="17">
        <f>SUM(C57/$C$62)</f>
        <v>0.68961677394823329</v>
      </c>
      <c r="E57" s="16"/>
    </row>
    <row r="58" spans="1:10" s="2" customFormat="1" ht="16.5" customHeight="1" thickBot="1">
      <c r="A58" s="12" t="s">
        <v>392</v>
      </c>
      <c r="B58" s="40" t="s">
        <v>1269</v>
      </c>
      <c r="C58" s="8">
        <v>11914</v>
      </c>
      <c r="D58" s="17">
        <f>SUM(C58/$C$62)</f>
        <v>0.16179146636247591</v>
      </c>
      <c r="E58" s="16"/>
      <c r="G58" s="14"/>
    </row>
    <row r="59" spans="1:10" s="2" customFormat="1" ht="16.5" customHeight="1" thickBot="1">
      <c r="A59" s="12" t="s">
        <v>705</v>
      </c>
      <c r="B59" s="20" t="s">
        <v>1261</v>
      </c>
      <c r="C59" s="8">
        <v>7432</v>
      </c>
      <c r="D59" s="17">
        <f>SUM(C59/$C$62)</f>
        <v>0.10092615225834488</v>
      </c>
      <c r="E59" s="16"/>
      <c r="G59" s="14"/>
    </row>
    <row r="60" spans="1:10" s="2" customFormat="1" ht="16.5" customHeight="1" thickBot="1">
      <c r="A60" s="12" t="s">
        <v>704</v>
      </c>
      <c r="B60" s="78" t="s">
        <v>702</v>
      </c>
      <c r="C60" s="8">
        <v>1895</v>
      </c>
      <c r="D60" s="17">
        <f>SUM(C60/$C$62)</f>
        <v>2.573399603465602E-2</v>
      </c>
      <c r="E60" s="21"/>
    </row>
    <row r="61" spans="1:10" s="2" customFormat="1" ht="16.5" customHeight="1" thickBot="1">
      <c r="A61" s="12" t="s">
        <v>2283</v>
      </c>
      <c r="B61" s="37" t="s">
        <v>2447</v>
      </c>
      <c r="C61" s="8">
        <v>1615</v>
      </c>
      <c r="D61" s="17">
        <f>SUM(C61/$C$62)</f>
        <v>2.1931611396289959E-2</v>
      </c>
      <c r="E61" s="21"/>
    </row>
    <row r="62" spans="1:10" s="2" customFormat="1" ht="16.5" customHeight="1">
      <c r="A62" s="75"/>
      <c r="B62" s="76"/>
      <c r="C62" s="23">
        <f>SUM(C57:C61)</f>
        <v>73638</v>
      </c>
      <c r="D62" s="17"/>
      <c r="E62" s="10" t="s">
        <v>1874</v>
      </c>
      <c r="F62" s="21">
        <f>(C57-C58)</f>
        <v>38868</v>
      </c>
    </row>
    <row r="63" spans="1:10" s="2" customFormat="1" ht="12" customHeight="1">
      <c r="A63" s="1"/>
    </row>
    <row r="64" spans="1:10" s="2" customFormat="1" ht="16.5" customHeight="1">
      <c r="A64" s="1" t="s">
        <v>701</v>
      </c>
      <c r="J64" s="93"/>
    </row>
    <row r="65" spans="1:7" s="2" customFormat="1" ht="9.75" customHeight="1" thickBot="1">
      <c r="A65" s="3"/>
    </row>
    <row r="66" spans="1:7" s="2" customFormat="1" ht="16.5" customHeight="1" thickBot="1">
      <c r="A66" s="4" t="s">
        <v>1244</v>
      </c>
      <c r="B66" s="5" t="s">
        <v>1245</v>
      </c>
      <c r="C66" s="5" t="s">
        <v>1248</v>
      </c>
      <c r="D66" s="10"/>
      <c r="E66" s="10" t="s">
        <v>1413</v>
      </c>
      <c r="F66" s="11">
        <f>(66014/102224)</f>
        <v>0.64577789951479103</v>
      </c>
    </row>
    <row r="67" spans="1:7" s="2" customFormat="1" ht="16.5" customHeight="1" thickBot="1">
      <c r="A67" s="6" t="s">
        <v>1464</v>
      </c>
      <c r="B67" s="28" t="s">
        <v>1258</v>
      </c>
      <c r="C67" s="36">
        <v>33941</v>
      </c>
      <c r="D67" s="17">
        <f>SUM(C67/$C$72)</f>
        <v>0.51666869634049806</v>
      </c>
      <c r="E67" s="16"/>
    </row>
    <row r="68" spans="1:7" s="2" customFormat="1" ht="16.5" customHeight="1" thickBot="1">
      <c r="A68" s="12" t="s">
        <v>2361</v>
      </c>
      <c r="B68" s="22" t="s">
        <v>2206</v>
      </c>
      <c r="C68" s="8">
        <v>15398</v>
      </c>
      <c r="D68" s="17">
        <f>SUM(C68/$C$72)</f>
        <v>0.23439688242099493</v>
      </c>
      <c r="E68" s="16"/>
      <c r="G68" s="14"/>
    </row>
    <row r="69" spans="1:7" s="2" customFormat="1" ht="16.5" customHeight="1" thickBot="1">
      <c r="A69" s="12" t="s">
        <v>411</v>
      </c>
      <c r="B69" s="40" t="s">
        <v>1269</v>
      </c>
      <c r="C69" s="8">
        <v>7797</v>
      </c>
      <c r="D69" s="17">
        <f>SUM(C69/$C$72)</f>
        <v>0.11869025147658771</v>
      </c>
      <c r="E69" s="16"/>
      <c r="G69" s="14"/>
    </row>
    <row r="70" spans="1:7" s="2" customFormat="1" ht="16.5" customHeight="1" thickBot="1">
      <c r="A70" s="12" t="s">
        <v>2086</v>
      </c>
      <c r="B70" s="94" t="s">
        <v>1261</v>
      </c>
      <c r="C70" s="8">
        <v>4867</v>
      </c>
      <c r="D70" s="17">
        <f>SUM(C70/$C$72)</f>
        <v>7.4088169031236675E-2</v>
      </c>
      <c r="E70" s="21"/>
    </row>
    <row r="71" spans="1:7" s="2" customFormat="1" ht="16.5" customHeight="1" thickBot="1">
      <c r="A71" s="12" t="s">
        <v>406</v>
      </c>
      <c r="B71" s="95" t="s">
        <v>1864</v>
      </c>
      <c r="C71" s="8">
        <v>3689</v>
      </c>
      <c r="D71" s="17">
        <f>SUM(C71/$C$72)</f>
        <v>5.6156000730682581E-2</v>
      </c>
      <c r="E71" s="21"/>
    </row>
    <row r="72" spans="1:7" s="2" customFormat="1" ht="16.5" customHeight="1">
      <c r="A72" s="75"/>
      <c r="B72" s="76"/>
      <c r="C72" s="23">
        <f>SUM(C67:C71)</f>
        <v>65692</v>
      </c>
      <c r="D72" s="17"/>
      <c r="E72" s="10" t="s">
        <v>1874</v>
      </c>
      <c r="F72" s="21">
        <f>(C67-C68)</f>
        <v>18543</v>
      </c>
    </row>
    <row r="73" spans="1:7" s="2" customFormat="1" ht="12" customHeight="1">
      <c r="A73" s="1"/>
    </row>
    <row r="74" spans="1:7" s="2" customFormat="1" ht="16.5" customHeight="1">
      <c r="A74" s="1" t="s">
        <v>708</v>
      </c>
    </row>
    <row r="75" spans="1:7" s="2" customFormat="1" ht="9.75" customHeight="1" thickBot="1">
      <c r="A75" s="3"/>
    </row>
    <row r="76" spans="1:7" s="2" customFormat="1" ht="16.5" customHeight="1" thickBot="1">
      <c r="A76" s="4" t="s">
        <v>1244</v>
      </c>
      <c r="B76" s="5" t="s">
        <v>1245</v>
      </c>
      <c r="C76" s="5" t="s">
        <v>1248</v>
      </c>
      <c r="D76" s="10"/>
      <c r="E76" s="10" t="s">
        <v>1413</v>
      </c>
      <c r="F76" s="11">
        <f>(62346/99889)</f>
        <v>0.6241528096186767</v>
      </c>
    </row>
    <row r="77" spans="1:7" s="2" customFormat="1" ht="16.5" customHeight="1" thickBot="1">
      <c r="A77" s="6" t="s">
        <v>2549</v>
      </c>
      <c r="B77" s="62" t="s">
        <v>2314</v>
      </c>
      <c r="C77" s="36">
        <v>36989</v>
      </c>
      <c r="D77" s="17">
        <f>SUM(C77/$C$80)</f>
        <v>0.595818366327862</v>
      </c>
      <c r="E77" s="16"/>
    </row>
    <row r="78" spans="1:7" s="2" customFormat="1" ht="16.5" customHeight="1" thickBot="1">
      <c r="A78" s="12" t="s">
        <v>420</v>
      </c>
      <c r="B78" s="40" t="s">
        <v>1269</v>
      </c>
      <c r="C78" s="8">
        <v>13364</v>
      </c>
      <c r="D78" s="17">
        <f>SUM(C78/$C$80)</f>
        <v>0.21526715098017107</v>
      </c>
      <c r="E78" s="16"/>
      <c r="G78" s="14"/>
    </row>
    <row r="79" spans="1:7" s="2" customFormat="1" ht="16.5" customHeight="1" thickBot="1">
      <c r="A79" s="12" t="s">
        <v>408</v>
      </c>
      <c r="B79" s="22" t="s">
        <v>2206</v>
      </c>
      <c r="C79" s="8">
        <v>11728</v>
      </c>
      <c r="D79" s="17">
        <f>SUM(C79/$C$80)</f>
        <v>0.18891448269196695</v>
      </c>
      <c r="E79" s="21"/>
    </row>
    <row r="80" spans="1:7" s="2" customFormat="1" ht="16.5" customHeight="1">
      <c r="A80" s="75"/>
      <c r="B80" s="76"/>
      <c r="C80" s="23">
        <f>SUM(C77:C79)</f>
        <v>62081</v>
      </c>
      <c r="D80" s="17"/>
      <c r="E80" s="10" t="s">
        <v>1874</v>
      </c>
      <c r="F80" s="21">
        <f>(C77-C78)</f>
        <v>23625</v>
      </c>
    </row>
    <row r="81" spans="1:12" s="2" customFormat="1" ht="12" customHeight="1">
      <c r="A81" s="1"/>
      <c r="E81"/>
      <c r="L81"/>
    </row>
    <row r="82" spans="1:12" s="2" customFormat="1" ht="16.5" customHeight="1">
      <c r="A82" s="1" t="s">
        <v>689</v>
      </c>
    </row>
    <row r="83" spans="1:12" s="2" customFormat="1" ht="9.75" customHeight="1" thickBot="1">
      <c r="A83" s="3"/>
    </row>
    <row r="84" spans="1:12" s="2" customFormat="1" ht="16.5" customHeight="1" thickBot="1">
      <c r="A84" s="4" t="s">
        <v>1244</v>
      </c>
      <c r="B84" s="5" t="s">
        <v>1245</v>
      </c>
      <c r="C84" s="5" t="s">
        <v>1248</v>
      </c>
      <c r="D84" s="10"/>
      <c r="E84" s="10" t="s">
        <v>1413</v>
      </c>
      <c r="F84" s="11">
        <f>(42980/65099)</f>
        <v>0.66022519547151259</v>
      </c>
    </row>
    <row r="85" spans="1:12" s="2" customFormat="1" ht="16.5" customHeight="1" thickBot="1">
      <c r="A85" s="6" t="s">
        <v>560</v>
      </c>
      <c r="B85" s="28" t="s">
        <v>1258</v>
      </c>
      <c r="C85" s="36">
        <v>11690</v>
      </c>
      <c r="D85" s="17">
        <f t="shared" ref="D85:D91" si="2">SUM(C85/$C$92)</f>
        <v>0.27607217079161156</v>
      </c>
      <c r="E85" s="16"/>
    </row>
    <row r="86" spans="1:12" s="2" customFormat="1" ht="16.5" customHeight="1" thickBot="1">
      <c r="A86" s="12" t="s">
        <v>563</v>
      </c>
      <c r="B86" s="22" t="s">
        <v>2206</v>
      </c>
      <c r="C86" s="8">
        <v>10695</v>
      </c>
      <c r="D86" s="17">
        <f t="shared" si="2"/>
        <v>0.252574154543737</v>
      </c>
      <c r="E86" s="16"/>
      <c r="G86" s="14"/>
    </row>
    <row r="87" spans="1:12" s="2" customFormat="1" ht="16.5" customHeight="1" thickBot="1">
      <c r="A87" s="12" t="s">
        <v>2326</v>
      </c>
      <c r="B87" s="20" t="s">
        <v>1261</v>
      </c>
      <c r="C87" s="8">
        <v>7823</v>
      </c>
      <c r="D87" s="17">
        <f t="shared" si="2"/>
        <v>0.1847487247307765</v>
      </c>
      <c r="E87" s="16"/>
      <c r="G87" s="14"/>
    </row>
    <row r="88" spans="1:12" s="2" customFormat="1" ht="16.5" customHeight="1" thickBot="1">
      <c r="A88" s="12" t="s">
        <v>399</v>
      </c>
      <c r="B88" s="87" t="s">
        <v>337</v>
      </c>
      <c r="C88" s="8">
        <v>4220</v>
      </c>
      <c r="D88" s="17">
        <f t="shared" si="2"/>
        <v>9.9659928207065943E-2</v>
      </c>
      <c r="E88" s="16"/>
      <c r="G88" s="14"/>
    </row>
    <row r="89" spans="1:12" s="2" customFormat="1" ht="16.5" customHeight="1" thickBot="1">
      <c r="A89" s="12" t="s">
        <v>2315</v>
      </c>
      <c r="B89" s="40" t="s">
        <v>1269</v>
      </c>
      <c r="C89" s="8">
        <v>4120</v>
      </c>
      <c r="D89" s="17">
        <f t="shared" si="2"/>
        <v>9.7298318533912714E-2</v>
      </c>
      <c r="E89" s="21"/>
    </row>
    <row r="90" spans="1:12" s="2" customFormat="1" ht="16.5" customHeight="1" thickBot="1">
      <c r="A90" s="12" t="s">
        <v>2335</v>
      </c>
      <c r="B90" s="37" t="s">
        <v>2447</v>
      </c>
      <c r="C90" s="8">
        <v>1907</v>
      </c>
      <c r="D90" s="17">
        <f t="shared" si="2"/>
        <v>4.5035896467031926E-2</v>
      </c>
      <c r="E90" s="21"/>
    </row>
    <row r="91" spans="1:12" s="2" customFormat="1" ht="16.5" customHeight="1" thickBot="1">
      <c r="A91" s="12" t="s">
        <v>364</v>
      </c>
      <c r="B91" s="80" t="s">
        <v>1997</v>
      </c>
      <c r="C91" s="8">
        <v>1889</v>
      </c>
      <c r="D91" s="17">
        <f t="shared" si="2"/>
        <v>4.4610806725864351E-2</v>
      </c>
      <c r="E91" s="21"/>
    </row>
    <row r="92" spans="1:12" s="2" customFormat="1" ht="16.5" customHeight="1">
      <c r="A92" s="75"/>
      <c r="B92" s="76"/>
      <c r="C92" s="23">
        <f>SUM(C85:C91)</f>
        <v>42344</v>
      </c>
      <c r="D92" s="17"/>
      <c r="E92" s="10" t="s">
        <v>1874</v>
      </c>
      <c r="F92" s="21">
        <f>(C85-C86)</f>
        <v>995</v>
      </c>
    </row>
    <row r="93" spans="1:12" s="2" customFormat="1" ht="12" customHeight="1">
      <c r="A93" s="1"/>
    </row>
    <row r="94" spans="1:12" s="2" customFormat="1" ht="16.5" customHeight="1">
      <c r="A94" s="1" t="s">
        <v>698</v>
      </c>
    </row>
    <row r="95" spans="1:12" s="2" customFormat="1" ht="9.75" customHeight="1" thickBot="1">
      <c r="A95" s="3"/>
    </row>
    <row r="96" spans="1:12" s="2" customFormat="1" ht="16.5" customHeight="1" thickBot="1">
      <c r="A96" s="4" t="s">
        <v>1244</v>
      </c>
      <c r="B96" s="5" t="s">
        <v>1245</v>
      </c>
      <c r="C96" s="5" t="s">
        <v>1248</v>
      </c>
      <c r="D96" s="10"/>
      <c r="E96" s="10" t="s">
        <v>1413</v>
      </c>
      <c r="F96" s="11">
        <f>(35570/58915)</f>
        <v>0.60375116693541542</v>
      </c>
    </row>
    <row r="97" spans="1:7" s="2" customFormat="1" ht="16.5" customHeight="1" thickBot="1">
      <c r="A97" s="6" t="s">
        <v>680</v>
      </c>
      <c r="B97" s="7" t="s">
        <v>1261</v>
      </c>
      <c r="C97" s="36">
        <v>16480</v>
      </c>
      <c r="D97" s="17">
        <f t="shared" ref="D97:D102" si="3">SUM(C97/$C$103)</f>
        <v>0.49508817255985821</v>
      </c>
      <c r="E97" s="16"/>
    </row>
    <row r="98" spans="1:7" s="2" customFormat="1" ht="16.5" customHeight="1" thickBot="1">
      <c r="A98" s="12" t="s">
        <v>2342</v>
      </c>
      <c r="B98" s="22" t="s">
        <v>2206</v>
      </c>
      <c r="C98" s="8">
        <v>8245</v>
      </c>
      <c r="D98" s="17">
        <f t="shared" si="3"/>
        <v>0.24769429507014751</v>
      </c>
      <c r="E98" s="16"/>
      <c r="G98" s="14"/>
    </row>
    <row r="99" spans="1:7" s="2" customFormat="1" ht="16.5" customHeight="1" thickBot="1">
      <c r="A99" s="12" t="s">
        <v>2341</v>
      </c>
      <c r="B99" s="27" t="s">
        <v>1258</v>
      </c>
      <c r="C99" s="8">
        <v>3716</v>
      </c>
      <c r="D99" s="17">
        <f t="shared" si="3"/>
        <v>0.11163517289031755</v>
      </c>
      <c r="E99" s="16"/>
      <c r="G99" s="14"/>
    </row>
    <row r="100" spans="1:7" s="2" customFormat="1" ht="16.5" customHeight="1" thickBot="1">
      <c r="A100" s="12" t="s">
        <v>700</v>
      </c>
      <c r="B100" s="37" t="s">
        <v>2447</v>
      </c>
      <c r="C100" s="8">
        <v>2282</v>
      </c>
      <c r="D100" s="17">
        <f t="shared" si="3"/>
        <v>6.8555291855679393E-2</v>
      </c>
      <c r="E100" s="21"/>
    </row>
    <row r="101" spans="1:7" s="2" customFormat="1" ht="16.5" customHeight="1" thickBot="1">
      <c r="A101" s="12" t="s">
        <v>394</v>
      </c>
      <c r="B101" s="40" t="s">
        <v>1269</v>
      </c>
      <c r="C101" s="8">
        <v>2024</v>
      </c>
      <c r="D101" s="17">
        <f t="shared" si="3"/>
        <v>6.0804518280409767E-2</v>
      </c>
      <c r="E101" s="16"/>
      <c r="G101" s="14"/>
    </row>
    <row r="102" spans="1:7" s="2" customFormat="1" ht="16.5" customHeight="1" thickBot="1">
      <c r="A102" s="12" t="s">
        <v>699</v>
      </c>
      <c r="B102" s="80" t="s">
        <v>1997</v>
      </c>
      <c r="C102" s="8">
        <v>540</v>
      </c>
      <c r="D102" s="17">
        <f t="shared" si="3"/>
        <v>1.6222549343587588E-2</v>
      </c>
      <c r="E102" s="21"/>
    </row>
    <row r="103" spans="1:7" s="2" customFormat="1" ht="16.5" customHeight="1">
      <c r="A103" s="75"/>
      <c r="B103" s="76"/>
      <c r="C103" s="23">
        <f>SUM(C97:C102)</f>
        <v>33287</v>
      </c>
      <c r="D103" s="17"/>
      <c r="E103" s="10" t="s">
        <v>1874</v>
      </c>
      <c r="F103" s="21">
        <f>(C97-C98)</f>
        <v>8235</v>
      </c>
    </row>
    <row r="104" spans="1:7" s="2" customFormat="1" ht="12" customHeight="1">
      <c r="A104" s="1"/>
    </row>
    <row r="105" spans="1:7" s="2" customFormat="1" ht="16.5" customHeight="1">
      <c r="A105" s="1" t="s">
        <v>691</v>
      </c>
    </row>
    <row r="106" spans="1:7" s="2" customFormat="1" ht="9.75" customHeight="1" thickBot="1">
      <c r="A106" s="3"/>
    </row>
    <row r="107" spans="1:7" s="2" customFormat="1" ht="16.5" customHeight="1" thickBot="1">
      <c r="A107" s="4" t="s">
        <v>1244</v>
      </c>
      <c r="B107" s="5" t="s">
        <v>1245</v>
      </c>
      <c r="C107" s="5" t="s">
        <v>1248</v>
      </c>
      <c r="D107" s="10"/>
      <c r="E107" s="10" t="s">
        <v>1413</v>
      </c>
      <c r="F107" s="11">
        <f>(47103/68946)</f>
        <v>0.68318684187625101</v>
      </c>
    </row>
    <row r="108" spans="1:7" s="2" customFormat="1" ht="16.5" customHeight="1" thickBot="1">
      <c r="A108" s="6" t="s">
        <v>692</v>
      </c>
      <c r="B108" s="9" t="s">
        <v>2206</v>
      </c>
      <c r="C108" s="36">
        <v>28875</v>
      </c>
      <c r="D108" s="17">
        <f>SUM(C108/$C$113)</f>
        <v>0.61711904253045524</v>
      </c>
      <c r="E108" s="16"/>
    </row>
    <row r="109" spans="1:7" s="2" customFormat="1" ht="16.5" customHeight="1" thickBot="1">
      <c r="A109" s="12" t="s">
        <v>2354</v>
      </c>
      <c r="B109" s="40" t="s">
        <v>1269</v>
      </c>
      <c r="C109" s="8">
        <v>11745</v>
      </c>
      <c r="D109" s="17">
        <f>SUM(C109/$C$113)</f>
        <v>0.25101517418251762</v>
      </c>
      <c r="E109" s="16"/>
      <c r="G109" s="14"/>
    </row>
    <row r="110" spans="1:7" s="2" customFormat="1" ht="16.5" customHeight="1" thickBot="1">
      <c r="A110" s="12" t="s">
        <v>2177</v>
      </c>
      <c r="B110" s="20" t="s">
        <v>1261</v>
      </c>
      <c r="C110" s="8">
        <v>3694</v>
      </c>
      <c r="D110" s="17">
        <f>SUM(C110/$C$113)</f>
        <v>7.8948493267792269E-2</v>
      </c>
      <c r="E110" s="21"/>
    </row>
    <row r="111" spans="1:7" s="2" customFormat="1" ht="16.5" customHeight="1" thickBot="1">
      <c r="A111" s="12" t="s">
        <v>693</v>
      </c>
      <c r="B111" s="87" t="s">
        <v>337</v>
      </c>
      <c r="C111" s="8">
        <v>1784</v>
      </c>
      <c r="D111" s="17">
        <f>SUM(C111/$C$113)</f>
        <v>3.8127805086556957E-2</v>
      </c>
      <c r="E111" s="16"/>
      <c r="G111" s="14"/>
    </row>
    <row r="112" spans="1:7" s="2" customFormat="1" ht="16.5" customHeight="1" thickBot="1">
      <c r="A112" s="12" t="s">
        <v>694</v>
      </c>
      <c r="B112" s="78" t="s">
        <v>690</v>
      </c>
      <c r="C112" s="8">
        <v>692</v>
      </c>
      <c r="D112" s="17">
        <f>SUM(C112/$C$113)</f>
        <v>1.4789484932677923E-2</v>
      </c>
      <c r="E112" s="16"/>
      <c r="G112" s="14"/>
    </row>
    <row r="113" spans="1:7" s="2" customFormat="1" ht="16.5" customHeight="1">
      <c r="A113" s="75"/>
      <c r="B113" s="76"/>
      <c r="C113" s="23">
        <f>SUM(C108:C112)</f>
        <v>46790</v>
      </c>
      <c r="D113" s="17"/>
      <c r="E113" s="10" t="s">
        <v>1874</v>
      </c>
      <c r="F113" s="21">
        <f>(C108-C109)</f>
        <v>17130</v>
      </c>
    </row>
    <row r="114" spans="1:7" s="2" customFormat="1" ht="12" customHeight="1">
      <c r="A114" s="1"/>
    </row>
    <row r="115" spans="1:7" s="2" customFormat="1" ht="16.5" customHeight="1">
      <c r="A115" s="1" t="s">
        <v>695</v>
      </c>
    </row>
    <row r="116" spans="1:7" s="2" customFormat="1" ht="9.75" customHeight="1" thickBot="1">
      <c r="A116" s="3"/>
    </row>
    <row r="117" spans="1:7" s="2" customFormat="1" ht="16.5" customHeight="1" thickBot="1">
      <c r="A117" s="4" t="s">
        <v>1244</v>
      </c>
      <c r="B117" s="5" t="s">
        <v>1245</v>
      </c>
      <c r="C117" s="5" t="s">
        <v>1248</v>
      </c>
      <c r="D117" s="10"/>
      <c r="E117" s="10" t="s">
        <v>1413</v>
      </c>
      <c r="F117" s="11">
        <f>(51232/75496)</f>
        <v>0.67860548903253148</v>
      </c>
    </row>
    <row r="118" spans="1:7" s="2" customFormat="1" ht="16.5" customHeight="1" thickBot="1">
      <c r="A118" s="6" t="s">
        <v>2191</v>
      </c>
      <c r="B118" s="28" t="s">
        <v>1258</v>
      </c>
      <c r="C118" s="36">
        <v>15994</v>
      </c>
      <c r="D118" s="17">
        <f>SUM(C118/$C$123)</f>
        <v>0.31367549863696093</v>
      </c>
      <c r="E118" s="16"/>
    </row>
    <row r="119" spans="1:7" s="2" customFormat="1" ht="16.5" customHeight="1" thickBot="1">
      <c r="A119" s="12" t="s">
        <v>696</v>
      </c>
      <c r="B119" s="22" t="s">
        <v>2206</v>
      </c>
      <c r="C119" s="8">
        <v>15930</v>
      </c>
      <c r="D119" s="17">
        <f>SUM(C119/$C$123)</f>
        <v>0.31242032595265645</v>
      </c>
      <c r="E119" s="16"/>
      <c r="G119" s="14"/>
    </row>
    <row r="120" spans="1:7" s="2" customFormat="1" ht="16.5" customHeight="1" thickBot="1">
      <c r="A120" s="12" t="s">
        <v>2360</v>
      </c>
      <c r="B120" s="40" t="s">
        <v>1269</v>
      </c>
      <c r="C120" s="8">
        <v>15066</v>
      </c>
      <c r="D120" s="17">
        <f>SUM(C120/$C$123)</f>
        <v>0.29547549471454626</v>
      </c>
      <c r="E120" s="21"/>
    </row>
    <row r="121" spans="1:7" s="2" customFormat="1" ht="16.5" customHeight="1" thickBot="1">
      <c r="A121" s="12" t="s">
        <v>463</v>
      </c>
      <c r="B121" s="87" t="s">
        <v>337</v>
      </c>
      <c r="C121" s="8">
        <v>2017</v>
      </c>
      <c r="D121" s="17">
        <f>SUM(C121/$C$123)</f>
        <v>3.9557551628782682E-2</v>
      </c>
      <c r="E121" s="21"/>
    </row>
    <row r="122" spans="1:7" s="2" customFormat="1" ht="16.5" customHeight="1" thickBot="1">
      <c r="A122" s="12" t="s">
        <v>697</v>
      </c>
      <c r="B122" s="80" t="s">
        <v>1997</v>
      </c>
      <c r="C122" s="8">
        <v>1982</v>
      </c>
      <c r="D122" s="17">
        <f>SUM(C122/$C$123)</f>
        <v>3.8871129067053679E-2</v>
      </c>
      <c r="E122" s="21"/>
    </row>
    <row r="123" spans="1:7" s="2" customFormat="1" ht="16.5" customHeight="1">
      <c r="A123" s="75"/>
      <c r="B123" s="76"/>
      <c r="C123" s="23">
        <f>SUM(C118:C122)</f>
        <v>50989</v>
      </c>
      <c r="D123" s="17"/>
      <c r="E123" s="10" t="s">
        <v>1874</v>
      </c>
      <c r="F123" s="21">
        <f>(C118-C119)</f>
        <v>64</v>
      </c>
    </row>
    <row r="125" spans="1:7" ht="15">
      <c r="A125" s="104" t="s">
        <v>1072</v>
      </c>
    </row>
    <row r="126" spans="1:7" s="2" customFormat="1" ht="16.5" customHeight="1">
      <c r="A126" s="1" t="s">
        <v>281</v>
      </c>
    </row>
    <row r="127" spans="1:7" s="2" customFormat="1" ht="9.75" customHeight="1" thickBot="1">
      <c r="A127" s="3"/>
    </row>
    <row r="128" spans="1:7" s="2" customFormat="1" ht="16.5" customHeight="1" thickBot="1">
      <c r="A128" s="4" t="s">
        <v>1244</v>
      </c>
      <c r="B128" s="5" t="s">
        <v>1245</v>
      </c>
      <c r="C128" s="5" t="s">
        <v>1248</v>
      </c>
      <c r="D128" s="10"/>
      <c r="E128" s="10" t="s">
        <v>1413</v>
      </c>
      <c r="F128" s="11">
        <f>(62818/72283)</f>
        <v>0.86905634796563502</v>
      </c>
    </row>
    <row r="129" spans="1:7" s="2" customFormat="1" ht="16.5" customHeight="1" thickBot="1">
      <c r="A129" s="6" t="s">
        <v>1231</v>
      </c>
      <c r="B129" s="25" t="s">
        <v>1232</v>
      </c>
      <c r="C129" s="36">
        <v>30492</v>
      </c>
      <c r="D129" s="17">
        <f>SUM(C129/$C$131)</f>
        <v>0.51214350498841077</v>
      </c>
      <c r="E129" s="16"/>
    </row>
    <row r="130" spans="1:7" s="2" customFormat="1" ht="16.5" customHeight="1" thickBot="1">
      <c r="A130" s="12" t="s">
        <v>333</v>
      </c>
      <c r="B130" s="22" t="s">
        <v>2206</v>
      </c>
      <c r="C130" s="8">
        <v>29046</v>
      </c>
      <c r="D130" s="17">
        <f>SUM(C130/$C$131)</f>
        <v>0.48785649501158923</v>
      </c>
      <c r="E130" s="16"/>
      <c r="G130" s="14"/>
    </row>
    <row r="131" spans="1:7" s="2" customFormat="1" ht="16.5" customHeight="1">
      <c r="A131" s="75"/>
      <c r="B131" s="76"/>
      <c r="C131" s="23">
        <f>SUM(C129:C130)</f>
        <v>59538</v>
      </c>
      <c r="D131" s="17"/>
      <c r="E131" s="10" t="s">
        <v>1874</v>
      </c>
      <c r="F131" s="21">
        <f>(C129-C130)</f>
        <v>1446</v>
      </c>
    </row>
    <row r="132" spans="1:7" s="2" customFormat="1" ht="12" customHeight="1">
      <c r="A132" s="1"/>
    </row>
    <row r="133" spans="1:7" s="2" customFormat="1" ht="16.5" customHeight="1">
      <c r="A133" s="1" t="s">
        <v>280</v>
      </c>
    </row>
    <row r="134" spans="1:7" s="2" customFormat="1" ht="9.75" customHeight="1" thickBot="1">
      <c r="A134" s="3"/>
    </row>
    <row r="135" spans="1:7" s="2" customFormat="1" ht="16.5" customHeight="1" thickBot="1">
      <c r="A135" s="4" t="s">
        <v>1244</v>
      </c>
      <c r="B135" s="5" t="s">
        <v>1245</v>
      </c>
      <c r="C135" s="5" t="s">
        <v>1248</v>
      </c>
      <c r="D135" s="10"/>
      <c r="E135" s="10" t="s">
        <v>1413</v>
      </c>
      <c r="F135" s="11">
        <f>(64531/72834)</f>
        <v>0.88600104346870967</v>
      </c>
    </row>
    <row r="136" spans="1:7" s="2" customFormat="1" ht="16.5" customHeight="1" thickBot="1">
      <c r="A136" s="6" t="s">
        <v>2224</v>
      </c>
      <c r="B136" s="25" t="s">
        <v>1232</v>
      </c>
      <c r="C136" s="36">
        <v>31278</v>
      </c>
      <c r="D136" s="17">
        <f t="shared" ref="D136:D141" si="4">SUM(C136/$C$142)</f>
        <v>0.49081237152227469</v>
      </c>
      <c r="E136" s="16"/>
    </row>
    <row r="137" spans="1:7" s="2" customFormat="1" ht="16.5" customHeight="1" thickBot="1">
      <c r="A137" s="12" t="s">
        <v>2223</v>
      </c>
      <c r="B137" s="22" t="s">
        <v>2206</v>
      </c>
      <c r="C137" s="8">
        <v>29048</v>
      </c>
      <c r="D137" s="17">
        <f t="shared" si="4"/>
        <v>0.45581935443375649</v>
      </c>
      <c r="E137" s="16"/>
      <c r="G137" s="14"/>
    </row>
    <row r="138" spans="1:7" s="2" customFormat="1" ht="16.5" customHeight="1" thickBot="1">
      <c r="A138" s="12" t="s">
        <v>2059</v>
      </c>
      <c r="B138" s="40" t="s">
        <v>1269</v>
      </c>
      <c r="C138" s="8">
        <v>1930</v>
      </c>
      <c r="D138" s="17">
        <f t="shared" si="4"/>
        <v>3.0285436314278092E-2</v>
      </c>
      <c r="E138" s="16"/>
      <c r="G138" s="14"/>
    </row>
    <row r="139" spans="1:7" s="2" customFormat="1" ht="16.5" customHeight="1" thickBot="1">
      <c r="A139" s="12" t="s">
        <v>376</v>
      </c>
      <c r="B139" s="37" t="s">
        <v>2447</v>
      </c>
      <c r="C139" s="8">
        <v>1132</v>
      </c>
      <c r="D139" s="17">
        <f t="shared" si="4"/>
        <v>1.7763271454799379E-2</v>
      </c>
      <c r="E139" s="16"/>
      <c r="G139" s="14"/>
    </row>
    <row r="140" spans="1:7" s="2" customFormat="1" ht="16.5" customHeight="1" thickBot="1">
      <c r="A140" s="12" t="s">
        <v>1233</v>
      </c>
      <c r="B140" s="78" t="s">
        <v>1270</v>
      </c>
      <c r="C140" s="8">
        <v>249</v>
      </c>
      <c r="D140" s="17">
        <f t="shared" si="4"/>
        <v>3.9072920426192976E-3</v>
      </c>
      <c r="E140" s="21"/>
    </row>
    <row r="141" spans="1:7" s="2" customFormat="1" ht="16.5" customHeight="1" thickBot="1">
      <c r="A141" s="12" t="s">
        <v>2350</v>
      </c>
      <c r="B141" s="78" t="s">
        <v>1270</v>
      </c>
      <c r="C141" s="8">
        <v>90</v>
      </c>
      <c r="D141" s="17">
        <f t="shared" si="4"/>
        <v>1.4122742322720354E-3</v>
      </c>
      <c r="E141" s="21"/>
    </row>
    <row r="142" spans="1:7" s="2" customFormat="1" ht="16.5" customHeight="1">
      <c r="A142" s="75"/>
      <c r="B142" s="76"/>
      <c r="C142" s="23">
        <f>SUM(C136:C141)</f>
        <v>63727</v>
      </c>
      <c r="D142" s="17"/>
      <c r="E142" s="10" t="s">
        <v>1874</v>
      </c>
      <c r="F142" s="21">
        <f>(C136-C137)</f>
        <v>2230</v>
      </c>
    </row>
    <row r="143" spans="1:7" s="2" customFormat="1" ht="12" customHeight="1">
      <c r="A143" s="1"/>
    </row>
    <row r="144" spans="1:7" s="2" customFormat="1" ht="16.5" customHeight="1">
      <c r="A144" s="1" t="s">
        <v>1239</v>
      </c>
    </row>
    <row r="145" spans="1:7" s="2" customFormat="1" ht="9.75" customHeight="1" thickBot="1">
      <c r="A145" s="3"/>
    </row>
    <row r="146" spans="1:7" s="2" customFormat="1" ht="16.5" customHeight="1" thickBot="1">
      <c r="A146" s="4" t="s">
        <v>1244</v>
      </c>
      <c r="B146" s="5" t="s">
        <v>1245</v>
      </c>
      <c r="C146" s="5" t="s">
        <v>1248</v>
      </c>
      <c r="D146" s="10"/>
      <c r="E146" s="10" t="s">
        <v>1413</v>
      </c>
      <c r="F146" s="11">
        <f>(43534/66219)</f>
        <v>0.65742460623084009</v>
      </c>
    </row>
    <row r="147" spans="1:7" s="2" customFormat="1" ht="16.5" customHeight="1" thickBot="1">
      <c r="A147" s="6" t="s">
        <v>2347</v>
      </c>
      <c r="B147" s="9" t="s">
        <v>2206</v>
      </c>
      <c r="C147" s="36">
        <v>17123</v>
      </c>
      <c r="D147" s="17">
        <f>SUM(C147/$C$155)</f>
        <v>0.39332475766067904</v>
      </c>
      <c r="E147" s="16"/>
    </row>
    <row r="148" spans="1:7" s="2" customFormat="1" ht="16.5" customHeight="1" thickBot="1">
      <c r="A148" s="12" t="s">
        <v>2348</v>
      </c>
      <c r="B148" s="40" t="s">
        <v>1269</v>
      </c>
      <c r="C148" s="8">
        <v>11726</v>
      </c>
      <c r="D148" s="17">
        <f t="shared" ref="D148:D154" si="5">SUM(C148/$C$155)</f>
        <v>0.26935268985161026</v>
      </c>
      <c r="E148" s="16"/>
      <c r="G148" s="14"/>
    </row>
    <row r="149" spans="1:7" s="2" customFormat="1" ht="16.5" customHeight="1" thickBot="1">
      <c r="A149" s="12" t="s">
        <v>1977</v>
      </c>
      <c r="B149" s="27" t="s">
        <v>1258</v>
      </c>
      <c r="C149" s="8">
        <v>9818</v>
      </c>
      <c r="D149" s="17">
        <f t="shared" si="5"/>
        <v>0.22552487710754812</v>
      </c>
      <c r="E149" s="21"/>
    </row>
    <row r="150" spans="1:7" s="2" customFormat="1" ht="16.5" customHeight="1" thickBot="1">
      <c r="A150" s="12" t="s">
        <v>2177</v>
      </c>
      <c r="B150" s="20" t="s">
        <v>1261</v>
      </c>
      <c r="C150" s="8">
        <v>3839</v>
      </c>
      <c r="D150" s="17">
        <f t="shared" si="5"/>
        <v>8.8183948178435251E-2</v>
      </c>
      <c r="E150" s="16"/>
      <c r="G150" s="14"/>
    </row>
    <row r="151" spans="1:7" s="2" customFormat="1" ht="16.5" customHeight="1" thickBot="1">
      <c r="A151" s="12" t="s">
        <v>1236</v>
      </c>
      <c r="B151" s="78" t="s">
        <v>1234</v>
      </c>
      <c r="C151" s="8">
        <v>576</v>
      </c>
      <c r="D151" s="17">
        <f t="shared" si="5"/>
        <v>1.3231037809528185E-2</v>
      </c>
      <c r="E151" s="16"/>
      <c r="G151" s="14"/>
    </row>
    <row r="152" spans="1:7" s="2" customFormat="1" ht="16.5" customHeight="1" thickBot="1">
      <c r="A152" s="12" t="s">
        <v>1237</v>
      </c>
      <c r="B152" s="78" t="s">
        <v>1235</v>
      </c>
      <c r="C152" s="8">
        <v>303</v>
      </c>
      <c r="D152" s="17">
        <f t="shared" si="5"/>
        <v>6.9600771810538892E-3</v>
      </c>
      <c r="E152" s="21"/>
    </row>
    <row r="153" spans="1:7" s="2" customFormat="1" ht="16.5" customHeight="1" thickBot="1">
      <c r="A153" s="12" t="s">
        <v>1238</v>
      </c>
      <c r="B153" s="78" t="s">
        <v>1270</v>
      </c>
      <c r="C153" s="8">
        <v>137</v>
      </c>
      <c r="D153" s="17">
        <f t="shared" si="5"/>
        <v>3.1469655901134744E-3</v>
      </c>
      <c r="E153" s="16"/>
      <c r="G153" s="14"/>
    </row>
    <row r="154" spans="1:7" s="2" customFormat="1" ht="16.5" customHeight="1" thickBot="1">
      <c r="A154" s="12" t="s">
        <v>2350</v>
      </c>
      <c r="B154" s="78" t="s">
        <v>1270</v>
      </c>
      <c r="C154" s="8">
        <v>12</v>
      </c>
      <c r="D154" s="17">
        <f t="shared" si="5"/>
        <v>2.7564662103183717E-4</v>
      </c>
      <c r="E154" s="16"/>
      <c r="G154" s="14"/>
    </row>
    <row r="155" spans="1:7" s="2" customFormat="1" ht="16.5" customHeight="1">
      <c r="A155" s="75"/>
      <c r="B155" s="76"/>
      <c r="C155" s="23">
        <f>SUM(C147:C154)</f>
        <v>43534</v>
      </c>
      <c r="D155" s="17"/>
      <c r="E155" s="10" t="s">
        <v>1874</v>
      </c>
      <c r="F155" s="21">
        <f>(C147-C148)</f>
        <v>5397</v>
      </c>
    </row>
    <row r="156" spans="1:7" s="2" customFormat="1" ht="12" customHeight="1">
      <c r="A156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23"/>
  <dimension ref="A1:L102"/>
  <sheetViews>
    <sheetView workbookViewId="0">
      <selection activeCell="K1" sqref="K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833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(63645/71373)</f>
        <v>0.89172376108612506</v>
      </c>
    </row>
    <row r="4" spans="1:7" s="2" customFormat="1" ht="16.5" customHeight="1" thickBot="1">
      <c r="A4" s="6" t="s">
        <v>744</v>
      </c>
      <c r="B4" s="77" t="s">
        <v>1270</v>
      </c>
      <c r="C4" s="36">
        <v>32795</v>
      </c>
      <c r="D4" s="17">
        <f>SUM(C4/$C$7)</f>
        <v>0.51837508891172057</v>
      </c>
      <c r="E4" s="16"/>
    </row>
    <row r="5" spans="1:7" s="2" customFormat="1" ht="16.5" customHeight="1" thickBot="1">
      <c r="A5" s="12" t="s">
        <v>745</v>
      </c>
      <c r="B5" s="22" t="s">
        <v>2206</v>
      </c>
      <c r="C5" s="8">
        <v>30285</v>
      </c>
      <c r="D5" s="17">
        <f>SUM(C5/$C$7)</f>
        <v>0.4787007033905003</v>
      </c>
      <c r="E5" s="16"/>
      <c r="G5" s="14"/>
    </row>
    <row r="6" spans="1:7" s="2" customFormat="1" ht="16.5" customHeight="1" thickBot="1">
      <c r="A6" s="12" t="s">
        <v>2056</v>
      </c>
      <c r="B6" s="78" t="s">
        <v>2279</v>
      </c>
      <c r="C6" s="8">
        <v>185</v>
      </c>
      <c r="D6" s="17">
        <f>SUM(C6/$C$7)</f>
        <v>2.9242076977791828E-3</v>
      </c>
      <c r="E6" s="16"/>
      <c r="G6" s="14"/>
    </row>
    <row r="7" spans="1:7" s="2" customFormat="1" ht="16.5" customHeight="1">
      <c r="A7" s="75"/>
      <c r="B7" s="76"/>
      <c r="C7" s="23">
        <f>SUM(C4:C6)</f>
        <v>63265</v>
      </c>
      <c r="D7" s="17"/>
      <c r="E7" s="10" t="s">
        <v>1874</v>
      </c>
      <c r="F7" s="21">
        <f>(C4-C5)</f>
        <v>2510</v>
      </c>
    </row>
    <row r="8" spans="1:7" s="2" customFormat="1" ht="12" customHeight="1">
      <c r="A8" s="1"/>
      <c r="D8" s="11"/>
    </row>
    <row r="9" spans="1:7" s="2" customFormat="1" ht="16.5" customHeight="1">
      <c r="A9" s="1" t="s">
        <v>743</v>
      </c>
    </row>
    <row r="10" spans="1:7" s="2" customFormat="1" ht="9.75" customHeight="1" thickBot="1">
      <c r="A10" s="3"/>
    </row>
    <row r="11" spans="1:7" s="2" customFormat="1" ht="16.5" customHeight="1" thickBot="1">
      <c r="A11" s="4" t="s">
        <v>1244</v>
      </c>
      <c r="B11" s="5" t="s">
        <v>1245</v>
      </c>
      <c r="C11" s="5" t="s">
        <v>1248</v>
      </c>
      <c r="D11" s="10"/>
      <c r="E11" s="10" t="s">
        <v>1413</v>
      </c>
      <c r="F11" s="11">
        <f>(65553/81688)</f>
        <v>0.80248016844579373</v>
      </c>
    </row>
    <row r="12" spans="1:7" s="2" customFormat="1" ht="16.5" customHeight="1" thickBot="1">
      <c r="A12" s="6" t="s">
        <v>719</v>
      </c>
      <c r="B12" s="86" t="s">
        <v>2230</v>
      </c>
      <c r="C12" s="36">
        <v>30552</v>
      </c>
      <c r="D12" s="17">
        <f>SUM(C12/$C$15)</f>
        <v>0.47346888172576246</v>
      </c>
      <c r="E12" s="16"/>
    </row>
    <row r="13" spans="1:7" s="2" customFormat="1" ht="16.5" customHeight="1" thickBot="1">
      <c r="A13" s="12" t="s">
        <v>343</v>
      </c>
      <c r="B13" s="20" t="s">
        <v>1261</v>
      </c>
      <c r="C13" s="8">
        <v>25885</v>
      </c>
      <c r="D13" s="17">
        <f>SUM(C13/$C$15)</f>
        <v>0.40114368956112073</v>
      </c>
      <c r="E13" s="16"/>
      <c r="G13" s="14"/>
    </row>
    <row r="14" spans="1:7" s="2" customFormat="1" ht="16.5" customHeight="1" thickBot="1">
      <c r="A14" s="12" t="s">
        <v>1285</v>
      </c>
      <c r="B14" s="37" t="s">
        <v>2447</v>
      </c>
      <c r="C14" s="8">
        <v>8091</v>
      </c>
      <c r="D14" s="17">
        <f>SUM(C14/$C$15)</f>
        <v>0.12538742871311678</v>
      </c>
      <c r="E14" s="16"/>
      <c r="G14" s="14"/>
    </row>
    <row r="15" spans="1:7" s="2" customFormat="1" ht="16.5" customHeight="1">
      <c r="A15" s="75"/>
      <c r="B15" s="76"/>
      <c r="C15" s="23">
        <f>SUM(C12:C14)</f>
        <v>64528</v>
      </c>
      <c r="D15" s="17"/>
      <c r="E15" s="10" t="s">
        <v>1874</v>
      </c>
      <c r="F15" s="21">
        <f>(C12-C13)</f>
        <v>4667</v>
      </c>
    </row>
    <row r="16" spans="1:7" s="2" customFormat="1" ht="12" customHeight="1">
      <c r="A16" s="1"/>
    </row>
    <row r="17" spans="1:7" s="2" customFormat="1" ht="16.5" customHeight="1">
      <c r="A17" s="1" t="s">
        <v>740</v>
      </c>
    </row>
    <row r="18" spans="1:7" s="2" customFormat="1" ht="9.75" customHeight="1" thickBot="1">
      <c r="A18" s="3"/>
    </row>
    <row r="19" spans="1:7" s="2" customFormat="1" ht="16.5" customHeight="1" thickBot="1">
      <c r="A19" s="4" t="s">
        <v>1244</v>
      </c>
      <c r="B19" s="5" t="s">
        <v>1245</v>
      </c>
      <c r="C19" s="5" t="s">
        <v>1248</v>
      </c>
      <c r="D19" s="10"/>
      <c r="E19" s="10" t="s">
        <v>1413</v>
      </c>
      <c r="F19" s="11">
        <f>(64137/94800)</f>
        <v>0.67655063291139239</v>
      </c>
    </row>
    <row r="20" spans="1:7" s="2" customFormat="1" ht="16.5" customHeight="1" thickBot="1">
      <c r="A20" s="6" t="s">
        <v>2417</v>
      </c>
      <c r="B20" s="9" t="s">
        <v>2206</v>
      </c>
      <c r="C20" s="36">
        <v>35138</v>
      </c>
      <c r="D20" s="17">
        <f>SUM(C20/$C$24)</f>
        <v>0.5436625820027231</v>
      </c>
      <c r="E20" s="16"/>
    </row>
    <row r="21" spans="1:7" s="2" customFormat="1" ht="16.5" customHeight="1" thickBot="1">
      <c r="A21" s="12" t="s">
        <v>1991</v>
      </c>
      <c r="B21" s="20" t="s">
        <v>1261</v>
      </c>
      <c r="C21" s="8">
        <v>26118</v>
      </c>
      <c r="D21" s="17">
        <f>SUM(C21/$C$24)</f>
        <v>0.40410323059784625</v>
      </c>
      <c r="E21" s="16"/>
      <c r="G21" s="14"/>
    </row>
    <row r="22" spans="1:7" s="2" customFormat="1" ht="16.5" customHeight="1" thickBot="1">
      <c r="A22" s="12" t="s">
        <v>741</v>
      </c>
      <c r="B22" s="37" t="s">
        <v>2447</v>
      </c>
      <c r="C22" s="8">
        <v>2530</v>
      </c>
      <c r="D22" s="17">
        <f>SUM(C22/$C$24)</f>
        <v>3.914469612575814E-2</v>
      </c>
      <c r="E22" s="16"/>
      <c r="G22" s="14"/>
    </row>
    <row r="23" spans="1:7" s="2" customFormat="1" ht="16.5" customHeight="1" thickBot="1">
      <c r="A23" s="12" t="s">
        <v>742</v>
      </c>
      <c r="B23" s="78" t="s">
        <v>2512</v>
      </c>
      <c r="C23" s="8">
        <v>846</v>
      </c>
      <c r="D23" s="17">
        <f>SUM(C23/$C$24)</f>
        <v>1.3089491273672484E-2</v>
      </c>
      <c r="E23" s="16"/>
      <c r="G23" s="14"/>
    </row>
    <row r="24" spans="1:7" s="2" customFormat="1" ht="16.5" customHeight="1">
      <c r="A24" s="75"/>
      <c r="B24" s="76"/>
      <c r="C24" s="23">
        <f>SUM(C20:C23)</f>
        <v>64632</v>
      </c>
      <c r="D24" s="17"/>
      <c r="E24" s="10" t="s">
        <v>1874</v>
      </c>
      <c r="F24" s="21">
        <f>(C20-C21)</f>
        <v>9020</v>
      </c>
    </row>
    <row r="25" spans="1:7" s="2" customFormat="1" ht="12" customHeight="1">
      <c r="A25" s="1"/>
    </row>
    <row r="26" spans="1:7" s="2" customFormat="1" ht="16.5" customHeight="1">
      <c r="A26" s="1" t="s">
        <v>736</v>
      </c>
    </row>
    <row r="27" spans="1:7" s="2" customFormat="1" ht="9.75" customHeight="1" thickBot="1">
      <c r="A27" s="3"/>
    </row>
    <row r="28" spans="1:7" s="2" customFormat="1" ht="16.5" customHeight="1" thickBot="1">
      <c r="A28" s="4" t="s">
        <v>1244</v>
      </c>
      <c r="B28" s="5" t="s">
        <v>1245</v>
      </c>
      <c r="C28" s="5" t="s">
        <v>1248</v>
      </c>
      <c r="D28" s="10"/>
      <c r="E28" s="10" t="s">
        <v>1413</v>
      </c>
      <c r="F28" s="11">
        <f>(63295/91079)</f>
        <v>0.69494614565377311</v>
      </c>
    </row>
    <row r="29" spans="1:7" s="2" customFormat="1" ht="16.5" customHeight="1" thickBot="1">
      <c r="A29" s="6" t="s">
        <v>618</v>
      </c>
      <c r="B29" s="9" t="s">
        <v>2206</v>
      </c>
      <c r="C29" s="36">
        <v>37518</v>
      </c>
      <c r="D29" s="17">
        <f>SUM(C29/$C$32)</f>
        <v>0.60018236790324908</v>
      </c>
      <c r="E29" s="16"/>
    </row>
    <row r="30" spans="1:7" s="2" customFormat="1" ht="16.5" customHeight="1" thickBot="1">
      <c r="A30" s="12" t="s">
        <v>2021</v>
      </c>
      <c r="B30" s="20" t="s">
        <v>1261</v>
      </c>
      <c r="C30" s="8">
        <v>19855</v>
      </c>
      <c r="D30" s="17">
        <f>SUM(C30/$C$32)</f>
        <v>0.31762409815872406</v>
      </c>
      <c r="E30" s="16"/>
      <c r="G30" s="14"/>
    </row>
    <row r="31" spans="1:7" s="2" customFormat="1" ht="16.5" customHeight="1" thickBot="1">
      <c r="A31" s="12" t="s">
        <v>371</v>
      </c>
      <c r="B31" s="37" t="s">
        <v>2447</v>
      </c>
      <c r="C31" s="8">
        <v>5138</v>
      </c>
      <c r="D31" s="17">
        <f>SUM(C31/$C$32)</f>
        <v>8.2193533938026905E-2</v>
      </c>
      <c r="E31" s="16"/>
      <c r="G31" s="14"/>
    </row>
    <row r="32" spans="1:7" s="2" customFormat="1" ht="16.5" customHeight="1">
      <c r="A32" s="75"/>
      <c r="B32" s="76"/>
      <c r="C32" s="23">
        <f>SUM(C29:C31)</f>
        <v>62511</v>
      </c>
      <c r="D32" s="17"/>
      <c r="E32" s="10" t="s">
        <v>1874</v>
      </c>
      <c r="F32" s="21">
        <f>(C29-C30)</f>
        <v>17663</v>
      </c>
    </row>
    <row r="33" spans="1:7" s="2" customFormat="1" ht="12" customHeight="1">
      <c r="A33" s="1"/>
    </row>
    <row r="34" spans="1:7" s="2" customFormat="1" ht="16.5" customHeight="1">
      <c r="A34" s="1" t="s">
        <v>738</v>
      </c>
    </row>
    <row r="35" spans="1:7" s="2" customFormat="1" ht="9.75" customHeight="1" thickBot="1">
      <c r="A35" s="3"/>
    </row>
    <row r="36" spans="1:7" s="2" customFormat="1" ht="16.5" customHeight="1" thickBot="1">
      <c r="A36" s="4" t="s">
        <v>1244</v>
      </c>
      <c r="B36" s="5" t="s">
        <v>1245</v>
      </c>
      <c r="C36" s="5" t="s">
        <v>1248</v>
      </c>
      <c r="D36" s="10"/>
      <c r="E36" s="10" t="s">
        <v>1413</v>
      </c>
      <c r="F36" s="11">
        <f>(66826/91362)</f>
        <v>0.73144195617433949</v>
      </c>
    </row>
    <row r="37" spans="1:7" s="2" customFormat="1" ht="16.5" customHeight="1" thickBot="1">
      <c r="A37" s="6" t="s">
        <v>650</v>
      </c>
      <c r="B37" s="9" t="s">
        <v>2206</v>
      </c>
      <c r="C37" s="36">
        <v>33614</v>
      </c>
      <c r="D37" s="17">
        <f>SUM(C37/$C$41)</f>
        <v>0.5082249773208346</v>
      </c>
      <c r="E37" s="16"/>
    </row>
    <row r="38" spans="1:7" s="2" customFormat="1" ht="16.5" customHeight="1" thickBot="1">
      <c r="A38" s="12" t="s">
        <v>419</v>
      </c>
      <c r="B38" s="20" t="s">
        <v>1261</v>
      </c>
      <c r="C38" s="8">
        <v>30047</v>
      </c>
      <c r="D38" s="17">
        <f>SUM(C38/$C$41)</f>
        <v>0.45429392198367102</v>
      </c>
      <c r="E38" s="16"/>
      <c r="G38" s="14"/>
    </row>
    <row r="39" spans="1:7" s="2" customFormat="1" ht="16.5" customHeight="1" thickBot="1">
      <c r="A39" s="12" t="s">
        <v>387</v>
      </c>
      <c r="B39" s="37" t="s">
        <v>2447</v>
      </c>
      <c r="C39" s="8">
        <v>2327</v>
      </c>
      <c r="D39" s="17">
        <f>SUM(C39/$C$41)</f>
        <v>3.5182945267614153E-2</v>
      </c>
      <c r="E39" s="16"/>
      <c r="G39" s="14"/>
    </row>
    <row r="40" spans="1:7" s="2" customFormat="1" ht="16.5" customHeight="1" thickBot="1">
      <c r="A40" s="12" t="s">
        <v>739</v>
      </c>
      <c r="B40" s="78" t="s">
        <v>2279</v>
      </c>
      <c r="C40" s="8">
        <v>152</v>
      </c>
      <c r="D40" s="17">
        <f>SUM(C40/$C$41)</f>
        <v>2.2981554278802539E-3</v>
      </c>
      <c r="E40" s="16"/>
      <c r="G40" s="14"/>
    </row>
    <row r="41" spans="1:7" s="2" customFormat="1" ht="16.5" customHeight="1">
      <c r="A41" s="75"/>
      <c r="B41" s="76"/>
      <c r="C41" s="23">
        <f>SUM(C37:C40)</f>
        <v>66140</v>
      </c>
      <c r="D41" s="17"/>
      <c r="E41" s="10" t="s">
        <v>1874</v>
      </c>
      <c r="F41" s="21">
        <f>(C37-C38)</f>
        <v>3567</v>
      </c>
    </row>
    <row r="42" spans="1:7" s="2" customFormat="1" ht="12" customHeight="1">
      <c r="A42" s="1"/>
    </row>
    <row r="43" spans="1:7" s="2" customFormat="1" ht="16.5" customHeight="1">
      <c r="A43" s="1" t="s">
        <v>735</v>
      </c>
    </row>
    <row r="44" spans="1:7" s="2" customFormat="1" ht="9.75" customHeight="1" thickBot="1">
      <c r="A44" s="3"/>
    </row>
    <row r="45" spans="1:7" s="2" customFormat="1" ht="16.5" customHeight="1" thickBot="1">
      <c r="A45" s="4" t="s">
        <v>1244</v>
      </c>
      <c r="B45" s="5" t="s">
        <v>1245</v>
      </c>
      <c r="C45" s="5" t="s">
        <v>1248</v>
      </c>
      <c r="D45" s="10"/>
      <c r="E45" s="10" t="s">
        <v>1413</v>
      </c>
      <c r="F45" s="11">
        <f>(68740/117832)</f>
        <v>0.58337293774186982</v>
      </c>
    </row>
    <row r="46" spans="1:7" s="2" customFormat="1" ht="16.5" customHeight="1" thickBot="1">
      <c r="A46" s="6" t="s">
        <v>2532</v>
      </c>
      <c r="B46" s="9" t="s">
        <v>2206</v>
      </c>
      <c r="C46" s="36">
        <v>48892</v>
      </c>
      <c r="D46" s="17">
        <f>SUM(C46/$C$49)</f>
        <v>0.71465949454051125</v>
      </c>
      <c r="E46" s="16"/>
    </row>
    <row r="47" spans="1:7" s="2" customFormat="1" ht="16.5" customHeight="1" thickBot="1">
      <c r="A47" s="12" t="s">
        <v>392</v>
      </c>
      <c r="B47" s="40" t="s">
        <v>1269</v>
      </c>
      <c r="C47" s="8">
        <v>10460</v>
      </c>
      <c r="D47" s="17">
        <f>SUM(C47/$C$49)</f>
        <v>0.15289491763261367</v>
      </c>
      <c r="E47" s="16"/>
      <c r="G47" s="14"/>
    </row>
    <row r="48" spans="1:7" s="2" customFormat="1" ht="16.5" customHeight="1" thickBot="1">
      <c r="A48" s="12" t="s">
        <v>705</v>
      </c>
      <c r="B48" s="20" t="s">
        <v>1261</v>
      </c>
      <c r="C48" s="8">
        <v>9061</v>
      </c>
      <c r="D48" s="17">
        <f>SUM(C48/$C$49)</f>
        <v>0.13244558782687502</v>
      </c>
      <c r="E48" s="16"/>
      <c r="G48" s="14"/>
    </row>
    <row r="49" spans="1:10" s="2" customFormat="1" ht="16.5" customHeight="1">
      <c r="A49" s="75"/>
      <c r="B49" s="76"/>
      <c r="C49" s="23">
        <f>SUM(C46:C48)</f>
        <v>68413</v>
      </c>
      <c r="D49" s="17"/>
      <c r="E49" s="10" t="s">
        <v>1874</v>
      </c>
      <c r="F49" s="21">
        <f>(C46-C47)</f>
        <v>38432</v>
      </c>
    </row>
    <row r="50" spans="1:10" s="2" customFormat="1" ht="12" customHeight="1">
      <c r="A50" s="1"/>
    </row>
    <row r="51" spans="1:10" s="2" customFormat="1" ht="16.5" customHeight="1">
      <c r="A51" s="1" t="s">
        <v>733</v>
      </c>
      <c r="J51" s="93"/>
    </row>
    <row r="52" spans="1:10" s="2" customFormat="1" ht="9.75" customHeight="1" thickBot="1">
      <c r="A52" s="3"/>
    </row>
    <row r="53" spans="1:10" s="2" customFormat="1" ht="16.5" customHeight="1" thickBot="1">
      <c r="A53" s="4" t="s">
        <v>1244</v>
      </c>
      <c r="B53" s="5" t="s">
        <v>1245</v>
      </c>
      <c r="C53" s="5" t="s">
        <v>1248</v>
      </c>
      <c r="D53" s="10"/>
      <c r="E53" s="10" t="s">
        <v>1413</v>
      </c>
      <c r="F53" s="11">
        <f>(59843/103763)</f>
        <v>0.57672773531991173</v>
      </c>
    </row>
    <row r="54" spans="1:10" s="2" customFormat="1" ht="16.5" customHeight="1" thickBot="1">
      <c r="A54" s="6" t="s">
        <v>1464</v>
      </c>
      <c r="B54" s="28" t="s">
        <v>1258</v>
      </c>
      <c r="C54" s="36">
        <v>43186</v>
      </c>
      <c r="D54" s="17">
        <f>SUM(C54/$C$57)</f>
        <v>0.72592492982131751</v>
      </c>
      <c r="E54" s="16"/>
    </row>
    <row r="55" spans="1:10" s="2" customFormat="1" ht="16.5" customHeight="1" thickBot="1">
      <c r="A55" s="12" t="s">
        <v>411</v>
      </c>
      <c r="B55" s="87" t="s">
        <v>725</v>
      </c>
      <c r="C55" s="8">
        <v>8689</v>
      </c>
      <c r="D55" s="17">
        <f>SUM(C55/$C$57)</f>
        <v>0.1460557059050949</v>
      </c>
      <c r="E55" s="16"/>
      <c r="G55" s="14"/>
    </row>
    <row r="56" spans="1:10" s="2" customFormat="1" ht="16.5" customHeight="1" thickBot="1">
      <c r="A56" s="12" t="s">
        <v>734</v>
      </c>
      <c r="B56" s="94" t="s">
        <v>1261</v>
      </c>
      <c r="C56" s="8">
        <v>7616</v>
      </c>
      <c r="D56" s="17">
        <f>SUM(C56/$C$57)</f>
        <v>0.12801936427358759</v>
      </c>
      <c r="E56" s="21"/>
    </row>
    <row r="57" spans="1:10" s="2" customFormat="1" ht="16.5" customHeight="1">
      <c r="A57" s="75"/>
      <c r="B57" s="76"/>
      <c r="C57" s="23">
        <f>SUM(C54:C56)</f>
        <v>59491</v>
      </c>
      <c r="D57" s="17"/>
      <c r="E57" s="10" t="s">
        <v>1874</v>
      </c>
      <c r="F57" s="21">
        <f>(C54-C55)</f>
        <v>34497</v>
      </c>
    </row>
    <row r="58" spans="1:10" s="2" customFormat="1" ht="12" customHeight="1">
      <c r="A58" s="1"/>
    </row>
    <row r="59" spans="1:10" s="2" customFormat="1" ht="16.5" customHeight="1">
      <c r="A59" s="1" t="s">
        <v>737</v>
      </c>
    </row>
    <row r="60" spans="1:10" s="2" customFormat="1" ht="9.75" customHeight="1" thickBot="1">
      <c r="A60" s="3"/>
    </row>
    <row r="61" spans="1:10" s="2" customFormat="1" ht="16.5" customHeight="1" thickBot="1">
      <c r="A61" s="4" t="s">
        <v>1244</v>
      </c>
      <c r="B61" s="5" t="s">
        <v>1245</v>
      </c>
      <c r="C61" s="5" t="s">
        <v>1248</v>
      </c>
      <c r="D61" s="10"/>
      <c r="E61" s="10" t="s">
        <v>1413</v>
      </c>
      <c r="F61" s="11">
        <f>(57326/93623)</f>
        <v>0.6123068049517747</v>
      </c>
    </row>
    <row r="62" spans="1:10" s="2" customFormat="1" ht="16.5" customHeight="1" thickBot="1">
      <c r="A62" s="6" t="s">
        <v>2549</v>
      </c>
      <c r="B62" s="9" t="s">
        <v>2206</v>
      </c>
      <c r="C62" s="36">
        <v>40996</v>
      </c>
      <c r="D62" s="17">
        <f>SUM(C62/$C$65)</f>
        <v>0.71915236992597276</v>
      </c>
      <c r="E62" s="16"/>
    </row>
    <row r="63" spans="1:10" s="2" customFormat="1" ht="16.5" customHeight="1" thickBot="1">
      <c r="A63" s="12" t="s">
        <v>420</v>
      </c>
      <c r="B63" s="40" t="s">
        <v>1269</v>
      </c>
      <c r="C63" s="8">
        <v>9973</v>
      </c>
      <c r="D63" s="17">
        <f>SUM(C63/$C$65)</f>
        <v>0.17494649685997965</v>
      </c>
      <c r="E63" s="16"/>
      <c r="G63" s="14"/>
    </row>
    <row r="64" spans="1:10" s="2" customFormat="1" ht="16.5" customHeight="1" thickBot="1">
      <c r="A64" s="12" t="s">
        <v>421</v>
      </c>
      <c r="B64" s="87" t="s">
        <v>725</v>
      </c>
      <c r="C64" s="8">
        <v>6037</v>
      </c>
      <c r="D64" s="17">
        <f>SUM(C64/$C$65)</f>
        <v>0.10590113321404765</v>
      </c>
      <c r="E64" s="21"/>
    </row>
    <row r="65" spans="1:12" s="2" customFormat="1" ht="16.5" customHeight="1">
      <c r="A65" s="75"/>
      <c r="B65" s="76"/>
      <c r="C65" s="23">
        <f>SUM(C62:C64)</f>
        <v>57006</v>
      </c>
      <c r="D65" s="17"/>
      <c r="E65" s="10" t="s">
        <v>1874</v>
      </c>
      <c r="F65" s="21">
        <f>(C62-C63)</f>
        <v>31023</v>
      </c>
    </row>
    <row r="66" spans="1:12" s="2" customFormat="1" ht="12" customHeight="1">
      <c r="A66" s="1"/>
      <c r="E66"/>
      <c r="L66"/>
    </row>
    <row r="67" spans="1:12" s="2" customFormat="1" ht="16.5" customHeight="1">
      <c r="A67" s="1" t="s">
        <v>723</v>
      </c>
    </row>
    <row r="68" spans="1:12" s="2" customFormat="1" ht="9.75" customHeight="1" thickBot="1">
      <c r="A68" s="3"/>
    </row>
    <row r="69" spans="1:12" s="2" customFormat="1" ht="16.5" customHeight="1" thickBot="1">
      <c r="A69" s="4" t="s">
        <v>1244</v>
      </c>
      <c r="B69" s="5" t="s">
        <v>1245</v>
      </c>
      <c r="C69" s="5" t="s">
        <v>1248</v>
      </c>
      <c r="D69" s="10"/>
      <c r="E69" s="10" t="s">
        <v>1413</v>
      </c>
      <c r="F69" s="11">
        <f>(47774/71774)</f>
        <v>0.66561707582132801</v>
      </c>
    </row>
    <row r="70" spans="1:12" s="2" customFormat="1" ht="16.5" customHeight="1" thickBot="1">
      <c r="A70" s="6" t="s">
        <v>724</v>
      </c>
      <c r="B70" s="9" t="s">
        <v>2206</v>
      </c>
      <c r="C70" s="36">
        <v>29622</v>
      </c>
      <c r="D70" s="17">
        <f>SUM(C70/$C$74)</f>
        <v>0.62612555485098287</v>
      </c>
      <c r="E70" s="16"/>
    </row>
    <row r="71" spans="1:12" s="2" customFormat="1" ht="16.5" customHeight="1" thickBot="1">
      <c r="A71" s="12" t="s">
        <v>428</v>
      </c>
      <c r="B71" s="20" t="s">
        <v>1261</v>
      </c>
      <c r="C71" s="8">
        <v>11400</v>
      </c>
      <c r="D71" s="17">
        <f>SUM(C71/$C$74)</f>
        <v>0.24096385542168675</v>
      </c>
      <c r="E71" s="16"/>
      <c r="G71" s="14"/>
    </row>
    <row r="72" spans="1:12" s="2" customFormat="1" ht="16.5" customHeight="1" thickBot="1">
      <c r="A72" s="12" t="s">
        <v>427</v>
      </c>
      <c r="B72" s="40" t="s">
        <v>1269</v>
      </c>
      <c r="C72" s="8">
        <v>3807</v>
      </c>
      <c r="D72" s="17">
        <f>SUM(C72/$C$74)</f>
        <v>8.0469245402663286E-2</v>
      </c>
      <c r="E72" s="16"/>
      <c r="G72" s="14"/>
    </row>
    <row r="73" spans="1:12" s="2" customFormat="1" ht="16.5" customHeight="1" thickBot="1">
      <c r="A73" s="12" t="s">
        <v>2329</v>
      </c>
      <c r="B73" s="80" t="s">
        <v>363</v>
      </c>
      <c r="C73" s="8">
        <v>2481</v>
      </c>
      <c r="D73" s="17">
        <f>SUM(C73/$C$74)</f>
        <v>5.2441344324667093E-2</v>
      </c>
      <c r="E73" s="16"/>
      <c r="G73" s="14"/>
    </row>
    <row r="74" spans="1:12" s="2" customFormat="1" ht="16.5" customHeight="1">
      <c r="A74" s="75"/>
      <c r="B74" s="76"/>
      <c r="C74" s="23">
        <f>SUM(C70:C73)</f>
        <v>47310</v>
      </c>
      <c r="D74" s="17"/>
      <c r="E74" s="10" t="s">
        <v>1874</v>
      </c>
      <c r="F74" s="21">
        <f>(C70-C71)</f>
        <v>18222</v>
      </c>
    </row>
    <row r="75" spans="1:12" s="2" customFormat="1" ht="12" customHeight="1">
      <c r="A75" s="1"/>
    </row>
    <row r="76" spans="1:12" s="2" customFormat="1" ht="16.5" customHeight="1">
      <c r="A76" s="1" t="s">
        <v>730</v>
      </c>
    </row>
    <row r="77" spans="1:12" s="2" customFormat="1" ht="9.75" customHeight="1" thickBot="1">
      <c r="A77" s="3"/>
    </row>
    <row r="78" spans="1:12" s="2" customFormat="1" ht="16.5" customHeight="1" thickBot="1">
      <c r="A78" s="4" t="s">
        <v>1244</v>
      </c>
      <c r="B78" s="5" t="s">
        <v>1245</v>
      </c>
      <c r="C78" s="5" t="s">
        <v>1248</v>
      </c>
      <c r="D78" s="10"/>
      <c r="E78" s="10" t="s">
        <v>1413</v>
      </c>
      <c r="F78" s="11">
        <f>(45689/66278)</f>
        <v>0.68935393343190798</v>
      </c>
    </row>
    <row r="79" spans="1:12" s="2" customFormat="1" ht="16.5" customHeight="1" thickBot="1">
      <c r="A79" s="6" t="s">
        <v>680</v>
      </c>
      <c r="B79" s="7" t="s">
        <v>1261</v>
      </c>
      <c r="C79" s="36">
        <v>21821</v>
      </c>
      <c r="D79" s="17">
        <f>SUM(C79/$C$84)</f>
        <v>0.49007321564928358</v>
      </c>
      <c r="E79" s="16"/>
    </row>
    <row r="80" spans="1:12" s="2" customFormat="1" ht="16.5" customHeight="1" thickBot="1">
      <c r="A80" s="12" t="s">
        <v>560</v>
      </c>
      <c r="B80" s="27" t="s">
        <v>1258</v>
      </c>
      <c r="C80" s="8">
        <v>16265</v>
      </c>
      <c r="D80" s="17">
        <f>SUM(C80/$C$84)</f>
        <v>0.36529218883349057</v>
      </c>
      <c r="E80" s="16"/>
      <c r="G80" s="14"/>
    </row>
    <row r="81" spans="1:7" s="2" customFormat="1" ht="16.5" customHeight="1" thickBot="1">
      <c r="A81" s="12" t="s">
        <v>732</v>
      </c>
      <c r="B81" s="37" t="s">
        <v>2447</v>
      </c>
      <c r="C81" s="8">
        <v>3547</v>
      </c>
      <c r="D81" s="17">
        <f>SUM(C81/$C$84)</f>
        <v>7.9661321475093208E-2</v>
      </c>
      <c r="E81" s="16"/>
      <c r="G81" s="14"/>
    </row>
    <row r="82" spans="1:7" s="2" customFormat="1" ht="16.5" customHeight="1" thickBot="1">
      <c r="A82" s="12" t="s">
        <v>731</v>
      </c>
      <c r="B82" s="83" t="s">
        <v>496</v>
      </c>
      <c r="C82" s="8">
        <v>2690</v>
      </c>
      <c r="D82" s="17">
        <f>SUM(C82/$C$84)</f>
        <v>6.0414140053002739E-2</v>
      </c>
      <c r="E82" s="21"/>
    </row>
    <row r="83" spans="1:7" s="2" customFormat="1" ht="16.5" customHeight="1" thickBot="1">
      <c r="A83" s="12" t="s">
        <v>442</v>
      </c>
      <c r="B83" s="78" t="s">
        <v>2279</v>
      </c>
      <c r="C83" s="8">
        <v>203</v>
      </c>
      <c r="D83" s="17">
        <f>SUM(C83/$C$84)</f>
        <v>4.5591339891299463E-3</v>
      </c>
      <c r="E83" s="16"/>
      <c r="G83" s="14"/>
    </row>
    <row r="84" spans="1:7" s="2" customFormat="1" ht="16.5" customHeight="1">
      <c r="A84" s="75"/>
      <c r="B84" s="76"/>
      <c r="C84" s="23">
        <f>SUM(C79:C83)</f>
        <v>44526</v>
      </c>
      <c r="D84" s="17"/>
      <c r="E84" s="10" t="s">
        <v>1874</v>
      </c>
      <c r="F84" s="21">
        <f>(C79-C80)</f>
        <v>5556</v>
      </c>
    </row>
    <row r="85" spans="1:7" s="2" customFormat="1" ht="12" customHeight="1">
      <c r="A85" s="1"/>
    </row>
    <row r="86" spans="1:7" s="2" customFormat="1" ht="16.5" customHeight="1">
      <c r="A86" s="1" t="s">
        <v>726</v>
      </c>
    </row>
    <row r="87" spans="1:7" s="2" customFormat="1" ht="9.75" customHeight="1" thickBot="1">
      <c r="A87" s="3"/>
    </row>
    <row r="88" spans="1:7" s="2" customFormat="1" ht="16.5" customHeight="1" thickBot="1">
      <c r="A88" s="4" t="s">
        <v>1244</v>
      </c>
      <c r="B88" s="5" t="s">
        <v>1245</v>
      </c>
      <c r="C88" s="5" t="s">
        <v>1248</v>
      </c>
      <c r="D88" s="10"/>
      <c r="E88" s="10" t="s">
        <v>1413</v>
      </c>
      <c r="F88" s="11">
        <f>(51065/75147)</f>
        <v>0.67953477850080513</v>
      </c>
    </row>
    <row r="89" spans="1:7" s="2" customFormat="1" ht="16.5" customHeight="1" thickBot="1">
      <c r="A89" s="6" t="s">
        <v>692</v>
      </c>
      <c r="B89" s="9" t="s">
        <v>2206</v>
      </c>
      <c r="C89" s="36">
        <v>30116</v>
      </c>
      <c r="D89" s="17">
        <f>SUM(C89/$C$94)</f>
        <v>0.59229831255162646</v>
      </c>
      <c r="E89" s="16"/>
    </row>
    <row r="90" spans="1:7" s="2" customFormat="1" ht="16.5" customHeight="1" thickBot="1">
      <c r="A90" s="12" t="s">
        <v>2354</v>
      </c>
      <c r="B90" s="40" t="s">
        <v>1269</v>
      </c>
      <c r="C90" s="8">
        <v>11715</v>
      </c>
      <c r="D90" s="17">
        <f>SUM(C90/$C$94)</f>
        <v>0.23040160484600558</v>
      </c>
      <c r="E90" s="16"/>
      <c r="G90" s="14"/>
    </row>
    <row r="91" spans="1:7" s="2" customFormat="1" ht="16.5" customHeight="1" thickBot="1">
      <c r="A91" s="12" t="s">
        <v>728</v>
      </c>
      <c r="B91" s="87" t="s">
        <v>725</v>
      </c>
      <c r="C91" s="8">
        <v>4982</v>
      </c>
      <c r="D91" s="17">
        <f>SUM(C91/$C$94)</f>
        <v>9.7982142154741769E-2</v>
      </c>
      <c r="E91" s="21"/>
    </row>
    <row r="92" spans="1:7" s="2" customFormat="1" ht="16.5" customHeight="1" thickBot="1">
      <c r="A92" s="12" t="s">
        <v>727</v>
      </c>
      <c r="B92" s="20" t="s">
        <v>1261</v>
      </c>
      <c r="C92" s="8">
        <v>2390</v>
      </c>
      <c r="D92" s="17">
        <f>SUM(C92/$C$94)</f>
        <v>4.7004680800849623E-2</v>
      </c>
      <c r="E92" s="16"/>
      <c r="G92" s="14"/>
    </row>
    <row r="93" spans="1:7" s="2" customFormat="1" ht="16.5" customHeight="1" thickBot="1">
      <c r="A93" s="12" t="s">
        <v>453</v>
      </c>
      <c r="B93" s="80" t="s">
        <v>363</v>
      </c>
      <c r="C93" s="8">
        <v>1643</v>
      </c>
      <c r="D93" s="17">
        <f>SUM(C93/$C$94)</f>
        <v>3.2313259646776539E-2</v>
      </c>
      <c r="E93" s="16"/>
      <c r="G93" s="14"/>
    </row>
    <row r="94" spans="1:7" s="2" customFormat="1" ht="16.5" customHeight="1">
      <c r="A94" s="75"/>
      <c r="B94" s="76"/>
      <c r="C94" s="23">
        <f>SUM(C89:C93)</f>
        <v>50846</v>
      </c>
      <c r="D94" s="17"/>
      <c r="E94" s="10" t="s">
        <v>1874</v>
      </c>
      <c r="F94" s="21">
        <f>(C89-C90)</f>
        <v>18401</v>
      </c>
    </row>
    <row r="95" spans="1:7" s="2" customFormat="1" ht="12" customHeight="1">
      <c r="A95" s="1"/>
    </row>
    <row r="96" spans="1:7" s="2" customFormat="1" ht="16.5" customHeight="1">
      <c r="A96" s="1" t="s">
        <v>729</v>
      </c>
    </row>
    <row r="97" spans="1:7" s="2" customFormat="1" ht="9.75" customHeight="1" thickBot="1">
      <c r="A97" s="3"/>
    </row>
    <row r="98" spans="1:7" s="2" customFormat="1" ht="16.5" customHeight="1" thickBot="1">
      <c r="A98" s="4" t="s">
        <v>1244</v>
      </c>
      <c r="B98" s="5" t="s">
        <v>1245</v>
      </c>
      <c r="C98" s="5" t="s">
        <v>1248</v>
      </c>
      <c r="D98" s="10"/>
      <c r="E98" s="10" t="s">
        <v>1413</v>
      </c>
      <c r="F98" s="11">
        <f>(53691/79629)</f>
        <v>0.67426440116038122</v>
      </c>
    </row>
    <row r="99" spans="1:7" s="2" customFormat="1" ht="16.5" customHeight="1" thickBot="1">
      <c r="A99" s="6" t="s">
        <v>696</v>
      </c>
      <c r="B99" s="86" t="s">
        <v>496</v>
      </c>
      <c r="C99" s="36">
        <v>31594</v>
      </c>
      <c r="D99" s="17">
        <f>SUM(C99/$C$102)</f>
        <v>0.5913600119791862</v>
      </c>
      <c r="E99" s="16"/>
    </row>
    <row r="100" spans="1:7" s="2" customFormat="1" ht="16.5" customHeight="1" thickBot="1">
      <c r="A100" s="12" t="s">
        <v>401</v>
      </c>
      <c r="B100" s="87" t="s">
        <v>337</v>
      </c>
      <c r="C100" s="8">
        <v>14417</v>
      </c>
      <c r="D100" s="17">
        <f>SUM(C100/$C$102)</f>
        <v>0.26984988582338187</v>
      </c>
      <c r="E100" s="16"/>
      <c r="G100" s="14"/>
    </row>
    <row r="101" spans="1:7" s="2" customFormat="1" ht="16.5" customHeight="1" thickBot="1">
      <c r="A101" s="12" t="s">
        <v>2205</v>
      </c>
      <c r="B101" s="80" t="s">
        <v>363</v>
      </c>
      <c r="C101" s="8">
        <v>7415</v>
      </c>
      <c r="D101" s="17">
        <f>SUM(C101/$C$102)</f>
        <v>0.13879010219743196</v>
      </c>
      <c r="E101" s="21"/>
    </row>
    <row r="102" spans="1:7" s="2" customFormat="1" ht="16.5" customHeight="1">
      <c r="A102" s="75"/>
      <c r="B102" s="76"/>
      <c r="C102" s="23">
        <f>SUM(C99:C101)</f>
        <v>53426</v>
      </c>
      <c r="D102" s="17"/>
      <c r="E102" s="10" t="s">
        <v>1874</v>
      </c>
      <c r="F102" s="21">
        <f>(C99-C100)</f>
        <v>17177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24"/>
  <dimension ref="A1:L107"/>
  <sheetViews>
    <sheetView workbookViewId="0">
      <selection activeCell="K1" sqref="K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834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(61827/70615)</f>
        <v>0.87555052042767112</v>
      </c>
    </row>
    <row r="4" spans="1:7" s="2" customFormat="1" ht="16.5" customHeight="1" thickBot="1">
      <c r="A4" s="6" t="s">
        <v>333</v>
      </c>
      <c r="B4" s="9" t="s">
        <v>2206</v>
      </c>
      <c r="C4" s="36">
        <v>26858</v>
      </c>
      <c r="D4" s="17">
        <f>SUM(C4/$C$8)</f>
        <v>0.43562461478573977</v>
      </c>
      <c r="E4" s="16"/>
    </row>
    <row r="5" spans="1:7" s="2" customFormat="1" ht="16.5" customHeight="1" thickBot="1">
      <c r="A5" s="12" t="s">
        <v>769</v>
      </c>
      <c r="B5" s="95" t="s">
        <v>759</v>
      </c>
      <c r="C5" s="8">
        <v>16229</v>
      </c>
      <c r="D5" s="17">
        <f>SUM(C5/$C$8)</f>
        <v>0.2632270412300905</v>
      </c>
      <c r="E5" s="16"/>
      <c r="G5" s="14"/>
    </row>
    <row r="6" spans="1:7" s="2" customFormat="1" ht="16.5" customHeight="1" thickBot="1">
      <c r="A6" s="12" t="s">
        <v>1981</v>
      </c>
      <c r="B6" s="20" t="s">
        <v>1261</v>
      </c>
      <c r="C6" s="8">
        <v>15410</v>
      </c>
      <c r="D6" s="17">
        <f>SUM(C6/$C$8)</f>
        <v>0.24994323158270348</v>
      </c>
      <c r="E6" s="16"/>
      <c r="G6" s="14"/>
    </row>
    <row r="7" spans="1:7" s="2" customFormat="1" ht="16.5" customHeight="1" thickBot="1">
      <c r="A7" s="12" t="s">
        <v>770</v>
      </c>
      <c r="B7" s="87" t="s">
        <v>725</v>
      </c>
      <c r="C7" s="8">
        <v>3157</v>
      </c>
      <c r="D7" s="17">
        <f>SUM(C7/$C$8)</f>
        <v>5.1205112401466246E-2</v>
      </c>
      <c r="E7" s="16"/>
      <c r="G7" s="14"/>
    </row>
    <row r="8" spans="1:7" s="2" customFormat="1" ht="16.5" customHeight="1">
      <c r="A8" s="75"/>
      <c r="B8" s="76"/>
      <c r="C8" s="23">
        <f>SUM(C4:C7)</f>
        <v>61654</v>
      </c>
      <c r="D8" s="17"/>
      <c r="E8" s="10" t="s">
        <v>1874</v>
      </c>
      <c r="F8" s="21">
        <f>(C4-C5)</f>
        <v>10629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766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(67010/80892)</f>
        <v>0.82838846857538451</v>
      </c>
    </row>
    <row r="13" spans="1:7" s="2" customFormat="1" ht="16.5" customHeight="1" thickBot="1">
      <c r="A13" s="6" t="s">
        <v>2241</v>
      </c>
      <c r="B13" s="86" t="s">
        <v>2230</v>
      </c>
      <c r="C13" s="36">
        <v>26044</v>
      </c>
      <c r="D13" s="17">
        <f>SUM(C13/$C$17)</f>
        <v>0.39034187137482951</v>
      </c>
      <c r="E13" s="16"/>
    </row>
    <row r="14" spans="1:7" s="2" customFormat="1" ht="16.5" customHeight="1" thickBot="1">
      <c r="A14" s="12" t="s">
        <v>343</v>
      </c>
      <c r="B14" s="20" t="s">
        <v>1261</v>
      </c>
      <c r="C14" s="8">
        <v>19372</v>
      </c>
      <c r="D14" s="17">
        <f>SUM(C14/$C$17)</f>
        <v>0.29034337015332506</v>
      </c>
      <c r="E14" s="16"/>
      <c r="G14" s="14"/>
    </row>
    <row r="15" spans="1:7" s="2" customFormat="1" ht="16.5" customHeight="1" thickBot="1">
      <c r="A15" s="12" t="s">
        <v>767</v>
      </c>
      <c r="B15" s="78" t="s">
        <v>681</v>
      </c>
      <c r="C15" s="8">
        <v>16672</v>
      </c>
      <c r="D15" s="17">
        <f>SUM(C15/$C$17)</f>
        <v>0.2498763507741191</v>
      </c>
      <c r="E15" s="16"/>
      <c r="G15" s="14"/>
    </row>
    <row r="16" spans="1:7" s="2" customFormat="1" ht="16.5" customHeight="1" thickBot="1">
      <c r="A16" s="12" t="s">
        <v>768</v>
      </c>
      <c r="B16" s="87" t="s">
        <v>725</v>
      </c>
      <c r="C16" s="8">
        <v>4633</v>
      </c>
      <c r="D16" s="17">
        <f>SUM(C16/$C$17)</f>
        <v>6.9438407697726356E-2</v>
      </c>
      <c r="E16" s="16"/>
      <c r="G16" s="14"/>
    </row>
    <row r="17" spans="1:7" s="2" customFormat="1" ht="16.5" customHeight="1">
      <c r="A17" s="75"/>
      <c r="B17" s="76"/>
      <c r="C17" s="23">
        <f>SUM(C13:C16)</f>
        <v>66721</v>
      </c>
      <c r="D17" s="17"/>
      <c r="E17" s="10" t="s">
        <v>1874</v>
      </c>
      <c r="F17" s="21">
        <f>(C13-C14)</f>
        <v>6672</v>
      </c>
    </row>
    <row r="18" spans="1:7" s="2" customFormat="1" ht="12" customHeight="1">
      <c r="A18" s="1"/>
    </row>
    <row r="19" spans="1:7" s="2" customFormat="1" ht="16.5" customHeight="1">
      <c r="A19" s="1" t="s">
        <v>765</v>
      </c>
    </row>
    <row r="20" spans="1:7" s="2" customFormat="1" ht="9.75" customHeight="1" thickBot="1">
      <c r="A20" s="3"/>
    </row>
    <row r="21" spans="1:7" s="2" customFormat="1" ht="16.5" customHeight="1" thickBot="1">
      <c r="A21" s="4" t="s">
        <v>1244</v>
      </c>
      <c r="B21" s="5" t="s">
        <v>1245</v>
      </c>
      <c r="C21" s="5" t="s">
        <v>1248</v>
      </c>
      <c r="D21" s="10"/>
      <c r="E21" s="10" t="s">
        <v>1413</v>
      </c>
      <c r="F21" s="11">
        <f>(63830/92192)</f>
        <v>0.69235942381117666</v>
      </c>
    </row>
    <row r="22" spans="1:7" s="2" customFormat="1" ht="16.5" customHeight="1" thickBot="1">
      <c r="A22" s="6" t="s">
        <v>1888</v>
      </c>
      <c r="B22" s="9" t="s">
        <v>2206</v>
      </c>
      <c r="C22" s="36">
        <v>33060</v>
      </c>
      <c r="D22" s="17">
        <f>SUM(C22/$C$26)</f>
        <v>0.52659244038801545</v>
      </c>
      <c r="E22" s="16"/>
    </row>
    <row r="23" spans="1:7" s="2" customFormat="1" ht="16.5" customHeight="1" thickBot="1">
      <c r="A23" s="12" t="s">
        <v>2245</v>
      </c>
      <c r="B23" s="20" t="s">
        <v>1261</v>
      </c>
      <c r="C23" s="8">
        <v>23670</v>
      </c>
      <c r="D23" s="17">
        <f>SUM(C23/$C$26)</f>
        <v>0.37702489606728151</v>
      </c>
      <c r="E23" s="16"/>
      <c r="G23" s="14"/>
    </row>
    <row r="24" spans="1:7" s="2" customFormat="1" ht="16.5" customHeight="1" thickBot="1">
      <c r="A24" s="12" t="s">
        <v>741</v>
      </c>
      <c r="B24" s="37" t="s">
        <v>2447</v>
      </c>
      <c r="C24" s="8">
        <v>4889</v>
      </c>
      <c r="D24" s="17">
        <f>SUM(C24/$C$26)</f>
        <v>7.7873879039836891E-2</v>
      </c>
      <c r="E24" s="16"/>
      <c r="G24" s="14"/>
    </row>
    <row r="25" spans="1:7" s="2" customFormat="1" ht="16.5" customHeight="1" thickBot="1">
      <c r="A25" s="12" t="s">
        <v>742</v>
      </c>
      <c r="B25" s="78" t="s">
        <v>2512</v>
      </c>
      <c r="C25" s="8">
        <v>1162</v>
      </c>
      <c r="D25" s="17">
        <f>SUM(C25/$C$26)</f>
        <v>1.8508784504866121E-2</v>
      </c>
      <c r="E25" s="16"/>
      <c r="G25" s="14"/>
    </row>
    <row r="26" spans="1:7" s="2" customFormat="1" ht="16.5" customHeight="1">
      <c r="A26" s="75"/>
      <c r="B26" s="76"/>
      <c r="C26" s="23">
        <f>SUM(C22:C25)</f>
        <v>62781</v>
      </c>
      <c r="D26" s="17"/>
      <c r="E26" s="10" t="s">
        <v>1874</v>
      </c>
      <c r="F26" s="21">
        <f>(C22-C23)</f>
        <v>9390</v>
      </c>
    </row>
    <row r="27" spans="1:7" s="2" customFormat="1" ht="12" customHeight="1">
      <c r="A27" s="1"/>
    </row>
    <row r="28" spans="1:7" s="2" customFormat="1" ht="16.5" customHeight="1">
      <c r="A28" s="1" t="s">
        <v>757</v>
      </c>
    </row>
    <row r="29" spans="1:7" s="2" customFormat="1" ht="9.75" customHeight="1" thickBot="1">
      <c r="A29" s="3"/>
    </row>
    <row r="30" spans="1:7" s="2" customFormat="1" ht="16.5" customHeight="1" thickBot="1">
      <c r="A30" s="4" t="s">
        <v>1244</v>
      </c>
      <c r="B30" s="5" t="s">
        <v>1245</v>
      </c>
      <c r="C30" s="5" t="s">
        <v>1248</v>
      </c>
      <c r="D30" s="10"/>
      <c r="E30" s="10" t="s">
        <v>1413</v>
      </c>
      <c r="F30" s="11">
        <f>(62115/90262)</f>
        <v>0.68816334670182355</v>
      </c>
    </row>
    <row r="31" spans="1:7" s="2" customFormat="1" ht="16.5" customHeight="1" thickBot="1">
      <c r="A31" s="6" t="s">
        <v>2255</v>
      </c>
      <c r="B31" s="9" t="s">
        <v>2206</v>
      </c>
      <c r="C31" s="36">
        <v>33194</v>
      </c>
      <c r="D31" s="17">
        <f>SUM(C31/$C$36)</f>
        <v>0.53746761658031084</v>
      </c>
      <c r="E31" s="16"/>
    </row>
    <row r="32" spans="1:7" s="2" customFormat="1" ht="16.5" customHeight="1" thickBot="1">
      <c r="A32" s="12" t="s">
        <v>370</v>
      </c>
      <c r="B32" s="20" t="s">
        <v>1261</v>
      </c>
      <c r="C32" s="8">
        <v>18090</v>
      </c>
      <c r="D32" s="17">
        <f>SUM(C32/$C$36)</f>
        <v>0.29290803108808289</v>
      </c>
      <c r="E32" s="16"/>
      <c r="G32" s="14"/>
    </row>
    <row r="33" spans="1:7" s="2" customFormat="1" ht="16.5" customHeight="1" thickBot="1">
      <c r="A33" s="12" t="s">
        <v>490</v>
      </c>
      <c r="B33" s="40" t="s">
        <v>1269</v>
      </c>
      <c r="C33" s="8">
        <v>4983</v>
      </c>
      <c r="D33" s="17">
        <f>SUM(C33/$C$36)</f>
        <v>8.0683290155440415E-2</v>
      </c>
      <c r="E33" s="16"/>
      <c r="G33" s="14"/>
    </row>
    <row r="34" spans="1:7" s="2" customFormat="1" ht="16.5" customHeight="1" thickBot="1">
      <c r="A34" s="12" t="s">
        <v>2275</v>
      </c>
      <c r="B34" s="37" t="s">
        <v>2447</v>
      </c>
      <c r="C34" s="8">
        <v>4129</v>
      </c>
      <c r="D34" s="17">
        <f>SUM(C34/$C$36)</f>
        <v>6.6855569948186533E-2</v>
      </c>
      <c r="E34" s="16"/>
      <c r="G34" s="14"/>
    </row>
    <row r="35" spans="1:7" s="2" customFormat="1" ht="16.5" customHeight="1" thickBot="1">
      <c r="A35" s="12" t="s">
        <v>758</v>
      </c>
      <c r="B35" s="95" t="s">
        <v>759</v>
      </c>
      <c r="C35" s="8">
        <v>1364</v>
      </c>
      <c r="D35" s="17">
        <f>SUM(C35/$C$36)</f>
        <v>2.2085492227979276E-2</v>
      </c>
      <c r="E35" s="16"/>
      <c r="G35" s="14"/>
    </row>
    <row r="36" spans="1:7" s="2" customFormat="1" ht="16.5" customHeight="1">
      <c r="A36" s="75"/>
      <c r="B36" s="76"/>
      <c r="C36" s="23">
        <f>SUM(C31:C35)</f>
        <v>61760</v>
      </c>
      <c r="D36" s="17"/>
      <c r="E36" s="10" t="s">
        <v>1874</v>
      </c>
      <c r="F36" s="21">
        <f>(C31-C32)</f>
        <v>15104</v>
      </c>
    </row>
    <row r="37" spans="1:7" s="2" customFormat="1" ht="12" customHeight="1">
      <c r="A37" s="1"/>
    </row>
    <row r="38" spans="1:7" s="2" customFormat="1" ht="16.5" customHeight="1">
      <c r="A38" s="1" t="s">
        <v>764</v>
      </c>
    </row>
    <row r="39" spans="1:7" s="2" customFormat="1" ht="9.75" customHeight="1" thickBot="1">
      <c r="A39" s="3"/>
    </row>
    <row r="40" spans="1:7" s="2" customFormat="1" ht="16.5" customHeight="1" thickBot="1">
      <c r="A40" s="4" t="s">
        <v>1244</v>
      </c>
      <c r="B40" s="5" t="s">
        <v>1245</v>
      </c>
      <c r="C40" s="5" t="s">
        <v>1248</v>
      </c>
      <c r="D40" s="10"/>
      <c r="E40" s="10" t="s">
        <v>1413</v>
      </c>
      <c r="F40" s="11">
        <f>(60357/90613)</f>
        <v>0.66609647622305845</v>
      </c>
    </row>
    <row r="41" spans="1:7" s="2" customFormat="1" ht="16.5" customHeight="1" thickBot="1">
      <c r="A41" s="6" t="s">
        <v>762</v>
      </c>
      <c r="B41" s="9" t="s">
        <v>2206</v>
      </c>
      <c r="C41" s="36">
        <v>31088</v>
      </c>
      <c r="D41" s="17">
        <f>SUM(C41/$C$44)</f>
        <v>0.52143575981214363</v>
      </c>
      <c r="E41" s="16"/>
    </row>
    <row r="42" spans="1:7" s="2" customFormat="1" ht="16.5" customHeight="1" thickBot="1">
      <c r="A42" s="12" t="s">
        <v>419</v>
      </c>
      <c r="B42" s="20" t="s">
        <v>1261</v>
      </c>
      <c r="C42" s="8">
        <v>25486</v>
      </c>
      <c r="D42" s="17">
        <f>SUM(C42/$C$44)</f>
        <v>0.42747400201274738</v>
      </c>
      <c r="E42" s="16"/>
      <c r="G42" s="14"/>
    </row>
    <row r="43" spans="1:7" s="2" customFormat="1" ht="16.5" customHeight="1" thickBot="1">
      <c r="A43" s="12" t="s">
        <v>763</v>
      </c>
      <c r="B43" s="37" t="s">
        <v>2447</v>
      </c>
      <c r="C43" s="8">
        <v>3046</v>
      </c>
      <c r="D43" s="17">
        <f>SUM(C43/$C$44)</f>
        <v>5.1090238175109021E-2</v>
      </c>
      <c r="E43" s="16"/>
      <c r="G43" s="14"/>
    </row>
    <row r="44" spans="1:7" s="2" customFormat="1" ht="16.5" customHeight="1">
      <c r="A44" s="75"/>
      <c r="B44" s="76"/>
      <c r="C44" s="23">
        <f>SUM(C41:C43)</f>
        <v>59620</v>
      </c>
      <c r="D44" s="17"/>
      <c r="E44" s="10" t="s">
        <v>1874</v>
      </c>
      <c r="F44" s="21">
        <f>(C41-C42)</f>
        <v>5602</v>
      </c>
    </row>
    <row r="45" spans="1:7" s="2" customFormat="1" ht="12" customHeight="1">
      <c r="A45" s="1"/>
    </row>
    <row r="46" spans="1:7" s="2" customFormat="1" ht="16.5" customHeight="1">
      <c r="A46" s="1" t="s">
        <v>756</v>
      </c>
    </row>
    <row r="47" spans="1:7" s="2" customFormat="1" ht="9.75" customHeight="1" thickBot="1">
      <c r="A47" s="3"/>
    </row>
    <row r="48" spans="1:7" s="2" customFormat="1" ht="16.5" customHeight="1" thickBot="1">
      <c r="A48" s="4" t="s">
        <v>1244</v>
      </c>
      <c r="B48" s="5" t="s">
        <v>1245</v>
      </c>
      <c r="C48" s="5" t="s">
        <v>1248</v>
      </c>
      <c r="D48" s="10"/>
      <c r="E48" s="10" t="s">
        <v>1413</v>
      </c>
      <c r="F48" s="11">
        <f>(71802/116710)</f>
        <v>0.61521720503812871</v>
      </c>
    </row>
    <row r="49" spans="1:10" s="2" customFormat="1" ht="16.5" customHeight="1" thickBot="1">
      <c r="A49" s="6" t="s">
        <v>2532</v>
      </c>
      <c r="B49" s="9" t="s">
        <v>2206</v>
      </c>
      <c r="C49" s="36">
        <v>48203</v>
      </c>
      <c r="D49" s="17">
        <f>SUM(C49/$C$53)</f>
        <v>0.6757556216004037</v>
      </c>
      <c r="E49" s="16"/>
    </row>
    <row r="50" spans="1:10" s="2" customFormat="1" ht="16.5" customHeight="1" thickBot="1">
      <c r="A50" s="12" t="s">
        <v>392</v>
      </c>
      <c r="B50" s="40" t="s">
        <v>1269</v>
      </c>
      <c r="C50" s="8">
        <v>12559</v>
      </c>
      <c r="D50" s="17">
        <f>SUM(C50/$C$53)</f>
        <v>0.17606403858016037</v>
      </c>
      <c r="E50" s="16"/>
      <c r="G50" s="14"/>
    </row>
    <row r="51" spans="1:10" s="2" customFormat="1" ht="16.5" customHeight="1" thickBot="1">
      <c r="A51" s="12" t="s">
        <v>705</v>
      </c>
      <c r="B51" s="20" t="s">
        <v>1261</v>
      </c>
      <c r="C51" s="8">
        <v>8769</v>
      </c>
      <c r="D51" s="17">
        <f>SUM(C51/$C$53)</f>
        <v>0.12293220434026804</v>
      </c>
      <c r="E51" s="16"/>
      <c r="G51" s="14"/>
    </row>
    <row r="52" spans="1:10" s="2" customFormat="1" ht="16.5" customHeight="1" thickBot="1">
      <c r="A52" s="12" t="s">
        <v>704</v>
      </c>
      <c r="B52" s="80" t="s">
        <v>363</v>
      </c>
      <c r="C52" s="8">
        <v>1801</v>
      </c>
      <c r="D52" s="17">
        <f>SUM(C52/$C$53)</f>
        <v>2.5248135479167835E-2</v>
      </c>
      <c r="E52" s="16"/>
      <c r="G52" s="14"/>
    </row>
    <row r="53" spans="1:10" s="2" customFormat="1" ht="16.5" customHeight="1">
      <c r="A53" s="75"/>
      <c r="B53" s="76"/>
      <c r="C53" s="23">
        <f>SUM(C49:C52)</f>
        <v>71332</v>
      </c>
      <c r="D53" s="17"/>
      <c r="E53" s="10" t="s">
        <v>1874</v>
      </c>
      <c r="F53" s="21">
        <f>(C49-C50)</f>
        <v>35644</v>
      </c>
    </row>
    <row r="54" spans="1:10" s="2" customFormat="1" ht="12" customHeight="1">
      <c r="A54" s="1"/>
    </row>
    <row r="55" spans="1:10" s="2" customFormat="1" ht="16.5" customHeight="1">
      <c r="A55" s="1" t="s">
        <v>754</v>
      </c>
      <c r="J55" s="93"/>
    </row>
    <row r="56" spans="1:10" s="2" customFormat="1" ht="9.75" customHeight="1" thickBot="1">
      <c r="A56" s="3"/>
    </row>
    <row r="57" spans="1:10" s="2" customFormat="1" ht="16.5" customHeight="1" thickBot="1">
      <c r="A57" s="4" t="s">
        <v>1244</v>
      </c>
      <c r="B57" s="5" t="s">
        <v>1245</v>
      </c>
      <c r="C57" s="5" t="s">
        <v>1248</v>
      </c>
      <c r="D57" s="10"/>
      <c r="E57" s="10" t="s">
        <v>1413</v>
      </c>
      <c r="F57" s="11">
        <f>(65302/102983)</f>
        <v>0.63410465805035787</v>
      </c>
    </row>
    <row r="58" spans="1:10" s="2" customFormat="1" ht="16.5" customHeight="1" thickBot="1">
      <c r="A58" s="6" t="s">
        <v>1464</v>
      </c>
      <c r="B58" s="28" t="s">
        <v>1258</v>
      </c>
      <c r="C58" s="36">
        <v>41282</v>
      </c>
      <c r="D58" s="17">
        <f>SUM(C58/$C$61)</f>
        <v>0.63521519026296758</v>
      </c>
      <c r="E58" s="16"/>
    </row>
    <row r="59" spans="1:10" s="2" customFormat="1" ht="16.5" customHeight="1" thickBot="1">
      <c r="A59" s="12" t="s">
        <v>755</v>
      </c>
      <c r="B59" s="87" t="s">
        <v>725</v>
      </c>
      <c r="C59" s="8">
        <v>13651</v>
      </c>
      <c r="D59" s="17">
        <f>SUM(C59/$C$61)</f>
        <v>0.2100509316961332</v>
      </c>
      <c r="E59" s="16"/>
      <c r="G59" s="14"/>
    </row>
    <row r="60" spans="1:10" s="2" customFormat="1" ht="16.5" customHeight="1" thickBot="1">
      <c r="A60" s="12" t="s">
        <v>734</v>
      </c>
      <c r="B60" s="94" t="s">
        <v>1261</v>
      </c>
      <c r="C60" s="8">
        <v>10056</v>
      </c>
      <c r="D60" s="17">
        <f>SUM(C60/$C$61)</f>
        <v>0.15473387804089922</v>
      </c>
      <c r="E60" s="21"/>
    </row>
    <row r="61" spans="1:10" s="2" customFormat="1" ht="16.5" customHeight="1">
      <c r="A61" s="75"/>
      <c r="B61" s="76"/>
      <c r="C61" s="23">
        <f>SUM(C58:C60)</f>
        <v>64989</v>
      </c>
      <c r="D61" s="17"/>
      <c r="E61" s="10" t="s">
        <v>1874</v>
      </c>
      <c r="F61" s="21">
        <f>(C58-C59)</f>
        <v>27631</v>
      </c>
    </row>
    <row r="62" spans="1:10" s="2" customFormat="1" ht="12" customHeight="1">
      <c r="A62" s="1"/>
    </row>
    <row r="63" spans="1:10" s="2" customFormat="1" ht="16.5" customHeight="1">
      <c r="A63" s="1" t="s">
        <v>760</v>
      </c>
    </row>
    <row r="64" spans="1:10" s="2" customFormat="1" ht="9.75" customHeight="1" thickBot="1">
      <c r="A64" s="3"/>
    </row>
    <row r="65" spans="1:12" s="2" customFormat="1" ht="16.5" customHeight="1" thickBot="1">
      <c r="A65" s="4" t="s">
        <v>1244</v>
      </c>
      <c r="B65" s="5" t="s">
        <v>1245</v>
      </c>
      <c r="C65" s="5" t="s">
        <v>1248</v>
      </c>
      <c r="D65" s="10"/>
      <c r="E65" s="10" t="s">
        <v>1413</v>
      </c>
      <c r="F65" s="11">
        <f>(62708/92800)</f>
        <v>0.6757327586206896</v>
      </c>
    </row>
    <row r="66" spans="1:12" s="2" customFormat="1" ht="16.5" customHeight="1" thickBot="1">
      <c r="A66" s="6" t="s">
        <v>2549</v>
      </c>
      <c r="B66" s="9" t="s">
        <v>2206</v>
      </c>
      <c r="C66" s="36">
        <v>38169</v>
      </c>
      <c r="D66" s="17">
        <f>SUM(C66/$C$69)</f>
        <v>0.61082127768531558</v>
      </c>
      <c r="E66" s="16"/>
    </row>
    <row r="67" spans="1:12" s="2" customFormat="1" ht="16.5" customHeight="1" thickBot="1">
      <c r="A67" s="12" t="s">
        <v>460</v>
      </c>
      <c r="B67" s="96" t="s">
        <v>725</v>
      </c>
      <c r="C67" s="8">
        <v>21943</v>
      </c>
      <c r="D67" s="17">
        <f>SUM(C67/$C$69)</f>
        <v>0.35115542184099346</v>
      </c>
      <c r="E67" s="16"/>
      <c r="G67" s="14"/>
    </row>
    <row r="68" spans="1:12" s="2" customFormat="1" ht="16.5" customHeight="1" thickBot="1">
      <c r="A68" s="12" t="s">
        <v>761</v>
      </c>
      <c r="B68" s="20" t="s">
        <v>1261</v>
      </c>
      <c r="C68" s="8">
        <v>2376</v>
      </c>
      <c r="D68" s="17">
        <f>SUM(C68/$C$69)</f>
        <v>3.8023300473690951E-2</v>
      </c>
      <c r="E68" s="21"/>
    </row>
    <row r="69" spans="1:12" s="2" customFormat="1" ht="16.5" customHeight="1">
      <c r="A69" s="75"/>
      <c r="B69" s="76"/>
      <c r="C69" s="23">
        <f>SUM(C66:C68)</f>
        <v>62488</v>
      </c>
      <c r="D69" s="17"/>
      <c r="E69" s="10" t="s">
        <v>1874</v>
      </c>
      <c r="F69" s="21">
        <f>(C66-C67)</f>
        <v>16226</v>
      </c>
    </row>
    <row r="70" spans="1:12" s="2" customFormat="1" ht="12" customHeight="1">
      <c r="A70" s="1"/>
      <c r="E70"/>
      <c r="L70"/>
    </row>
    <row r="71" spans="1:12" s="2" customFormat="1" ht="16.5" customHeight="1">
      <c r="A71" s="1" t="s">
        <v>746</v>
      </c>
    </row>
    <row r="72" spans="1:12" s="2" customFormat="1" ht="9.75" customHeight="1" thickBot="1">
      <c r="A72" s="3"/>
    </row>
    <row r="73" spans="1:12" s="2" customFormat="1" ht="16.5" customHeight="1" thickBot="1">
      <c r="A73" s="4" t="s">
        <v>1244</v>
      </c>
      <c r="B73" s="5" t="s">
        <v>1245</v>
      </c>
      <c r="C73" s="5" t="s">
        <v>1248</v>
      </c>
      <c r="D73" s="10"/>
      <c r="E73" s="10" t="s">
        <v>1413</v>
      </c>
      <c r="F73" s="11">
        <f>(49718/71053)</f>
        <v>0.69973118657903255</v>
      </c>
    </row>
    <row r="74" spans="1:12" s="2" customFormat="1" ht="16.5" customHeight="1" thickBot="1">
      <c r="A74" s="6" t="s">
        <v>2330</v>
      </c>
      <c r="B74" s="9" t="s">
        <v>2206</v>
      </c>
      <c r="C74" s="36">
        <v>21531</v>
      </c>
      <c r="D74" s="17">
        <f>SUM(C74/$C$78)</f>
        <v>0.43756858919643948</v>
      </c>
      <c r="E74" s="16"/>
    </row>
    <row r="75" spans="1:12" s="2" customFormat="1" ht="16.5" customHeight="1" thickBot="1">
      <c r="A75" s="12" t="s">
        <v>747</v>
      </c>
      <c r="B75" s="87" t="s">
        <v>725</v>
      </c>
      <c r="C75" s="8">
        <v>12755</v>
      </c>
      <c r="D75" s="17">
        <f>SUM(C75/$C$78)</f>
        <v>0.25921635572897617</v>
      </c>
      <c r="E75" s="16"/>
      <c r="G75" s="14"/>
    </row>
    <row r="76" spans="1:12" s="2" customFormat="1" ht="16.5" customHeight="1" thickBot="1">
      <c r="A76" s="12" t="s">
        <v>428</v>
      </c>
      <c r="B76" s="20" t="s">
        <v>1261</v>
      </c>
      <c r="C76" s="8">
        <v>12003</v>
      </c>
      <c r="D76" s="17">
        <f>SUM(C76/$C$78)</f>
        <v>0.24393366662602123</v>
      </c>
      <c r="E76" s="16"/>
      <c r="G76" s="14"/>
    </row>
    <row r="77" spans="1:12" s="2" customFormat="1" ht="16.5" customHeight="1" thickBot="1">
      <c r="A77" s="12" t="s">
        <v>465</v>
      </c>
      <c r="B77" s="80" t="s">
        <v>363</v>
      </c>
      <c r="C77" s="8">
        <v>2917</v>
      </c>
      <c r="D77" s="17">
        <f>SUM(C77/$C$78)</f>
        <v>5.9281388448563184E-2</v>
      </c>
      <c r="E77" s="16"/>
      <c r="G77" s="14"/>
    </row>
    <row r="78" spans="1:12" s="2" customFormat="1" ht="16.5" customHeight="1">
      <c r="A78" s="75"/>
      <c r="B78" s="76"/>
      <c r="C78" s="23">
        <f>SUM(C74:C77)</f>
        <v>49206</v>
      </c>
      <c r="D78" s="17"/>
      <c r="E78" s="10" t="s">
        <v>1874</v>
      </c>
      <c r="F78" s="21">
        <f>(C74-C75)</f>
        <v>8776</v>
      </c>
    </row>
    <row r="79" spans="1:12" s="2" customFormat="1" ht="12" customHeight="1">
      <c r="A79" s="1"/>
    </row>
    <row r="80" spans="1:12" s="2" customFormat="1" ht="16.5" customHeight="1">
      <c r="A80" s="1" t="s">
        <v>752</v>
      </c>
    </row>
    <row r="81" spans="1:7" s="2" customFormat="1" ht="9.75" customHeight="1" thickBot="1">
      <c r="A81" s="3"/>
    </row>
    <row r="82" spans="1:7" s="2" customFormat="1" ht="16.5" customHeight="1" thickBot="1">
      <c r="A82" s="4" t="s">
        <v>1244</v>
      </c>
      <c r="B82" s="5" t="s">
        <v>1245</v>
      </c>
      <c r="C82" s="5" t="s">
        <v>1248</v>
      </c>
      <c r="D82" s="10"/>
      <c r="E82" s="10" t="s">
        <v>1413</v>
      </c>
      <c r="F82" s="11">
        <f>(47960/65656)</f>
        <v>0.73047398562202992</v>
      </c>
    </row>
    <row r="83" spans="1:7" s="2" customFormat="1" ht="16.5" customHeight="1" thickBot="1">
      <c r="A83" s="6" t="s">
        <v>680</v>
      </c>
      <c r="B83" s="7" t="s">
        <v>1261</v>
      </c>
      <c r="C83" s="36">
        <v>19554</v>
      </c>
      <c r="D83" s="17">
        <f>SUM(C83/$C$88)</f>
        <v>0.41022090754610108</v>
      </c>
      <c r="E83" s="16"/>
    </row>
    <row r="84" spans="1:7" s="2" customFormat="1" ht="16.5" customHeight="1" thickBot="1">
      <c r="A84" s="12" t="s">
        <v>560</v>
      </c>
      <c r="B84" s="27" t="s">
        <v>1258</v>
      </c>
      <c r="C84" s="8">
        <v>17374</v>
      </c>
      <c r="D84" s="17">
        <f>SUM(C84/$C$88)</f>
        <v>0.36448696162963895</v>
      </c>
      <c r="E84" s="16"/>
      <c r="G84" s="14"/>
    </row>
    <row r="85" spans="1:7" s="2" customFormat="1" ht="16.5" customHeight="1" thickBot="1">
      <c r="A85" s="12" t="s">
        <v>753</v>
      </c>
      <c r="B85" s="78" t="s">
        <v>1270</v>
      </c>
      <c r="C85" s="8">
        <v>5662</v>
      </c>
      <c r="D85" s="17">
        <f>SUM(C85/$C$88)</f>
        <v>0.11878238613715988</v>
      </c>
      <c r="E85" s="16"/>
      <c r="G85" s="14"/>
    </row>
    <row r="86" spans="1:7" s="2" customFormat="1" ht="16.5" customHeight="1" thickBot="1">
      <c r="A86" s="12" t="s">
        <v>444</v>
      </c>
      <c r="B86" s="37" t="s">
        <v>2447</v>
      </c>
      <c r="C86" s="8">
        <v>3088</v>
      </c>
      <c r="D86" s="17">
        <f>SUM(C86/$C$88)</f>
        <v>6.4782763756896802E-2</v>
      </c>
      <c r="E86" s="21"/>
    </row>
    <row r="87" spans="1:7" s="2" customFormat="1" ht="16.5" customHeight="1" thickBot="1">
      <c r="A87" s="12" t="s">
        <v>2329</v>
      </c>
      <c r="B87" s="80" t="s">
        <v>363</v>
      </c>
      <c r="C87" s="8">
        <v>1989</v>
      </c>
      <c r="D87" s="17">
        <f>SUM(C87/$C$88)</f>
        <v>4.1726980930203286E-2</v>
      </c>
      <c r="E87" s="16"/>
      <c r="G87" s="14"/>
    </row>
    <row r="88" spans="1:7" s="2" customFormat="1" ht="16.5" customHeight="1">
      <c r="A88" s="75"/>
      <c r="B88" s="76"/>
      <c r="C88" s="23">
        <f>SUM(C83:C87)</f>
        <v>47667</v>
      </c>
      <c r="D88" s="17"/>
      <c r="E88" s="10" t="s">
        <v>1874</v>
      </c>
      <c r="F88" s="21">
        <f>(C83-C84)</f>
        <v>2180</v>
      </c>
    </row>
    <row r="89" spans="1:7" s="2" customFormat="1" ht="12" customHeight="1">
      <c r="A89" s="1"/>
    </row>
    <row r="90" spans="1:7" s="2" customFormat="1" ht="16.5" customHeight="1">
      <c r="A90" s="1" t="s">
        <v>748</v>
      </c>
    </row>
    <row r="91" spans="1:7" s="2" customFormat="1" ht="9.75" customHeight="1" thickBot="1">
      <c r="A91" s="3"/>
    </row>
    <row r="92" spans="1:7" s="2" customFormat="1" ht="16.5" customHeight="1" thickBot="1">
      <c r="A92" s="4" t="s">
        <v>1244</v>
      </c>
      <c r="B92" s="5" t="s">
        <v>1245</v>
      </c>
      <c r="C92" s="5" t="s">
        <v>1248</v>
      </c>
      <c r="D92" s="10"/>
      <c r="E92" s="10" t="s">
        <v>1413</v>
      </c>
      <c r="F92" s="11">
        <f>(52025/74542)</f>
        <v>0.69792868450001344</v>
      </c>
    </row>
    <row r="93" spans="1:7" s="2" customFormat="1" ht="16.5" customHeight="1" thickBot="1">
      <c r="A93" s="6" t="s">
        <v>536</v>
      </c>
      <c r="B93" s="9" t="s">
        <v>2206</v>
      </c>
      <c r="C93" s="36">
        <v>22083</v>
      </c>
      <c r="D93" s="17">
        <f>SUM(C93/$C$98)</f>
        <v>0.42557332819425708</v>
      </c>
      <c r="E93" s="16"/>
    </row>
    <row r="94" spans="1:7" s="2" customFormat="1" ht="16.5" customHeight="1" thickBot="1">
      <c r="A94" s="12" t="s">
        <v>749</v>
      </c>
      <c r="B94" s="87" t="s">
        <v>725</v>
      </c>
      <c r="C94" s="8">
        <v>18085</v>
      </c>
      <c r="D94" s="17">
        <f>SUM(C94/$C$98)</f>
        <v>0.34852572750048177</v>
      </c>
      <c r="E94" s="16"/>
      <c r="G94" s="14"/>
    </row>
    <row r="95" spans="1:7" s="2" customFormat="1" ht="16.5" customHeight="1" thickBot="1">
      <c r="A95" s="12" t="s">
        <v>2348</v>
      </c>
      <c r="B95" s="40" t="s">
        <v>1269</v>
      </c>
      <c r="C95" s="8">
        <v>5118</v>
      </c>
      <c r="D95" s="17">
        <f>SUM(C95/$C$98)</f>
        <v>9.8631720948159571E-2</v>
      </c>
      <c r="E95" s="21"/>
    </row>
    <row r="96" spans="1:7" s="2" customFormat="1" ht="16.5" customHeight="1" thickBot="1">
      <c r="A96" s="12" t="s">
        <v>727</v>
      </c>
      <c r="B96" s="20" t="s">
        <v>1261</v>
      </c>
      <c r="C96" s="8">
        <v>4149</v>
      </c>
      <c r="D96" s="17">
        <f>SUM(C96/$C$98)</f>
        <v>7.9957602620928894E-2</v>
      </c>
      <c r="E96" s="16"/>
      <c r="G96" s="14"/>
    </row>
    <row r="97" spans="1:7" s="2" customFormat="1" ht="16.5" customHeight="1" thickBot="1">
      <c r="A97" s="12" t="s">
        <v>453</v>
      </c>
      <c r="B97" s="80" t="s">
        <v>363</v>
      </c>
      <c r="C97" s="8">
        <v>2455</v>
      </c>
      <c r="D97" s="17">
        <f>SUM(C97/$C$98)</f>
        <v>4.731162073617267E-2</v>
      </c>
      <c r="E97" s="16"/>
      <c r="G97" s="14"/>
    </row>
    <row r="98" spans="1:7" s="2" customFormat="1" ht="16.5" customHeight="1">
      <c r="A98" s="75"/>
      <c r="B98" s="76"/>
      <c r="C98" s="23">
        <f>SUM(C93:C97)</f>
        <v>51890</v>
      </c>
      <c r="D98" s="17"/>
      <c r="E98" s="10" t="s">
        <v>1874</v>
      </c>
      <c r="F98" s="21">
        <f>(C93-C94)</f>
        <v>3998</v>
      </c>
    </row>
    <row r="99" spans="1:7" s="2" customFormat="1" ht="12" customHeight="1">
      <c r="A99" s="1"/>
    </row>
    <row r="100" spans="1:7" s="2" customFormat="1" ht="16.5" customHeight="1">
      <c r="A100" s="1" t="s">
        <v>751</v>
      </c>
    </row>
    <row r="101" spans="1:7" s="2" customFormat="1" ht="9.75" customHeight="1" thickBot="1">
      <c r="A101" s="3"/>
    </row>
    <row r="102" spans="1:7" s="2" customFormat="1" ht="16.5" customHeight="1" thickBot="1">
      <c r="A102" s="4" t="s">
        <v>1244</v>
      </c>
      <c r="B102" s="5" t="s">
        <v>1245</v>
      </c>
      <c r="C102" s="5" t="s">
        <v>1248</v>
      </c>
      <c r="D102" s="10"/>
      <c r="E102" s="10" t="s">
        <v>1413</v>
      </c>
      <c r="F102" s="11">
        <f>(57629/78818)</f>
        <v>0.7311654698165394</v>
      </c>
    </row>
    <row r="103" spans="1:7" s="2" customFormat="1" ht="16.5" customHeight="1" thickBot="1">
      <c r="A103" s="6" t="s">
        <v>2362</v>
      </c>
      <c r="B103" s="86" t="s">
        <v>496</v>
      </c>
      <c r="C103" s="36">
        <v>27817</v>
      </c>
      <c r="D103" s="17">
        <f>SUM(C103/$C$107)</f>
        <v>0.4836225181682256</v>
      </c>
      <c r="E103" s="16"/>
    </row>
    <row r="104" spans="1:7" s="2" customFormat="1" ht="16.5" customHeight="1" thickBot="1">
      <c r="A104" s="12" t="s">
        <v>750</v>
      </c>
      <c r="B104" s="87" t="s">
        <v>725</v>
      </c>
      <c r="C104" s="8">
        <v>20077</v>
      </c>
      <c r="D104" s="17">
        <f>SUM(C104/$C$107)</f>
        <v>0.34905594770332765</v>
      </c>
      <c r="E104" s="16"/>
      <c r="G104" s="14"/>
    </row>
    <row r="105" spans="1:7" s="2" customFormat="1" ht="16.5" customHeight="1" thickBot="1">
      <c r="A105" s="12" t="s">
        <v>2205</v>
      </c>
      <c r="B105" s="80" t="s">
        <v>363</v>
      </c>
      <c r="C105" s="8">
        <v>8122</v>
      </c>
      <c r="D105" s="17">
        <f>SUM(C105/$C$107)</f>
        <v>0.14120796967905699</v>
      </c>
      <c r="E105" s="21"/>
    </row>
    <row r="106" spans="1:7" s="2" customFormat="1" ht="16.5" customHeight="1" thickBot="1">
      <c r="A106" s="12" t="s">
        <v>441</v>
      </c>
      <c r="B106" s="20" t="s">
        <v>1261</v>
      </c>
      <c r="C106" s="8">
        <v>1502</v>
      </c>
      <c r="D106" s="17">
        <f>SUM(C106/$C$107)</f>
        <v>2.6113564449389757E-2</v>
      </c>
      <c r="E106" s="21"/>
    </row>
    <row r="107" spans="1:7" s="2" customFormat="1" ht="16.5" customHeight="1">
      <c r="A107" s="75"/>
      <c r="B107" s="76"/>
      <c r="C107" s="23">
        <f>SUM(C103:C106)</f>
        <v>57518</v>
      </c>
      <c r="D107" s="17"/>
      <c r="E107" s="10" t="s">
        <v>1874</v>
      </c>
      <c r="F107" s="21">
        <f>(C103-C104)</f>
        <v>7740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25"/>
  <dimension ref="A1:L99"/>
  <sheetViews>
    <sheetView workbookViewId="0">
      <selection activeCell="J1" sqref="J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835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(64227/69763)</f>
        <v>0.92064561443745252</v>
      </c>
    </row>
    <row r="4" spans="1:7" s="2" customFormat="1" ht="16.5" customHeight="1" thickBot="1">
      <c r="A4" s="6" t="s">
        <v>794</v>
      </c>
      <c r="B4" s="97" t="s">
        <v>759</v>
      </c>
      <c r="C4" s="36">
        <v>32837</v>
      </c>
      <c r="D4" s="17">
        <f>SUM(C4/$C$6)</f>
        <v>0.51126473290049357</v>
      </c>
      <c r="E4" s="16"/>
    </row>
    <row r="5" spans="1:7" s="2" customFormat="1" ht="16.5" customHeight="1" thickBot="1">
      <c r="A5" s="12" t="s">
        <v>795</v>
      </c>
      <c r="B5" s="22" t="s">
        <v>2107</v>
      </c>
      <c r="C5" s="8">
        <v>31390</v>
      </c>
      <c r="D5" s="17">
        <f>SUM(C5/$C$6)</f>
        <v>0.48873526709950643</v>
      </c>
      <c r="E5" s="16"/>
      <c r="G5" s="14"/>
    </row>
    <row r="6" spans="1:7" s="2" customFormat="1" ht="16.5" customHeight="1">
      <c r="A6" s="75"/>
      <c r="B6" s="76"/>
      <c r="C6" s="23">
        <f>SUM(C4:C5)</f>
        <v>64227</v>
      </c>
      <c r="D6" s="17"/>
      <c r="E6" s="10" t="s">
        <v>1874</v>
      </c>
      <c r="F6" s="21">
        <f>(C4-C5)</f>
        <v>1447</v>
      </c>
    </row>
    <row r="7" spans="1:7" s="2" customFormat="1" ht="12" customHeight="1">
      <c r="A7" s="1"/>
      <c r="D7" s="11"/>
    </row>
    <row r="8" spans="1:7" s="2" customFormat="1" ht="16.5" customHeight="1">
      <c r="A8" s="1" t="s">
        <v>800</v>
      </c>
    </row>
    <row r="9" spans="1:7" s="2" customFormat="1" ht="9.75" customHeight="1" thickBot="1">
      <c r="A9" s="3"/>
    </row>
    <row r="10" spans="1:7" s="2" customFormat="1" ht="16.5" customHeight="1" thickBot="1">
      <c r="A10" s="4" t="s">
        <v>1244</v>
      </c>
      <c r="B10" s="5" t="s">
        <v>1245</v>
      </c>
      <c r="C10" s="5" t="s">
        <v>1248</v>
      </c>
      <c r="D10" s="10"/>
      <c r="E10" s="10" t="s">
        <v>1413</v>
      </c>
      <c r="F10" s="11">
        <f>(70518/77542)</f>
        <v>0.90941683216837332</v>
      </c>
    </row>
    <row r="11" spans="1:7" s="2" customFormat="1" ht="16.5" customHeight="1" thickBot="1">
      <c r="A11" s="6" t="s">
        <v>798</v>
      </c>
      <c r="B11" s="97" t="s">
        <v>759</v>
      </c>
      <c r="C11" s="36">
        <v>37739</v>
      </c>
      <c r="D11" s="17">
        <f>SUM(C11/$C$15)</f>
        <v>0.53516832581752172</v>
      </c>
      <c r="E11" s="16"/>
    </row>
    <row r="12" spans="1:7" s="2" customFormat="1" ht="16.5" customHeight="1" thickBot="1">
      <c r="A12" s="12" t="s">
        <v>768</v>
      </c>
      <c r="B12" s="22" t="s">
        <v>2107</v>
      </c>
      <c r="C12" s="8">
        <v>31810</v>
      </c>
      <c r="D12" s="17">
        <f>SUM(C12/$C$15)</f>
        <v>0.45109050171587395</v>
      </c>
      <c r="E12" s="16"/>
      <c r="G12" s="14"/>
    </row>
    <row r="13" spans="1:7" s="2" customFormat="1" ht="16.5" customHeight="1" thickBot="1">
      <c r="A13" s="12" t="s">
        <v>799</v>
      </c>
      <c r="B13" s="78" t="s">
        <v>1270</v>
      </c>
      <c r="C13" s="8">
        <v>771</v>
      </c>
      <c r="D13" s="17">
        <f>SUM(C13/$C$15)</f>
        <v>1.0933378711818259E-2</v>
      </c>
      <c r="E13" s="16"/>
      <c r="G13" s="14"/>
    </row>
    <row r="14" spans="1:7" s="2" customFormat="1" ht="16.5" customHeight="1" thickBot="1">
      <c r="A14" s="12" t="s">
        <v>542</v>
      </c>
      <c r="B14" s="78" t="s">
        <v>681</v>
      </c>
      <c r="C14" s="8">
        <v>198</v>
      </c>
      <c r="D14" s="17">
        <f>SUM(C14/$C$15)</f>
        <v>2.8077937547860122E-3</v>
      </c>
      <c r="E14" s="16"/>
      <c r="G14" s="14"/>
    </row>
    <row r="15" spans="1:7" s="2" customFormat="1" ht="16.5" customHeight="1">
      <c r="A15" s="75"/>
      <c r="B15" s="76"/>
      <c r="C15" s="23">
        <f>SUM(C11:C14)</f>
        <v>70518</v>
      </c>
      <c r="D15" s="17"/>
      <c r="E15" s="10" t="s">
        <v>1874</v>
      </c>
      <c r="F15" s="21">
        <f>(C11-C12)</f>
        <v>5929</v>
      </c>
    </row>
    <row r="16" spans="1:7" s="2" customFormat="1" ht="12" customHeight="1">
      <c r="A16" s="1"/>
    </row>
    <row r="17" spans="1:7" s="2" customFormat="1" ht="16.5" customHeight="1">
      <c r="A17" s="1" t="s">
        <v>797</v>
      </c>
    </row>
    <row r="18" spans="1:7" s="2" customFormat="1" ht="9.75" customHeight="1" thickBot="1">
      <c r="A18" s="3"/>
    </row>
    <row r="19" spans="1:7" s="2" customFormat="1" ht="16.5" customHeight="1" thickBot="1">
      <c r="A19" s="4" t="s">
        <v>1244</v>
      </c>
      <c r="B19" s="5" t="s">
        <v>1245</v>
      </c>
      <c r="C19" s="5" t="s">
        <v>1248</v>
      </c>
      <c r="D19" s="10"/>
      <c r="E19" s="10" t="s">
        <v>1413</v>
      </c>
      <c r="F19" s="11">
        <f>(73712/90422)</f>
        <v>0.81519984074672092</v>
      </c>
    </row>
    <row r="20" spans="1:7" s="2" customFormat="1" ht="16.5" customHeight="1" thickBot="1">
      <c r="A20" s="6" t="s">
        <v>796</v>
      </c>
      <c r="B20" s="9" t="s">
        <v>2107</v>
      </c>
      <c r="C20" s="36">
        <v>39141</v>
      </c>
      <c r="D20" s="17">
        <f>SUM(C20/$C$23)</f>
        <v>0.53099902322552639</v>
      </c>
      <c r="E20" s="16"/>
    </row>
    <row r="21" spans="1:7" s="2" customFormat="1" ht="16.5" customHeight="1" thickBot="1">
      <c r="A21" s="12" t="s">
        <v>499</v>
      </c>
      <c r="B21" s="20" t="s">
        <v>493</v>
      </c>
      <c r="C21" s="8">
        <v>27006</v>
      </c>
      <c r="D21" s="17">
        <f>SUM(C21/$C$23)</f>
        <v>0.36637182548296071</v>
      </c>
      <c r="E21" s="16"/>
      <c r="G21" s="14"/>
    </row>
    <row r="22" spans="1:7" s="2" customFormat="1" ht="16.5" customHeight="1" thickBot="1">
      <c r="A22" s="12" t="s">
        <v>1292</v>
      </c>
      <c r="B22" s="78" t="s">
        <v>2039</v>
      </c>
      <c r="C22" s="8">
        <v>7565</v>
      </c>
      <c r="D22" s="17">
        <f>SUM(C22/$C$23)</f>
        <v>0.10262915129151291</v>
      </c>
      <c r="E22" s="16"/>
      <c r="G22" s="14"/>
    </row>
    <row r="23" spans="1:7" s="2" customFormat="1" ht="16.5" customHeight="1">
      <c r="A23" s="75"/>
      <c r="B23" s="76"/>
      <c r="C23" s="23">
        <f>SUM(C20:C22)</f>
        <v>73712</v>
      </c>
      <c r="D23" s="17"/>
      <c r="E23" s="10" t="s">
        <v>1874</v>
      </c>
      <c r="F23" s="21">
        <f>(C20-C21)</f>
        <v>12135</v>
      </c>
    </row>
    <row r="24" spans="1:7" s="2" customFormat="1" ht="12" customHeight="1">
      <c r="A24" s="1"/>
    </row>
    <row r="25" spans="1:7" s="2" customFormat="1" ht="16.5" customHeight="1">
      <c r="A25" s="1" t="s">
        <v>780</v>
      </c>
    </row>
    <row r="26" spans="1:7" s="2" customFormat="1" ht="9.75" customHeight="1" thickBot="1">
      <c r="A26" s="3"/>
    </row>
    <row r="27" spans="1:7" s="2" customFormat="1" ht="16.5" customHeight="1" thickBot="1">
      <c r="A27" s="4" t="s">
        <v>1244</v>
      </c>
      <c r="B27" s="5" t="s">
        <v>1245</v>
      </c>
      <c r="C27" s="5" t="s">
        <v>1248</v>
      </c>
      <c r="D27" s="10"/>
      <c r="E27" s="10" t="s">
        <v>1413</v>
      </c>
      <c r="F27" s="11">
        <f>(68144/87072)</f>
        <v>0.78261668504226389</v>
      </c>
    </row>
    <row r="28" spans="1:7" s="2" customFormat="1" ht="16.5" customHeight="1" thickBot="1">
      <c r="A28" s="6" t="s">
        <v>779</v>
      </c>
      <c r="B28" s="9" t="s">
        <v>2107</v>
      </c>
      <c r="C28" s="36">
        <v>37667</v>
      </c>
      <c r="D28" s="17">
        <f>SUM(C28/$C$31)</f>
        <v>0.55275592862174217</v>
      </c>
      <c r="E28" s="16"/>
    </row>
    <row r="29" spans="1:7" s="2" customFormat="1" ht="16.5" customHeight="1" thickBot="1">
      <c r="A29" s="12" t="s">
        <v>758</v>
      </c>
      <c r="B29" s="95" t="s">
        <v>759</v>
      </c>
      <c r="C29" s="8">
        <v>21696</v>
      </c>
      <c r="D29" s="17">
        <f>SUM(C29/$C$31)</f>
        <v>0.31838459732331531</v>
      </c>
      <c r="E29" s="16"/>
      <c r="G29" s="14"/>
    </row>
    <row r="30" spans="1:7" s="2" customFormat="1" ht="16.5" customHeight="1" thickBot="1">
      <c r="A30" s="12" t="s">
        <v>453</v>
      </c>
      <c r="B30" s="80" t="s">
        <v>363</v>
      </c>
      <c r="C30" s="8">
        <v>8781</v>
      </c>
      <c r="D30" s="17">
        <f>SUM(C30/$C$31)</f>
        <v>0.12885947405494247</v>
      </c>
      <c r="E30" s="16"/>
      <c r="G30" s="14"/>
    </row>
    <row r="31" spans="1:7" s="2" customFormat="1" ht="16.5" customHeight="1">
      <c r="A31" s="75"/>
      <c r="B31" s="76"/>
      <c r="C31" s="23">
        <f>SUM(C28:C30)</f>
        <v>68144</v>
      </c>
      <c r="D31" s="17"/>
      <c r="E31" s="10" t="s">
        <v>1874</v>
      </c>
      <c r="F31" s="21">
        <f>(C28-C29)</f>
        <v>15971</v>
      </c>
    </row>
    <row r="32" spans="1:7" s="2" customFormat="1" ht="12" customHeight="1">
      <c r="A32" s="1"/>
    </row>
    <row r="33" spans="1:7" s="2" customFormat="1" ht="16.5" customHeight="1">
      <c r="A33" s="1" t="s">
        <v>793</v>
      </c>
    </row>
    <row r="34" spans="1:7" s="2" customFormat="1" ht="9.75" customHeight="1" thickBot="1">
      <c r="A34" s="3"/>
    </row>
    <row r="35" spans="1:7" s="2" customFormat="1" ht="16.5" customHeight="1" thickBot="1">
      <c r="A35" s="4" t="s">
        <v>1244</v>
      </c>
      <c r="B35" s="5" t="s">
        <v>1245</v>
      </c>
      <c r="C35" s="5" t="s">
        <v>1248</v>
      </c>
      <c r="D35" s="10"/>
      <c r="E35" s="10" t="s">
        <v>1413</v>
      </c>
      <c r="F35" s="11">
        <f>(64317/86963)</f>
        <v>0.73959040051516167</v>
      </c>
    </row>
    <row r="36" spans="1:7" s="2" customFormat="1" ht="16.5" customHeight="1" thickBot="1">
      <c r="A36" s="6" t="s">
        <v>762</v>
      </c>
      <c r="B36" s="9" t="s">
        <v>2107</v>
      </c>
      <c r="C36" s="36">
        <v>34894</v>
      </c>
      <c r="D36" s="17">
        <f>SUM(C36/$C$39)</f>
        <v>0.54253152354742917</v>
      </c>
      <c r="E36" s="16"/>
    </row>
    <row r="37" spans="1:7" s="2" customFormat="1" ht="16.5" customHeight="1" thickBot="1">
      <c r="A37" s="12" t="s">
        <v>763</v>
      </c>
      <c r="B37" s="95" t="s">
        <v>759</v>
      </c>
      <c r="C37" s="8">
        <v>21676</v>
      </c>
      <c r="D37" s="17">
        <f>SUM(C37/$C$39)</f>
        <v>0.33701820669496402</v>
      </c>
      <c r="E37" s="16"/>
      <c r="G37" s="14"/>
    </row>
    <row r="38" spans="1:7" s="2" customFormat="1" ht="16.5" customHeight="1" thickBot="1">
      <c r="A38" s="12" t="s">
        <v>792</v>
      </c>
      <c r="B38" s="91" t="s">
        <v>522</v>
      </c>
      <c r="C38" s="8">
        <v>7747</v>
      </c>
      <c r="D38" s="17">
        <f>SUM(C38/$C$39)</f>
        <v>0.12045026975760685</v>
      </c>
      <c r="E38" s="16"/>
      <c r="G38" s="14"/>
    </row>
    <row r="39" spans="1:7" s="2" customFormat="1" ht="16.5" customHeight="1">
      <c r="A39" s="75"/>
      <c r="B39" s="76"/>
      <c r="C39" s="23">
        <f>SUM(C36:C38)</f>
        <v>64317</v>
      </c>
      <c r="D39" s="17"/>
      <c r="E39" s="10" t="s">
        <v>1874</v>
      </c>
      <c r="F39" s="21">
        <f>(C36-C37)</f>
        <v>13218</v>
      </c>
    </row>
    <row r="40" spans="1:7" s="2" customFormat="1" ht="12" customHeight="1">
      <c r="A40" s="1"/>
    </row>
    <row r="41" spans="1:7" s="2" customFormat="1" ht="16.5" customHeight="1">
      <c r="A41" s="1" t="s">
        <v>778</v>
      </c>
    </row>
    <row r="42" spans="1:7" s="2" customFormat="1" ht="9.75" customHeight="1" thickBot="1">
      <c r="A42" s="3"/>
    </row>
    <row r="43" spans="1:7" s="2" customFormat="1" ht="16.5" customHeight="1" thickBot="1">
      <c r="A43" s="4" t="s">
        <v>1244</v>
      </c>
      <c r="B43" s="5" t="s">
        <v>1245</v>
      </c>
      <c r="C43" s="5" t="s">
        <v>1248</v>
      </c>
      <c r="D43" s="10"/>
      <c r="E43" s="10" t="s">
        <v>1413</v>
      </c>
      <c r="F43" s="11">
        <f>(97448/143544)</f>
        <v>0.67887198350331601</v>
      </c>
    </row>
    <row r="44" spans="1:7" s="2" customFormat="1" ht="16.5" customHeight="1" thickBot="1">
      <c r="A44" s="6" t="s">
        <v>2276</v>
      </c>
      <c r="B44" s="9" t="s">
        <v>2107</v>
      </c>
      <c r="C44" s="36">
        <v>59589</v>
      </c>
      <c r="D44" s="17">
        <f>SUM(C44/$C$49)</f>
        <v>0.61149536162876617</v>
      </c>
      <c r="E44" s="16"/>
    </row>
    <row r="45" spans="1:7" s="2" customFormat="1" ht="16.5" customHeight="1" thickBot="1">
      <c r="A45" s="12" t="s">
        <v>534</v>
      </c>
      <c r="B45" s="80" t="s">
        <v>363</v>
      </c>
      <c r="C45" s="8">
        <v>19971</v>
      </c>
      <c r="D45" s="17">
        <f>SUM(C45/$C$49)</f>
        <v>0.20494007060175684</v>
      </c>
      <c r="E45" s="16"/>
      <c r="G45" s="14"/>
    </row>
    <row r="46" spans="1:7" s="2" customFormat="1" ht="16.5" customHeight="1" thickBot="1">
      <c r="A46" s="12" t="s">
        <v>777</v>
      </c>
      <c r="B46" s="78" t="s">
        <v>1423</v>
      </c>
      <c r="C46" s="8">
        <v>10938</v>
      </c>
      <c r="D46" s="17">
        <f>SUM(C46/$C$49)</f>
        <v>0.11224447910680568</v>
      </c>
      <c r="E46" s="16"/>
      <c r="G46" s="14"/>
    </row>
    <row r="47" spans="1:7" s="2" customFormat="1" ht="16.5" customHeight="1" thickBot="1">
      <c r="A47" s="12" t="s">
        <v>775</v>
      </c>
      <c r="B47" s="78" t="s">
        <v>771</v>
      </c>
      <c r="C47" s="8">
        <v>6037</v>
      </c>
      <c r="D47" s="17">
        <f>SUM(C47/$C$49)</f>
        <v>6.1950989245546345E-2</v>
      </c>
      <c r="E47" s="16"/>
      <c r="G47" s="14"/>
    </row>
    <row r="48" spans="1:7" s="2" customFormat="1" ht="16.5" customHeight="1" thickBot="1">
      <c r="A48" s="12" t="s">
        <v>776</v>
      </c>
      <c r="B48" s="91" t="s">
        <v>522</v>
      </c>
      <c r="C48" s="8">
        <v>913</v>
      </c>
      <c r="D48" s="17">
        <f>SUM(C48/$C$49)</f>
        <v>9.3690994171250312E-3</v>
      </c>
      <c r="E48" s="16"/>
      <c r="G48" s="14"/>
    </row>
    <row r="49" spans="1:10" s="2" customFormat="1" ht="16.5" customHeight="1">
      <c r="A49" s="75"/>
      <c r="B49" s="76"/>
      <c r="C49" s="23">
        <f>SUM(C44:C48)</f>
        <v>97448</v>
      </c>
      <c r="D49" s="17"/>
      <c r="E49" s="10" t="s">
        <v>1874</v>
      </c>
      <c r="F49" s="21">
        <f>(C44-C45)</f>
        <v>39618</v>
      </c>
    </row>
    <row r="50" spans="1:10" s="2" customFormat="1" ht="12" customHeight="1">
      <c r="A50" s="1"/>
    </row>
    <row r="51" spans="1:10" s="2" customFormat="1" ht="16.5" customHeight="1">
      <c r="A51" s="1" t="s">
        <v>774</v>
      </c>
      <c r="J51" s="93"/>
    </row>
    <row r="52" spans="1:10" s="2" customFormat="1" ht="9.75" customHeight="1" thickBot="1">
      <c r="A52" s="3"/>
    </row>
    <row r="53" spans="1:10" s="2" customFormat="1" ht="16.5" customHeight="1" thickBot="1">
      <c r="A53" s="4" t="s">
        <v>1244</v>
      </c>
      <c r="B53" s="5" t="s">
        <v>1245</v>
      </c>
      <c r="C53" s="5" t="s">
        <v>1248</v>
      </c>
      <c r="D53" s="10"/>
      <c r="E53" s="10" t="s">
        <v>1413</v>
      </c>
      <c r="F53" s="11">
        <f>(58438/79962)</f>
        <v>0.73082214051674543</v>
      </c>
    </row>
    <row r="54" spans="1:10" s="2" customFormat="1" ht="16.5" customHeight="1" thickBot="1">
      <c r="A54" s="6" t="s">
        <v>2083</v>
      </c>
      <c r="B54" s="28" t="s">
        <v>639</v>
      </c>
      <c r="C54" s="36">
        <v>24130</v>
      </c>
      <c r="D54" s="17">
        <f>SUM(C54/$C$59)</f>
        <v>0.41291625312296792</v>
      </c>
      <c r="E54" s="16"/>
    </row>
    <row r="55" spans="1:10" s="2" customFormat="1" ht="16.5" customHeight="1" thickBot="1">
      <c r="A55" s="12" t="s">
        <v>772</v>
      </c>
      <c r="B55" s="22" t="s">
        <v>2107</v>
      </c>
      <c r="C55" s="8">
        <v>21451</v>
      </c>
      <c r="D55" s="17">
        <f>SUM(C55/$C$59)</f>
        <v>0.36707279509907936</v>
      </c>
      <c r="E55" s="16"/>
      <c r="G55" s="14"/>
    </row>
    <row r="56" spans="1:10" s="2" customFormat="1" ht="16.5" customHeight="1" thickBot="1">
      <c r="A56" s="12" t="s">
        <v>547</v>
      </c>
      <c r="B56" s="80" t="s">
        <v>363</v>
      </c>
      <c r="C56" s="8">
        <v>6476</v>
      </c>
      <c r="D56" s="17">
        <f>SUM(C56/$C$59)</f>
        <v>0.11081830315890345</v>
      </c>
      <c r="E56" s="21"/>
    </row>
    <row r="57" spans="1:10" s="2" customFormat="1" ht="16.5" customHeight="1" thickBot="1">
      <c r="A57" s="12" t="s">
        <v>2177</v>
      </c>
      <c r="B57" s="78" t="s">
        <v>771</v>
      </c>
      <c r="C57" s="8">
        <v>4312</v>
      </c>
      <c r="D57" s="17">
        <f>SUM(C57/$C$59)</f>
        <v>7.3787603956329786E-2</v>
      </c>
      <c r="E57" s="21"/>
    </row>
    <row r="58" spans="1:10" s="2" customFormat="1" ht="16.5" customHeight="1" thickBot="1">
      <c r="A58" s="12" t="s">
        <v>773</v>
      </c>
      <c r="B58" s="91" t="s">
        <v>522</v>
      </c>
      <c r="C58" s="8">
        <v>2069</v>
      </c>
      <c r="D58" s="17">
        <f>SUM(C58/$C$59)</f>
        <v>3.5405044662719466E-2</v>
      </c>
      <c r="E58" s="21"/>
    </row>
    <row r="59" spans="1:10" s="2" customFormat="1" ht="16.5" customHeight="1">
      <c r="A59" s="75"/>
      <c r="B59" s="76"/>
      <c r="C59" s="23">
        <f>SUM(C54:C58)</f>
        <v>58438</v>
      </c>
      <c r="D59" s="17"/>
      <c r="E59" s="10" t="s">
        <v>1874</v>
      </c>
      <c r="F59" s="21">
        <f>(C54-C55)</f>
        <v>2679</v>
      </c>
    </row>
    <row r="60" spans="1:10" s="2" customFormat="1" ht="12" customHeight="1">
      <c r="A60" s="1"/>
    </row>
    <row r="61" spans="1:10" s="2" customFormat="1" ht="16.5" customHeight="1">
      <c r="A61" s="1" t="s">
        <v>791</v>
      </c>
    </row>
    <row r="62" spans="1:10" s="2" customFormat="1" ht="9.75" customHeight="1" thickBot="1">
      <c r="A62" s="3"/>
    </row>
    <row r="63" spans="1:10" s="2" customFormat="1" ht="16.5" customHeight="1" thickBot="1">
      <c r="A63" s="4" t="s">
        <v>1244</v>
      </c>
      <c r="B63" s="5" t="s">
        <v>1245</v>
      </c>
      <c r="C63" s="5" t="s">
        <v>1248</v>
      </c>
      <c r="D63" s="10"/>
      <c r="E63" s="10" t="s">
        <v>1413</v>
      </c>
      <c r="F63" s="11">
        <f>(80730/120788)</f>
        <v>0.66836109547306022</v>
      </c>
    </row>
    <row r="64" spans="1:10" s="2" customFormat="1" ht="16.5" customHeight="1" thickBot="1">
      <c r="A64" s="6" t="s">
        <v>2313</v>
      </c>
      <c r="B64" s="9" t="s">
        <v>2107</v>
      </c>
      <c r="C64" s="36">
        <v>55679</v>
      </c>
      <c r="D64" s="17">
        <f>SUM(C64/$C$69)</f>
        <v>0.68969404186795491</v>
      </c>
      <c r="E64" s="16"/>
    </row>
    <row r="65" spans="1:12" s="2" customFormat="1" ht="16.5" customHeight="1" thickBot="1">
      <c r="A65" s="12" t="s">
        <v>551</v>
      </c>
      <c r="B65" s="80" t="s">
        <v>363</v>
      </c>
      <c r="C65" s="8">
        <v>14246</v>
      </c>
      <c r="D65" s="17">
        <f>SUM(C65/$C$69)</f>
        <v>0.17646475907345471</v>
      </c>
      <c r="E65" s="16"/>
      <c r="G65" s="14"/>
    </row>
    <row r="66" spans="1:12" s="2" customFormat="1" ht="16.5" customHeight="1" thickBot="1">
      <c r="A66" s="12" t="s">
        <v>789</v>
      </c>
      <c r="B66" s="78" t="s">
        <v>1423</v>
      </c>
      <c r="C66" s="8">
        <v>6408</v>
      </c>
      <c r="D66" s="17">
        <f>SUM(C66/$C$69)</f>
        <v>7.9375696767001111E-2</v>
      </c>
      <c r="E66" s="21"/>
    </row>
    <row r="67" spans="1:12" s="2" customFormat="1" ht="16.5" customHeight="1" thickBot="1">
      <c r="A67" s="12" t="s">
        <v>790</v>
      </c>
      <c r="B67" s="78" t="s">
        <v>1755</v>
      </c>
      <c r="C67" s="8">
        <v>3321</v>
      </c>
      <c r="D67" s="17">
        <f>SUM(C67/$C$69)</f>
        <v>4.1137123745819397E-2</v>
      </c>
      <c r="E67" s="21"/>
    </row>
    <row r="68" spans="1:12" s="2" customFormat="1" ht="16.5" customHeight="1" thickBot="1">
      <c r="A68" s="12" t="s">
        <v>879</v>
      </c>
      <c r="B68" s="91" t="s">
        <v>522</v>
      </c>
      <c r="C68" s="8">
        <v>1076</v>
      </c>
      <c r="D68" s="17">
        <f>SUM(C68/$C$69)</f>
        <v>1.332837854576985E-2</v>
      </c>
      <c r="E68" s="21"/>
    </row>
    <row r="69" spans="1:12" s="2" customFormat="1" ht="16.5" customHeight="1">
      <c r="A69" s="75"/>
      <c r="B69" s="76"/>
      <c r="C69" s="23">
        <f>SUM(C64:C68)</f>
        <v>80730</v>
      </c>
      <c r="D69" s="17"/>
      <c r="E69" s="10" t="s">
        <v>1874</v>
      </c>
      <c r="F69" s="21">
        <f>(C64-C65)</f>
        <v>41433</v>
      </c>
    </row>
    <row r="70" spans="1:12" s="2" customFormat="1" ht="12" customHeight="1">
      <c r="A70" s="1"/>
      <c r="E70"/>
      <c r="L70"/>
    </row>
    <row r="71" spans="1:12" s="2" customFormat="1" ht="16.5" customHeight="1">
      <c r="A71" s="1" t="s">
        <v>785</v>
      </c>
    </row>
    <row r="72" spans="1:12" s="2" customFormat="1" ht="9.75" customHeight="1" thickBot="1">
      <c r="A72" s="3"/>
    </row>
    <row r="73" spans="1:12" s="2" customFormat="1" ht="16.5" customHeight="1" thickBot="1">
      <c r="A73" s="4" t="s">
        <v>1244</v>
      </c>
      <c r="B73" s="5" t="s">
        <v>1245</v>
      </c>
      <c r="C73" s="5" t="s">
        <v>1248</v>
      </c>
      <c r="D73" s="10"/>
      <c r="E73" s="10" t="s">
        <v>1413</v>
      </c>
      <c r="F73" s="11">
        <f>(59176/75823)</f>
        <v>0.7804492040673674</v>
      </c>
    </row>
    <row r="74" spans="1:12" s="2" customFormat="1" ht="16.5" customHeight="1" thickBot="1">
      <c r="A74" s="6" t="s">
        <v>784</v>
      </c>
      <c r="B74" s="9" t="s">
        <v>2107</v>
      </c>
      <c r="C74" s="36">
        <v>28668</v>
      </c>
      <c r="D74" s="17">
        <f>SUM(C74/$C$78)</f>
        <v>0.48445315668514261</v>
      </c>
      <c r="E74" s="16"/>
    </row>
    <row r="75" spans="1:12" s="2" customFormat="1" ht="16.5" customHeight="1" thickBot="1">
      <c r="A75" s="12" t="s">
        <v>783</v>
      </c>
      <c r="B75" s="80" t="s">
        <v>363</v>
      </c>
      <c r="C75" s="8">
        <v>18894</v>
      </c>
      <c r="D75" s="17">
        <f>SUM(C75/$C$78)</f>
        <v>0.31928484520751654</v>
      </c>
      <c r="E75" s="16"/>
      <c r="G75" s="14"/>
    </row>
    <row r="76" spans="1:12" s="2" customFormat="1" ht="16.5" customHeight="1" thickBot="1">
      <c r="A76" s="12" t="s">
        <v>2280</v>
      </c>
      <c r="B76" s="27" t="s">
        <v>639</v>
      </c>
      <c r="C76" s="8">
        <v>11173</v>
      </c>
      <c r="D76" s="17">
        <f>SUM(C76/$C$78)</f>
        <v>0.18880965256184939</v>
      </c>
      <c r="E76" s="16"/>
      <c r="G76" s="14"/>
    </row>
    <row r="77" spans="1:12" s="2" customFormat="1" ht="16.5" customHeight="1" thickBot="1">
      <c r="A77" s="12" t="s">
        <v>782</v>
      </c>
      <c r="B77" s="78" t="s">
        <v>1423</v>
      </c>
      <c r="C77" s="8">
        <v>441</v>
      </c>
      <c r="D77" s="17">
        <f>SUM(C77/$C$78)</f>
        <v>7.452345545491415E-3</v>
      </c>
      <c r="E77" s="16"/>
      <c r="G77" s="14"/>
    </row>
    <row r="78" spans="1:12" s="2" customFormat="1" ht="16.5" customHeight="1">
      <c r="A78" s="75"/>
      <c r="B78" s="76"/>
      <c r="C78" s="23">
        <f>SUM(C74:C77)</f>
        <v>59176</v>
      </c>
      <c r="D78" s="17"/>
      <c r="E78" s="10" t="s">
        <v>1874</v>
      </c>
      <c r="F78" s="21">
        <f>(C74-C75)</f>
        <v>9774</v>
      </c>
    </row>
    <row r="79" spans="1:12" s="2" customFormat="1" ht="12" customHeight="1">
      <c r="A79" s="1"/>
    </row>
    <row r="80" spans="1:12" s="2" customFormat="1" ht="16.5" customHeight="1">
      <c r="A80" s="1" t="s">
        <v>788</v>
      </c>
    </row>
    <row r="81" spans="1:7" s="2" customFormat="1" ht="9.75" customHeight="1" thickBot="1">
      <c r="A81" s="3"/>
    </row>
    <row r="82" spans="1:7" s="2" customFormat="1" ht="16.5" customHeight="1" thickBot="1">
      <c r="A82" s="4" t="s">
        <v>1244</v>
      </c>
      <c r="B82" s="5" t="s">
        <v>1245</v>
      </c>
      <c r="C82" s="5" t="s">
        <v>1248</v>
      </c>
      <c r="D82" s="10"/>
      <c r="E82" s="10" t="s">
        <v>1413</v>
      </c>
      <c r="F82" s="11">
        <f>(58100/68777)</f>
        <v>0.84475914913415817</v>
      </c>
    </row>
    <row r="83" spans="1:7" s="2" customFormat="1" ht="16.5" customHeight="1" thickBot="1">
      <c r="A83" s="6" t="s">
        <v>680</v>
      </c>
      <c r="B83" s="7" t="s">
        <v>574</v>
      </c>
      <c r="C83" s="36">
        <v>30649</v>
      </c>
      <c r="D83" s="17">
        <f>SUM(C83/$C$85)</f>
        <v>0.52752151462994834</v>
      </c>
      <c r="E83" s="16"/>
    </row>
    <row r="84" spans="1:7" s="2" customFormat="1" ht="16.5" customHeight="1" thickBot="1">
      <c r="A84" s="12" t="s">
        <v>787</v>
      </c>
      <c r="B84" s="22" t="s">
        <v>2107</v>
      </c>
      <c r="C84" s="8">
        <v>27451</v>
      </c>
      <c r="D84" s="17">
        <f>SUM(C84/$C$85)</f>
        <v>0.47247848537005166</v>
      </c>
      <c r="E84" s="16"/>
      <c r="G84" s="14"/>
    </row>
    <row r="85" spans="1:7" s="2" customFormat="1" ht="16.5" customHeight="1">
      <c r="A85" s="75"/>
      <c r="B85" s="76"/>
      <c r="C85" s="23">
        <f>SUM(C83:C84)</f>
        <v>58100</v>
      </c>
      <c r="D85" s="17"/>
      <c r="E85" s="10" t="s">
        <v>1874</v>
      </c>
      <c r="F85" s="21">
        <f>(C83-C84)</f>
        <v>3198</v>
      </c>
    </row>
    <row r="86" spans="1:7" s="2" customFormat="1" ht="12" customHeight="1">
      <c r="A86" s="1"/>
    </row>
    <row r="87" spans="1:7" s="2" customFormat="1" ht="16.5" customHeight="1">
      <c r="A87" s="1" t="s">
        <v>786</v>
      </c>
    </row>
    <row r="88" spans="1:7" s="2" customFormat="1" ht="9.75" customHeight="1" thickBot="1">
      <c r="A88" s="3"/>
    </row>
    <row r="89" spans="1:7" s="2" customFormat="1" ht="16.5" customHeight="1" thickBot="1">
      <c r="A89" s="4" t="s">
        <v>1244</v>
      </c>
      <c r="B89" s="5" t="s">
        <v>1245</v>
      </c>
      <c r="C89" s="5" t="s">
        <v>1248</v>
      </c>
      <c r="D89" s="10"/>
      <c r="E89" s="10" t="s">
        <v>1413</v>
      </c>
      <c r="F89" s="11">
        <f>(39090/57152)</f>
        <v>0.68396556550951848</v>
      </c>
    </row>
    <row r="90" spans="1:7" s="2" customFormat="1" ht="16.5" customHeight="1" thickBot="1">
      <c r="A90" s="6" t="s">
        <v>749</v>
      </c>
      <c r="B90" s="9" t="s">
        <v>2107</v>
      </c>
      <c r="C90" s="36">
        <v>27523</v>
      </c>
      <c r="D90" s="17">
        <f>SUM(C90/$C$92)</f>
        <v>0.70409311844461497</v>
      </c>
      <c r="E90" s="16"/>
    </row>
    <row r="91" spans="1:7" s="2" customFormat="1" ht="16.5" customHeight="1" thickBot="1">
      <c r="A91" s="12" t="s">
        <v>603</v>
      </c>
      <c r="B91" s="80" t="s">
        <v>363</v>
      </c>
      <c r="C91" s="8">
        <v>11567</v>
      </c>
      <c r="D91" s="17">
        <f>SUM(C91/$C$92)</f>
        <v>0.29590688155538503</v>
      </c>
      <c r="E91" s="16"/>
      <c r="G91" s="14"/>
    </row>
    <row r="92" spans="1:7" s="2" customFormat="1" ht="16.5" customHeight="1">
      <c r="A92" s="75"/>
      <c r="B92" s="76"/>
      <c r="C92" s="23">
        <f>SUM(C90:C91)</f>
        <v>39090</v>
      </c>
      <c r="D92" s="17"/>
      <c r="E92" s="10" t="s">
        <v>1874</v>
      </c>
      <c r="F92" s="21">
        <f>(C90-C91)</f>
        <v>15956</v>
      </c>
    </row>
    <row r="93" spans="1:7" s="2" customFormat="1" ht="12" customHeight="1">
      <c r="A93" s="1"/>
    </row>
    <row r="94" spans="1:7" s="2" customFormat="1" ht="16.5" customHeight="1">
      <c r="A94" s="1" t="s">
        <v>781</v>
      </c>
    </row>
    <row r="95" spans="1:7" s="2" customFormat="1" ht="9.75" customHeight="1" thickBot="1">
      <c r="A95" s="3"/>
    </row>
    <row r="96" spans="1:7" s="2" customFormat="1" ht="16.5" customHeight="1" thickBot="1">
      <c r="A96" s="4" t="s">
        <v>1244</v>
      </c>
      <c r="B96" s="5" t="s">
        <v>1245</v>
      </c>
      <c r="C96" s="5" t="s">
        <v>1248</v>
      </c>
      <c r="D96" s="10"/>
      <c r="E96" s="10" t="s">
        <v>1413</v>
      </c>
      <c r="F96" s="11">
        <f>(45037/59610)</f>
        <v>0.75552759604093278</v>
      </c>
    </row>
    <row r="97" spans="1:7" s="2" customFormat="1" ht="16.5" customHeight="1" thickBot="1">
      <c r="A97" s="6" t="s">
        <v>750</v>
      </c>
      <c r="B97" s="9" t="s">
        <v>2107</v>
      </c>
      <c r="C97" s="36">
        <v>26778</v>
      </c>
      <c r="D97" s="17">
        <f>SUM(C97/$C$99)</f>
        <v>0.5945777915935786</v>
      </c>
      <c r="E97" s="16"/>
    </row>
    <row r="98" spans="1:7" s="2" customFormat="1" ht="16.5" customHeight="1" thickBot="1">
      <c r="A98" s="12" t="s">
        <v>2205</v>
      </c>
      <c r="B98" s="80" t="s">
        <v>363</v>
      </c>
      <c r="C98" s="8">
        <v>18259</v>
      </c>
      <c r="D98" s="17">
        <f>SUM(C98/$C$99)</f>
        <v>0.4054222084064214</v>
      </c>
      <c r="E98" s="16"/>
      <c r="G98" s="14"/>
    </row>
    <row r="99" spans="1:7" s="2" customFormat="1" ht="16.5" customHeight="1">
      <c r="A99" s="75"/>
      <c r="B99" s="76"/>
      <c r="C99" s="23">
        <f>SUM(C97:C98)</f>
        <v>45037</v>
      </c>
      <c r="D99" s="17"/>
      <c r="E99" s="10" t="s">
        <v>1874</v>
      </c>
      <c r="F99" s="21">
        <f>(C97-C98)</f>
        <v>8519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26"/>
  <dimension ref="A1:L95"/>
  <sheetViews>
    <sheetView workbookViewId="0">
      <selection activeCell="K1" sqref="K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839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(54367/63188)</f>
        <v>0.8604007089953789</v>
      </c>
    </row>
    <row r="4" spans="1:7" s="2" customFormat="1" ht="16.5" customHeight="1" thickBot="1">
      <c r="A4" s="6" t="s">
        <v>795</v>
      </c>
      <c r="B4" s="9" t="s">
        <v>2107</v>
      </c>
      <c r="C4" s="36">
        <v>29352</v>
      </c>
      <c r="D4" s="17">
        <f>SUM(C4/$C$7)</f>
        <v>0.53988632810344506</v>
      </c>
      <c r="E4" s="16"/>
    </row>
    <row r="5" spans="1:7" s="2" customFormat="1" ht="16.5" customHeight="1" thickBot="1">
      <c r="A5" s="12" t="s">
        <v>836</v>
      </c>
      <c r="B5" s="95" t="s">
        <v>759</v>
      </c>
      <c r="C5" s="8">
        <v>14645</v>
      </c>
      <c r="D5" s="17">
        <f>SUM(C5/$C$7)</f>
        <v>0.26937296521787113</v>
      </c>
      <c r="E5" s="16"/>
      <c r="G5" s="14"/>
    </row>
    <row r="6" spans="1:7" s="2" customFormat="1" ht="16.5" customHeight="1" thickBot="1">
      <c r="A6" s="12" t="s">
        <v>837</v>
      </c>
      <c r="B6" s="20" t="s">
        <v>838</v>
      </c>
      <c r="C6" s="8">
        <v>10370</v>
      </c>
      <c r="D6" s="17">
        <f>SUM(C6/$C$7)</f>
        <v>0.19074070667868376</v>
      </c>
      <c r="E6" s="16"/>
      <c r="G6" s="14"/>
    </row>
    <row r="7" spans="1:7" s="2" customFormat="1" ht="16.5" customHeight="1">
      <c r="A7" s="75"/>
      <c r="B7" s="76"/>
      <c r="C7" s="23">
        <f>SUM(C4:C6)</f>
        <v>54367</v>
      </c>
      <c r="D7" s="17"/>
      <c r="E7" s="10" t="s">
        <v>1874</v>
      </c>
      <c r="F7" s="21">
        <f>(C4-C5)</f>
        <v>14707</v>
      </c>
    </row>
    <row r="8" spans="1:7" s="2" customFormat="1" ht="12" customHeight="1">
      <c r="A8" s="1"/>
      <c r="D8" s="11"/>
    </row>
    <row r="9" spans="1:7" s="2" customFormat="1" ht="16.5" customHeight="1">
      <c r="A9" s="1" t="s">
        <v>842</v>
      </c>
    </row>
    <row r="10" spans="1:7" s="2" customFormat="1" ht="9.75" customHeight="1" thickBot="1">
      <c r="A10" s="3"/>
    </row>
    <row r="11" spans="1:7" s="2" customFormat="1" ht="16.5" customHeight="1" thickBot="1">
      <c r="A11" s="4" t="s">
        <v>1244</v>
      </c>
      <c r="B11" s="5" t="s">
        <v>1245</v>
      </c>
      <c r="C11" s="5" t="s">
        <v>1248</v>
      </c>
      <c r="D11" s="10"/>
      <c r="E11" s="10" t="s">
        <v>1413</v>
      </c>
      <c r="F11" s="11">
        <f>(56896/67796)</f>
        <v>0.83922355301197715</v>
      </c>
    </row>
    <row r="12" spans="1:7" s="2" customFormat="1" ht="16.5" customHeight="1" thickBot="1">
      <c r="A12" s="6" t="s">
        <v>841</v>
      </c>
      <c r="B12" s="9" t="s">
        <v>2107</v>
      </c>
      <c r="C12" s="36">
        <v>29728</v>
      </c>
      <c r="D12" s="17">
        <f>SUM(C12/$C$14)</f>
        <v>0.52249718785151855</v>
      </c>
      <c r="E12" s="16"/>
    </row>
    <row r="13" spans="1:7" s="2" customFormat="1" ht="16.5" customHeight="1" thickBot="1">
      <c r="A13" s="12" t="s">
        <v>840</v>
      </c>
      <c r="B13" s="20" t="s">
        <v>838</v>
      </c>
      <c r="C13" s="8">
        <v>27168</v>
      </c>
      <c r="D13" s="17">
        <f>SUM(C13/$C$14)</f>
        <v>0.47750281214848145</v>
      </c>
      <c r="E13" s="16"/>
      <c r="G13" s="14"/>
    </row>
    <row r="14" spans="1:7" s="2" customFormat="1" ht="16.5" customHeight="1">
      <c r="A14" s="75"/>
      <c r="B14" s="76"/>
      <c r="C14" s="23">
        <f>SUM(C12:C13)</f>
        <v>56896</v>
      </c>
      <c r="D14" s="17"/>
      <c r="E14" s="10" t="s">
        <v>1874</v>
      </c>
      <c r="F14" s="21">
        <f>(C12-C13)</f>
        <v>2560</v>
      </c>
    </row>
    <row r="15" spans="1:7" s="2" customFormat="1" ht="12" customHeight="1">
      <c r="A15" s="1"/>
    </row>
    <row r="16" spans="1:7" s="2" customFormat="1" ht="16.5" customHeight="1">
      <c r="A16" s="1" t="s">
        <v>845</v>
      </c>
    </row>
    <row r="17" spans="1:7" s="2" customFormat="1" ht="9.75" customHeight="1" thickBot="1">
      <c r="A17" s="3"/>
    </row>
    <row r="18" spans="1:7" s="2" customFormat="1" ht="16.5" customHeight="1" thickBot="1">
      <c r="A18" s="4" t="s">
        <v>1244</v>
      </c>
      <c r="B18" s="5" t="s">
        <v>1245</v>
      </c>
      <c r="C18" s="5" t="s">
        <v>1248</v>
      </c>
      <c r="D18" s="10"/>
      <c r="E18" s="10" t="s">
        <v>1413</v>
      </c>
      <c r="F18" s="11">
        <f>(59756/78191)</f>
        <v>0.76423117750124692</v>
      </c>
    </row>
    <row r="19" spans="1:7" s="2" customFormat="1" ht="16.5" customHeight="1" thickBot="1">
      <c r="A19" s="6" t="s">
        <v>796</v>
      </c>
      <c r="B19" s="9" t="s">
        <v>2107</v>
      </c>
      <c r="C19" s="36">
        <v>34729</v>
      </c>
      <c r="D19" s="17">
        <f>SUM(C19/$C$22)</f>
        <v>0.58118013253899192</v>
      </c>
      <c r="E19" s="16"/>
    </row>
    <row r="20" spans="1:7" s="2" customFormat="1" ht="16.5" customHeight="1" thickBot="1">
      <c r="A20" s="12" t="s">
        <v>843</v>
      </c>
      <c r="B20" s="20" t="s">
        <v>493</v>
      </c>
      <c r="C20" s="8">
        <v>22167</v>
      </c>
      <c r="D20" s="17">
        <f>SUM(C20/$C$22)</f>
        <v>0.37095856483030992</v>
      </c>
      <c r="E20" s="16"/>
      <c r="G20" s="14"/>
    </row>
    <row r="21" spans="1:7" s="2" customFormat="1" ht="16.5" customHeight="1" thickBot="1">
      <c r="A21" s="12" t="s">
        <v>844</v>
      </c>
      <c r="B21" s="20" t="s">
        <v>838</v>
      </c>
      <c r="C21" s="8">
        <v>2860</v>
      </c>
      <c r="D21" s="17">
        <f>SUM(C21/$C$22)</f>
        <v>4.7861302630698176E-2</v>
      </c>
      <c r="E21" s="16"/>
      <c r="G21" s="14"/>
    </row>
    <row r="22" spans="1:7" s="2" customFormat="1" ht="16.5" customHeight="1">
      <c r="A22" s="75"/>
      <c r="B22" s="76"/>
      <c r="C22" s="23">
        <f>SUM(C19:C21)</f>
        <v>59756</v>
      </c>
      <c r="D22" s="17"/>
      <c r="E22" s="10" t="s">
        <v>1874</v>
      </c>
      <c r="F22" s="21">
        <f>(C19-C20)</f>
        <v>12562</v>
      </c>
    </row>
    <row r="23" spans="1:7" s="2" customFormat="1" ht="12" customHeight="1">
      <c r="A23" s="1"/>
    </row>
    <row r="24" spans="1:7" s="2" customFormat="1" ht="16.5" customHeight="1">
      <c r="A24" s="1" t="s">
        <v>847</v>
      </c>
    </row>
    <row r="25" spans="1:7" s="2" customFormat="1" ht="9.75" customHeight="1" thickBot="1">
      <c r="A25" s="3"/>
    </row>
    <row r="26" spans="1:7" s="2" customFormat="1" ht="16.5" customHeight="1" thickBot="1">
      <c r="A26" s="4" t="s">
        <v>1244</v>
      </c>
      <c r="B26" s="5" t="s">
        <v>1245</v>
      </c>
      <c r="C26" s="5" t="s">
        <v>1248</v>
      </c>
      <c r="D26" s="10"/>
      <c r="E26" s="10" t="s">
        <v>1413</v>
      </c>
      <c r="F26" s="11">
        <f>(48154/76111)</f>
        <v>0.63268121559301549</v>
      </c>
    </row>
    <row r="27" spans="1:7" s="2" customFormat="1" ht="16.5" customHeight="1" thickBot="1">
      <c r="A27" s="6" t="s">
        <v>779</v>
      </c>
      <c r="B27" s="9" t="s">
        <v>2107</v>
      </c>
      <c r="C27" s="36">
        <v>34687</v>
      </c>
      <c r="D27" s="17">
        <f>SUM(C27/$C$29)</f>
        <v>0.72033475931386803</v>
      </c>
      <c r="E27" s="16"/>
    </row>
    <row r="28" spans="1:7" s="2" customFormat="1" ht="16.5" customHeight="1" thickBot="1">
      <c r="A28" s="12" t="s">
        <v>846</v>
      </c>
      <c r="B28" s="20" t="s">
        <v>838</v>
      </c>
      <c r="C28" s="8">
        <v>13467</v>
      </c>
      <c r="D28" s="17">
        <f>SUM(C28/$C$29)</f>
        <v>0.27966524068613197</v>
      </c>
      <c r="E28" s="16"/>
      <c r="G28" s="14"/>
    </row>
    <row r="29" spans="1:7" s="2" customFormat="1" ht="16.5" customHeight="1">
      <c r="A29" s="75"/>
      <c r="B29" s="76"/>
      <c r="C29" s="23">
        <f>SUM(C27:C28)</f>
        <v>48154</v>
      </c>
      <c r="D29" s="17"/>
      <c r="E29" s="10" t="s">
        <v>1874</v>
      </c>
      <c r="F29" s="21">
        <f>(C27-C28)</f>
        <v>21220</v>
      </c>
    </row>
    <row r="30" spans="1:7" s="2" customFormat="1" ht="12" customHeight="1">
      <c r="A30" s="1"/>
    </row>
    <row r="31" spans="1:7" s="2" customFormat="1" ht="16.5" customHeight="1">
      <c r="A31" s="1" t="s">
        <v>849</v>
      </c>
    </row>
    <row r="32" spans="1:7" s="2" customFormat="1" ht="9.75" customHeight="1" thickBot="1">
      <c r="A32" s="3"/>
    </row>
    <row r="33" spans="1:10" s="2" customFormat="1" ht="16.5" customHeight="1" thickBot="1">
      <c r="A33" s="4" t="s">
        <v>1244</v>
      </c>
      <c r="B33" s="5" t="s">
        <v>1245</v>
      </c>
      <c r="C33" s="5" t="s">
        <v>1248</v>
      </c>
      <c r="D33" s="10"/>
      <c r="E33" s="10" t="s">
        <v>1413</v>
      </c>
      <c r="F33" s="11">
        <f>(51379/78096)</f>
        <v>0.65789541077648028</v>
      </c>
    </row>
    <row r="34" spans="1:10" s="2" customFormat="1" ht="16.5" customHeight="1" thickBot="1">
      <c r="A34" s="6" t="s">
        <v>762</v>
      </c>
      <c r="B34" s="9" t="s">
        <v>2107</v>
      </c>
      <c r="C34" s="36">
        <v>32876</v>
      </c>
      <c r="D34" s="17">
        <f>SUM(C34/$C$37)</f>
        <v>0.63987232137643779</v>
      </c>
      <c r="E34" s="16"/>
    </row>
    <row r="35" spans="1:10" s="2" customFormat="1" ht="16.5" customHeight="1" thickBot="1">
      <c r="A35" s="12" t="s">
        <v>792</v>
      </c>
      <c r="B35" s="91" t="s">
        <v>522</v>
      </c>
      <c r="C35" s="8">
        <v>9586</v>
      </c>
      <c r="D35" s="17">
        <f>SUM(C35/$C$37)</f>
        <v>0.18657428132116236</v>
      </c>
      <c r="E35" s="16"/>
      <c r="G35" s="14"/>
    </row>
    <row r="36" spans="1:10" s="2" customFormat="1" ht="16.5" customHeight="1" thickBot="1">
      <c r="A36" s="12" t="s">
        <v>848</v>
      </c>
      <c r="B36" s="20" t="s">
        <v>838</v>
      </c>
      <c r="C36" s="8">
        <v>8917</v>
      </c>
      <c r="D36" s="17">
        <f>SUM(C36/$C$37)</f>
        <v>0.17355339730239983</v>
      </c>
      <c r="E36" s="16"/>
      <c r="G36" s="14"/>
    </row>
    <row r="37" spans="1:10" s="2" customFormat="1" ht="16.5" customHeight="1">
      <c r="A37" s="75"/>
      <c r="B37" s="76"/>
      <c r="C37" s="23">
        <f>SUM(C34:C36)</f>
        <v>51379</v>
      </c>
      <c r="D37" s="17"/>
      <c r="E37" s="10" t="s">
        <v>1874</v>
      </c>
      <c r="F37" s="21">
        <f>(C34-C35)</f>
        <v>23290</v>
      </c>
    </row>
    <row r="38" spans="1:10" s="2" customFormat="1" ht="12" customHeight="1">
      <c r="A38" s="1"/>
    </row>
    <row r="39" spans="1:10" s="2" customFormat="1" ht="16.5" customHeight="1">
      <c r="A39" s="1" t="s">
        <v>852</v>
      </c>
    </row>
    <row r="40" spans="1:10" s="2" customFormat="1" ht="9.75" customHeight="1" thickBot="1">
      <c r="A40" s="3"/>
    </row>
    <row r="41" spans="1:10" s="2" customFormat="1" ht="16.5" customHeight="1" thickBot="1">
      <c r="A41" s="4" t="s">
        <v>1244</v>
      </c>
      <c r="B41" s="5" t="s">
        <v>1245</v>
      </c>
      <c r="C41" s="5" t="s">
        <v>1248</v>
      </c>
      <c r="D41" s="10"/>
      <c r="E41" s="10" t="s">
        <v>1413</v>
      </c>
      <c r="F41" s="11">
        <f>(63512/113643)</f>
        <v>0.55887296181902979</v>
      </c>
    </row>
    <row r="42" spans="1:10" s="2" customFormat="1" ht="16.5" customHeight="1" thickBot="1">
      <c r="A42" s="6" t="s">
        <v>850</v>
      </c>
      <c r="B42" s="9" t="s">
        <v>2107</v>
      </c>
      <c r="C42" s="36">
        <v>40840</v>
      </c>
      <c r="D42" s="17">
        <f>SUM(C42/$C$44)</f>
        <v>0.64302808917999743</v>
      </c>
      <c r="E42" s="16"/>
    </row>
    <row r="43" spans="1:10" s="2" customFormat="1" ht="16.5" customHeight="1" thickBot="1">
      <c r="A43" s="12" t="s">
        <v>851</v>
      </c>
      <c r="B43" s="80" t="s">
        <v>363</v>
      </c>
      <c r="C43" s="8">
        <v>22672</v>
      </c>
      <c r="D43" s="17">
        <f>SUM(C43/$C$44)</f>
        <v>0.35697191082000251</v>
      </c>
      <c r="E43" s="16"/>
      <c r="G43" s="14"/>
    </row>
    <row r="44" spans="1:10" s="2" customFormat="1" ht="16.5" customHeight="1">
      <c r="A44" s="75"/>
      <c r="B44" s="76"/>
      <c r="C44" s="23">
        <f>SUM(C42:C43)</f>
        <v>63512</v>
      </c>
      <c r="D44" s="17"/>
      <c r="E44" s="10" t="s">
        <v>1874</v>
      </c>
      <c r="F44" s="21">
        <f>(C42-C43)</f>
        <v>18168</v>
      </c>
    </row>
    <row r="45" spans="1:10" s="2" customFormat="1" ht="12" customHeight="1">
      <c r="A45" s="1"/>
    </row>
    <row r="46" spans="1:10" s="2" customFormat="1" ht="16.5" customHeight="1">
      <c r="A46" s="1" t="s">
        <v>853</v>
      </c>
      <c r="J46" s="93"/>
    </row>
    <row r="47" spans="1:10" s="2" customFormat="1" ht="9.75" customHeight="1" thickBot="1">
      <c r="A47" s="3"/>
    </row>
    <row r="48" spans="1:10" s="2" customFormat="1" ht="16.5" customHeight="1" thickBot="1">
      <c r="A48" s="4" t="s">
        <v>1244</v>
      </c>
      <c r="B48" s="5" t="s">
        <v>1245</v>
      </c>
      <c r="C48" s="5" t="s">
        <v>1248</v>
      </c>
      <c r="D48" s="10"/>
      <c r="E48" s="10" t="s">
        <v>1413</v>
      </c>
      <c r="F48" s="11">
        <f>(40868/72039)</f>
        <v>0.5673038215411097</v>
      </c>
    </row>
    <row r="49" spans="1:12" s="2" customFormat="1" ht="16.5" customHeight="1" thickBot="1">
      <c r="A49" s="6" t="s">
        <v>772</v>
      </c>
      <c r="B49" s="9" t="s">
        <v>2107</v>
      </c>
      <c r="C49" s="36">
        <v>31927</v>
      </c>
      <c r="D49" s="17">
        <f>SUM(C49/$C$51)</f>
        <v>0.78122247235000486</v>
      </c>
      <c r="E49" s="16"/>
    </row>
    <row r="50" spans="1:12" s="2" customFormat="1" ht="16.5" customHeight="1" thickBot="1">
      <c r="A50" s="12" t="s">
        <v>773</v>
      </c>
      <c r="B50" s="91" t="s">
        <v>522</v>
      </c>
      <c r="C50" s="8">
        <v>8941</v>
      </c>
      <c r="D50" s="17">
        <f>SUM(C50/$C$51)</f>
        <v>0.21877752764999511</v>
      </c>
      <c r="E50" s="16"/>
      <c r="G50" s="14"/>
    </row>
    <row r="51" spans="1:12" s="2" customFormat="1" ht="16.5" customHeight="1">
      <c r="A51" s="75"/>
      <c r="B51" s="76"/>
      <c r="C51" s="23">
        <f>SUM(C49:C50)</f>
        <v>40868</v>
      </c>
      <c r="D51" s="17"/>
      <c r="E51" s="10" t="s">
        <v>1874</v>
      </c>
      <c r="F51" s="21">
        <f>(C49-C50)</f>
        <v>22986</v>
      </c>
    </row>
    <row r="52" spans="1:12" s="2" customFormat="1" ht="12" customHeight="1">
      <c r="A52" s="1"/>
    </row>
    <row r="53" spans="1:12" s="2" customFormat="1" ht="16.5" customHeight="1">
      <c r="A53" s="1" t="s">
        <v>856</v>
      </c>
    </row>
    <row r="54" spans="1:12" s="2" customFormat="1" ht="9.75" customHeight="1" thickBot="1">
      <c r="A54" s="3"/>
    </row>
    <row r="55" spans="1:12" s="2" customFormat="1" ht="16.5" customHeight="1" thickBot="1">
      <c r="A55" s="4" t="s">
        <v>1244</v>
      </c>
      <c r="B55" s="5" t="s">
        <v>1245</v>
      </c>
      <c r="C55" s="5" t="s">
        <v>1248</v>
      </c>
      <c r="D55" s="10"/>
      <c r="E55" s="10" t="s">
        <v>1413</v>
      </c>
      <c r="F55" s="11">
        <f>(49288/100755)</f>
        <v>0.48918664086149571</v>
      </c>
    </row>
    <row r="56" spans="1:12" s="2" customFormat="1" ht="16.5" customHeight="1" thickBot="1">
      <c r="A56" s="6" t="s">
        <v>854</v>
      </c>
      <c r="B56" s="9" t="s">
        <v>2107</v>
      </c>
      <c r="C56" s="36">
        <v>38706</v>
      </c>
      <c r="D56" s="17">
        <f>SUM(C56/$C$58)</f>
        <v>0.78530271059892875</v>
      </c>
      <c r="E56" s="16"/>
    </row>
    <row r="57" spans="1:12" s="2" customFormat="1" ht="16.5" customHeight="1" thickBot="1">
      <c r="A57" s="12" t="s">
        <v>855</v>
      </c>
      <c r="B57" s="91" t="s">
        <v>522</v>
      </c>
      <c r="C57" s="8">
        <v>10582</v>
      </c>
      <c r="D57" s="17">
        <f>SUM(C57/$C$58)</f>
        <v>0.21469728940107125</v>
      </c>
      <c r="E57" s="16"/>
      <c r="G57" s="14"/>
    </row>
    <row r="58" spans="1:12" s="2" customFormat="1" ht="16.5" customHeight="1">
      <c r="A58" s="75"/>
      <c r="B58" s="76"/>
      <c r="C58" s="23">
        <f>SUM(C56:C57)</f>
        <v>49288</v>
      </c>
      <c r="D58" s="17"/>
      <c r="E58" s="10" t="s">
        <v>1874</v>
      </c>
      <c r="F58" s="21">
        <f>(C56-C57)</f>
        <v>28124</v>
      </c>
    </row>
    <row r="59" spans="1:12" s="2" customFormat="1" ht="12" customHeight="1">
      <c r="A59" s="1"/>
      <c r="E59"/>
      <c r="L59"/>
    </row>
    <row r="60" spans="1:12" s="2" customFormat="1" ht="16.5" customHeight="1">
      <c r="A60" s="1" t="s">
        <v>858</v>
      </c>
    </row>
    <row r="61" spans="1:12" s="2" customFormat="1" ht="9.75" customHeight="1" thickBot="1">
      <c r="A61" s="3"/>
    </row>
    <row r="62" spans="1:12" s="2" customFormat="1" ht="16.5" customHeight="1" thickBot="1">
      <c r="A62" s="4" t="s">
        <v>1244</v>
      </c>
      <c r="B62" s="5" t="s">
        <v>1245</v>
      </c>
      <c r="C62" s="5" t="s">
        <v>1248</v>
      </c>
      <c r="D62" s="10"/>
      <c r="E62" s="10" t="s">
        <v>1413</v>
      </c>
      <c r="F62" s="11">
        <f>(46818/71434)</f>
        <v>0.65540218943360307</v>
      </c>
    </row>
    <row r="63" spans="1:12" s="2" customFormat="1" ht="16.5" customHeight="1" thickBot="1">
      <c r="A63" s="6" t="s">
        <v>784</v>
      </c>
      <c r="B63" s="9" t="s">
        <v>2107</v>
      </c>
      <c r="C63" s="36">
        <v>26891</v>
      </c>
      <c r="D63" s="17">
        <f>SUM(C63/$C$65)</f>
        <v>0.5743731043615703</v>
      </c>
      <c r="E63" s="16"/>
    </row>
    <row r="64" spans="1:12" s="2" customFormat="1" ht="16.5" customHeight="1" thickBot="1">
      <c r="A64" s="12" t="s">
        <v>857</v>
      </c>
      <c r="B64" s="80" t="s">
        <v>363</v>
      </c>
      <c r="C64" s="8">
        <v>19927</v>
      </c>
      <c r="D64" s="17">
        <f>SUM(C64/$C$65)</f>
        <v>0.42562689563842965</v>
      </c>
      <c r="E64" s="16"/>
      <c r="G64" s="14"/>
    </row>
    <row r="65" spans="1:7" s="2" customFormat="1" ht="16.5" customHeight="1">
      <c r="A65" s="75"/>
      <c r="B65" s="76"/>
      <c r="C65" s="23">
        <f>SUM(C63:C64)</f>
        <v>46818</v>
      </c>
      <c r="D65" s="17"/>
      <c r="E65" s="10" t="s">
        <v>1874</v>
      </c>
      <c r="F65" s="21">
        <f>(C63-C64)</f>
        <v>6964</v>
      </c>
    </row>
    <row r="66" spans="1:7" s="2" customFormat="1" ht="12" customHeight="1">
      <c r="A66" s="1"/>
    </row>
    <row r="67" spans="1:7" s="2" customFormat="1" ht="16.5" customHeight="1">
      <c r="A67" s="1" t="s">
        <v>859</v>
      </c>
    </row>
    <row r="68" spans="1:7" s="2" customFormat="1" ht="9.75" customHeight="1" thickBot="1">
      <c r="A68" s="3"/>
    </row>
    <row r="69" spans="1:7" s="2" customFormat="1" ht="16.5" customHeight="1" thickBot="1">
      <c r="A69" s="4" t="s">
        <v>1244</v>
      </c>
      <c r="B69" s="5" t="s">
        <v>1245</v>
      </c>
      <c r="C69" s="5" t="s">
        <v>1248</v>
      </c>
      <c r="D69" s="10"/>
      <c r="E69" s="10" t="s">
        <v>1413</v>
      </c>
      <c r="F69" s="11">
        <f>(50573/67575)</f>
        <v>0.74839807621161669</v>
      </c>
    </row>
    <row r="70" spans="1:7" s="2" customFormat="1" ht="16.5" customHeight="1" thickBot="1">
      <c r="A70" s="6" t="s">
        <v>426</v>
      </c>
      <c r="B70" s="7" t="s">
        <v>574</v>
      </c>
      <c r="C70" s="36">
        <v>26292</v>
      </c>
      <c r="D70" s="17">
        <f>SUM(C70/$C$72)</f>
        <v>0.51988215055464382</v>
      </c>
      <c r="E70" s="16"/>
    </row>
    <row r="71" spans="1:7" s="2" customFormat="1" ht="16.5" customHeight="1" thickBot="1">
      <c r="A71" s="12" t="s">
        <v>2549</v>
      </c>
      <c r="B71" s="22" t="s">
        <v>2107</v>
      </c>
      <c r="C71" s="8">
        <v>24281</v>
      </c>
      <c r="D71" s="17">
        <f>SUM(C71/$C$72)</f>
        <v>0.48011784944535624</v>
      </c>
      <c r="E71" s="16"/>
      <c r="G71" s="14"/>
    </row>
    <row r="72" spans="1:7" s="2" customFormat="1" ht="16.5" customHeight="1">
      <c r="A72" s="75"/>
      <c r="B72" s="76"/>
      <c r="C72" s="23">
        <f>SUM(C70:C71)</f>
        <v>50573</v>
      </c>
      <c r="D72" s="17"/>
      <c r="E72" s="10" t="s">
        <v>1874</v>
      </c>
      <c r="F72" s="21">
        <f>(C70-C71)</f>
        <v>2011</v>
      </c>
    </row>
    <row r="73" spans="1:7" s="2" customFormat="1" ht="12" customHeight="1">
      <c r="A73" s="1"/>
    </row>
    <row r="74" spans="1:7" s="2" customFormat="1" ht="16.5" customHeight="1">
      <c r="A74" s="1" t="s">
        <v>860</v>
      </c>
    </row>
    <row r="75" spans="1:7" s="2" customFormat="1" ht="9.75" customHeight="1" thickBot="1">
      <c r="A75" s="3"/>
    </row>
    <row r="76" spans="1:7" s="2" customFormat="1" ht="16.5" customHeight="1" thickBot="1">
      <c r="A76" s="4" t="s">
        <v>1244</v>
      </c>
      <c r="B76" s="5" t="s">
        <v>1245</v>
      </c>
      <c r="C76" s="5" t="s">
        <v>1248</v>
      </c>
      <c r="D76" s="10"/>
      <c r="E76" s="10" t="s">
        <v>1413</v>
      </c>
      <c r="F76" s="11">
        <f>(35693/56381)</f>
        <v>0.63306787747645488</v>
      </c>
    </row>
    <row r="77" spans="1:7" s="2" customFormat="1" ht="16.5" customHeight="1" thickBot="1">
      <c r="A77" s="6" t="s">
        <v>749</v>
      </c>
      <c r="B77" s="9" t="s">
        <v>2107</v>
      </c>
      <c r="C77" s="36">
        <v>23329</v>
      </c>
      <c r="D77" s="17">
        <f>SUM(C77/$C$79)</f>
        <v>0.65360154652172697</v>
      </c>
      <c r="E77" s="16"/>
    </row>
    <row r="78" spans="1:7" s="2" customFormat="1" ht="16.5" customHeight="1" thickBot="1">
      <c r="A78" s="12" t="s">
        <v>453</v>
      </c>
      <c r="B78" s="80" t="s">
        <v>363</v>
      </c>
      <c r="C78" s="8">
        <v>12364</v>
      </c>
      <c r="D78" s="17">
        <f>SUM(C78/$C$79)</f>
        <v>0.34639845347827303</v>
      </c>
      <c r="E78" s="16"/>
      <c r="G78" s="14"/>
    </row>
    <row r="79" spans="1:7" s="2" customFormat="1" ht="16.5" customHeight="1">
      <c r="A79" s="75"/>
      <c r="B79" s="76"/>
      <c r="C79" s="23">
        <f>SUM(C77:C78)</f>
        <v>35693</v>
      </c>
      <c r="D79" s="17"/>
      <c r="E79" s="10" t="s">
        <v>1874</v>
      </c>
      <c r="F79" s="21">
        <f>(C77-C78)</f>
        <v>10965</v>
      </c>
    </row>
    <row r="80" spans="1:7" s="2" customFormat="1" ht="12" customHeight="1">
      <c r="A80" s="1"/>
    </row>
    <row r="81" spans="1:7" s="2" customFormat="1" ht="16.5" customHeight="1">
      <c r="A81" s="1" t="s">
        <v>862</v>
      </c>
    </row>
    <row r="82" spans="1:7" s="2" customFormat="1" ht="9.75" customHeight="1" thickBot="1">
      <c r="A82" s="3"/>
    </row>
    <row r="83" spans="1:7" s="2" customFormat="1" ht="16.5" customHeight="1" thickBot="1">
      <c r="A83" s="4" t="s">
        <v>1244</v>
      </c>
      <c r="B83" s="5" t="s">
        <v>1245</v>
      </c>
      <c r="C83" s="5" t="s">
        <v>1248</v>
      </c>
      <c r="D83" s="10"/>
      <c r="E83" s="10" t="s">
        <v>1413</v>
      </c>
      <c r="F83" s="11">
        <f>(38933/57077)</f>
        <v>0.68211363596545016</v>
      </c>
    </row>
    <row r="84" spans="1:7" s="2" customFormat="1" ht="16.5" customHeight="1" thickBot="1">
      <c r="A84" s="6" t="s">
        <v>750</v>
      </c>
      <c r="B84" s="9" t="s">
        <v>2107</v>
      </c>
      <c r="C84" s="36">
        <v>21283</v>
      </c>
      <c r="D84" s="17">
        <f>SUM(C84/$C$86)</f>
        <v>0.54665707754347215</v>
      </c>
      <c r="E84" s="16"/>
    </row>
    <row r="85" spans="1:7" s="2" customFormat="1" ht="16.5" customHeight="1" thickBot="1">
      <c r="A85" s="12" t="s">
        <v>861</v>
      </c>
      <c r="B85" s="80" t="s">
        <v>363</v>
      </c>
      <c r="C85" s="8">
        <v>17650</v>
      </c>
      <c r="D85" s="17">
        <f>SUM(C85/$C$86)</f>
        <v>0.45334292245652791</v>
      </c>
      <c r="E85" s="16"/>
      <c r="G85" s="14"/>
    </row>
    <row r="86" spans="1:7" s="2" customFormat="1" ht="16.5" customHeight="1">
      <c r="A86" s="75"/>
      <c r="B86" s="76"/>
      <c r="C86" s="23">
        <f>SUM(C84:C85)</f>
        <v>38933</v>
      </c>
      <c r="D86" s="17"/>
      <c r="E86" s="10" t="s">
        <v>1874</v>
      </c>
      <c r="F86" s="21">
        <f>(C84-C85)</f>
        <v>3633</v>
      </c>
    </row>
    <row r="88" spans="1:7" ht="15">
      <c r="A88" s="104" t="s">
        <v>1072</v>
      </c>
    </row>
    <row r="89" spans="1:7" s="2" customFormat="1" ht="16.5" customHeight="1">
      <c r="A89" s="1" t="s">
        <v>1241</v>
      </c>
    </row>
    <row r="90" spans="1:7" s="2" customFormat="1" ht="9.75" customHeight="1" thickBot="1">
      <c r="A90" s="3"/>
    </row>
    <row r="91" spans="1:7" s="2" customFormat="1" ht="16.5" customHeight="1" thickBot="1">
      <c r="A91" s="4" t="s">
        <v>1244</v>
      </c>
      <c r="B91" s="5" t="s">
        <v>1245</v>
      </c>
      <c r="C91" s="5" t="s">
        <v>1248</v>
      </c>
      <c r="D91" s="10"/>
      <c r="E91" s="10" t="s">
        <v>1413</v>
      </c>
      <c r="F91" s="11">
        <f>(63085/68973)</f>
        <v>0.91463326229104147</v>
      </c>
    </row>
    <row r="92" spans="1:7" s="2" customFormat="1" ht="16.5" customHeight="1" thickBot="1">
      <c r="A92" s="6" t="s">
        <v>1054</v>
      </c>
      <c r="B92" s="97" t="s">
        <v>759</v>
      </c>
      <c r="C92" s="36">
        <v>33648</v>
      </c>
      <c r="D92" s="17">
        <f>SUM(C92/$C$94)</f>
        <v>0.5333756043433463</v>
      </c>
      <c r="E92" s="16"/>
    </row>
    <row r="93" spans="1:7" s="2" customFormat="1" ht="16.5" customHeight="1" thickBot="1">
      <c r="A93" s="12" t="s">
        <v>1240</v>
      </c>
      <c r="B93" s="22" t="s">
        <v>2107</v>
      </c>
      <c r="C93" s="8">
        <v>29437</v>
      </c>
      <c r="D93" s="17">
        <f>SUM(C93/$C$94)</f>
        <v>0.4666243956566537</v>
      </c>
      <c r="E93" s="16"/>
      <c r="G93" s="14"/>
    </row>
    <row r="94" spans="1:7" s="2" customFormat="1" ht="16.5" customHeight="1">
      <c r="A94" s="75"/>
      <c r="B94" s="76"/>
      <c r="C94" s="23">
        <f>SUM(C92:C93)</f>
        <v>63085</v>
      </c>
      <c r="D94" s="17"/>
      <c r="E94" s="10" t="s">
        <v>1874</v>
      </c>
      <c r="F94" s="21">
        <f>(C92-C93)</f>
        <v>4211</v>
      </c>
    </row>
    <row r="95" spans="1:7" s="2" customFormat="1" ht="12" customHeight="1">
      <c r="A95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27"/>
  <dimension ref="A1:L98"/>
  <sheetViews>
    <sheetView workbookViewId="0">
      <selection activeCell="J1" sqref="J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869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(54493/63462)</f>
        <v>0.85867133087516945</v>
      </c>
    </row>
    <row r="4" spans="1:7" s="2" customFormat="1" ht="16.5" customHeight="1" thickBot="1">
      <c r="A4" s="6" t="s">
        <v>865</v>
      </c>
      <c r="B4" s="9" t="s">
        <v>2107</v>
      </c>
      <c r="C4" s="36">
        <v>30010</v>
      </c>
      <c r="D4" s="17">
        <f>SUM(C4/$C$8)</f>
        <v>0.55071293560640822</v>
      </c>
      <c r="E4" s="16"/>
    </row>
    <row r="5" spans="1:7" s="2" customFormat="1" ht="16.5" customHeight="1" thickBot="1">
      <c r="A5" s="12" t="s">
        <v>866</v>
      </c>
      <c r="B5" s="20" t="s">
        <v>838</v>
      </c>
      <c r="C5" s="8">
        <v>16138</v>
      </c>
      <c r="D5" s="17">
        <f>SUM(C5/$C$8)</f>
        <v>0.29614812911750132</v>
      </c>
      <c r="E5" s="16"/>
      <c r="G5" s="14"/>
    </row>
    <row r="6" spans="1:7" s="2" customFormat="1" ht="16.5" customHeight="1" thickBot="1">
      <c r="A6" s="12" t="s">
        <v>867</v>
      </c>
      <c r="B6" s="91" t="s">
        <v>522</v>
      </c>
      <c r="C6" s="8">
        <v>6006</v>
      </c>
      <c r="D6" s="17">
        <f>SUM(C6/$C$8)</f>
        <v>0.11021599104472134</v>
      </c>
      <c r="E6" s="16"/>
      <c r="G6" s="14"/>
    </row>
    <row r="7" spans="1:7" s="2" customFormat="1" ht="16.5" customHeight="1" thickBot="1">
      <c r="A7" s="12" t="s">
        <v>868</v>
      </c>
      <c r="B7" s="80" t="s">
        <v>363</v>
      </c>
      <c r="C7" s="8">
        <v>2339</v>
      </c>
      <c r="D7" s="17">
        <f>SUM(C7/$C$8)</f>
        <v>4.2922944231369164E-2</v>
      </c>
      <c r="E7" s="16"/>
      <c r="G7" s="14"/>
    </row>
    <row r="8" spans="1:7" s="2" customFormat="1" ht="16.5" customHeight="1">
      <c r="A8" s="75"/>
      <c r="B8" s="76"/>
      <c r="C8" s="23">
        <f>SUM(C4:C7)</f>
        <v>54493</v>
      </c>
      <c r="D8" s="17"/>
      <c r="E8" s="10" t="s">
        <v>1874</v>
      </c>
      <c r="F8" s="21">
        <f>(C4-C5)</f>
        <v>13872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871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(57578/67467)</f>
        <v>0.85342463723005324</v>
      </c>
    </row>
    <row r="13" spans="1:7" s="2" customFormat="1" ht="16.5" customHeight="1" thickBot="1">
      <c r="A13" s="6" t="s">
        <v>841</v>
      </c>
      <c r="B13" s="9" t="s">
        <v>2107</v>
      </c>
      <c r="C13" s="36">
        <v>29715</v>
      </c>
      <c r="D13" s="17">
        <f>SUM(C13/$C$16)</f>
        <v>0.51608253152245653</v>
      </c>
      <c r="E13" s="16"/>
    </row>
    <row r="14" spans="1:7" s="2" customFormat="1" ht="16.5" customHeight="1" thickBot="1">
      <c r="A14" s="12" t="s">
        <v>840</v>
      </c>
      <c r="B14" s="20" t="s">
        <v>838</v>
      </c>
      <c r="C14" s="8">
        <v>22810</v>
      </c>
      <c r="D14" s="17">
        <f>SUM(C14/$C$16)</f>
        <v>0.39615825488902012</v>
      </c>
      <c r="E14" s="16"/>
      <c r="G14" s="14"/>
    </row>
    <row r="15" spans="1:7" s="2" customFormat="1" ht="16.5" customHeight="1" thickBot="1">
      <c r="A15" s="12" t="s">
        <v>870</v>
      </c>
      <c r="B15" s="80" t="s">
        <v>363</v>
      </c>
      <c r="C15" s="8">
        <v>5053</v>
      </c>
      <c r="D15" s="17">
        <f>SUM(C15/$C$16)</f>
        <v>8.7759213588523399E-2</v>
      </c>
      <c r="E15" s="16"/>
      <c r="G15" s="14"/>
    </row>
    <row r="16" spans="1:7" s="2" customFormat="1" ht="16.5" customHeight="1">
      <c r="A16" s="75"/>
      <c r="B16" s="76"/>
      <c r="C16" s="23">
        <f>SUM(C13:C15)</f>
        <v>57578</v>
      </c>
      <c r="D16" s="17"/>
      <c r="E16" s="10" t="s">
        <v>1874</v>
      </c>
      <c r="F16" s="21">
        <f>(C13-C14)</f>
        <v>6905</v>
      </c>
    </row>
    <row r="17" spans="1:7" s="2" customFormat="1" ht="12" customHeight="1">
      <c r="A17" s="1"/>
    </row>
    <row r="18" spans="1:7" s="2" customFormat="1" ht="16.5" customHeight="1">
      <c r="A18" s="1" t="s">
        <v>873</v>
      </c>
    </row>
    <row r="19" spans="1:7" s="2" customFormat="1" ht="9.75" customHeight="1" thickBot="1">
      <c r="A19" s="3"/>
    </row>
    <row r="20" spans="1:7" s="2" customFormat="1" ht="16.5" customHeight="1" thickBot="1">
      <c r="A20" s="4" t="s">
        <v>1244</v>
      </c>
      <c r="B20" s="5" t="s">
        <v>1245</v>
      </c>
      <c r="C20" s="5" t="s">
        <v>1248</v>
      </c>
      <c r="D20" s="10"/>
      <c r="E20" s="10" t="s">
        <v>1413</v>
      </c>
      <c r="F20" s="11">
        <f>(58823/76918)</f>
        <v>0.76474947346524869</v>
      </c>
    </row>
    <row r="21" spans="1:7" s="2" customFormat="1" ht="16.5" customHeight="1" thickBot="1">
      <c r="A21" s="6" t="s">
        <v>796</v>
      </c>
      <c r="B21" s="9" t="s">
        <v>2107</v>
      </c>
      <c r="C21" s="36">
        <v>37700</v>
      </c>
      <c r="D21" s="17">
        <f>SUM(C21/$C$23)</f>
        <v>0.64090576815191336</v>
      </c>
      <c r="E21" s="16"/>
    </row>
    <row r="22" spans="1:7" s="2" customFormat="1" ht="16.5" customHeight="1" thickBot="1">
      <c r="A22" s="12" t="s">
        <v>872</v>
      </c>
      <c r="B22" s="20" t="s">
        <v>838</v>
      </c>
      <c r="C22" s="8">
        <v>21123</v>
      </c>
      <c r="D22" s="17">
        <f>SUM(C22/$C$23)</f>
        <v>0.35909423184808664</v>
      </c>
      <c r="E22" s="16"/>
      <c r="G22" s="14"/>
    </row>
    <row r="23" spans="1:7" s="2" customFormat="1" ht="16.5" customHeight="1">
      <c r="A23" s="75"/>
      <c r="B23" s="76"/>
      <c r="C23" s="23">
        <f>SUM(C21:C22)</f>
        <v>58823</v>
      </c>
      <c r="D23" s="17"/>
      <c r="E23" s="10" t="s">
        <v>1874</v>
      </c>
      <c r="F23" s="21">
        <f>(C21-C22)</f>
        <v>16577</v>
      </c>
    </row>
    <row r="24" spans="1:7" s="2" customFormat="1" ht="12" customHeight="1">
      <c r="A24" s="1"/>
    </row>
    <row r="25" spans="1:7" s="2" customFormat="1" ht="16.5" customHeight="1">
      <c r="A25" s="1" t="s">
        <v>876</v>
      </c>
    </row>
    <row r="26" spans="1:7" s="2" customFormat="1" ht="9.75" customHeight="1" thickBot="1">
      <c r="A26" s="3"/>
    </row>
    <row r="27" spans="1:7" s="2" customFormat="1" ht="16.5" customHeight="1" thickBot="1">
      <c r="A27" s="4" t="s">
        <v>1244</v>
      </c>
      <c r="B27" s="5" t="s">
        <v>1245</v>
      </c>
      <c r="C27" s="5" t="s">
        <v>1248</v>
      </c>
      <c r="D27" s="10"/>
      <c r="E27" s="10" t="s">
        <v>1413</v>
      </c>
      <c r="F27" s="11">
        <f>(54178/74184)</f>
        <v>0.73031920629785396</v>
      </c>
    </row>
    <row r="28" spans="1:7" s="2" customFormat="1" ht="16.5" customHeight="1" thickBot="1">
      <c r="A28" s="6" t="s">
        <v>779</v>
      </c>
      <c r="B28" s="9" t="s">
        <v>2107</v>
      </c>
      <c r="C28" s="36">
        <v>35223</v>
      </c>
      <c r="D28" s="17">
        <f>SUM(C28/$C$31)</f>
        <v>0.65013474103879798</v>
      </c>
      <c r="E28" s="16"/>
    </row>
    <row r="29" spans="1:7" s="2" customFormat="1" ht="16.5" customHeight="1" thickBot="1">
      <c r="A29" s="12" t="s">
        <v>874</v>
      </c>
      <c r="B29" s="20" t="s">
        <v>838</v>
      </c>
      <c r="C29" s="8">
        <v>12432</v>
      </c>
      <c r="D29" s="17">
        <f>SUM(C29/$C$31)</f>
        <v>0.22946583484071026</v>
      </c>
      <c r="E29" s="16"/>
      <c r="G29" s="14"/>
    </row>
    <row r="30" spans="1:7" s="2" customFormat="1" ht="16.5" customHeight="1" thickBot="1">
      <c r="A30" s="12" t="s">
        <v>875</v>
      </c>
      <c r="B30" s="80" t="s">
        <v>363</v>
      </c>
      <c r="C30" s="8">
        <v>6523</v>
      </c>
      <c r="D30" s="17">
        <f>SUM(C30/$C$31)</f>
        <v>0.12039942412049172</v>
      </c>
      <c r="E30" s="16"/>
      <c r="G30" s="14"/>
    </row>
    <row r="31" spans="1:7" s="2" customFormat="1" ht="16.5" customHeight="1">
      <c r="A31" s="75"/>
      <c r="B31" s="76"/>
      <c r="C31" s="23">
        <f>SUM(C28:C30)</f>
        <v>54178</v>
      </c>
      <c r="D31" s="17"/>
      <c r="E31" s="10" t="s">
        <v>1874</v>
      </c>
      <c r="F31" s="21">
        <f>(C28-C29)</f>
        <v>22791</v>
      </c>
    </row>
    <row r="32" spans="1:7" s="2" customFormat="1" ht="12" customHeight="1">
      <c r="A32" s="1"/>
    </row>
    <row r="33" spans="1:7" s="2" customFormat="1" ht="16.5" customHeight="1">
      <c r="A33" s="1" t="s">
        <v>880</v>
      </c>
    </row>
    <row r="34" spans="1:7" s="2" customFormat="1" ht="9.75" customHeight="1" thickBot="1">
      <c r="A34" s="3"/>
    </row>
    <row r="35" spans="1:7" s="2" customFormat="1" ht="16.5" customHeight="1" thickBot="1">
      <c r="A35" s="4" t="s">
        <v>1244</v>
      </c>
      <c r="B35" s="5" t="s">
        <v>1245</v>
      </c>
      <c r="C35" s="5" t="s">
        <v>1248</v>
      </c>
      <c r="D35" s="10"/>
      <c r="E35" s="10" t="s">
        <v>1413</v>
      </c>
      <c r="F35" s="11">
        <f>(55823/77391)</f>
        <v>0.72131126358362085</v>
      </c>
    </row>
    <row r="36" spans="1:7" s="2" customFormat="1" ht="16.5" customHeight="1" thickBot="1">
      <c r="A36" s="6" t="s">
        <v>762</v>
      </c>
      <c r="B36" s="9" t="s">
        <v>2107</v>
      </c>
      <c r="C36" s="36">
        <v>32922</v>
      </c>
      <c r="D36" s="17">
        <f>SUM(C36/$C$40)</f>
        <v>0.5897569102341329</v>
      </c>
      <c r="E36" s="16"/>
    </row>
    <row r="37" spans="1:7" s="2" customFormat="1" ht="16.5" customHeight="1" thickBot="1">
      <c r="A37" s="12" t="s">
        <v>848</v>
      </c>
      <c r="B37" s="20" t="s">
        <v>838</v>
      </c>
      <c r="C37" s="8">
        <v>11031</v>
      </c>
      <c r="D37" s="17">
        <f>SUM(C37/$C$40)</f>
        <v>0.19760672124393172</v>
      </c>
      <c r="E37" s="16"/>
      <c r="G37" s="14"/>
    </row>
    <row r="38" spans="1:7" s="2" customFormat="1" ht="16.5" customHeight="1" thickBot="1">
      <c r="A38" s="12" t="s">
        <v>877</v>
      </c>
      <c r="B38" s="80" t="s">
        <v>363</v>
      </c>
      <c r="C38" s="8">
        <v>6260</v>
      </c>
      <c r="D38" s="17">
        <f>SUM(C38/$C$40)</f>
        <v>0.11214015728284041</v>
      </c>
      <c r="E38" s="16"/>
      <c r="G38" s="14"/>
    </row>
    <row r="39" spans="1:7" s="2" customFormat="1" ht="16.5" customHeight="1" thickBot="1">
      <c r="A39" s="12" t="s">
        <v>878</v>
      </c>
      <c r="B39" s="91" t="s">
        <v>522</v>
      </c>
      <c r="C39" s="8">
        <v>5610</v>
      </c>
      <c r="D39" s="17">
        <f>SUM(C39/$C$40)</f>
        <v>0.100496211239095</v>
      </c>
      <c r="E39" s="16"/>
      <c r="G39" s="14"/>
    </row>
    <row r="40" spans="1:7" s="2" customFormat="1" ht="16.5" customHeight="1">
      <c r="A40" s="75"/>
      <c r="B40" s="76"/>
      <c r="C40" s="23">
        <f>SUM(C36:C39)</f>
        <v>55823</v>
      </c>
      <c r="D40" s="17"/>
      <c r="E40" s="10" t="s">
        <v>1874</v>
      </c>
      <c r="F40" s="21">
        <f>(C36-C37)</f>
        <v>21891</v>
      </c>
    </row>
    <row r="41" spans="1:7" s="2" customFormat="1" ht="12" customHeight="1">
      <c r="A41" s="1"/>
    </row>
    <row r="42" spans="1:7" s="2" customFormat="1" ht="16.5" customHeight="1">
      <c r="A42" s="1" t="s">
        <v>882</v>
      </c>
    </row>
    <row r="43" spans="1:7" s="2" customFormat="1" ht="9.75" customHeight="1" thickBot="1">
      <c r="A43" s="3"/>
    </row>
    <row r="44" spans="1:7" s="2" customFormat="1" ht="16.5" customHeight="1" thickBot="1">
      <c r="A44" s="4" t="s">
        <v>1244</v>
      </c>
      <c r="B44" s="5" t="s">
        <v>1245</v>
      </c>
      <c r="C44" s="5" t="s">
        <v>1248</v>
      </c>
      <c r="D44" s="10"/>
      <c r="E44" s="10" t="s">
        <v>1413</v>
      </c>
      <c r="F44" s="11">
        <f>(67686/105304)</f>
        <v>0.64276760616880646</v>
      </c>
    </row>
    <row r="45" spans="1:7" s="2" customFormat="1" ht="16.5" customHeight="1" thickBot="1">
      <c r="A45" s="6" t="s">
        <v>850</v>
      </c>
      <c r="B45" s="9" t="s">
        <v>2107</v>
      </c>
      <c r="C45" s="36">
        <v>47325</v>
      </c>
      <c r="D45" s="17">
        <f>SUM(C45/$C$48)</f>
        <v>0.69918446946192714</v>
      </c>
      <c r="E45" s="16"/>
    </row>
    <row r="46" spans="1:7" s="2" customFormat="1" ht="16.5" customHeight="1" thickBot="1">
      <c r="A46" s="12" t="s">
        <v>851</v>
      </c>
      <c r="B46" s="80" t="s">
        <v>363</v>
      </c>
      <c r="C46" s="8">
        <v>16531</v>
      </c>
      <c r="D46" s="17">
        <f>SUM(C46/$C$48)</f>
        <v>0.24423071240729249</v>
      </c>
      <c r="E46" s="16"/>
      <c r="G46" s="14"/>
    </row>
    <row r="47" spans="1:7" s="2" customFormat="1" ht="16.5" customHeight="1" thickBot="1">
      <c r="A47" s="12" t="s">
        <v>881</v>
      </c>
      <c r="B47" s="20" t="s">
        <v>838</v>
      </c>
      <c r="C47" s="8">
        <v>3830</v>
      </c>
      <c r="D47" s="17">
        <f>SUM(C47/$C$48)</f>
        <v>5.6584818130780368E-2</v>
      </c>
      <c r="E47" s="16"/>
      <c r="G47" s="14"/>
    </row>
    <row r="48" spans="1:7" s="2" customFormat="1" ht="16.5" customHeight="1">
      <c r="A48" s="75"/>
      <c r="B48" s="76"/>
      <c r="C48" s="23">
        <f>SUM(C45:C47)</f>
        <v>67686</v>
      </c>
      <c r="D48" s="17"/>
      <c r="E48" s="10" t="s">
        <v>1874</v>
      </c>
      <c r="F48" s="21">
        <f>(C45-C46)</f>
        <v>30794</v>
      </c>
    </row>
    <row r="49" spans="1:10" s="2" customFormat="1" ht="12" customHeight="1">
      <c r="A49" s="1"/>
    </row>
    <row r="50" spans="1:10" s="2" customFormat="1" ht="16.5" customHeight="1">
      <c r="A50" s="1" t="s">
        <v>864</v>
      </c>
      <c r="J50" s="93"/>
    </row>
    <row r="51" spans="1:10" s="2" customFormat="1" ht="9.75" customHeight="1" thickBot="1">
      <c r="A51" s="3"/>
    </row>
    <row r="52" spans="1:10" s="2" customFormat="1" ht="16.5" customHeight="1" thickBot="1">
      <c r="A52" s="4" t="s">
        <v>1244</v>
      </c>
      <c r="B52" s="5" t="s">
        <v>1245</v>
      </c>
      <c r="C52" s="5" t="s">
        <v>1248</v>
      </c>
      <c r="D52" s="10"/>
      <c r="E52" s="10" t="s">
        <v>1413</v>
      </c>
      <c r="F52" s="11">
        <f>(44796/70779)</f>
        <v>0.63289958886110287</v>
      </c>
    </row>
    <row r="53" spans="1:10" s="2" customFormat="1" ht="16.5" customHeight="1" thickBot="1">
      <c r="A53" s="6" t="s">
        <v>772</v>
      </c>
      <c r="B53" s="9" t="s">
        <v>2107</v>
      </c>
      <c r="C53" s="36">
        <v>40372</v>
      </c>
      <c r="D53" s="17">
        <f>SUM(C53/$C$55)</f>
        <v>0.90124118224841498</v>
      </c>
      <c r="E53" s="16"/>
    </row>
    <row r="54" spans="1:10" s="2" customFormat="1" ht="16.5" customHeight="1" thickBot="1">
      <c r="A54" s="12" t="s">
        <v>863</v>
      </c>
      <c r="B54" s="20" t="s">
        <v>838</v>
      </c>
      <c r="C54" s="8">
        <v>4424</v>
      </c>
      <c r="D54" s="17">
        <f>SUM(C54/$C$55)</f>
        <v>9.875881775158496E-2</v>
      </c>
      <c r="E54" s="16"/>
      <c r="G54" s="14"/>
    </row>
    <row r="55" spans="1:10" s="2" customFormat="1" ht="16.5" customHeight="1">
      <c r="A55" s="75"/>
      <c r="B55" s="76"/>
      <c r="C55" s="23">
        <f>SUM(C53:C54)</f>
        <v>44796</v>
      </c>
      <c r="D55" s="17"/>
      <c r="E55" s="10" t="s">
        <v>1874</v>
      </c>
      <c r="F55" s="21">
        <f>(C53-C54)</f>
        <v>35948</v>
      </c>
    </row>
    <row r="56" spans="1:10" s="2" customFormat="1" ht="12" customHeight="1">
      <c r="A56" s="1"/>
    </row>
    <row r="57" spans="1:10" s="2" customFormat="1" ht="16.5" customHeight="1">
      <c r="A57" s="1" t="s">
        <v>886</v>
      </c>
    </row>
    <row r="58" spans="1:10" s="2" customFormat="1" ht="9.75" customHeight="1" thickBot="1">
      <c r="A58" s="3"/>
    </row>
    <row r="59" spans="1:10" s="2" customFormat="1" ht="16.5" customHeight="1" thickBot="1">
      <c r="A59" s="4" t="s">
        <v>1244</v>
      </c>
      <c r="B59" s="5" t="s">
        <v>1245</v>
      </c>
      <c r="C59" s="5" t="s">
        <v>1248</v>
      </c>
      <c r="D59" s="10"/>
      <c r="E59" s="10" t="s">
        <v>1413</v>
      </c>
      <c r="F59" s="11">
        <f>(61314/97151)</f>
        <v>0.63112062665335411</v>
      </c>
    </row>
    <row r="60" spans="1:10" s="2" customFormat="1" ht="16.5" customHeight="1" thickBot="1">
      <c r="A60" s="6" t="s">
        <v>854</v>
      </c>
      <c r="B60" s="9" t="s">
        <v>2107</v>
      </c>
      <c r="C60" s="36">
        <v>45091</v>
      </c>
      <c r="D60" s="17">
        <f>SUM(C60/$C$64)</f>
        <v>0.73541116221417624</v>
      </c>
      <c r="E60" s="16"/>
    </row>
    <row r="61" spans="1:10" s="2" customFormat="1" ht="16.5" customHeight="1" thickBot="1">
      <c r="A61" s="12" t="s">
        <v>883</v>
      </c>
      <c r="B61" s="80" t="s">
        <v>363</v>
      </c>
      <c r="C61" s="8">
        <v>11571</v>
      </c>
      <c r="D61" s="17">
        <f>SUM(C61/$C$64)</f>
        <v>0.18871709560622371</v>
      </c>
      <c r="E61" s="16"/>
      <c r="G61" s="14"/>
    </row>
    <row r="62" spans="1:10" s="2" customFormat="1" ht="16.5" customHeight="1" thickBot="1">
      <c r="A62" s="12" t="s">
        <v>884</v>
      </c>
      <c r="B62" s="91" t="s">
        <v>522</v>
      </c>
      <c r="C62" s="8">
        <v>3797</v>
      </c>
      <c r="D62" s="17">
        <f>SUM(C62/$C$64)</f>
        <v>6.1927129203770755E-2</v>
      </c>
      <c r="E62" s="16"/>
      <c r="G62" s="14"/>
    </row>
    <row r="63" spans="1:10" s="2" customFormat="1" ht="16.5" customHeight="1" thickBot="1">
      <c r="A63" s="12" t="s">
        <v>885</v>
      </c>
      <c r="B63" s="20" t="s">
        <v>838</v>
      </c>
      <c r="C63" s="8">
        <v>855</v>
      </c>
      <c r="D63" s="17">
        <f>SUM(C63/$C$64)</f>
        <v>1.3944612975829338E-2</v>
      </c>
      <c r="E63" s="16"/>
      <c r="G63" s="14"/>
    </row>
    <row r="64" spans="1:10" s="2" customFormat="1" ht="16.5" customHeight="1">
      <c r="A64" s="75"/>
      <c r="B64" s="76"/>
      <c r="C64" s="23">
        <f>SUM(C60:C63)</f>
        <v>61314</v>
      </c>
      <c r="D64" s="17"/>
      <c r="E64" s="10" t="s">
        <v>1874</v>
      </c>
      <c r="F64" s="21">
        <f>(C60-C61)</f>
        <v>33520</v>
      </c>
    </row>
    <row r="65" spans="1:12" s="2" customFormat="1" ht="12" customHeight="1">
      <c r="A65" s="1"/>
      <c r="E65"/>
      <c r="L65"/>
    </row>
    <row r="66" spans="1:12" s="2" customFormat="1" ht="16.5" customHeight="1">
      <c r="A66" s="1" t="s">
        <v>889</v>
      </c>
    </row>
    <row r="67" spans="1:12" s="2" customFormat="1" ht="9.75" customHeight="1" thickBot="1">
      <c r="A67" s="3"/>
    </row>
    <row r="68" spans="1:12" s="2" customFormat="1" ht="16.5" customHeight="1" thickBot="1">
      <c r="A68" s="4" t="s">
        <v>1244</v>
      </c>
      <c r="B68" s="5" t="s">
        <v>1245</v>
      </c>
      <c r="C68" s="5" t="s">
        <v>1248</v>
      </c>
      <c r="D68" s="10"/>
      <c r="E68" s="10" t="s">
        <v>1413</v>
      </c>
      <c r="F68" s="11">
        <f>(50283/72400)</f>
        <v>0.69451657458563532</v>
      </c>
    </row>
    <row r="69" spans="1:12" s="2" customFormat="1" ht="16.5" customHeight="1" thickBot="1">
      <c r="A69" s="6" t="s">
        <v>784</v>
      </c>
      <c r="B69" s="9" t="s">
        <v>2107</v>
      </c>
      <c r="C69" s="36">
        <v>29976</v>
      </c>
      <c r="D69" s="17">
        <f>SUM(C69/$C$72)</f>
        <v>0.59614581468886108</v>
      </c>
      <c r="E69" s="16"/>
    </row>
    <row r="70" spans="1:12" s="2" customFormat="1" ht="16.5" customHeight="1" thickBot="1">
      <c r="A70" s="12" t="s">
        <v>887</v>
      </c>
      <c r="B70" s="80" t="s">
        <v>363</v>
      </c>
      <c r="C70" s="8">
        <v>17564</v>
      </c>
      <c r="D70" s="17">
        <f>SUM(C70/$C$72)</f>
        <v>0.3493029453294354</v>
      </c>
      <c r="E70" s="16"/>
      <c r="G70" s="14"/>
    </row>
    <row r="71" spans="1:12" s="2" customFormat="1" ht="16.5" customHeight="1" thickBot="1">
      <c r="A71" s="12" t="s">
        <v>888</v>
      </c>
      <c r="B71" s="20" t="s">
        <v>838</v>
      </c>
      <c r="C71" s="8">
        <v>2743</v>
      </c>
      <c r="D71" s="17">
        <f>SUM(C71/$C$72)</f>
        <v>5.455123998170356E-2</v>
      </c>
      <c r="E71" s="16"/>
      <c r="G71" s="14"/>
    </row>
    <row r="72" spans="1:12" s="2" customFormat="1" ht="16.5" customHeight="1">
      <c r="A72" s="75"/>
      <c r="B72" s="76"/>
      <c r="C72" s="23">
        <f>SUM(C69:C71)</f>
        <v>50283</v>
      </c>
      <c r="D72" s="17"/>
      <c r="E72" s="10" t="s">
        <v>1874</v>
      </c>
      <c r="F72" s="21">
        <f>(C69-C70)</f>
        <v>12412</v>
      </c>
    </row>
    <row r="73" spans="1:12" s="2" customFormat="1" ht="12" customHeight="1">
      <c r="A73" s="1"/>
    </row>
    <row r="74" spans="1:12" s="2" customFormat="1" ht="16.5" customHeight="1">
      <c r="A74" s="1" t="s">
        <v>892</v>
      </c>
    </row>
    <row r="75" spans="1:12" s="2" customFormat="1" ht="9.75" customHeight="1" thickBot="1">
      <c r="A75" s="3"/>
    </row>
    <row r="76" spans="1:12" s="2" customFormat="1" ht="16.5" customHeight="1" thickBot="1">
      <c r="A76" s="4" t="s">
        <v>1244</v>
      </c>
      <c r="B76" s="5" t="s">
        <v>1245</v>
      </c>
      <c r="C76" s="5" t="s">
        <v>1248</v>
      </c>
      <c r="D76" s="10"/>
      <c r="E76" s="10" t="s">
        <v>1413</v>
      </c>
      <c r="F76" s="11">
        <f>(51842/69399)</f>
        <v>0.74701364572976559</v>
      </c>
    </row>
    <row r="77" spans="1:12" s="2" customFormat="1" ht="16.5" customHeight="1" thickBot="1">
      <c r="A77" s="6" t="s">
        <v>2313</v>
      </c>
      <c r="B77" s="9" t="s">
        <v>2107</v>
      </c>
      <c r="C77" s="36">
        <v>21337</v>
      </c>
      <c r="D77" s="17">
        <f>SUM(C77/$C$81)</f>
        <v>0.41157748543651868</v>
      </c>
      <c r="E77" s="16"/>
    </row>
    <row r="78" spans="1:12" s="2" customFormat="1" ht="16.5" customHeight="1" thickBot="1">
      <c r="A78" s="12" t="s">
        <v>890</v>
      </c>
      <c r="B78" s="20" t="s">
        <v>574</v>
      </c>
      <c r="C78" s="8">
        <v>14678</v>
      </c>
      <c r="D78" s="17">
        <f>SUM(C78/$C$81)</f>
        <v>0.28312950889240385</v>
      </c>
      <c r="E78" s="16"/>
      <c r="G78" s="14"/>
    </row>
    <row r="79" spans="1:12" s="2" customFormat="1" ht="16.5" customHeight="1" thickBot="1">
      <c r="A79" s="12" t="s">
        <v>2329</v>
      </c>
      <c r="B79" s="80" t="s">
        <v>363</v>
      </c>
      <c r="C79" s="8">
        <v>12571</v>
      </c>
      <c r="D79" s="17">
        <f>SUM(C79/$C$81)</f>
        <v>0.24248678677520158</v>
      </c>
      <c r="E79" s="16"/>
      <c r="G79" s="14"/>
    </row>
    <row r="80" spans="1:12" s="2" customFormat="1" ht="16.5" customHeight="1" thickBot="1">
      <c r="A80" s="12" t="s">
        <v>891</v>
      </c>
      <c r="B80" s="20" t="s">
        <v>838</v>
      </c>
      <c r="C80" s="8">
        <v>3256</v>
      </c>
      <c r="D80" s="17">
        <f>SUM(C80/$C$81)</f>
        <v>6.2806218895875926E-2</v>
      </c>
      <c r="E80" s="16"/>
      <c r="G80" s="14"/>
    </row>
    <row r="81" spans="1:7" s="2" customFormat="1" ht="16.5" customHeight="1">
      <c r="A81" s="75"/>
      <c r="B81" s="76"/>
      <c r="C81" s="23">
        <f>SUM(C77:C80)</f>
        <v>51842</v>
      </c>
      <c r="D81" s="17"/>
      <c r="E81" s="10" t="s">
        <v>1874</v>
      </c>
      <c r="F81" s="21">
        <f>(C77-C78)</f>
        <v>6659</v>
      </c>
    </row>
    <row r="82" spans="1:7" s="2" customFormat="1" ht="12" customHeight="1">
      <c r="A82" s="1"/>
    </row>
    <row r="83" spans="1:7" s="2" customFormat="1" ht="16.5" customHeight="1">
      <c r="A83" s="1" t="s">
        <v>896</v>
      </c>
    </row>
    <row r="84" spans="1:7" s="2" customFormat="1" ht="9.75" customHeight="1" thickBot="1">
      <c r="A84" s="3"/>
    </row>
    <row r="85" spans="1:7" s="2" customFormat="1" ht="16.5" customHeight="1" thickBot="1">
      <c r="A85" s="4" t="s">
        <v>1244</v>
      </c>
      <c r="B85" s="5" t="s">
        <v>1245</v>
      </c>
      <c r="C85" s="5" t="s">
        <v>1248</v>
      </c>
      <c r="D85" s="10"/>
      <c r="E85" s="10" t="s">
        <v>1413</v>
      </c>
      <c r="F85" s="11">
        <f>(39314/57558)</f>
        <v>0.68303276694812187</v>
      </c>
    </row>
    <row r="86" spans="1:7" s="2" customFormat="1" ht="16.5" customHeight="1" thickBot="1">
      <c r="A86" s="6" t="s">
        <v>749</v>
      </c>
      <c r="B86" s="9" t="s">
        <v>2107</v>
      </c>
      <c r="C86" s="36">
        <v>27422</v>
      </c>
      <c r="D86" s="17">
        <f>SUM(C86/$C$90)</f>
        <v>0.69751233657221345</v>
      </c>
      <c r="E86" s="16"/>
    </row>
    <row r="87" spans="1:7" s="2" customFormat="1" ht="16.5" customHeight="1" thickBot="1">
      <c r="A87" s="12" t="s">
        <v>893</v>
      </c>
      <c r="B87" s="80" t="s">
        <v>363</v>
      </c>
      <c r="C87" s="8">
        <v>8792</v>
      </c>
      <c r="D87" s="17">
        <f>SUM(C87/$C$90)</f>
        <v>0.22363534618710892</v>
      </c>
      <c r="E87" s="16"/>
      <c r="G87" s="14"/>
    </row>
    <row r="88" spans="1:7" s="2" customFormat="1" ht="16.5" customHeight="1" thickBot="1">
      <c r="A88" s="12" t="s">
        <v>894</v>
      </c>
      <c r="B88" s="91" t="s">
        <v>522</v>
      </c>
      <c r="C88" s="8">
        <v>1941</v>
      </c>
      <c r="D88" s="17">
        <f>SUM(C88/$C$90)</f>
        <v>4.9371725085211378E-2</v>
      </c>
      <c r="E88" s="16"/>
      <c r="G88" s="14"/>
    </row>
    <row r="89" spans="1:7" s="2" customFormat="1" ht="16.5" customHeight="1" thickBot="1">
      <c r="A89" s="12" t="s">
        <v>895</v>
      </c>
      <c r="B89" s="20" t="s">
        <v>838</v>
      </c>
      <c r="C89" s="8">
        <v>1159</v>
      </c>
      <c r="D89" s="17">
        <f>SUM(C89/$C$90)</f>
        <v>2.9480592155466247E-2</v>
      </c>
      <c r="E89" s="16"/>
      <c r="G89" s="14"/>
    </row>
    <row r="90" spans="1:7" s="2" customFormat="1" ht="16.5" customHeight="1">
      <c r="A90" s="75"/>
      <c r="B90" s="76"/>
      <c r="C90" s="23">
        <f>SUM(C86:C89)</f>
        <v>39314</v>
      </c>
      <c r="D90" s="17"/>
      <c r="E90" s="10" t="s">
        <v>1874</v>
      </c>
      <c r="F90" s="21">
        <f>(C86-C87)</f>
        <v>18630</v>
      </c>
    </row>
    <row r="91" spans="1:7" s="2" customFormat="1" ht="12" customHeight="1">
      <c r="A91" s="1"/>
    </row>
    <row r="92" spans="1:7" s="2" customFormat="1" ht="16.5" customHeight="1">
      <c r="A92" s="1" t="s">
        <v>899</v>
      </c>
    </row>
    <row r="93" spans="1:7" s="2" customFormat="1" ht="9.75" customHeight="1" thickBot="1">
      <c r="A93" s="3"/>
    </row>
    <row r="94" spans="1:7" s="2" customFormat="1" ht="16.5" customHeight="1" thickBot="1">
      <c r="A94" s="4" t="s">
        <v>1244</v>
      </c>
      <c r="B94" s="5" t="s">
        <v>1245</v>
      </c>
      <c r="C94" s="5" t="s">
        <v>1248</v>
      </c>
      <c r="D94" s="10"/>
      <c r="E94" s="10" t="s">
        <v>1413</v>
      </c>
      <c r="F94" s="11">
        <f>(42186/58196)</f>
        <v>0.72489518179943635</v>
      </c>
    </row>
    <row r="95" spans="1:7" s="2" customFormat="1" ht="16.5" customHeight="1" thickBot="1">
      <c r="A95" s="6" t="s">
        <v>750</v>
      </c>
      <c r="B95" s="9" t="s">
        <v>2107</v>
      </c>
      <c r="C95" s="36">
        <v>24804</v>
      </c>
      <c r="D95" s="17">
        <f>SUM(C95/$C$98)</f>
        <v>0.58796757218034423</v>
      </c>
      <c r="E95" s="16"/>
    </row>
    <row r="96" spans="1:7" s="2" customFormat="1" ht="16.5" customHeight="1" thickBot="1">
      <c r="A96" s="12" t="s">
        <v>897</v>
      </c>
      <c r="B96" s="80" t="s">
        <v>363</v>
      </c>
      <c r="C96" s="8">
        <v>15555</v>
      </c>
      <c r="D96" s="17">
        <f>SUM(C96/$C$98)</f>
        <v>0.36872422130564642</v>
      </c>
      <c r="E96" s="16"/>
      <c r="G96" s="14"/>
    </row>
    <row r="97" spans="1:7" s="2" customFormat="1" ht="16.5" customHeight="1" thickBot="1">
      <c r="A97" s="12" t="s">
        <v>898</v>
      </c>
      <c r="B97" s="20" t="s">
        <v>838</v>
      </c>
      <c r="C97" s="8">
        <v>1827</v>
      </c>
      <c r="D97" s="17">
        <f>SUM(C97/$C$98)</f>
        <v>4.3308206514009386E-2</v>
      </c>
      <c r="E97" s="16"/>
      <c r="G97" s="14"/>
    </row>
    <row r="98" spans="1:7" s="2" customFormat="1" ht="16.5" customHeight="1">
      <c r="A98" s="75"/>
      <c r="B98" s="76"/>
      <c r="C98" s="23">
        <f>SUM(C95:C97)</f>
        <v>42186</v>
      </c>
      <c r="D98" s="17"/>
      <c r="E98" s="10" t="s">
        <v>1874</v>
      </c>
      <c r="F98" s="21">
        <f>(C95-C96)</f>
        <v>9249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28"/>
  <dimension ref="A1:L98"/>
  <sheetViews>
    <sheetView workbookViewId="0">
      <selection activeCell="L1" sqref="L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903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(39428/64022)</f>
        <v>0.6158508012870576</v>
      </c>
    </row>
    <row r="4" spans="1:7" s="2" customFormat="1" ht="16.5" customHeight="1" thickBot="1">
      <c r="A4" s="6" t="s">
        <v>901</v>
      </c>
      <c r="B4" s="9" t="s">
        <v>2107</v>
      </c>
      <c r="C4" s="36">
        <v>32080</v>
      </c>
      <c r="D4" s="17">
        <f>SUM(C4/$C$6)</f>
        <v>0.81363498021710456</v>
      </c>
      <c r="E4" s="16"/>
    </row>
    <row r="5" spans="1:7" s="2" customFormat="1" ht="16.5" customHeight="1" thickBot="1">
      <c r="A5" s="12" t="s">
        <v>902</v>
      </c>
      <c r="B5" s="13" t="s">
        <v>1247</v>
      </c>
      <c r="C5" s="8">
        <v>7348</v>
      </c>
      <c r="D5" s="17">
        <f>SUM(C5/$C$6)</f>
        <v>0.18636501978289541</v>
      </c>
      <c r="E5" s="16"/>
      <c r="G5" s="14"/>
    </row>
    <row r="6" spans="1:7" s="2" customFormat="1" ht="16.5" customHeight="1">
      <c r="A6" s="75"/>
      <c r="B6" s="76"/>
      <c r="C6" s="23">
        <f>SUM(C4:C5)</f>
        <v>39428</v>
      </c>
      <c r="D6" s="17"/>
      <c r="E6" s="10" t="s">
        <v>1874</v>
      </c>
      <c r="F6" s="21">
        <f>(C4-C5)</f>
        <v>24732</v>
      </c>
    </row>
    <row r="7" spans="1:7" s="2" customFormat="1" ht="12" customHeight="1">
      <c r="A7" s="1"/>
      <c r="D7" s="11"/>
    </row>
    <row r="8" spans="1:7" s="2" customFormat="1" ht="16.5" customHeight="1">
      <c r="A8" s="1" t="s">
        <v>904</v>
      </c>
    </row>
    <row r="9" spans="1:7" s="2" customFormat="1" ht="9.75" customHeight="1" thickBot="1">
      <c r="A9" s="3"/>
    </row>
    <row r="10" spans="1:7" s="2" customFormat="1" ht="16.5" customHeight="1" thickBot="1">
      <c r="A10" s="4" t="s">
        <v>1244</v>
      </c>
      <c r="B10" s="5" t="s">
        <v>1245</v>
      </c>
      <c r="C10" s="5" t="s">
        <v>1248</v>
      </c>
      <c r="D10" s="10"/>
      <c r="E10" s="10" t="s">
        <v>1413</v>
      </c>
      <c r="F10" s="11">
        <f>(47263/66607)</f>
        <v>0.70958007416637892</v>
      </c>
    </row>
    <row r="11" spans="1:7" s="2" customFormat="1" ht="16.5" customHeight="1" thickBot="1">
      <c r="A11" s="6" t="s">
        <v>841</v>
      </c>
      <c r="B11" s="9" t="s">
        <v>2107</v>
      </c>
      <c r="C11" s="36">
        <v>33093</v>
      </c>
      <c r="D11" s="17">
        <f>SUM(C11/$C$13)</f>
        <v>0.7001883079787572</v>
      </c>
      <c r="E11" s="16"/>
    </row>
    <row r="12" spans="1:7" s="2" customFormat="1" ht="16.5" customHeight="1" thickBot="1">
      <c r="A12" s="12" t="s">
        <v>840</v>
      </c>
      <c r="B12" s="13" t="s">
        <v>1247</v>
      </c>
      <c r="C12" s="8">
        <v>14170</v>
      </c>
      <c r="D12" s="17">
        <f>SUM(C12/$C$13)</f>
        <v>0.29981169202124286</v>
      </c>
      <c r="E12" s="16"/>
      <c r="G12" s="14"/>
    </row>
    <row r="13" spans="1:7" s="2" customFormat="1" ht="16.5" customHeight="1">
      <c r="A13" s="75"/>
      <c r="B13" s="76"/>
      <c r="C13" s="23">
        <f>SUM(C11:C12)</f>
        <v>47263</v>
      </c>
      <c r="D13" s="17"/>
      <c r="E13" s="10" t="s">
        <v>1874</v>
      </c>
      <c r="F13" s="21">
        <f>(C11-C12)</f>
        <v>18923</v>
      </c>
    </row>
    <row r="14" spans="1:7" s="2" customFormat="1" ht="12" customHeight="1">
      <c r="A14" s="1"/>
    </row>
    <row r="15" spans="1:7" s="2" customFormat="1" ht="16.5" customHeight="1">
      <c r="A15" s="1" t="s">
        <v>906</v>
      </c>
    </row>
    <row r="16" spans="1:7" s="2" customFormat="1" ht="9.75" customHeight="1" thickBot="1">
      <c r="A16" s="3"/>
    </row>
    <row r="17" spans="1:7" s="2" customFormat="1" ht="16.5" customHeight="1" thickBot="1">
      <c r="A17" s="4" t="s">
        <v>1244</v>
      </c>
      <c r="B17" s="5" t="s">
        <v>1245</v>
      </c>
      <c r="C17" s="5" t="s">
        <v>1248</v>
      </c>
      <c r="D17" s="10"/>
      <c r="E17" s="10" t="s">
        <v>1413</v>
      </c>
      <c r="F17" s="11">
        <f>(51401/73241)</f>
        <v>0.70180636528720253</v>
      </c>
    </row>
    <row r="18" spans="1:7" s="2" customFormat="1" ht="16.5" customHeight="1" thickBot="1">
      <c r="A18" s="6" t="s">
        <v>796</v>
      </c>
      <c r="B18" s="9" t="s">
        <v>2107</v>
      </c>
      <c r="C18" s="36">
        <v>37529</v>
      </c>
      <c r="D18" s="17">
        <f>SUM(C18/$C$20)</f>
        <v>0.73012198206260581</v>
      </c>
      <c r="E18" s="16"/>
    </row>
    <row r="19" spans="1:7" s="2" customFormat="1" ht="16.5" customHeight="1" thickBot="1">
      <c r="A19" s="12" t="s">
        <v>905</v>
      </c>
      <c r="B19" s="13" t="s">
        <v>1247</v>
      </c>
      <c r="C19" s="8">
        <v>13872</v>
      </c>
      <c r="D19" s="17">
        <f>SUM(C19/$C$20)</f>
        <v>0.26987801793739419</v>
      </c>
      <c r="E19" s="16"/>
      <c r="G19" s="14"/>
    </row>
    <row r="20" spans="1:7" s="2" customFormat="1" ht="16.5" customHeight="1">
      <c r="A20" s="75"/>
      <c r="B20" s="76"/>
      <c r="C20" s="23">
        <f>SUM(C18:C19)</f>
        <v>51401</v>
      </c>
      <c r="D20" s="17"/>
      <c r="E20" s="10" t="s">
        <v>1874</v>
      </c>
      <c r="F20" s="21">
        <f>(C18-C19)</f>
        <v>23657</v>
      </c>
    </row>
    <row r="21" spans="1:7" s="2" customFormat="1" ht="12" customHeight="1">
      <c r="A21" s="1"/>
    </row>
    <row r="22" spans="1:7" s="2" customFormat="1" ht="16.5" customHeight="1">
      <c r="A22" s="1" t="s">
        <v>907</v>
      </c>
    </row>
    <row r="23" spans="1:7" s="2" customFormat="1" ht="9.75" customHeight="1" thickBot="1">
      <c r="A23" s="3"/>
    </row>
    <row r="24" spans="1:7" s="2" customFormat="1" ht="16.5" customHeight="1" thickBot="1">
      <c r="A24" s="4" t="s">
        <v>1244</v>
      </c>
      <c r="B24" s="5" t="s">
        <v>1245</v>
      </c>
      <c r="C24" s="5" t="s">
        <v>1248</v>
      </c>
      <c r="D24" s="10"/>
      <c r="E24" s="10" t="s">
        <v>1413</v>
      </c>
      <c r="F24" s="11">
        <f>(47148/73416)</f>
        <v>0.64220333442301403</v>
      </c>
    </row>
    <row r="25" spans="1:7" s="2" customFormat="1" ht="16.5" customHeight="1" thickBot="1">
      <c r="A25" s="6" t="s">
        <v>374</v>
      </c>
      <c r="B25" s="9" t="s">
        <v>2107</v>
      </c>
      <c r="C25" s="36">
        <v>40325</v>
      </c>
      <c r="D25" s="17">
        <f>SUM(C25/$C$27)</f>
        <v>0.85528548400780524</v>
      </c>
      <c r="E25" s="16"/>
    </row>
    <row r="26" spans="1:7" s="2" customFormat="1" ht="16.5" customHeight="1" thickBot="1">
      <c r="A26" s="12" t="s">
        <v>874</v>
      </c>
      <c r="B26" s="13" t="s">
        <v>1247</v>
      </c>
      <c r="C26" s="8">
        <v>6823</v>
      </c>
      <c r="D26" s="17">
        <f>SUM(C26/$C$27)</f>
        <v>0.14471451599219479</v>
      </c>
      <c r="E26" s="16"/>
      <c r="G26" s="14"/>
    </row>
    <row r="27" spans="1:7" s="2" customFormat="1" ht="16.5" customHeight="1">
      <c r="A27" s="75"/>
      <c r="B27" s="76"/>
      <c r="C27" s="23">
        <f>SUM(C25:C26)</f>
        <v>47148</v>
      </c>
      <c r="D27" s="17"/>
      <c r="E27" s="10" t="s">
        <v>1874</v>
      </c>
      <c r="F27" s="21">
        <f>(C25-C26)</f>
        <v>33502</v>
      </c>
    </row>
    <row r="28" spans="1:7" s="2" customFormat="1" ht="12" customHeight="1">
      <c r="A28" s="1"/>
    </row>
    <row r="29" spans="1:7" s="2" customFormat="1" ht="16.5" customHeight="1">
      <c r="A29" s="1" t="s">
        <v>909</v>
      </c>
    </row>
    <row r="30" spans="1:7" s="2" customFormat="1" ht="9.75" customHeight="1" thickBot="1">
      <c r="A30" s="3"/>
    </row>
    <row r="31" spans="1:7" s="2" customFormat="1" ht="16.5" customHeight="1" thickBot="1">
      <c r="A31" s="4" t="s">
        <v>1244</v>
      </c>
      <c r="B31" s="5" t="s">
        <v>1245</v>
      </c>
      <c r="C31" s="5" t="s">
        <v>1248</v>
      </c>
      <c r="D31" s="10"/>
      <c r="E31" s="10" t="s">
        <v>1413</v>
      </c>
      <c r="F31" s="11">
        <f>(43803/77627)</f>
        <v>0.56427531657799479</v>
      </c>
    </row>
    <row r="32" spans="1:7" s="2" customFormat="1" ht="16.5" customHeight="1" thickBot="1">
      <c r="A32" s="6" t="s">
        <v>762</v>
      </c>
      <c r="B32" s="9" t="s">
        <v>2107</v>
      </c>
      <c r="C32" s="36">
        <v>36875</v>
      </c>
      <c r="D32" s="17">
        <f>SUM(C32/$C$34)</f>
        <v>0.84183731707873888</v>
      </c>
      <c r="E32" s="16"/>
    </row>
    <row r="33" spans="1:10" s="2" customFormat="1" ht="16.5" customHeight="1" thickBot="1">
      <c r="A33" s="12" t="s">
        <v>908</v>
      </c>
      <c r="B33" s="13" t="s">
        <v>1247</v>
      </c>
      <c r="C33" s="8">
        <v>6928</v>
      </c>
      <c r="D33" s="17">
        <f>SUM(C33/$C$34)</f>
        <v>0.15816268292126109</v>
      </c>
      <c r="E33" s="16"/>
      <c r="G33" s="14"/>
    </row>
    <row r="34" spans="1:10" s="2" customFormat="1" ht="16.5" customHeight="1">
      <c r="A34" s="75"/>
      <c r="B34" s="76"/>
      <c r="C34" s="23">
        <f>SUM(C32:C33)</f>
        <v>43803</v>
      </c>
      <c r="D34" s="17"/>
      <c r="E34" s="10" t="s">
        <v>1874</v>
      </c>
      <c r="F34" s="21">
        <f>(C32-C33)</f>
        <v>29947</v>
      </c>
    </row>
    <row r="35" spans="1:10" s="2" customFormat="1" ht="12" customHeight="1">
      <c r="A35" s="1"/>
    </row>
    <row r="36" spans="1:10" s="2" customFormat="1" ht="16.5" customHeight="1">
      <c r="A36" s="1" t="s">
        <v>911</v>
      </c>
    </row>
    <row r="37" spans="1:10" s="2" customFormat="1" ht="9.75" customHeight="1" thickBot="1">
      <c r="A37" s="3"/>
    </row>
    <row r="38" spans="1:10" s="2" customFormat="1" ht="16.5" customHeight="1" thickBot="1">
      <c r="A38" s="4" t="s">
        <v>1244</v>
      </c>
      <c r="B38" s="5" t="s">
        <v>1245</v>
      </c>
      <c r="C38" s="5" t="s">
        <v>1248</v>
      </c>
      <c r="D38" s="10"/>
      <c r="E38" s="10" t="s">
        <v>1413</v>
      </c>
      <c r="F38" s="11">
        <f>(55531/93655)</f>
        <v>0.59293150392397631</v>
      </c>
    </row>
    <row r="39" spans="1:10" s="2" customFormat="1" ht="16.5" customHeight="1" thickBot="1">
      <c r="A39" s="6" t="s">
        <v>850</v>
      </c>
      <c r="B39" s="9" t="s">
        <v>2107</v>
      </c>
      <c r="C39" s="36">
        <v>52786</v>
      </c>
      <c r="D39" s="17">
        <f>SUM(C39/$C$41)</f>
        <v>0.95056815112279625</v>
      </c>
      <c r="E39" s="16"/>
    </row>
    <row r="40" spans="1:10" s="2" customFormat="1" ht="16.5" customHeight="1" thickBot="1">
      <c r="A40" s="12" t="s">
        <v>910</v>
      </c>
      <c r="B40" s="13" t="s">
        <v>1247</v>
      </c>
      <c r="C40" s="8">
        <v>2745</v>
      </c>
      <c r="D40" s="17">
        <f>SUM(C40/$C$41)</f>
        <v>4.9431848877203727E-2</v>
      </c>
      <c r="E40" s="16"/>
      <c r="G40" s="14"/>
    </row>
    <row r="41" spans="1:10" s="2" customFormat="1" ht="16.5" customHeight="1">
      <c r="A41" s="75"/>
      <c r="B41" s="76"/>
      <c r="C41" s="23">
        <f>SUM(C39:C40)</f>
        <v>55531</v>
      </c>
      <c r="D41" s="17"/>
      <c r="E41" s="10" t="s">
        <v>1874</v>
      </c>
      <c r="F41" s="21">
        <f>(C39-C40)</f>
        <v>50041</v>
      </c>
    </row>
    <row r="42" spans="1:10" s="2" customFormat="1" ht="12" customHeight="1">
      <c r="A42" s="1"/>
    </row>
    <row r="43" spans="1:10" s="2" customFormat="1" ht="16.5" customHeight="1">
      <c r="A43" s="1" t="s">
        <v>914</v>
      </c>
      <c r="J43" s="93"/>
    </row>
    <row r="44" spans="1:10" s="2" customFormat="1" ht="9.75" customHeight="1" thickBot="1">
      <c r="A44" s="3"/>
    </row>
    <row r="45" spans="1:10" s="2" customFormat="1" ht="16.5" customHeight="1" thickBot="1">
      <c r="A45" s="4" t="s">
        <v>1244</v>
      </c>
      <c r="B45" s="5" t="s">
        <v>1245</v>
      </c>
      <c r="C45" s="5" t="s">
        <v>1248</v>
      </c>
      <c r="D45" s="10"/>
      <c r="E45" s="10" t="s">
        <v>1413</v>
      </c>
      <c r="F45" s="11">
        <f>(45087/69880)</f>
        <v>0.64520606754436172</v>
      </c>
    </row>
    <row r="46" spans="1:10" s="2" customFormat="1" ht="16.5" customHeight="1" thickBot="1">
      <c r="A46" s="6" t="s">
        <v>912</v>
      </c>
      <c r="B46" s="9" t="s">
        <v>2107</v>
      </c>
      <c r="C46" s="36">
        <v>42807</v>
      </c>
      <c r="D46" s="17">
        <f>SUM(C46/$C$48)</f>
        <v>0.94943109987357777</v>
      </c>
      <c r="E46" s="16"/>
    </row>
    <row r="47" spans="1:10" s="2" customFormat="1" ht="16.5" customHeight="1" thickBot="1">
      <c r="A47" s="12" t="s">
        <v>913</v>
      </c>
      <c r="B47" s="13" t="s">
        <v>1247</v>
      </c>
      <c r="C47" s="8">
        <v>2280</v>
      </c>
      <c r="D47" s="17">
        <f>SUM(C47/$C$48)</f>
        <v>5.0568900126422248E-2</v>
      </c>
      <c r="E47" s="16"/>
      <c r="G47" s="14"/>
    </row>
    <row r="48" spans="1:10" s="2" customFormat="1" ht="16.5" customHeight="1">
      <c r="A48" s="75"/>
      <c r="B48" s="76"/>
      <c r="C48" s="23">
        <f>SUM(C46:C47)</f>
        <v>45087</v>
      </c>
      <c r="D48" s="17"/>
      <c r="E48" s="10" t="s">
        <v>1874</v>
      </c>
      <c r="F48" s="21">
        <f>(C46-C47)</f>
        <v>40527</v>
      </c>
    </row>
    <row r="49" spans="1:12" s="2" customFormat="1" ht="12" customHeight="1">
      <c r="A49" s="1"/>
    </row>
    <row r="50" spans="1:12" s="2" customFormat="1" ht="16.5" customHeight="1">
      <c r="A50" s="1" t="s">
        <v>916</v>
      </c>
    </row>
    <row r="51" spans="1:12" s="2" customFormat="1" ht="9.75" customHeight="1" thickBot="1">
      <c r="A51" s="3"/>
    </row>
    <row r="52" spans="1:12" s="2" customFormat="1" ht="16.5" customHeight="1" thickBot="1">
      <c r="A52" s="4" t="s">
        <v>1244</v>
      </c>
      <c r="B52" s="5" t="s">
        <v>1245</v>
      </c>
      <c r="C52" s="5" t="s">
        <v>1248</v>
      </c>
      <c r="D52" s="10"/>
      <c r="E52" s="10" t="s">
        <v>1413</v>
      </c>
      <c r="F52" s="11">
        <f>(52812/89886)</f>
        <v>0.58754422268206397</v>
      </c>
    </row>
    <row r="53" spans="1:12" s="2" customFormat="1" ht="16.5" customHeight="1" thickBot="1">
      <c r="A53" s="6" t="s">
        <v>854</v>
      </c>
      <c r="B53" s="9" t="s">
        <v>2107</v>
      </c>
      <c r="C53" s="36">
        <v>51773</v>
      </c>
      <c r="D53" s="17">
        <f>SUM(C53/$C$55)</f>
        <v>0.98032644096038779</v>
      </c>
      <c r="E53" s="16"/>
    </row>
    <row r="54" spans="1:12" s="2" customFormat="1" ht="16.5" customHeight="1" thickBot="1">
      <c r="A54" s="12" t="s">
        <v>915</v>
      </c>
      <c r="B54" s="13" t="s">
        <v>1247</v>
      </c>
      <c r="C54" s="8">
        <v>1039</v>
      </c>
      <c r="D54" s="17">
        <f>SUM(C54/$C$55)</f>
        <v>1.967355903961221E-2</v>
      </c>
      <c r="E54" s="16"/>
      <c r="G54" s="14"/>
    </row>
    <row r="55" spans="1:12" s="2" customFormat="1" ht="16.5" customHeight="1">
      <c r="A55" s="75"/>
      <c r="B55" s="76"/>
      <c r="C55" s="23">
        <f>SUM(C53:C54)</f>
        <v>52812</v>
      </c>
      <c r="D55" s="17"/>
      <c r="E55" s="10" t="s">
        <v>1874</v>
      </c>
      <c r="F55" s="21">
        <f>(C53-C54)</f>
        <v>50734</v>
      </c>
    </row>
    <row r="56" spans="1:12" s="2" customFormat="1" ht="12" customHeight="1">
      <c r="A56" s="1"/>
      <c r="E56"/>
      <c r="L56"/>
    </row>
    <row r="57" spans="1:12" s="2" customFormat="1" ht="16.5" customHeight="1">
      <c r="A57" s="1" t="s">
        <v>918</v>
      </c>
    </row>
    <row r="58" spans="1:12" s="2" customFormat="1" ht="9.75" customHeight="1" thickBot="1">
      <c r="A58" s="3"/>
    </row>
    <row r="59" spans="1:12" s="2" customFormat="1" ht="16.5" customHeight="1" thickBot="1">
      <c r="A59" s="4" t="s">
        <v>1244</v>
      </c>
      <c r="B59" s="5" t="s">
        <v>1245</v>
      </c>
      <c r="C59" s="5" t="s">
        <v>1248</v>
      </c>
      <c r="D59" s="10"/>
      <c r="E59" s="10" t="s">
        <v>1413</v>
      </c>
      <c r="F59" s="11">
        <f>(52969/74494)</f>
        <v>0.71105055440706633</v>
      </c>
    </row>
    <row r="60" spans="1:12" s="2" customFormat="1" ht="16.5" customHeight="1" thickBot="1">
      <c r="A60" s="6" t="s">
        <v>917</v>
      </c>
      <c r="B60" s="9" t="s">
        <v>2107</v>
      </c>
      <c r="C60" s="36">
        <v>32173</v>
      </c>
      <c r="D60" s="17">
        <f>SUM(C60/$C$63)</f>
        <v>0.60739300345485092</v>
      </c>
      <c r="E60" s="16"/>
    </row>
    <row r="61" spans="1:12" s="2" customFormat="1" ht="16.5" customHeight="1" thickBot="1">
      <c r="A61" s="12" t="s">
        <v>887</v>
      </c>
      <c r="B61" s="80" t="s">
        <v>363</v>
      </c>
      <c r="C61" s="8">
        <v>18640</v>
      </c>
      <c r="D61" s="17">
        <f>SUM(C61/$C$63)</f>
        <v>0.35190394381619439</v>
      </c>
      <c r="E61" s="16"/>
      <c r="G61" s="14"/>
    </row>
    <row r="62" spans="1:12" s="2" customFormat="1" ht="16.5" customHeight="1" thickBot="1">
      <c r="A62" s="12" t="s">
        <v>888</v>
      </c>
      <c r="B62" s="13" t="s">
        <v>1247</v>
      </c>
      <c r="C62" s="8">
        <v>2156</v>
      </c>
      <c r="D62" s="17">
        <f>SUM(C62/$C$63)</f>
        <v>4.0703052728954671E-2</v>
      </c>
      <c r="E62" s="16"/>
      <c r="G62" s="14"/>
    </row>
    <row r="63" spans="1:12" s="2" customFormat="1" ht="16.5" customHeight="1">
      <c r="A63" s="75"/>
      <c r="B63" s="76"/>
      <c r="C63" s="23">
        <f>SUM(C60:C62)</f>
        <v>52969</v>
      </c>
      <c r="D63" s="17"/>
      <c r="E63" s="10" t="s">
        <v>1874</v>
      </c>
      <c r="F63" s="21">
        <f>(C60-C61)</f>
        <v>13533</v>
      </c>
    </row>
    <row r="64" spans="1:12" s="2" customFormat="1" ht="12" customHeight="1">
      <c r="A64" s="1"/>
    </row>
    <row r="65" spans="1:7" s="2" customFormat="1" ht="16.5" customHeight="1">
      <c r="A65" s="1" t="s">
        <v>922</v>
      </c>
    </row>
    <row r="66" spans="1:7" s="2" customFormat="1" ht="9.75" customHeight="1" thickBot="1">
      <c r="A66" s="3"/>
    </row>
    <row r="67" spans="1:7" s="2" customFormat="1" ht="16.5" customHeight="1" thickBot="1">
      <c r="A67" s="4" t="s">
        <v>1244</v>
      </c>
      <c r="B67" s="5" t="s">
        <v>1245</v>
      </c>
      <c r="C67" s="5" t="s">
        <v>1248</v>
      </c>
      <c r="D67" s="10"/>
      <c r="E67" s="10" t="s">
        <v>1413</v>
      </c>
      <c r="F67" s="11">
        <f>(53376/73405)</f>
        <v>0.72714392752537294</v>
      </c>
    </row>
    <row r="68" spans="1:7" s="2" customFormat="1" ht="16.5" customHeight="1" thickBot="1">
      <c r="A68" s="6" t="s">
        <v>919</v>
      </c>
      <c r="B68" s="9" t="s">
        <v>2107</v>
      </c>
      <c r="C68" s="36">
        <v>28898</v>
      </c>
      <c r="D68" s="17">
        <f>SUM(C68/$C$71)</f>
        <v>0.54140437649880091</v>
      </c>
      <c r="E68" s="16"/>
    </row>
    <row r="69" spans="1:7" s="2" customFormat="1" ht="16.5" customHeight="1" thickBot="1">
      <c r="A69" s="12" t="s">
        <v>920</v>
      </c>
      <c r="B69" s="78" t="s">
        <v>2039</v>
      </c>
      <c r="C69" s="8">
        <v>20062</v>
      </c>
      <c r="D69" s="17">
        <f>SUM(C69/$C$71)</f>
        <v>0.37586181055155876</v>
      </c>
      <c r="E69" s="16"/>
      <c r="G69" s="14"/>
    </row>
    <row r="70" spans="1:7" s="2" customFormat="1" ht="16.5" customHeight="1" thickBot="1">
      <c r="A70" s="12" t="s">
        <v>921</v>
      </c>
      <c r="B70" s="13" t="s">
        <v>1247</v>
      </c>
      <c r="C70" s="8">
        <v>4416</v>
      </c>
      <c r="D70" s="17">
        <f>SUM(C70/$C$71)</f>
        <v>8.2733812949640287E-2</v>
      </c>
      <c r="E70" s="16"/>
      <c r="G70" s="14"/>
    </row>
    <row r="71" spans="1:7" s="2" customFormat="1" ht="16.5" customHeight="1">
      <c r="A71" s="75"/>
      <c r="B71" s="76"/>
      <c r="C71" s="23">
        <f>SUM(C68:C70)</f>
        <v>53376</v>
      </c>
      <c r="D71" s="17"/>
      <c r="E71" s="10" t="s">
        <v>1874</v>
      </c>
      <c r="F71" s="21">
        <f>(C68-C69)</f>
        <v>8836</v>
      </c>
    </row>
    <row r="72" spans="1:7" s="2" customFormat="1" ht="12" customHeight="1">
      <c r="A72" s="1"/>
    </row>
    <row r="73" spans="1:7" s="2" customFormat="1" ht="16.5" customHeight="1">
      <c r="A73" s="1" t="s">
        <v>926</v>
      </c>
    </row>
    <row r="74" spans="1:7" s="2" customFormat="1" ht="9.75" customHeight="1" thickBot="1">
      <c r="A74" s="3"/>
    </row>
    <row r="75" spans="1:7" s="2" customFormat="1" ht="16.5" customHeight="1" thickBot="1">
      <c r="A75" s="4" t="s">
        <v>1244</v>
      </c>
      <c r="B75" s="5" t="s">
        <v>1245</v>
      </c>
      <c r="C75" s="5" t="s">
        <v>1248</v>
      </c>
      <c r="D75" s="10"/>
      <c r="E75" s="10" t="s">
        <v>1413</v>
      </c>
      <c r="F75" s="11">
        <f>(43169/59864)</f>
        <v>0.72111786716557535</v>
      </c>
    </row>
    <row r="76" spans="1:7" s="2" customFormat="1" ht="16.5" customHeight="1" thickBot="1">
      <c r="A76" s="6" t="s">
        <v>923</v>
      </c>
      <c r="B76" s="9" t="s">
        <v>2107</v>
      </c>
      <c r="C76" s="36">
        <v>30164</v>
      </c>
      <c r="D76" s="17">
        <f>SUM(C76/$C$80)</f>
        <v>0.69874215293381825</v>
      </c>
      <c r="E76" s="16"/>
    </row>
    <row r="77" spans="1:7" s="2" customFormat="1" ht="16.5" customHeight="1" thickBot="1">
      <c r="A77" s="12" t="s">
        <v>924</v>
      </c>
      <c r="B77" s="80" t="s">
        <v>363</v>
      </c>
      <c r="C77" s="8">
        <v>9318</v>
      </c>
      <c r="D77" s="17">
        <f>SUM(C77/$C$80)</f>
        <v>0.21584933632931039</v>
      </c>
      <c r="E77" s="16"/>
      <c r="G77" s="14"/>
    </row>
    <row r="78" spans="1:7" s="2" customFormat="1" ht="16.5" customHeight="1" thickBot="1">
      <c r="A78" s="12" t="s">
        <v>855</v>
      </c>
      <c r="B78" s="91" t="s">
        <v>522</v>
      </c>
      <c r="C78" s="8">
        <v>3253</v>
      </c>
      <c r="D78" s="17">
        <f>SUM(C78/$C$80)</f>
        <v>7.5355000115823856E-2</v>
      </c>
      <c r="E78" s="16"/>
      <c r="G78" s="14"/>
    </row>
    <row r="79" spans="1:7" s="2" customFormat="1" ht="16.5" customHeight="1" thickBot="1">
      <c r="A79" s="12" t="s">
        <v>925</v>
      </c>
      <c r="B79" s="13" t="s">
        <v>1247</v>
      </c>
      <c r="C79" s="8">
        <v>434</v>
      </c>
      <c r="D79" s="17">
        <f>SUM(C79/$C$80)</f>
        <v>1.005351062104751E-2</v>
      </c>
      <c r="E79" s="16"/>
      <c r="G79" s="14"/>
    </row>
    <row r="80" spans="1:7" s="2" customFormat="1" ht="16.5" customHeight="1">
      <c r="A80" s="75"/>
      <c r="B80" s="76"/>
      <c r="C80" s="23">
        <f>SUM(C76:C79)</f>
        <v>43169</v>
      </c>
      <c r="D80" s="17"/>
      <c r="E80" s="10" t="s">
        <v>1874</v>
      </c>
      <c r="F80" s="21">
        <f>(C76-C77)</f>
        <v>20846</v>
      </c>
    </row>
    <row r="81" spans="1:7" s="2" customFormat="1" ht="12" customHeight="1">
      <c r="A81" s="1"/>
    </row>
    <row r="82" spans="1:7" s="2" customFormat="1" ht="16.5" customHeight="1">
      <c r="A82" s="1" t="s">
        <v>929</v>
      </c>
    </row>
    <row r="83" spans="1:7" s="2" customFormat="1" ht="9.75" customHeight="1" thickBot="1">
      <c r="A83" s="3"/>
    </row>
    <row r="84" spans="1:7" s="2" customFormat="1" ht="16.5" customHeight="1" thickBot="1">
      <c r="A84" s="4" t="s">
        <v>1244</v>
      </c>
      <c r="B84" s="5" t="s">
        <v>1245</v>
      </c>
      <c r="C84" s="5" t="s">
        <v>1248</v>
      </c>
      <c r="D84" s="10"/>
      <c r="E84" s="10" t="s">
        <v>1413</v>
      </c>
      <c r="F84" s="11">
        <f>(44126/58663)</f>
        <v>0.75219473944394255</v>
      </c>
    </row>
    <row r="85" spans="1:7" s="2" customFormat="1" ht="16.5" customHeight="1" thickBot="1">
      <c r="A85" s="6" t="s">
        <v>750</v>
      </c>
      <c r="B85" s="9" t="s">
        <v>2107</v>
      </c>
      <c r="C85" s="36">
        <v>26510</v>
      </c>
      <c r="D85" s="17">
        <f>SUM(C85/$C$88)</f>
        <v>0.60077958573176815</v>
      </c>
      <c r="E85" s="16"/>
    </row>
    <row r="86" spans="1:7" s="2" customFormat="1" ht="16.5" customHeight="1" thickBot="1">
      <c r="A86" s="12" t="s">
        <v>927</v>
      </c>
      <c r="B86" s="80" t="s">
        <v>363</v>
      </c>
      <c r="C86" s="8">
        <v>16412</v>
      </c>
      <c r="D86" s="17">
        <f>SUM(C86/$C$88)</f>
        <v>0.37193491365634773</v>
      </c>
      <c r="E86" s="16"/>
      <c r="G86" s="14"/>
    </row>
    <row r="87" spans="1:7" s="2" customFormat="1" ht="16.5" customHeight="1" thickBot="1">
      <c r="A87" s="12" t="s">
        <v>928</v>
      </c>
      <c r="B87" s="13" t="s">
        <v>1247</v>
      </c>
      <c r="C87" s="8">
        <v>1204</v>
      </c>
      <c r="D87" s="17">
        <f>SUM(C87/$C$88)</f>
        <v>2.7285500611884148E-2</v>
      </c>
      <c r="E87" s="16"/>
      <c r="G87" s="14"/>
    </row>
    <row r="88" spans="1:7" s="2" customFormat="1" ht="16.5" customHeight="1">
      <c r="A88" s="75"/>
      <c r="B88" s="76"/>
      <c r="C88" s="23">
        <f>SUM(C85:C87)</f>
        <v>44126</v>
      </c>
      <c r="D88" s="17"/>
      <c r="E88" s="10" t="s">
        <v>1874</v>
      </c>
      <c r="F88" s="21">
        <f>(C85-C86)</f>
        <v>10098</v>
      </c>
    </row>
    <row r="90" spans="1:7" ht="15">
      <c r="A90" s="104" t="s">
        <v>1072</v>
      </c>
    </row>
    <row r="91" spans="1:7" s="2" customFormat="1" ht="16.5" customHeight="1">
      <c r="A91" s="1" t="s">
        <v>0</v>
      </c>
    </row>
    <row r="92" spans="1:7" s="2" customFormat="1" ht="9.75" customHeight="1" thickBot="1">
      <c r="A92" s="3"/>
    </row>
    <row r="93" spans="1:7" s="2" customFormat="1" ht="16.5" customHeight="1" thickBot="1">
      <c r="A93" s="4" t="s">
        <v>1244</v>
      </c>
      <c r="B93" s="5" t="s">
        <v>1245</v>
      </c>
      <c r="C93" s="5" t="s">
        <v>1248</v>
      </c>
      <c r="D93" s="10"/>
      <c r="E93" s="10" t="s">
        <v>1413</v>
      </c>
      <c r="F93" s="11">
        <f>(27972/57864)</f>
        <v>0.48340937370385734</v>
      </c>
    </row>
    <row r="94" spans="1:7" s="2" customFormat="1" ht="16.5" customHeight="1" thickBot="1">
      <c r="A94" s="6" t="s">
        <v>1242</v>
      </c>
      <c r="B94" s="9" t="s">
        <v>2107</v>
      </c>
      <c r="C94" s="36">
        <v>17989</v>
      </c>
      <c r="D94" s="17">
        <f>SUM(C94/$C$97)</f>
        <v>0.64310739310739307</v>
      </c>
      <c r="E94" s="16"/>
    </row>
    <row r="95" spans="1:7" s="2" customFormat="1" ht="16.5" customHeight="1" thickBot="1">
      <c r="A95" s="12" t="s">
        <v>924</v>
      </c>
      <c r="B95" s="80" t="s">
        <v>363</v>
      </c>
      <c r="C95" s="8">
        <v>7209</v>
      </c>
      <c r="D95" s="17">
        <f>SUM(C95/$C$97)</f>
        <v>0.25772200772200771</v>
      </c>
      <c r="E95" s="16"/>
      <c r="G95" s="14"/>
    </row>
    <row r="96" spans="1:7" s="2" customFormat="1" ht="16.5" customHeight="1" thickBot="1">
      <c r="A96" s="12" t="s">
        <v>1243</v>
      </c>
      <c r="B96" s="91" t="s">
        <v>522</v>
      </c>
      <c r="C96" s="8">
        <v>2774</v>
      </c>
      <c r="D96" s="17">
        <f>SUM(C96/$C$97)</f>
        <v>9.9170599170599172E-2</v>
      </c>
      <c r="E96" s="16"/>
      <c r="G96" s="14"/>
    </row>
    <row r="97" spans="1:6" s="2" customFormat="1" ht="16.5" customHeight="1">
      <c r="A97" s="75"/>
      <c r="B97" s="76"/>
      <c r="C97" s="23">
        <f>SUM(C94:C96)</f>
        <v>27972</v>
      </c>
      <c r="D97" s="17"/>
      <c r="E97" s="10" t="s">
        <v>1874</v>
      </c>
      <c r="F97" s="21">
        <f>(C94-C95)</f>
        <v>10780</v>
      </c>
    </row>
    <row r="98" spans="1:6" s="2" customFormat="1" ht="12" customHeight="1">
      <c r="A98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29"/>
  <dimension ref="A1:L114"/>
  <sheetViews>
    <sheetView workbookViewId="0">
      <selection activeCell="J1" sqref="J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931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(60797/65770)</f>
        <v>0.92438801885358068</v>
      </c>
    </row>
    <row r="4" spans="1:7" s="2" customFormat="1" ht="16.5" customHeight="1" thickBot="1">
      <c r="A4" s="6" t="s">
        <v>930</v>
      </c>
      <c r="B4" s="25" t="s">
        <v>1247</v>
      </c>
      <c r="C4" s="36">
        <v>30529</v>
      </c>
      <c r="D4" s="17">
        <f>SUM(C4/$C$6)</f>
        <v>0.50214648749115909</v>
      </c>
      <c r="E4" s="16"/>
    </row>
    <row r="5" spans="1:7" s="2" customFormat="1" ht="16.5" customHeight="1" thickBot="1">
      <c r="A5" s="12" t="s">
        <v>900</v>
      </c>
      <c r="B5" s="22" t="s">
        <v>2107</v>
      </c>
      <c r="C5" s="8">
        <v>30268</v>
      </c>
      <c r="D5" s="17">
        <f>SUM(C5/$C$6)</f>
        <v>0.49785351250884091</v>
      </c>
      <c r="E5" s="16"/>
      <c r="G5" s="14"/>
    </row>
    <row r="6" spans="1:7" s="2" customFormat="1" ht="16.5" customHeight="1">
      <c r="A6" s="75"/>
      <c r="B6" s="76"/>
      <c r="C6" s="23">
        <f>SUM(C4:C5)</f>
        <v>60797</v>
      </c>
      <c r="D6" s="17"/>
      <c r="E6" s="10" t="s">
        <v>1874</v>
      </c>
      <c r="F6" s="21">
        <f>(C4-C5)</f>
        <v>261</v>
      </c>
    </row>
    <row r="7" spans="1:7" s="2" customFormat="1" ht="16.5" customHeight="1">
      <c r="A7" s="99" t="s">
        <v>932</v>
      </c>
      <c r="B7" s="76"/>
      <c r="C7" s="23"/>
      <c r="D7" s="17"/>
      <c r="E7" s="10"/>
      <c r="F7" s="21"/>
    </row>
    <row r="8" spans="1:7" s="2" customFormat="1" ht="12" customHeight="1">
      <c r="A8" s="1"/>
      <c r="D8" s="11"/>
    </row>
    <row r="9" spans="1:7" s="2" customFormat="1" ht="16.5" customHeight="1">
      <c r="A9" s="1" t="s">
        <v>934</v>
      </c>
    </row>
    <row r="10" spans="1:7" s="2" customFormat="1" ht="9.75" customHeight="1" thickBot="1">
      <c r="A10" s="3"/>
    </row>
    <row r="11" spans="1:7" s="2" customFormat="1" ht="16.5" customHeight="1" thickBot="1">
      <c r="A11" s="4" t="s">
        <v>1244</v>
      </c>
      <c r="B11" s="5" t="s">
        <v>1245</v>
      </c>
      <c r="C11" s="5" t="s">
        <v>1248</v>
      </c>
      <c r="D11" s="10"/>
      <c r="E11" s="10" t="s">
        <v>1413</v>
      </c>
      <c r="F11" s="11">
        <f>(59214/66847)</f>
        <v>0.8858138734722576</v>
      </c>
    </row>
    <row r="12" spans="1:7" s="2" customFormat="1" ht="16.5" customHeight="1" thickBot="1">
      <c r="A12" s="6" t="s">
        <v>840</v>
      </c>
      <c r="B12" s="25" t="s">
        <v>1247</v>
      </c>
      <c r="C12" s="36">
        <v>29737</v>
      </c>
      <c r="D12" s="17">
        <f>SUM(C12/$C$14)</f>
        <v>0.50219542675718576</v>
      </c>
      <c r="E12" s="16"/>
    </row>
    <row r="13" spans="1:7" s="2" customFormat="1" ht="16.5" customHeight="1" thickBot="1">
      <c r="A13" s="12" t="s">
        <v>933</v>
      </c>
      <c r="B13" s="22" t="s">
        <v>2107</v>
      </c>
      <c r="C13" s="8">
        <v>29477</v>
      </c>
      <c r="D13" s="17">
        <f>SUM(C13/$C$14)</f>
        <v>0.49780457324281419</v>
      </c>
      <c r="E13" s="16"/>
      <c r="G13" s="14"/>
    </row>
    <row r="14" spans="1:7" s="2" customFormat="1" ht="16.5" customHeight="1">
      <c r="A14" s="75"/>
      <c r="B14" s="76"/>
      <c r="C14" s="23">
        <f>SUM(C12:C13)</f>
        <v>59214</v>
      </c>
      <c r="D14" s="17"/>
      <c r="E14" s="10" t="s">
        <v>1874</v>
      </c>
      <c r="F14" s="21">
        <f>(C12-C13)</f>
        <v>260</v>
      </c>
    </row>
    <row r="15" spans="1:7" s="2" customFormat="1" ht="16.5" customHeight="1">
      <c r="A15" s="99" t="s">
        <v>935</v>
      </c>
      <c r="B15" s="76"/>
      <c r="C15" s="23"/>
      <c r="D15" s="17"/>
      <c r="E15" s="10"/>
      <c r="F15" s="21"/>
    </row>
    <row r="16" spans="1:7" s="2" customFormat="1" ht="12" customHeight="1">
      <c r="A16" s="1"/>
    </row>
    <row r="17" spans="1:7" s="2" customFormat="1" ht="16.5" customHeight="1">
      <c r="A17" s="1" t="s">
        <v>937</v>
      </c>
    </row>
    <row r="18" spans="1:7" s="2" customFormat="1" ht="9.75" customHeight="1" thickBot="1">
      <c r="A18" s="3"/>
    </row>
    <row r="19" spans="1:7" s="2" customFormat="1" ht="16.5" customHeight="1" thickBot="1">
      <c r="A19" s="4" t="s">
        <v>1244</v>
      </c>
      <c r="B19" s="5" t="s">
        <v>1245</v>
      </c>
      <c r="C19" s="5" t="s">
        <v>1248</v>
      </c>
      <c r="D19" s="10"/>
      <c r="E19" s="10" t="s">
        <v>1413</v>
      </c>
      <c r="F19" s="11">
        <f>(55313/71297)</f>
        <v>0.77581104394294287</v>
      </c>
    </row>
    <row r="20" spans="1:7" s="2" customFormat="1" ht="16.5" customHeight="1" thickBot="1">
      <c r="A20" s="6" t="s">
        <v>936</v>
      </c>
      <c r="B20" s="9" t="s">
        <v>2107</v>
      </c>
      <c r="C20" s="36">
        <v>35673</v>
      </c>
      <c r="D20" s="17">
        <f>SUM(C20/$C$22)</f>
        <v>0.64492976334677199</v>
      </c>
      <c r="E20" s="16"/>
    </row>
    <row r="21" spans="1:7" s="2" customFormat="1" ht="16.5" customHeight="1" thickBot="1">
      <c r="A21" s="12" t="s">
        <v>905</v>
      </c>
      <c r="B21" s="13" t="s">
        <v>1247</v>
      </c>
      <c r="C21" s="8">
        <v>19640</v>
      </c>
      <c r="D21" s="17">
        <f>SUM(C21/$C$22)</f>
        <v>0.35507023665322801</v>
      </c>
      <c r="E21" s="16"/>
      <c r="G21" s="14"/>
    </row>
    <row r="22" spans="1:7" s="2" customFormat="1" ht="16.5" customHeight="1">
      <c r="A22" s="75"/>
      <c r="B22" s="76"/>
      <c r="C22" s="23">
        <f>SUM(C20:C21)</f>
        <v>55313</v>
      </c>
      <c r="D22" s="17"/>
      <c r="E22" s="10" t="s">
        <v>1874</v>
      </c>
      <c r="F22" s="21">
        <f>(C20-C21)</f>
        <v>16033</v>
      </c>
    </row>
    <row r="23" spans="1:7" s="2" customFormat="1" ht="12" customHeight="1">
      <c r="A23" s="1"/>
    </row>
    <row r="24" spans="1:7" s="2" customFormat="1" ht="16.5" customHeight="1">
      <c r="A24" s="1" t="s">
        <v>940</v>
      </c>
    </row>
    <row r="25" spans="1:7" s="2" customFormat="1" ht="9.75" customHeight="1" thickBot="1">
      <c r="A25" s="3"/>
    </row>
    <row r="26" spans="1:7" s="2" customFormat="1" ht="16.5" customHeight="1" thickBot="1">
      <c r="A26" s="4" t="s">
        <v>1244</v>
      </c>
      <c r="B26" s="5" t="s">
        <v>1245</v>
      </c>
      <c r="C26" s="5" t="s">
        <v>1248</v>
      </c>
      <c r="D26" s="10"/>
      <c r="E26" s="10" t="s">
        <v>1413</v>
      </c>
      <c r="F26" s="11">
        <f>(59980/72492)</f>
        <v>0.82740164431937313</v>
      </c>
    </row>
    <row r="27" spans="1:7" s="2" customFormat="1" ht="16.5" customHeight="1" thickBot="1">
      <c r="A27" s="6" t="s">
        <v>938</v>
      </c>
      <c r="B27" s="9" t="s">
        <v>2107</v>
      </c>
      <c r="C27" s="36">
        <v>38617</v>
      </c>
      <c r="D27" s="17">
        <f>SUM(C27/$C$29)</f>
        <v>0.6438312770923641</v>
      </c>
      <c r="E27" s="16"/>
    </row>
    <row r="28" spans="1:7" s="2" customFormat="1" ht="16.5" customHeight="1" thickBot="1">
      <c r="A28" s="12" t="s">
        <v>939</v>
      </c>
      <c r="B28" s="13" t="s">
        <v>1247</v>
      </c>
      <c r="C28" s="8">
        <v>21363</v>
      </c>
      <c r="D28" s="17">
        <f>SUM(C28/$C$29)</f>
        <v>0.3561687229076359</v>
      </c>
      <c r="E28" s="16"/>
      <c r="G28" s="14"/>
    </row>
    <row r="29" spans="1:7" s="2" customFormat="1" ht="16.5" customHeight="1">
      <c r="A29" s="75"/>
      <c r="B29" s="76"/>
      <c r="C29" s="23">
        <f>SUM(C27:C28)</f>
        <v>59980</v>
      </c>
      <c r="D29" s="17"/>
      <c r="E29" s="10" t="s">
        <v>1874</v>
      </c>
      <c r="F29" s="21">
        <f>(C27-C28)</f>
        <v>17254</v>
      </c>
    </row>
    <row r="30" spans="1:7" s="2" customFormat="1" ht="12" customHeight="1">
      <c r="A30" s="1"/>
    </row>
    <row r="31" spans="1:7" s="2" customFormat="1" ht="16.5" customHeight="1">
      <c r="A31" s="1" t="s">
        <v>941</v>
      </c>
    </row>
    <row r="32" spans="1:7" s="2" customFormat="1" ht="9.75" customHeight="1" thickBot="1">
      <c r="A32" s="3"/>
    </row>
    <row r="33" spans="1:10" s="2" customFormat="1" ht="16.5" customHeight="1" thickBot="1">
      <c r="A33" s="4" t="s">
        <v>1244</v>
      </c>
      <c r="B33" s="5" t="s">
        <v>1245</v>
      </c>
      <c r="C33" s="5" t="s">
        <v>1248</v>
      </c>
      <c r="D33" s="10"/>
      <c r="E33" s="10" t="s">
        <v>1413</v>
      </c>
      <c r="F33" s="11">
        <f>(57545/77832)</f>
        <v>0.73934885394182337</v>
      </c>
    </row>
    <row r="34" spans="1:10" s="2" customFormat="1" ht="16.5" customHeight="1" thickBot="1">
      <c r="A34" s="6" t="s">
        <v>762</v>
      </c>
      <c r="B34" s="9" t="s">
        <v>2107</v>
      </c>
      <c r="C34" s="36">
        <v>37921</v>
      </c>
      <c r="D34" s="17">
        <f>SUM(C34/$C$36)</f>
        <v>0.65897992875141198</v>
      </c>
      <c r="E34" s="16"/>
    </row>
    <row r="35" spans="1:10" s="2" customFormat="1" ht="16.5" customHeight="1" thickBot="1">
      <c r="A35" s="12" t="s">
        <v>908</v>
      </c>
      <c r="B35" s="13" t="s">
        <v>1247</v>
      </c>
      <c r="C35" s="8">
        <v>19624</v>
      </c>
      <c r="D35" s="17">
        <f>SUM(C35/$C$36)</f>
        <v>0.34102007124858807</v>
      </c>
      <c r="E35" s="16"/>
      <c r="G35" s="14"/>
    </row>
    <row r="36" spans="1:10" s="2" customFormat="1" ht="16.5" customHeight="1">
      <c r="A36" s="75"/>
      <c r="B36" s="76"/>
      <c r="C36" s="23">
        <f>SUM(C34:C35)</f>
        <v>57545</v>
      </c>
      <c r="D36" s="17"/>
      <c r="E36" s="10" t="s">
        <v>1874</v>
      </c>
      <c r="F36" s="21">
        <f>(C34-C35)</f>
        <v>18297</v>
      </c>
    </row>
    <row r="37" spans="1:10" s="2" customFormat="1" ht="12" customHeight="1">
      <c r="A37" s="1"/>
    </row>
    <row r="38" spans="1:10" s="2" customFormat="1" ht="16.5" customHeight="1">
      <c r="A38" s="1" t="s">
        <v>943</v>
      </c>
    </row>
    <row r="39" spans="1:10" s="2" customFormat="1" ht="9.75" customHeight="1" thickBot="1">
      <c r="A39" s="3"/>
    </row>
    <row r="40" spans="1:10" s="2" customFormat="1" ht="16.5" customHeight="1" thickBot="1">
      <c r="A40" s="4" t="s">
        <v>1244</v>
      </c>
      <c r="B40" s="5" t="s">
        <v>1245</v>
      </c>
      <c r="C40" s="5" t="s">
        <v>1248</v>
      </c>
      <c r="D40" s="10"/>
      <c r="E40" s="10" t="s">
        <v>1413</v>
      </c>
      <c r="F40" s="11">
        <f>(55502/84939)</f>
        <v>0.65343364061267495</v>
      </c>
    </row>
    <row r="41" spans="1:10" s="2" customFormat="1" ht="16.5" customHeight="1" thickBot="1">
      <c r="A41" s="6" t="s">
        <v>942</v>
      </c>
      <c r="B41" s="9" t="s">
        <v>2107</v>
      </c>
      <c r="C41" s="36">
        <v>50347</v>
      </c>
      <c r="D41" s="17">
        <f>SUM(C41/$C$43)</f>
        <v>0.90712046412741887</v>
      </c>
      <c r="E41" s="16"/>
    </row>
    <row r="42" spans="1:10" s="2" customFormat="1" ht="16.5" customHeight="1" thickBot="1">
      <c r="A42" s="12" t="s">
        <v>910</v>
      </c>
      <c r="B42" s="13" t="s">
        <v>1247</v>
      </c>
      <c r="C42" s="8">
        <v>5155</v>
      </c>
      <c r="D42" s="17">
        <f>SUM(C42/$C$43)</f>
        <v>9.2879535872581173E-2</v>
      </c>
      <c r="E42" s="16"/>
      <c r="G42" s="14"/>
    </row>
    <row r="43" spans="1:10" s="2" customFormat="1" ht="16.5" customHeight="1">
      <c r="A43" s="75"/>
      <c r="B43" s="76"/>
      <c r="C43" s="23">
        <f>SUM(C41:C42)</f>
        <v>55502</v>
      </c>
      <c r="D43" s="17"/>
      <c r="E43" s="10" t="s">
        <v>1874</v>
      </c>
      <c r="F43" s="21">
        <f>(C41-C42)</f>
        <v>45192</v>
      </c>
    </row>
    <row r="44" spans="1:10" s="2" customFormat="1" ht="12" customHeight="1">
      <c r="A44" s="1"/>
    </row>
    <row r="45" spans="1:10" s="2" customFormat="1" ht="16.5" customHeight="1">
      <c r="A45" s="1" t="s">
        <v>945</v>
      </c>
      <c r="J45" s="93"/>
    </row>
    <row r="46" spans="1:10" s="2" customFormat="1" ht="9.75" customHeight="1" thickBot="1">
      <c r="A46" s="3"/>
    </row>
    <row r="47" spans="1:10" s="2" customFormat="1" ht="16.5" customHeight="1" thickBot="1">
      <c r="A47" s="4" t="s">
        <v>1244</v>
      </c>
      <c r="B47" s="5" t="s">
        <v>1245</v>
      </c>
      <c r="C47" s="5" t="s">
        <v>1248</v>
      </c>
      <c r="D47" s="10"/>
      <c r="E47" s="10" t="s">
        <v>1413</v>
      </c>
      <c r="F47" s="11">
        <f>(48572/67315)</f>
        <v>0.72156280175295251</v>
      </c>
    </row>
    <row r="48" spans="1:10" s="2" customFormat="1" ht="16.5" customHeight="1" thickBot="1">
      <c r="A48" s="6" t="s">
        <v>944</v>
      </c>
      <c r="B48" s="9" t="s">
        <v>2107</v>
      </c>
      <c r="C48" s="36">
        <v>41763</v>
      </c>
      <c r="D48" s="17">
        <f>SUM(C48/$C$50)</f>
        <v>0.85981635510170473</v>
      </c>
      <c r="E48" s="16"/>
    </row>
    <row r="49" spans="1:12" s="2" customFormat="1" ht="16.5" customHeight="1" thickBot="1">
      <c r="A49" s="12" t="s">
        <v>913</v>
      </c>
      <c r="B49" s="13" t="s">
        <v>1247</v>
      </c>
      <c r="C49" s="8">
        <v>6809</v>
      </c>
      <c r="D49" s="17">
        <f>SUM(C49/$C$50)</f>
        <v>0.14018364489829532</v>
      </c>
      <c r="E49" s="16"/>
      <c r="G49" s="14"/>
    </row>
    <row r="50" spans="1:12" s="2" customFormat="1" ht="16.5" customHeight="1">
      <c r="A50" s="75"/>
      <c r="B50" s="76"/>
      <c r="C50" s="23">
        <f>SUM(C48:C49)</f>
        <v>48572</v>
      </c>
      <c r="D50" s="17"/>
      <c r="E50" s="10" t="s">
        <v>1874</v>
      </c>
      <c r="F50" s="21">
        <f>(C48-C49)</f>
        <v>34954</v>
      </c>
    </row>
    <row r="51" spans="1:12" s="2" customFormat="1" ht="12" customHeight="1">
      <c r="A51" s="1"/>
    </row>
    <row r="52" spans="1:12" s="2" customFormat="1" ht="16.5" customHeight="1">
      <c r="A52" s="1" t="s">
        <v>947</v>
      </c>
    </row>
    <row r="53" spans="1:12" s="2" customFormat="1" ht="9.75" customHeight="1" thickBot="1">
      <c r="A53" s="3"/>
    </row>
    <row r="54" spans="1:12" s="2" customFormat="1" ht="16.5" customHeight="1" thickBot="1">
      <c r="A54" s="4" t="s">
        <v>1244</v>
      </c>
      <c r="B54" s="5" t="s">
        <v>1245</v>
      </c>
      <c r="C54" s="5" t="s">
        <v>1248</v>
      </c>
      <c r="D54" s="10"/>
      <c r="E54" s="10" t="s">
        <v>1413</v>
      </c>
      <c r="F54" s="11">
        <f>(51952/84968)</f>
        <v>0.61143018548159311</v>
      </c>
    </row>
    <row r="55" spans="1:12" s="2" customFormat="1" ht="16.5" customHeight="1" thickBot="1">
      <c r="A55" s="6" t="s">
        <v>946</v>
      </c>
      <c r="B55" s="9" t="s">
        <v>2107</v>
      </c>
      <c r="C55" s="36">
        <v>50315</v>
      </c>
      <c r="D55" s="17">
        <f>SUM(C55/$C$57)</f>
        <v>0.96849014474899908</v>
      </c>
      <c r="E55" s="16"/>
    </row>
    <row r="56" spans="1:12" s="2" customFormat="1" ht="16.5" customHeight="1" thickBot="1">
      <c r="A56" s="12" t="s">
        <v>915</v>
      </c>
      <c r="B56" s="13" t="s">
        <v>1247</v>
      </c>
      <c r="C56" s="8">
        <v>1637</v>
      </c>
      <c r="D56" s="17">
        <f>SUM(C56/$C$57)</f>
        <v>3.1509855251000925E-2</v>
      </c>
      <c r="E56" s="16"/>
      <c r="G56" s="14"/>
    </row>
    <row r="57" spans="1:12" s="2" customFormat="1" ht="16.5" customHeight="1">
      <c r="A57" s="75"/>
      <c r="B57" s="76"/>
      <c r="C57" s="23">
        <f>SUM(C55:C56)</f>
        <v>51952</v>
      </c>
      <c r="D57" s="17"/>
      <c r="E57" s="10" t="s">
        <v>1874</v>
      </c>
      <c r="F57" s="21">
        <f>(C55-C56)</f>
        <v>48678</v>
      </c>
    </row>
    <row r="58" spans="1:12" s="2" customFormat="1" ht="12" customHeight="1">
      <c r="A58" s="1"/>
      <c r="E58"/>
      <c r="L58"/>
    </row>
    <row r="59" spans="1:12" s="2" customFormat="1" ht="16.5" customHeight="1">
      <c r="A59" s="1" t="s">
        <v>949</v>
      </c>
    </row>
    <row r="60" spans="1:12" s="2" customFormat="1" ht="9.75" customHeight="1" thickBot="1">
      <c r="A60" s="3"/>
    </row>
    <row r="61" spans="1:12" s="2" customFormat="1" ht="16.5" customHeight="1" thickBot="1">
      <c r="A61" s="4" t="s">
        <v>1244</v>
      </c>
      <c r="B61" s="5" t="s">
        <v>1245</v>
      </c>
      <c r="C61" s="5" t="s">
        <v>1248</v>
      </c>
      <c r="D61" s="10"/>
      <c r="E61" s="10" t="s">
        <v>1413</v>
      </c>
      <c r="F61" s="11">
        <f>(53344/76990)</f>
        <v>0.69286920379270034</v>
      </c>
    </row>
    <row r="62" spans="1:12" s="2" customFormat="1" ht="16.5" customHeight="1" thickBot="1">
      <c r="A62" s="6" t="s">
        <v>948</v>
      </c>
      <c r="B62" s="9" t="s">
        <v>2107</v>
      </c>
      <c r="C62" s="36">
        <v>33745</v>
      </c>
      <c r="D62" s="17">
        <f>SUM(C62/$C$65)</f>
        <v>0.63259223155368927</v>
      </c>
      <c r="E62" s="16"/>
    </row>
    <row r="63" spans="1:12" s="2" customFormat="1" ht="16.5" customHeight="1" thickBot="1">
      <c r="A63" s="12" t="s">
        <v>2329</v>
      </c>
      <c r="B63" s="80" t="s">
        <v>363</v>
      </c>
      <c r="C63" s="8">
        <v>15065</v>
      </c>
      <c r="D63" s="17">
        <f>SUM(C63/$C$65)</f>
        <v>0.28241226754649068</v>
      </c>
      <c r="E63" s="16"/>
      <c r="G63" s="14"/>
    </row>
    <row r="64" spans="1:12" s="2" customFormat="1" ht="16.5" customHeight="1" thickBot="1">
      <c r="A64" s="12" t="s">
        <v>888</v>
      </c>
      <c r="B64" s="13" t="s">
        <v>1247</v>
      </c>
      <c r="C64" s="8">
        <v>4534</v>
      </c>
      <c r="D64" s="17">
        <f>SUM(C64/$C$65)</f>
        <v>8.499550089982004E-2</v>
      </c>
      <c r="E64" s="16"/>
      <c r="G64" s="14"/>
    </row>
    <row r="65" spans="1:7" s="2" customFormat="1" ht="16.5" customHeight="1">
      <c r="A65" s="75"/>
      <c r="B65" s="76"/>
      <c r="C65" s="23">
        <f>SUM(C62:C64)</f>
        <v>53344</v>
      </c>
      <c r="D65" s="17"/>
      <c r="E65" s="10" t="s">
        <v>1874</v>
      </c>
      <c r="F65" s="21">
        <f>(C62-C63)</f>
        <v>18680</v>
      </c>
    </row>
    <row r="66" spans="1:7" s="2" customFormat="1" ht="12" customHeight="1">
      <c r="A66" s="1"/>
    </row>
    <row r="67" spans="1:7" s="2" customFormat="1" ht="16.5" customHeight="1">
      <c r="A67" s="1" t="s">
        <v>953</v>
      </c>
    </row>
    <row r="68" spans="1:7" s="2" customFormat="1" ht="9.75" customHeight="1" thickBot="1">
      <c r="A68" s="3"/>
    </row>
    <row r="69" spans="1:7" s="2" customFormat="1" ht="16.5" customHeight="1" thickBot="1">
      <c r="A69" s="4" t="s">
        <v>1244</v>
      </c>
      <c r="B69" s="5" t="s">
        <v>1245</v>
      </c>
      <c r="C69" s="5" t="s">
        <v>1248</v>
      </c>
      <c r="D69" s="10"/>
      <c r="E69" s="10" t="s">
        <v>1413</v>
      </c>
      <c r="F69" s="11">
        <f>(58688/78559)</f>
        <v>0.74705635255031255</v>
      </c>
    </row>
    <row r="70" spans="1:7" s="2" customFormat="1" ht="16.5" customHeight="1" thickBot="1">
      <c r="A70" s="6" t="s">
        <v>950</v>
      </c>
      <c r="B70" s="9" t="s">
        <v>2107</v>
      </c>
      <c r="C70" s="36">
        <v>34191</v>
      </c>
      <c r="D70" s="17">
        <f>SUM(C70/$C$73)</f>
        <v>0.5825892857142857</v>
      </c>
      <c r="E70" s="16"/>
    </row>
    <row r="71" spans="1:7" s="2" customFormat="1" ht="16.5" customHeight="1" thickBot="1">
      <c r="A71" s="12" t="s">
        <v>951</v>
      </c>
      <c r="B71" s="78" t="s">
        <v>954</v>
      </c>
      <c r="C71" s="8">
        <v>16050</v>
      </c>
      <c r="D71" s="17">
        <f>SUM(C71/$C$73)</f>
        <v>0.27348009814612867</v>
      </c>
      <c r="E71" s="16"/>
      <c r="G71" s="14"/>
    </row>
    <row r="72" spans="1:7" s="2" customFormat="1" ht="16.5" customHeight="1" thickBot="1">
      <c r="A72" s="12" t="s">
        <v>952</v>
      </c>
      <c r="B72" s="13" t="s">
        <v>1247</v>
      </c>
      <c r="C72" s="8">
        <v>8447</v>
      </c>
      <c r="D72" s="17">
        <f>SUM(C72/$C$73)</f>
        <v>0.1439306161395856</v>
      </c>
      <c r="E72" s="16"/>
      <c r="G72" s="14"/>
    </row>
    <row r="73" spans="1:7" s="2" customFormat="1" ht="16.5" customHeight="1">
      <c r="A73" s="75"/>
      <c r="B73" s="76"/>
      <c r="C73" s="23">
        <f>SUM(C70:C72)</f>
        <v>58688</v>
      </c>
      <c r="D73" s="17"/>
      <c r="E73" s="10" t="s">
        <v>1874</v>
      </c>
      <c r="F73" s="21">
        <f>(C70-C71)</f>
        <v>18141</v>
      </c>
    </row>
    <row r="74" spans="1:7" s="2" customFormat="1" ht="12" customHeight="1">
      <c r="A74" s="1"/>
    </row>
    <row r="75" spans="1:7" s="2" customFormat="1" ht="16.5" customHeight="1">
      <c r="A75" s="1" t="s">
        <v>957</v>
      </c>
    </row>
    <row r="76" spans="1:7" s="2" customFormat="1" ht="9.75" customHeight="1" thickBot="1">
      <c r="A76" s="3"/>
    </row>
    <row r="77" spans="1:7" s="2" customFormat="1" ht="16.5" customHeight="1" thickBot="1">
      <c r="A77" s="4" t="s">
        <v>1244</v>
      </c>
      <c r="B77" s="5" t="s">
        <v>1245</v>
      </c>
      <c r="C77" s="5" t="s">
        <v>1248</v>
      </c>
      <c r="D77" s="10"/>
      <c r="E77" s="10" t="s">
        <v>1413</v>
      </c>
      <c r="F77" s="11">
        <f>(42579/64844)</f>
        <v>0.65663746838566406</v>
      </c>
    </row>
    <row r="78" spans="1:7" s="2" customFormat="1" ht="16.5" customHeight="1" thickBot="1">
      <c r="A78" s="6" t="s">
        <v>923</v>
      </c>
      <c r="B78" s="9" t="s">
        <v>2107</v>
      </c>
      <c r="C78" s="36">
        <v>33392</v>
      </c>
      <c r="D78" s="17">
        <f>SUM(C78/$C$81)</f>
        <v>0.78423636064726743</v>
      </c>
      <c r="E78" s="16"/>
    </row>
    <row r="79" spans="1:7" s="2" customFormat="1" ht="16.5" customHeight="1" thickBot="1">
      <c r="A79" s="12" t="s">
        <v>955</v>
      </c>
      <c r="B79" s="80" t="s">
        <v>363</v>
      </c>
      <c r="C79" s="8">
        <v>7508</v>
      </c>
      <c r="D79" s="17">
        <f>SUM(C79/$C$81)</f>
        <v>0.17633105521501211</v>
      </c>
      <c r="E79" s="16"/>
      <c r="G79" s="14"/>
    </row>
    <row r="80" spans="1:7" s="2" customFormat="1" ht="16.5" customHeight="1" thickBot="1">
      <c r="A80" s="12" t="s">
        <v>956</v>
      </c>
      <c r="B80" s="13" t="s">
        <v>1247</v>
      </c>
      <c r="C80" s="8">
        <v>1679</v>
      </c>
      <c r="D80" s="17">
        <f>SUM(C80/$C$81)</f>
        <v>3.9432584137720474E-2</v>
      </c>
      <c r="E80" s="16"/>
      <c r="G80" s="14"/>
    </row>
    <row r="81" spans="1:7" s="2" customFormat="1" ht="16.5" customHeight="1">
      <c r="A81" s="75"/>
      <c r="B81" s="76"/>
      <c r="C81" s="23">
        <f>SUM(C78:C80)</f>
        <v>42579</v>
      </c>
      <c r="D81" s="17"/>
      <c r="E81" s="10" t="s">
        <v>1874</v>
      </c>
      <c r="F81" s="21">
        <f>(C78-C79)</f>
        <v>25884</v>
      </c>
    </row>
    <row r="82" spans="1:7" s="2" customFormat="1" ht="12" customHeight="1">
      <c r="A82" s="1"/>
    </row>
    <row r="83" spans="1:7" s="2" customFormat="1" ht="16.5" customHeight="1">
      <c r="A83" s="1" t="s">
        <v>961</v>
      </c>
    </row>
    <row r="84" spans="1:7" s="2" customFormat="1" ht="9.75" customHeight="1" thickBot="1">
      <c r="A84" s="3"/>
    </row>
    <row r="85" spans="1:7" s="2" customFormat="1" ht="16.5" customHeight="1" thickBot="1">
      <c r="A85" s="4" t="s">
        <v>1244</v>
      </c>
      <c r="B85" s="5" t="s">
        <v>1245</v>
      </c>
      <c r="C85" s="5" t="s">
        <v>1248</v>
      </c>
      <c r="D85" s="10"/>
      <c r="E85" s="10" t="s">
        <v>1413</v>
      </c>
      <c r="F85" s="11">
        <f>(43135/61258)</f>
        <v>0.70415292696464138</v>
      </c>
    </row>
    <row r="86" spans="1:7" s="2" customFormat="1" ht="16.5" customHeight="1" thickBot="1">
      <c r="A86" s="6" t="s">
        <v>958</v>
      </c>
      <c r="B86" s="9" t="s">
        <v>2107</v>
      </c>
      <c r="C86" s="36">
        <v>26938</v>
      </c>
      <c r="D86" s="17">
        <f>SUM(C86/$C$89)</f>
        <v>0.6245044627332792</v>
      </c>
      <c r="E86" s="16"/>
    </row>
    <row r="87" spans="1:7" s="2" customFormat="1" ht="16.5" customHeight="1" thickBot="1">
      <c r="A87" s="12" t="s">
        <v>959</v>
      </c>
      <c r="B87" s="80" t="s">
        <v>363</v>
      </c>
      <c r="C87" s="8">
        <v>13041</v>
      </c>
      <c r="D87" s="17">
        <f>SUM(C87/$C$89)</f>
        <v>0.30232989451721343</v>
      </c>
      <c r="E87" s="16"/>
      <c r="G87" s="14"/>
    </row>
    <row r="88" spans="1:7" s="2" customFormat="1" ht="16.5" customHeight="1" thickBot="1">
      <c r="A88" s="12" t="s">
        <v>960</v>
      </c>
      <c r="B88" s="13" t="s">
        <v>1247</v>
      </c>
      <c r="C88" s="8">
        <v>3156</v>
      </c>
      <c r="D88" s="17">
        <f>SUM(C88/$C$89)</f>
        <v>7.3165642749507362E-2</v>
      </c>
      <c r="E88" s="16"/>
      <c r="G88" s="14"/>
    </row>
    <row r="89" spans="1:7" s="2" customFormat="1" ht="16.5" customHeight="1">
      <c r="A89" s="75"/>
      <c r="B89" s="76"/>
      <c r="C89" s="23">
        <f>SUM(C86:C88)</f>
        <v>43135</v>
      </c>
      <c r="D89" s="17"/>
      <c r="E89" s="10" t="s">
        <v>1874</v>
      </c>
      <c r="F89" s="21">
        <f>(C86-C87)</f>
        <v>13897</v>
      </c>
    </row>
    <row r="91" spans="1:7" ht="15">
      <c r="A91" s="104" t="s">
        <v>1072</v>
      </c>
    </row>
    <row r="92" spans="1:7" s="2" customFormat="1" ht="16.5" customHeight="1">
      <c r="A92" s="1" t="s">
        <v>4</v>
      </c>
    </row>
    <row r="93" spans="1:7" s="2" customFormat="1" ht="9.75" customHeight="1" thickBot="1">
      <c r="A93" s="3"/>
    </row>
    <row r="94" spans="1:7" s="2" customFormat="1" ht="16.5" customHeight="1" thickBot="1">
      <c r="A94" s="4" t="s">
        <v>1244</v>
      </c>
      <c r="B94" s="5" t="s">
        <v>1245</v>
      </c>
      <c r="C94" s="5" t="s">
        <v>1248</v>
      </c>
      <c r="D94" s="10"/>
      <c r="E94" s="10" t="s">
        <v>1413</v>
      </c>
      <c r="F94" s="11">
        <f>(59978/66847)</f>
        <v>0.89724295779915331</v>
      </c>
    </row>
    <row r="95" spans="1:7" s="2" customFormat="1" ht="16.5" customHeight="1" thickBot="1">
      <c r="A95" s="6" t="s">
        <v>840</v>
      </c>
      <c r="B95" s="25" t="s">
        <v>1247</v>
      </c>
      <c r="C95" s="36">
        <v>30392</v>
      </c>
      <c r="D95" s="17">
        <f>SUM(C95/$C$97)</f>
        <v>0.50671913034779414</v>
      </c>
      <c r="E95" s="16"/>
    </row>
    <row r="96" spans="1:7" s="2" customFormat="1" ht="16.5" customHeight="1" thickBot="1">
      <c r="A96" s="12" t="s">
        <v>933</v>
      </c>
      <c r="B96" s="22" t="s">
        <v>2107</v>
      </c>
      <c r="C96" s="8">
        <v>29586</v>
      </c>
      <c r="D96" s="17">
        <f>SUM(C96/$C$97)</f>
        <v>0.4932808696522058</v>
      </c>
      <c r="E96" s="16"/>
      <c r="G96" s="14"/>
    </row>
    <row r="97" spans="1:7" s="2" customFormat="1" ht="16.5" customHeight="1">
      <c r="A97" s="75"/>
      <c r="B97" s="76"/>
      <c r="C97" s="23">
        <f>SUM(C95:C96)</f>
        <v>59978</v>
      </c>
      <c r="D97" s="17"/>
      <c r="E97" s="10" t="s">
        <v>1874</v>
      </c>
      <c r="F97" s="21">
        <f>(C95-C96)</f>
        <v>806</v>
      </c>
    </row>
    <row r="98" spans="1:7" s="2" customFormat="1" ht="16.5" customHeight="1">
      <c r="A98" s="99" t="s">
        <v>1</v>
      </c>
      <c r="B98" s="76"/>
      <c r="C98" s="23"/>
      <c r="D98" s="17"/>
      <c r="E98" s="10"/>
      <c r="F98" s="21"/>
    </row>
    <row r="99" spans="1:7" s="2" customFormat="1" ht="12" customHeight="1">
      <c r="A99" s="1"/>
    </row>
    <row r="100" spans="1:7" s="2" customFormat="1" ht="16.5" customHeight="1">
      <c r="A100" s="1" t="s">
        <v>3</v>
      </c>
    </row>
    <row r="101" spans="1:7" s="2" customFormat="1" ht="9.75" customHeight="1" thickBot="1">
      <c r="A101" s="3"/>
    </row>
    <row r="102" spans="1:7" s="2" customFormat="1" ht="16.5" customHeight="1" thickBot="1">
      <c r="A102" s="4" t="s">
        <v>1244</v>
      </c>
      <c r="B102" s="5" t="s">
        <v>1245</v>
      </c>
      <c r="C102" s="5" t="s">
        <v>1248</v>
      </c>
      <c r="D102" s="10"/>
      <c r="E102" s="10" t="s">
        <v>1413</v>
      </c>
      <c r="F102" s="11">
        <f>(59150/66891)</f>
        <v>0.88427441658818073</v>
      </c>
    </row>
    <row r="103" spans="1:7" s="2" customFormat="1" ht="16.5" customHeight="1" thickBot="1">
      <c r="A103" s="6" t="s">
        <v>2</v>
      </c>
      <c r="B103" s="77" t="s">
        <v>328</v>
      </c>
      <c r="C103" s="36">
        <v>28605</v>
      </c>
      <c r="D103" s="17">
        <f>SUM(C103/$C$106)</f>
        <v>0.48360101437024516</v>
      </c>
      <c r="E103" s="16"/>
    </row>
    <row r="104" spans="1:7" s="2" customFormat="1" ht="16.5" customHeight="1" thickBot="1">
      <c r="A104" s="12" t="s">
        <v>840</v>
      </c>
      <c r="B104" s="13" t="s">
        <v>1247</v>
      </c>
      <c r="C104" s="8">
        <v>24124</v>
      </c>
      <c r="D104" s="17">
        <f>SUM(C104/$C$106)</f>
        <v>0.40784446322907864</v>
      </c>
      <c r="E104" s="16"/>
      <c r="G104" s="14"/>
    </row>
    <row r="105" spans="1:7" s="2" customFormat="1" ht="16.5" customHeight="1" thickBot="1">
      <c r="A105" s="12" t="s">
        <v>965</v>
      </c>
      <c r="B105" s="20" t="s">
        <v>493</v>
      </c>
      <c r="C105" s="8">
        <v>6421</v>
      </c>
      <c r="D105" s="17">
        <f>SUM(C105/$C$106)</f>
        <v>0.10855452240067624</v>
      </c>
      <c r="E105" s="16"/>
      <c r="G105" s="14"/>
    </row>
    <row r="106" spans="1:7" s="2" customFormat="1" ht="16.5" customHeight="1">
      <c r="A106" s="75"/>
      <c r="B106" s="76"/>
      <c r="C106" s="23">
        <f>SUM(C103:C105)</f>
        <v>59150</v>
      </c>
      <c r="D106" s="17"/>
      <c r="E106" s="10" t="s">
        <v>1874</v>
      </c>
      <c r="F106" s="21">
        <f>(C103-C104)</f>
        <v>4481</v>
      </c>
    </row>
    <row r="107" spans="1:7" s="2" customFormat="1" ht="12" customHeight="1">
      <c r="A107" s="1"/>
    </row>
    <row r="108" spans="1:7" s="2" customFormat="1" ht="16.5" customHeight="1">
      <c r="A108" s="1" t="s">
        <v>7</v>
      </c>
    </row>
    <row r="109" spans="1:7" s="2" customFormat="1" ht="9.75" customHeight="1" thickBot="1">
      <c r="A109" s="3"/>
    </row>
    <row r="110" spans="1:7" s="2" customFormat="1" ht="16.5" customHeight="1" thickBot="1">
      <c r="A110" s="4" t="s">
        <v>1244</v>
      </c>
      <c r="B110" s="5" t="s">
        <v>1245</v>
      </c>
      <c r="C110" s="5" t="s">
        <v>1248</v>
      </c>
      <c r="D110" s="10"/>
      <c r="E110" s="10" t="s">
        <v>1413</v>
      </c>
      <c r="F110" s="11">
        <f>(33788/58388)</f>
        <v>0.57868055079810921</v>
      </c>
    </row>
    <row r="111" spans="1:7" s="2" customFormat="1" ht="16.5" customHeight="1" thickBot="1">
      <c r="A111" s="6" t="s">
        <v>5</v>
      </c>
      <c r="B111" s="9" t="s">
        <v>2107</v>
      </c>
      <c r="C111" s="36">
        <v>19524</v>
      </c>
      <c r="D111" s="17">
        <f>SUM(C111/$C$113)</f>
        <v>0.57783828578193441</v>
      </c>
      <c r="E111" s="16"/>
    </row>
    <row r="112" spans="1:7" s="2" customFormat="1" ht="16.5" customHeight="1" thickBot="1">
      <c r="A112" s="12" t="s">
        <v>6</v>
      </c>
      <c r="B112" s="80" t="s">
        <v>363</v>
      </c>
      <c r="C112" s="8">
        <v>14264</v>
      </c>
      <c r="D112" s="17">
        <f>SUM(C112/$C$113)</f>
        <v>0.42216171421806559</v>
      </c>
      <c r="E112" s="16"/>
      <c r="G112" s="14"/>
    </row>
    <row r="113" spans="1:6" s="2" customFormat="1" ht="16.5" customHeight="1">
      <c r="A113" s="75"/>
      <c r="B113" s="76"/>
      <c r="C113" s="23">
        <f>SUM(C111:C112)</f>
        <v>33788</v>
      </c>
      <c r="D113" s="17"/>
      <c r="E113" s="10" t="s">
        <v>1874</v>
      </c>
      <c r="F113" s="21">
        <f>(C111-C112)</f>
        <v>5260</v>
      </c>
    </row>
    <row r="114" spans="1:6" s="2" customFormat="1" ht="12" customHeight="1">
      <c r="A114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30"/>
  <dimension ref="A1:L99"/>
  <sheetViews>
    <sheetView workbookViewId="0">
      <selection activeCell="K1" sqref="K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964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(62799/67219)</f>
        <v>0.93424478198128502</v>
      </c>
    </row>
    <row r="4" spans="1:7" s="2" customFormat="1" ht="16.5" customHeight="1" thickBot="1">
      <c r="A4" s="6" t="s">
        <v>962</v>
      </c>
      <c r="B4" s="7" t="s">
        <v>493</v>
      </c>
      <c r="C4" s="36">
        <v>32717</v>
      </c>
      <c r="D4" s="17">
        <f>SUM(C4/$C$6)</f>
        <v>0.52097963343365339</v>
      </c>
      <c r="E4" s="16"/>
    </row>
    <row r="5" spans="1:7" s="2" customFormat="1" ht="16.5" customHeight="1" thickBot="1">
      <c r="A5" s="12" t="s">
        <v>963</v>
      </c>
      <c r="B5" s="22" t="s">
        <v>2107</v>
      </c>
      <c r="C5" s="8">
        <v>30082</v>
      </c>
      <c r="D5" s="17">
        <f>SUM(C5/$C$6)</f>
        <v>0.47902036656634661</v>
      </c>
      <c r="E5" s="16"/>
      <c r="G5" s="14"/>
    </row>
    <row r="6" spans="1:7" s="2" customFormat="1" ht="16.5" customHeight="1">
      <c r="A6" s="75"/>
      <c r="B6" s="76"/>
      <c r="C6" s="23">
        <f>SUM(C4:C5)</f>
        <v>62799</v>
      </c>
      <c r="D6" s="17"/>
      <c r="E6" s="10" t="s">
        <v>1874</v>
      </c>
      <c r="F6" s="21">
        <f>(C4-C5)</f>
        <v>2635</v>
      </c>
    </row>
    <row r="7" spans="1:7" s="2" customFormat="1" ht="12" customHeight="1">
      <c r="A7" s="1"/>
      <c r="D7" s="11"/>
    </row>
    <row r="8" spans="1:7" s="2" customFormat="1" ht="16.5" customHeight="1">
      <c r="A8" s="1" t="s">
        <v>967</v>
      </c>
    </row>
    <row r="9" spans="1:7" s="2" customFormat="1" ht="9.75" customHeight="1" thickBot="1">
      <c r="A9" s="3"/>
    </row>
    <row r="10" spans="1:7" s="2" customFormat="1" ht="16.5" customHeight="1" thickBot="1">
      <c r="A10" s="4" t="s">
        <v>1244</v>
      </c>
      <c r="B10" s="5" t="s">
        <v>1245</v>
      </c>
      <c r="C10" s="5" t="s">
        <v>1248</v>
      </c>
      <c r="D10" s="10"/>
      <c r="E10" s="10" t="s">
        <v>1413</v>
      </c>
      <c r="F10" s="11">
        <f>(62795/68412)</f>
        <v>0.91789452142898909</v>
      </c>
    </row>
    <row r="11" spans="1:7" s="2" customFormat="1" ht="16.5" customHeight="1" thickBot="1">
      <c r="A11" s="6" t="s">
        <v>965</v>
      </c>
      <c r="B11" s="7" t="s">
        <v>493</v>
      </c>
      <c r="C11" s="36">
        <v>33094</v>
      </c>
      <c r="D11" s="17">
        <f>SUM(C11/$C$13)</f>
        <v>0.52701648220399711</v>
      </c>
      <c r="E11" s="16"/>
    </row>
    <row r="12" spans="1:7" s="2" customFormat="1" ht="16.5" customHeight="1" thickBot="1">
      <c r="A12" s="12" t="s">
        <v>966</v>
      </c>
      <c r="B12" s="22" t="s">
        <v>2107</v>
      </c>
      <c r="C12" s="8">
        <v>29701</v>
      </c>
      <c r="D12" s="17">
        <f>SUM(C12/$C$13)</f>
        <v>0.47298351779600284</v>
      </c>
      <c r="E12" s="16"/>
      <c r="G12" s="14"/>
    </row>
    <row r="13" spans="1:7" s="2" customFormat="1" ht="16.5" customHeight="1">
      <c r="A13" s="75"/>
      <c r="B13" s="76"/>
      <c r="C13" s="23">
        <f>SUM(C11:C12)</f>
        <v>62795</v>
      </c>
      <c r="D13" s="17"/>
      <c r="E13" s="10" t="s">
        <v>1874</v>
      </c>
      <c r="F13" s="21">
        <f>(C11-C12)</f>
        <v>3393</v>
      </c>
    </row>
    <row r="14" spans="1:7" s="2" customFormat="1" ht="12" customHeight="1">
      <c r="A14" s="1"/>
    </row>
    <row r="15" spans="1:7" s="2" customFormat="1" ht="16.5" customHeight="1">
      <c r="A15" s="1" t="s">
        <v>969</v>
      </c>
    </row>
    <row r="16" spans="1:7" s="2" customFormat="1" ht="9.75" customHeight="1" thickBot="1">
      <c r="A16" s="3"/>
    </row>
    <row r="17" spans="1:7" s="2" customFormat="1" ht="16.5" customHeight="1" thickBot="1">
      <c r="A17" s="4" t="s">
        <v>1244</v>
      </c>
      <c r="B17" s="5" t="s">
        <v>1245</v>
      </c>
      <c r="C17" s="5" t="s">
        <v>1248</v>
      </c>
      <c r="D17" s="10"/>
      <c r="E17" s="10"/>
      <c r="F17" s="11"/>
    </row>
    <row r="18" spans="1:7" s="2" customFormat="1" ht="16.5" customHeight="1" thickBot="1">
      <c r="A18" s="6" t="s">
        <v>970</v>
      </c>
      <c r="B18" s="9" t="s">
        <v>2107</v>
      </c>
      <c r="C18" s="100" t="s">
        <v>968</v>
      </c>
      <c r="D18" s="17"/>
      <c r="E18" s="16"/>
    </row>
    <row r="19" spans="1:7" s="2" customFormat="1" ht="12" customHeight="1">
      <c r="A19" s="1"/>
    </row>
    <row r="20" spans="1:7" s="2" customFormat="1" ht="16.5" customHeight="1">
      <c r="A20" s="1" t="s">
        <v>971</v>
      </c>
    </row>
    <row r="21" spans="1:7" s="2" customFormat="1" ht="9.75" customHeight="1" thickBot="1">
      <c r="A21" s="3"/>
    </row>
    <row r="22" spans="1:7" s="2" customFormat="1" ht="16.5" customHeight="1" thickBot="1">
      <c r="A22" s="4" t="s">
        <v>1244</v>
      </c>
      <c r="B22" s="5" t="s">
        <v>1245</v>
      </c>
      <c r="C22" s="5" t="s">
        <v>1248</v>
      </c>
      <c r="D22" s="10"/>
      <c r="E22" s="10"/>
      <c r="F22" s="11"/>
    </row>
    <row r="23" spans="1:7" s="2" customFormat="1" ht="16.5" customHeight="1" thickBot="1">
      <c r="A23" s="6" t="s">
        <v>972</v>
      </c>
      <c r="B23" s="9" t="s">
        <v>2107</v>
      </c>
      <c r="C23" s="100" t="s">
        <v>968</v>
      </c>
      <c r="D23" s="17"/>
      <c r="E23" s="16"/>
    </row>
    <row r="24" spans="1:7" s="2" customFormat="1" ht="12" customHeight="1">
      <c r="A24" s="1"/>
    </row>
    <row r="25" spans="1:7" s="2" customFormat="1" ht="16.5" customHeight="1">
      <c r="A25" s="1" t="s">
        <v>974</v>
      </c>
    </row>
    <row r="26" spans="1:7" s="2" customFormat="1" ht="9.75" customHeight="1" thickBot="1">
      <c r="A26" s="3"/>
    </row>
    <row r="27" spans="1:7" s="2" customFormat="1" ht="16.5" customHeight="1" thickBot="1">
      <c r="A27" s="4" t="s">
        <v>1244</v>
      </c>
      <c r="B27" s="5" t="s">
        <v>1245</v>
      </c>
      <c r="C27" s="5" t="s">
        <v>1248</v>
      </c>
      <c r="D27" s="10"/>
      <c r="E27" s="10" t="s">
        <v>1413</v>
      </c>
      <c r="F27" s="11">
        <f>(64765/79001)</f>
        <v>0.81979974937026112</v>
      </c>
    </row>
    <row r="28" spans="1:7" s="2" customFormat="1" ht="16.5" customHeight="1" thickBot="1">
      <c r="A28" s="6" t="s">
        <v>762</v>
      </c>
      <c r="B28" s="9" t="s">
        <v>2107</v>
      </c>
      <c r="C28" s="36">
        <v>37789</v>
      </c>
      <c r="D28" s="17">
        <f>SUM(C28/$C$30)</f>
        <v>0.58347873079595458</v>
      </c>
      <c r="E28" s="16"/>
    </row>
    <row r="29" spans="1:7" s="2" customFormat="1" ht="16.5" customHeight="1" thickBot="1">
      <c r="A29" s="12" t="s">
        <v>975</v>
      </c>
      <c r="B29" s="78" t="s">
        <v>973</v>
      </c>
      <c r="C29" s="8">
        <v>26976</v>
      </c>
      <c r="D29" s="17">
        <f>SUM(C29/$C$30)</f>
        <v>0.41652126920404542</v>
      </c>
      <c r="E29" s="16"/>
      <c r="G29" s="14"/>
    </row>
    <row r="30" spans="1:7" s="2" customFormat="1" ht="16.5" customHeight="1">
      <c r="A30" s="75"/>
      <c r="B30" s="76"/>
      <c r="C30" s="23">
        <f>SUM(C28:C29)</f>
        <v>64765</v>
      </c>
      <c r="D30" s="17"/>
      <c r="E30" s="10" t="s">
        <v>1874</v>
      </c>
      <c r="F30" s="21">
        <f>(C28-C29)</f>
        <v>10813</v>
      </c>
    </row>
    <row r="31" spans="1:7" s="2" customFormat="1" ht="12" customHeight="1">
      <c r="A31" s="1"/>
    </row>
    <row r="32" spans="1:7" s="2" customFormat="1" ht="16.5" customHeight="1">
      <c r="A32" s="1" t="s">
        <v>976</v>
      </c>
    </row>
    <row r="33" spans="1:12" s="2" customFormat="1" ht="9.75" customHeight="1" thickBot="1">
      <c r="A33" s="3"/>
    </row>
    <row r="34" spans="1:12" s="2" customFormat="1" ht="16.5" customHeight="1" thickBot="1">
      <c r="A34" s="4" t="s">
        <v>1244</v>
      </c>
      <c r="B34" s="5" t="s">
        <v>1245</v>
      </c>
      <c r="C34" s="5" t="s">
        <v>1248</v>
      </c>
      <c r="D34" s="10"/>
      <c r="E34" s="10"/>
      <c r="F34" s="11"/>
    </row>
    <row r="35" spans="1:12" s="2" customFormat="1" ht="16.5" customHeight="1" thickBot="1">
      <c r="A35" s="6" t="s">
        <v>979</v>
      </c>
      <c r="B35" s="9" t="s">
        <v>2107</v>
      </c>
      <c r="C35" s="100" t="s">
        <v>968</v>
      </c>
      <c r="D35" s="17"/>
      <c r="E35" s="16"/>
    </row>
    <row r="36" spans="1:12" s="2" customFormat="1" ht="12" customHeight="1">
      <c r="A36" s="1"/>
    </row>
    <row r="37" spans="1:12" s="2" customFormat="1" ht="16.5" customHeight="1">
      <c r="A37" s="1" t="s">
        <v>977</v>
      </c>
    </row>
    <row r="38" spans="1:12" s="2" customFormat="1" ht="9.75" customHeight="1" thickBot="1">
      <c r="A38" s="3"/>
    </row>
    <row r="39" spans="1:12" s="2" customFormat="1" ht="16.5" customHeight="1" thickBot="1">
      <c r="A39" s="4" t="s">
        <v>1244</v>
      </c>
      <c r="B39" s="5" t="s">
        <v>1245</v>
      </c>
      <c r="C39" s="5" t="s">
        <v>1248</v>
      </c>
      <c r="D39" s="10"/>
      <c r="E39" s="10"/>
      <c r="F39" s="11"/>
    </row>
    <row r="40" spans="1:12" s="2" customFormat="1" ht="16.5" customHeight="1" thickBot="1">
      <c r="A40" s="6" t="s">
        <v>978</v>
      </c>
      <c r="B40" s="9" t="s">
        <v>2107</v>
      </c>
      <c r="C40" s="100" t="s">
        <v>968</v>
      </c>
      <c r="D40" s="17"/>
      <c r="E40" s="16"/>
    </row>
    <row r="41" spans="1:12" s="2" customFormat="1" ht="12" customHeight="1">
      <c r="A41" s="1"/>
    </row>
    <row r="42" spans="1:12" s="2" customFormat="1" ht="16.5" customHeight="1">
      <c r="A42" s="1" t="s">
        <v>981</v>
      </c>
    </row>
    <row r="43" spans="1:12" s="2" customFormat="1" ht="9.75" customHeight="1" thickBot="1">
      <c r="A43" s="3"/>
    </row>
    <row r="44" spans="1:12" s="2" customFormat="1" ht="16.5" customHeight="1" thickBot="1">
      <c r="A44" s="4" t="s">
        <v>1244</v>
      </c>
      <c r="B44" s="5" t="s">
        <v>1245</v>
      </c>
      <c r="C44" s="5" t="s">
        <v>1248</v>
      </c>
      <c r="D44" s="10"/>
      <c r="E44" s="10" t="s">
        <v>1413</v>
      </c>
      <c r="F44" s="11">
        <f>(53199/80921)</f>
        <v>0.65741896417493606</v>
      </c>
    </row>
    <row r="45" spans="1:12" s="2" customFormat="1" ht="16.5" customHeight="1" thickBot="1">
      <c r="A45" s="6" t="s">
        <v>980</v>
      </c>
      <c r="B45" s="9" t="s">
        <v>2107</v>
      </c>
      <c r="C45" s="36">
        <v>43285</v>
      </c>
      <c r="D45" s="17">
        <f>SUM(C45/$C$47)</f>
        <v>0.81364311359236074</v>
      </c>
      <c r="E45" s="16"/>
    </row>
    <row r="46" spans="1:12" s="2" customFormat="1" ht="16.5" customHeight="1" thickBot="1">
      <c r="A46" s="12" t="s">
        <v>884</v>
      </c>
      <c r="B46" s="80" t="s">
        <v>363</v>
      </c>
      <c r="C46" s="8">
        <v>9914</v>
      </c>
      <c r="D46" s="17">
        <f>SUM(C46/$C$47)</f>
        <v>0.18635688640763926</v>
      </c>
      <c r="E46" s="16"/>
      <c r="G46" s="14"/>
    </row>
    <row r="47" spans="1:12" s="2" customFormat="1" ht="16.5" customHeight="1">
      <c r="A47" s="75"/>
      <c r="B47" s="76"/>
      <c r="C47" s="23">
        <f>SUM(C45:C46)</f>
        <v>53199</v>
      </c>
      <c r="D47" s="17"/>
      <c r="E47" s="10" t="s">
        <v>1874</v>
      </c>
      <c r="F47" s="21">
        <f>(C45-C46)</f>
        <v>33371</v>
      </c>
    </row>
    <row r="48" spans="1:12" s="2" customFormat="1" ht="12" customHeight="1">
      <c r="A48" s="1"/>
      <c r="E48"/>
      <c r="L48"/>
    </row>
    <row r="49" spans="1:7" s="2" customFormat="1" ht="16.5" customHeight="1">
      <c r="A49" s="1" t="s">
        <v>983</v>
      </c>
    </row>
    <row r="50" spans="1:7" s="2" customFormat="1" ht="9.75" customHeight="1" thickBot="1">
      <c r="A50" s="3"/>
    </row>
    <row r="51" spans="1:7" s="2" customFormat="1" ht="16.5" customHeight="1" thickBot="1">
      <c r="A51" s="4" t="s">
        <v>1244</v>
      </c>
      <c r="B51" s="5" t="s">
        <v>1245</v>
      </c>
      <c r="C51" s="5" t="s">
        <v>1248</v>
      </c>
      <c r="D51" s="10"/>
      <c r="E51" s="10" t="s">
        <v>1413</v>
      </c>
      <c r="F51" s="11">
        <f>(57680/76243)</f>
        <v>0.7565284681872434</v>
      </c>
    </row>
    <row r="52" spans="1:7" s="2" customFormat="1" ht="16.5" customHeight="1" thickBot="1">
      <c r="A52" s="6" t="s">
        <v>948</v>
      </c>
      <c r="B52" s="9" t="s">
        <v>2107</v>
      </c>
      <c r="C52" s="36">
        <v>34995</v>
      </c>
      <c r="D52" s="17">
        <f>SUM(C52/$C$54)</f>
        <v>0.60670943134535371</v>
      </c>
      <c r="E52" s="16"/>
    </row>
    <row r="53" spans="1:7" s="2" customFormat="1" ht="16.5" customHeight="1" thickBot="1">
      <c r="A53" s="12" t="s">
        <v>982</v>
      </c>
      <c r="B53" s="80" t="s">
        <v>363</v>
      </c>
      <c r="C53" s="8">
        <v>22685</v>
      </c>
      <c r="D53" s="17">
        <f>SUM(C53/$C$54)</f>
        <v>0.39329056865464634</v>
      </c>
      <c r="E53" s="16"/>
      <c r="G53" s="14"/>
    </row>
    <row r="54" spans="1:7" s="2" customFormat="1" ht="16.5" customHeight="1">
      <c r="A54" s="75"/>
      <c r="B54" s="76"/>
      <c r="C54" s="23">
        <f>SUM(C52:C53)</f>
        <v>57680</v>
      </c>
      <c r="D54" s="17"/>
      <c r="E54" s="10" t="s">
        <v>1874</v>
      </c>
      <c r="F54" s="21">
        <f>(C52-C53)</f>
        <v>12310</v>
      </c>
    </row>
    <row r="55" spans="1:7" s="2" customFormat="1" ht="12" customHeight="1">
      <c r="A55" s="1"/>
    </row>
    <row r="56" spans="1:7" s="2" customFormat="1" ht="16.5" customHeight="1">
      <c r="A56" s="1" t="s">
        <v>985</v>
      </c>
    </row>
    <row r="57" spans="1:7" s="2" customFormat="1" ht="9.75" customHeight="1" thickBot="1">
      <c r="A57" s="3"/>
    </row>
    <row r="58" spans="1:7" s="2" customFormat="1" ht="16.5" customHeight="1" thickBot="1">
      <c r="A58" s="4" t="s">
        <v>1244</v>
      </c>
      <c r="B58" s="5" t="s">
        <v>1245</v>
      </c>
      <c r="C58" s="5" t="s">
        <v>1248</v>
      </c>
      <c r="D58" s="10"/>
      <c r="E58" s="10" t="s">
        <v>1413</v>
      </c>
      <c r="F58" s="11">
        <f>(66323/78828)</f>
        <v>0.84136347490739327</v>
      </c>
    </row>
    <row r="59" spans="1:7" s="2" customFormat="1" ht="16.5" customHeight="1" thickBot="1">
      <c r="A59" s="6" t="s">
        <v>2122</v>
      </c>
      <c r="B59" s="77" t="s">
        <v>954</v>
      </c>
      <c r="C59" s="36">
        <v>33174</v>
      </c>
      <c r="D59" s="17">
        <f>SUM(C59/$C$61)</f>
        <v>0.50018847157094826</v>
      </c>
      <c r="E59" s="16"/>
    </row>
    <row r="60" spans="1:7" s="2" customFormat="1" ht="16.5" customHeight="1" thickBot="1">
      <c r="A60" s="12" t="s">
        <v>984</v>
      </c>
      <c r="B60" s="22" t="s">
        <v>2107</v>
      </c>
      <c r="C60" s="8">
        <v>33149</v>
      </c>
      <c r="D60" s="17">
        <f>SUM(C60/$C$61)</f>
        <v>0.49981152842905174</v>
      </c>
      <c r="E60" s="16"/>
      <c r="G60" s="14"/>
    </row>
    <row r="61" spans="1:7" s="2" customFormat="1" ht="16.5" customHeight="1">
      <c r="A61" s="75"/>
      <c r="B61" s="76"/>
      <c r="C61" s="23">
        <f>SUM(C59:C60)</f>
        <v>66323</v>
      </c>
      <c r="D61" s="17"/>
      <c r="E61" s="10" t="s">
        <v>1874</v>
      </c>
      <c r="F61" s="21">
        <f>(C59-C60)</f>
        <v>25</v>
      </c>
    </row>
    <row r="62" spans="1:7" s="2" customFormat="1" ht="12" customHeight="1">
      <c r="A62" s="1"/>
    </row>
    <row r="63" spans="1:7" s="2" customFormat="1" ht="16.5" customHeight="1">
      <c r="A63" s="1" t="s">
        <v>988</v>
      </c>
    </row>
    <row r="64" spans="1:7" s="2" customFormat="1" ht="9.75" customHeight="1" thickBot="1">
      <c r="A64" s="3"/>
    </row>
    <row r="65" spans="1:7" s="2" customFormat="1" ht="16.5" customHeight="1" thickBot="1">
      <c r="A65" s="4" t="s">
        <v>1244</v>
      </c>
      <c r="B65" s="5" t="s">
        <v>1245</v>
      </c>
      <c r="C65" s="5" t="s">
        <v>1248</v>
      </c>
      <c r="D65" s="10"/>
      <c r="E65" s="10" t="s">
        <v>1413</v>
      </c>
      <c r="F65" s="11">
        <f>(48861/66212)</f>
        <v>0.73794780402343985</v>
      </c>
    </row>
    <row r="66" spans="1:7" s="2" customFormat="1" ht="16.5" customHeight="1" thickBot="1">
      <c r="A66" s="6" t="s">
        <v>986</v>
      </c>
      <c r="B66" s="9" t="s">
        <v>2107</v>
      </c>
      <c r="C66" s="36">
        <v>37046</v>
      </c>
      <c r="D66" s="17">
        <f>SUM(C66/$C$68)</f>
        <v>0.75819160475634961</v>
      </c>
      <c r="E66" s="16"/>
    </row>
    <row r="67" spans="1:7" s="2" customFormat="1" ht="16.5" customHeight="1" thickBot="1">
      <c r="A67" s="12" t="s">
        <v>987</v>
      </c>
      <c r="B67" s="80" t="s">
        <v>363</v>
      </c>
      <c r="C67" s="8">
        <v>11815</v>
      </c>
      <c r="D67" s="17">
        <f>SUM(C67/$C$68)</f>
        <v>0.24180839524365036</v>
      </c>
      <c r="E67" s="16"/>
      <c r="G67" s="14"/>
    </row>
    <row r="68" spans="1:7" s="2" customFormat="1" ht="16.5" customHeight="1">
      <c r="A68" s="75"/>
      <c r="B68" s="76"/>
      <c r="C68" s="23">
        <f>SUM(C66:C67)</f>
        <v>48861</v>
      </c>
      <c r="D68" s="17"/>
      <c r="E68" s="10" t="s">
        <v>1874</v>
      </c>
      <c r="F68" s="21">
        <f>(C66-C67)</f>
        <v>25231</v>
      </c>
    </row>
    <row r="69" spans="1:7" s="2" customFormat="1" ht="12" customHeight="1">
      <c r="A69" s="1"/>
    </row>
    <row r="70" spans="1:7" s="2" customFormat="1" ht="16.5" customHeight="1">
      <c r="A70" s="1" t="s">
        <v>989</v>
      </c>
    </row>
    <row r="71" spans="1:7" s="2" customFormat="1" ht="9.75" customHeight="1" thickBot="1">
      <c r="A71" s="3"/>
    </row>
    <row r="72" spans="1:7" s="2" customFormat="1" ht="16.5" customHeight="1" thickBot="1">
      <c r="A72" s="4" t="s">
        <v>1244</v>
      </c>
      <c r="B72" s="5" t="s">
        <v>1245</v>
      </c>
      <c r="C72" s="5" t="s">
        <v>1248</v>
      </c>
      <c r="D72" s="10"/>
      <c r="E72" s="10" t="s">
        <v>1413</v>
      </c>
      <c r="F72" s="11">
        <f>(46791/62798)</f>
        <v>0.74510334724035798</v>
      </c>
    </row>
    <row r="73" spans="1:7" s="2" customFormat="1" ht="16.5" customHeight="1" thickBot="1">
      <c r="A73" s="6" t="s">
        <v>958</v>
      </c>
      <c r="B73" s="9" t="s">
        <v>2107</v>
      </c>
      <c r="C73" s="36">
        <v>28881</v>
      </c>
      <c r="D73" s="17">
        <f>SUM(C73/$C$75)</f>
        <v>0.6172340834775919</v>
      </c>
      <c r="E73" s="16"/>
    </row>
    <row r="74" spans="1:7" s="2" customFormat="1" ht="16.5" customHeight="1" thickBot="1">
      <c r="A74" s="12" t="s">
        <v>959</v>
      </c>
      <c r="B74" s="80" t="s">
        <v>363</v>
      </c>
      <c r="C74" s="8">
        <v>17910</v>
      </c>
      <c r="D74" s="17">
        <f>SUM(C74/$C$75)</f>
        <v>0.38276591652240816</v>
      </c>
      <c r="E74" s="16"/>
      <c r="G74" s="14"/>
    </row>
    <row r="75" spans="1:7" s="2" customFormat="1" ht="16.5" customHeight="1">
      <c r="A75" s="75"/>
      <c r="B75" s="76"/>
      <c r="C75" s="23">
        <f>SUM(C73:C74)</f>
        <v>46791</v>
      </c>
      <c r="D75" s="17"/>
      <c r="E75" s="10" t="s">
        <v>1874</v>
      </c>
      <c r="F75" s="21">
        <f>(C73-C74)</f>
        <v>10971</v>
      </c>
    </row>
    <row r="77" spans="1:7" ht="15">
      <c r="A77" s="104" t="s">
        <v>1072</v>
      </c>
    </row>
    <row r="78" spans="1:7" s="2" customFormat="1" ht="16.5" customHeight="1">
      <c r="A78" s="1" t="s">
        <v>8</v>
      </c>
    </row>
    <row r="79" spans="1:7" s="2" customFormat="1" ht="9.75" customHeight="1" thickBot="1">
      <c r="A79" s="3"/>
    </row>
    <row r="80" spans="1:7" s="2" customFormat="1" ht="16.5" customHeight="1" thickBot="1">
      <c r="A80" s="4" t="s">
        <v>1244</v>
      </c>
      <c r="B80" s="5" t="s">
        <v>1245</v>
      </c>
      <c r="C80" s="5" t="s">
        <v>1248</v>
      </c>
      <c r="D80" s="10"/>
      <c r="E80" s="10"/>
      <c r="F80" s="11"/>
    </row>
    <row r="81" spans="1:7" s="2" customFormat="1" ht="16.5" customHeight="1" thickBot="1">
      <c r="A81" s="6" t="s">
        <v>542</v>
      </c>
      <c r="B81" s="9" t="s">
        <v>2107</v>
      </c>
      <c r="C81" s="100" t="s">
        <v>968</v>
      </c>
      <c r="D81" s="17"/>
      <c r="E81" s="16"/>
    </row>
    <row r="82" spans="1:7" s="2" customFormat="1" ht="12" customHeight="1">
      <c r="A82" s="1"/>
    </row>
    <row r="83" spans="1:7" s="2" customFormat="1" ht="16.5" customHeight="1">
      <c r="A83" s="1" t="s">
        <v>10</v>
      </c>
    </row>
    <row r="84" spans="1:7" s="2" customFormat="1" ht="9.75" customHeight="1" thickBot="1">
      <c r="A84" s="3"/>
    </row>
    <row r="85" spans="1:7" s="2" customFormat="1" ht="16.5" customHeight="1" thickBot="1">
      <c r="A85" s="4" t="s">
        <v>1244</v>
      </c>
      <c r="B85" s="5" t="s">
        <v>1245</v>
      </c>
      <c r="C85" s="5" t="s">
        <v>1248</v>
      </c>
      <c r="D85" s="10"/>
      <c r="E85" s="10" t="s">
        <v>1413</v>
      </c>
      <c r="F85" s="11">
        <f>(30722/66196)</f>
        <v>0.46410659254335607</v>
      </c>
    </row>
    <row r="86" spans="1:7" s="2" customFormat="1" ht="16.5" customHeight="1" thickBot="1">
      <c r="A86" s="6" t="s">
        <v>2064</v>
      </c>
      <c r="B86" s="9" t="s">
        <v>2107</v>
      </c>
      <c r="C86" s="36">
        <v>23067</v>
      </c>
      <c r="D86" s="17">
        <f>SUM(C86/$C$88)</f>
        <v>0.75083002408697352</v>
      </c>
      <c r="E86" s="16"/>
    </row>
    <row r="87" spans="1:7" s="2" customFormat="1" ht="16.5" customHeight="1" thickBot="1">
      <c r="A87" s="12" t="s">
        <v>9</v>
      </c>
      <c r="B87" s="80" t="s">
        <v>363</v>
      </c>
      <c r="C87" s="8">
        <v>7655</v>
      </c>
      <c r="D87" s="17">
        <f>SUM(C87/$C$88)</f>
        <v>0.2491699759130265</v>
      </c>
      <c r="E87" s="16"/>
      <c r="G87" s="14"/>
    </row>
    <row r="88" spans="1:7" s="2" customFormat="1" ht="16.5" customHeight="1">
      <c r="A88" s="75"/>
      <c r="B88" s="76"/>
      <c r="C88" s="23">
        <f>SUM(C86:C87)</f>
        <v>30722</v>
      </c>
      <c r="D88" s="17"/>
      <c r="E88" s="10" t="s">
        <v>1874</v>
      </c>
      <c r="F88" s="21">
        <f>(C86-C87)</f>
        <v>15412</v>
      </c>
    </row>
    <row r="89" spans="1:7" s="2" customFormat="1" ht="12" customHeight="1">
      <c r="A89" s="1"/>
    </row>
    <row r="90" spans="1:7" s="2" customFormat="1" ht="16.5" customHeight="1">
      <c r="A90" s="1" t="s">
        <v>11</v>
      </c>
    </row>
    <row r="91" spans="1:7" s="2" customFormat="1" ht="9.75" customHeight="1" thickBot="1">
      <c r="A91" s="3"/>
    </row>
    <row r="92" spans="1:7" s="2" customFormat="1" ht="16.5" customHeight="1" thickBot="1">
      <c r="A92" s="4" t="s">
        <v>1244</v>
      </c>
      <c r="B92" s="5" t="s">
        <v>1245</v>
      </c>
      <c r="C92" s="5" t="s">
        <v>1248</v>
      </c>
      <c r="D92" s="10"/>
      <c r="E92" s="10"/>
      <c r="F92" s="11"/>
    </row>
    <row r="93" spans="1:7" s="2" customFormat="1" ht="16.5" customHeight="1" thickBot="1">
      <c r="A93" s="6" t="s">
        <v>12</v>
      </c>
      <c r="B93" s="9" t="s">
        <v>2107</v>
      </c>
      <c r="C93" s="100" t="s">
        <v>968</v>
      </c>
      <c r="D93" s="17"/>
      <c r="E93" s="16"/>
    </row>
    <row r="94" spans="1:7" s="2" customFormat="1" ht="12" customHeight="1">
      <c r="A94" s="1"/>
    </row>
    <row r="95" spans="1:7" s="2" customFormat="1" ht="16.5" customHeight="1">
      <c r="A95" s="1" t="s">
        <v>13</v>
      </c>
    </row>
    <row r="96" spans="1:7" s="2" customFormat="1" ht="9.75" customHeight="1" thickBot="1">
      <c r="A96" s="3"/>
    </row>
    <row r="97" spans="1:6" s="2" customFormat="1" ht="16.5" customHeight="1" thickBot="1">
      <c r="A97" s="4" t="s">
        <v>1244</v>
      </c>
      <c r="B97" s="5" t="s">
        <v>1245</v>
      </c>
      <c r="C97" s="5" t="s">
        <v>1248</v>
      </c>
      <c r="D97" s="10"/>
      <c r="E97" s="10"/>
      <c r="F97" s="11"/>
    </row>
    <row r="98" spans="1:6" s="2" customFormat="1" ht="16.5" customHeight="1" thickBot="1">
      <c r="A98" s="6" t="s">
        <v>14</v>
      </c>
      <c r="B98" s="9" t="s">
        <v>2107</v>
      </c>
      <c r="C98" s="100" t="s">
        <v>968</v>
      </c>
      <c r="D98" s="17"/>
      <c r="E98" s="16"/>
    </row>
    <row r="99" spans="1:6" s="2" customFormat="1" ht="12" customHeight="1">
      <c r="A99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34"/>
  <dimension ref="A1:L95"/>
  <sheetViews>
    <sheetView workbookViewId="0">
      <selection activeCell="L1" sqref="L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992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(62065/67424)</f>
        <v>0.92051791646891312</v>
      </c>
    </row>
    <row r="4" spans="1:7" s="2" customFormat="1" ht="16.5" customHeight="1" thickBot="1">
      <c r="A4" s="6" t="s">
        <v>990</v>
      </c>
      <c r="B4" s="7" t="s">
        <v>493</v>
      </c>
      <c r="C4" s="36">
        <v>32188</v>
      </c>
      <c r="D4" s="17">
        <f>SUM(C4/$C$6)</f>
        <v>0.51861757834528321</v>
      </c>
      <c r="E4" s="16"/>
    </row>
    <row r="5" spans="1:7" s="2" customFormat="1" ht="16.5" customHeight="1" thickBot="1">
      <c r="A5" s="12" t="s">
        <v>991</v>
      </c>
      <c r="B5" s="22" t="s">
        <v>2107</v>
      </c>
      <c r="C5" s="8">
        <v>29877</v>
      </c>
      <c r="D5" s="17">
        <f>SUM(C5/$C$6)</f>
        <v>0.48138242165471684</v>
      </c>
      <c r="E5" s="16"/>
      <c r="G5" s="14"/>
    </row>
    <row r="6" spans="1:7" s="2" customFormat="1" ht="16.5" customHeight="1">
      <c r="A6" s="75"/>
      <c r="B6" s="76"/>
      <c r="C6" s="23">
        <f>SUM(C4:C5)</f>
        <v>62065</v>
      </c>
      <c r="D6" s="17"/>
      <c r="E6" s="10" t="s">
        <v>1874</v>
      </c>
      <c r="F6" s="21">
        <f>(C4-C5)</f>
        <v>2311</v>
      </c>
    </row>
    <row r="7" spans="1:7" s="2" customFormat="1" ht="12" customHeight="1">
      <c r="A7" s="1"/>
      <c r="D7" s="11"/>
    </row>
    <row r="8" spans="1:7" s="2" customFormat="1" ht="16.5" customHeight="1">
      <c r="A8" s="1" t="s">
        <v>994</v>
      </c>
    </row>
    <row r="9" spans="1:7" s="2" customFormat="1" ht="9.75" customHeight="1" thickBot="1">
      <c r="A9" s="3"/>
    </row>
    <row r="10" spans="1:7" s="2" customFormat="1" ht="16.5" customHeight="1" thickBot="1">
      <c r="A10" s="4" t="s">
        <v>1244</v>
      </c>
      <c r="B10" s="5" t="s">
        <v>1245</v>
      </c>
      <c r="C10" s="5" t="s">
        <v>1248</v>
      </c>
      <c r="D10" s="10"/>
      <c r="E10" s="10" t="s">
        <v>1413</v>
      </c>
      <c r="F10" s="11">
        <f>(62744/68535)</f>
        <v>0.91550302765010583</v>
      </c>
    </row>
    <row r="11" spans="1:7" s="2" customFormat="1" ht="16.5" customHeight="1" thickBot="1">
      <c r="A11" s="6" t="s">
        <v>993</v>
      </c>
      <c r="B11" s="7" t="s">
        <v>493</v>
      </c>
      <c r="C11" s="36">
        <v>33023</v>
      </c>
      <c r="D11" s="17">
        <f>SUM(C11/$C$13)</f>
        <v>0.52631327298227715</v>
      </c>
      <c r="E11" s="16"/>
    </row>
    <row r="12" spans="1:7" s="2" customFormat="1" ht="16.5" customHeight="1" thickBot="1">
      <c r="A12" s="12" t="s">
        <v>966</v>
      </c>
      <c r="B12" s="22" t="s">
        <v>2107</v>
      </c>
      <c r="C12" s="8">
        <v>29721</v>
      </c>
      <c r="D12" s="17">
        <f>SUM(C12/$C$13)</f>
        <v>0.4736867270177228</v>
      </c>
      <c r="E12" s="16"/>
      <c r="G12" s="14"/>
    </row>
    <row r="13" spans="1:7" s="2" customFormat="1" ht="16.5" customHeight="1">
      <c r="A13" s="75"/>
      <c r="B13" s="76"/>
      <c r="C13" s="23">
        <f>SUM(C11:C12)</f>
        <v>62744</v>
      </c>
      <c r="D13" s="17"/>
      <c r="E13" s="10" t="s">
        <v>1874</v>
      </c>
      <c r="F13" s="21">
        <f>(C11-C12)</f>
        <v>3302</v>
      </c>
    </row>
    <row r="14" spans="1:7" s="2" customFormat="1" ht="12" customHeight="1">
      <c r="A14" s="1"/>
    </row>
    <row r="15" spans="1:7" s="2" customFormat="1" ht="16.5" customHeight="1">
      <c r="A15" s="1" t="s">
        <v>996</v>
      </c>
    </row>
    <row r="16" spans="1:7" s="2" customFormat="1" ht="9.75" customHeight="1" thickBot="1">
      <c r="A16" s="3"/>
    </row>
    <row r="17" spans="1:7" s="2" customFormat="1" ht="16.5" customHeight="1" thickBot="1">
      <c r="A17" s="4" t="s">
        <v>1244</v>
      </c>
      <c r="B17" s="5" t="s">
        <v>1245</v>
      </c>
      <c r="C17" s="5" t="s">
        <v>1248</v>
      </c>
      <c r="D17" s="10"/>
      <c r="E17" s="10" t="s">
        <v>1413</v>
      </c>
      <c r="F17" s="11">
        <f>(58482/72515)</f>
        <v>0.80648141763773018</v>
      </c>
    </row>
    <row r="18" spans="1:7" s="2" customFormat="1" ht="16.5" customHeight="1" thickBot="1">
      <c r="A18" s="6" t="s">
        <v>995</v>
      </c>
      <c r="B18" s="9" t="s">
        <v>2107</v>
      </c>
      <c r="C18" s="36">
        <v>36602</v>
      </c>
      <c r="D18" s="17">
        <f>SUM(C18/$C$20)</f>
        <v>0.62586778837933044</v>
      </c>
      <c r="E18" s="16"/>
    </row>
    <row r="19" spans="1:7" s="2" customFormat="1" ht="16.5" customHeight="1" thickBot="1">
      <c r="A19" s="12" t="s">
        <v>872</v>
      </c>
      <c r="B19" s="20" t="s">
        <v>838</v>
      </c>
      <c r="C19" s="8">
        <v>21880</v>
      </c>
      <c r="D19" s="17">
        <f>SUM(C19/$C$20)</f>
        <v>0.37413221162066962</v>
      </c>
      <c r="E19" s="16"/>
      <c r="G19" s="14"/>
    </row>
    <row r="20" spans="1:7" s="2" customFormat="1" ht="16.5" customHeight="1">
      <c r="A20" s="75"/>
      <c r="B20" s="76"/>
      <c r="C20" s="23">
        <f>SUM(C18:C19)</f>
        <v>58482</v>
      </c>
      <c r="D20" s="17"/>
      <c r="E20" s="10" t="s">
        <v>1874</v>
      </c>
      <c r="F20" s="21">
        <f>(C18-C19)</f>
        <v>14722</v>
      </c>
    </row>
    <row r="21" spans="1:7" s="2" customFormat="1" ht="12" customHeight="1">
      <c r="A21" s="1"/>
    </row>
    <row r="22" spans="1:7" s="2" customFormat="1" ht="16.5" customHeight="1">
      <c r="A22" s="1" t="s">
        <v>971</v>
      </c>
    </row>
    <row r="23" spans="1:7" s="2" customFormat="1" ht="9.75" customHeight="1" thickBot="1">
      <c r="A23" s="3"/>
    </row>
    <row r="24" spans="1:7" s="2" customFormat="1" ht="16.5" customHeight="1" thickBot="1">
      <c r="A24" s="4" t="s">
        <v>1244</v>
      </c>
      <c r="B24" s="5" t="s">
        <v>1245</v>
      </c>
      <c r="C24" s="5" t="s">
        <v>1248</v>
      </c>
      <c r="D24" s="10"/>
      <c r="E24" s="10"/>
      <c r="F24" s="11"/>
    </row>
    <row r="25" spans="1:7" s="2" customFormat="1" ht="16.5" customHeight="1" thickBot="1">
      <c r="A25" s="6" t="s">
        <v>972</v>
      </c>
      <c r="B25" s="9" t="s">
        <v>2107</v>
      </c>
      <c r="C25" s="100" t="s">
        <v>968</v>
      </c>
      <c r="D25" s="17"/>
      <c r="E25" s="16"/>
    </row>
    <row r="26" spans="1:7" s="2" customFormat="1" ht="12" customHeight="1">
      <c r="A26" s="1"/>
    </row>
    <row r="27" spans="1:7" s="2" customFormat="1" ht="16.5" customHeight="1">
      <c r="A27" s="1" t="s">
        <v>999</v>
      </c>
    </row>
    <row r="28" spans="1:7" s="2" customFormat="1" ht="9.75" customHeight="1" thickBot="1">
      <c r="A28" s="3"/>
    </row>
    <row r="29" spans="1:7" s="2" customFormat="1" ht="16.5" customHeight="1" thickBot="1">
      <c r="A29" s="4" t="s">
        <v>1244</v>
      </c>
      <c r="B29" s="5" t="s">
        <v>1245</v>
      </c>
      <c r="C29" s="5" t="s">
        <v>1248</v>
      </c>
      <c r="D29" s="10"/>
      <c r="E29" s="10" t="s">
        <v>1413</v>
      </c>
      <c r="F29" s="11">
        <f>(60864/79125)</f>
        <v>0.76921327014218011</v>
      </c>
    </row>
    <row r="30" spans="1:7" s="2" customFormat="1" ht="16.5" customHeight="1" thickBot="1">
      <c r="A30" s="6" t="s">
        <v>997</v>
      </c>
      <c r="B30" s="9" t="s">
        <v>2107</v>
      </c>
      <c r="C30" s="36">
        <v>38508</v>
      </c>
      <c r="D30" s="17">
        <f>SUM(C30/$C$32)</f>
        <v>0.63456594819062684</v>
      </c>
      <c r="E30" s="16"/>
    </row>
    <row r="31" spans="1:7" s="2" customFormat="1" ht="16.5" customHeight="1" thickBot="1">
      <c r="A31" s="12" t="s">
        <v>998</v>
      </c>
      <c r="B31" s="78" t="s">
        <v>954</v>
      </c>
      <c r="C31" s="8">
        <v>22176</v>
      </c>
      <c r="D31" s="17">
        <f>SUM(C31/$C$32)</f>
        <v>0.36543405180937316</v>
      </c>
      <c r="E31" s="16"/>
      <c r="G31" s="14"/>
    </row>
    <row r="32" spans="1:7" s="2" customFormat="1" ht="16.5" customHeight="1">
      <c r="A32" s="75"/>
      <c r="B32" s="76"/>
      <c r="C32" s="23">
        <f>SUM(C30:C31)</f>
        <v>60684</v>
      </c>
      <c r="D32" s="17"/>
      <c r="E32" s="10" t="s">
        <v>1874</v>
      </c>
      <c r="F32" s="21">
        <f>(C30-C31)</f>
        <v>16332</v>
      </c>
    </row>
    <row r="33" spans="1:12" s="2" customFormat="1" ht="12" customHeight="1">
      <c r="A33" s="1"/>
    </row>
    <row r="34" spans="1:12" s="2" customFormat="1" ht="16.5" customHeight="1">
      <c r="A34" s="1" t="s">
        <v>1001</v>
      </c>
    </row>
    <row r="35" spans="1:12" s="2" customFormat="1" ht="9.75" customHeight="1" thickBot="1">
      <c r="A35" s="3"/>
    </row>
    <row r="36" spans="1:12" s="2" customFormat="1" ht="16.5" customHeight="1" thickBot="1">
      <c r="A36" s="4" t="s">
        <v>1244</v>
      </c>
      <c r="B36" s="5" t="s">
        <v>1245</v>
      </c>
      <c r="C36" s="5" t="s">
        <v>1248</v>
      </c>
      <c r="D36" s="10"/>
      <c r="E36" s="10" t="s">
        <v>1413</v>
      </c>
      <c r="F36" s="11">
        <f>(49091/77499)</f>
        <v>0.63344043148943863</v>
      </c>
    </row>
    <row r="37" spans="1:12" s="2" customFormat="1" ht="16.5" customHeight="1" thickBot="1">
      <c r="A37" s="6" t="s">
        <v>1000</v>
      </c>
      <c r="B37" s="9" t="s">
        <v>2107</v>
      </c>
      <c r="C37" s="36">
        <v>41023</v>
      </c>
      <c r="D37" s="17">
        <f>SUM(C37/$C$39)</f>
        <v>0.83565215619971078</v>
      </c>
      <c r="E37" s="16"/>
    </row>
    <row r="38" spans="1:12" s="2" customFormat="1" ht="16.5" customHeight="1" thickBot="1">
      <c r="A38" s="12" t="s">
        <v>955</v>
      </c>
      <c r="B38" s="80" t="s">
        <v>363</v>
      </c>
      <c r="C38" s="8">
        <v>8068</v>
      </c>
      <c r="D38" s="17">
        <f>SUM(C38/$C$39)</f>
        <v>0.16434784380028924</v>
      </c>
      <c r="E38" s="16"/>
      <c r="G38" s="14"/>
    </row>
    <row r="39" spans="1:12" s="2" customFormat="1" ht="16.5" customHeight="1">
      <c r="A39" s="75"/>
      <c r="B39" s="76"/>
      <c r="C39" s="23">
        <f>SUM(C37:C38)</f>
        <v>49091</v>
      </c>
      <c r="D39" s="17"/>
      <c r="E39" s="10" t="s">
        <v>1874</v>
      </c>
      <c r="F39" s="21">
        <f>(C37-C38)</f>
        <v>32955</v>
      </c>
    </row>
    <row r="40" spans="1:12" s="2" customFormat="1" ht="12" customHeight="1">
      <c r="A40" s="1"/>
      <c r="E40"/>
      <c r="L40"/>
    </row>
    <row r="41" spans="1:12" s="2" customFormat="1" ht="16.5" customHeight="1">
      <c r="A41" s="1" t="s">
        <v>977</v>
      </c>
    </row>
    <row r="42" spans="1:12" s="2" customFormat="1" ht="9.75" customHeight="1" thickBot="1">
      <c r="A42" s="3"/>
    </row>
    <row r="43" spans="1:12" s="2" customFormat="1" ht="16.5" customHeight="1" thickBot="1">
      <c r="A43" s="4" t="s">
        <v>1244</v>
      </c>
      <c r="B43" s="5" t="s">
        <v>1245</v>
      </c>
      <c r="C43" s="5" t="s">
        <v>1248</v>
      </c>
      <c r="D43" s="10"/>
      <c r="E43" s="10"/>
      <c r="F43" s="11"/>
    </row>
    <row r="44" spans="1:12" s="2" customFormat="1" ht="16.5" customHeight="1" thickBot="1">
      <c r="A44" s="6" t="s">
        <v>978</v>
      </c>
      <c r="B44" s="9" t="s">
        <v>2107</v>
      </c>
      <c r="C44" s="100" t="s">
        <v>968</v>
      </c>
      <c r="D44" s="17"/>
      <c r="E44" s="16"/>
    </row>
    <row r="45" spans="1:12" s="2" customFormat="1" ht="12" customHeight="1">
      <c r="A45" s="1"/>
    </row>
    <row r="46" spans="1:12" s="2" customFormat="1" ht="16.5" customHeight="1">
      <c r="A46" s="1" t="s">
        <v>1002</v>
      </c>
    </row>
    <row r="47" spans="1:12" s="2" customFormat="1" ht="9.75" customHeight="1" thickBot="1">
      <c r="A47" s="3"/>
    </row>
    <row r="48" spans="1:12" s="2" customFormat="1" ht="16.5" customHeight="1" thickBot="1">
      <c r="A48" s="4" t="s">
        <v>1244</v>
      </c>
      <c r="B48" s="5" t="s">
        <v>1245</v>
      </c>
      <c r="C48" s="5" t="s">
        <v>1248</v>
      </c>
      <c r="D48" s="10"/>
      <c r="E48" s="10" t="s">
        <v>1413</v>
      </c>
      <c r="F48" s="11">
        <f>(52646/77316)</f>
        <v>0.68091986134823324</v>
      </c>
    </row>
    <row r="49" spans="1:12" s="2" customFormat="1" ht="16.5" customHeight="1" thickBot="1">
      <c r="A49" s="6" t="s">
        <v>980</v>
      </c>
      <c r="B49" s="9" t="s">
        <v>2107</v>
      </c>
      <c r="C49" s="36">
        <v>41810</v>
      </c>
      <c r="D49" s="17">
        <f>SUM(C49/$C$51)</f>
        <v>0.79417239676328688</v>
      </c>
      <c r="E49" s="16"/>
    </row>
    <row r="50" spans="1:12" s="2" customFormat="1" ht="16.5" customHeight="1" thickBot="1">
      <c r="A50" s="12" t="s">
        <v>884</v>
      </c>
      <c r="B50" s="80" t="s">
        <v>363</v>
      </c>
      <c r="C50" s="8">
        <v>10836</v>
      </c>
      <c r="D50" s="17">
        <f>SUM(C50/$C$51)</f>
        <v>0.20582760323671315</v>
      </c>
      <c r="E50" s="16"/>
      <c r="G50" s="14"/>
    </row>
    <row r="51" spans="1:12" s="2" customFormat="1" ht="16.5" customHeight="1">
      <c r="A51" s="75"/>
      <c r="B51" s="76"/>
      <c r="C51" s="23">
        <f>SUM(C49:C50)</f>
        <v>52646</v>
      </c>
      <c r="D51" s="17"/>
      <c r="E51" s="10" t="s">
        <v>1874</v>
      </c>
      <c r="F51" s="21">
        <f>(C49-C50)</f>
        <v>30974</v>
      </c>
    </row>
    <row r="52" spans="1:12" s="2" customFormat="1" ht="12" customHeight="1">
      <c r="A52" s="1"/>
      <c r="E52"/>
      <c r="L52"/>
    </row>
    <row r="53" spans="1:12" s="2" customFormat="1" ht="16.5" customHeight="1">
      <c r="A53" s="1" t="s">
        <v>1005</v>
      </c>
    </row>
    <row r="54" spans="1:12" s="2" customFormat="1" ht="9.75" customHeight="1" thickBot="1">
      <c r="A54" s="3"/>
    </row>
    <row r="55" spans="1:12" s="2" customFormat="1" ht="16.5" customHeight="1" thickBot="1">
      <c r="A55" s="4" t="s">
        <v>1244</v>
      </c>
      <c r="B55" s="5" t="s">
        <v>1245</v>
      </c>
      <c r="C55" s="5" t="s">
        <v>1248</v>
      </c>
      <c r="D55" s="10"/>
      <c r="E55" s="10" t="s">
        <v>1413</v>
      </c>
      <c r="F55" s="11">
        <f>(56558/75563)</f>
        <v>0.74848801662189168</v>
      </c>
    </row>
    <row r="56" spans="1:12" s="2" customFormat="1" ht="16.5" customHeight="1" thickBot="1">
      <c r="A56" s="6" t="s">
        <v>1003</v>
      </c>
      <c r="B56" s="9" t="s">
        <v>2107</v>
      </c>
      <c r="C56" s="36">
        <v>36412</v>
      </c>
      <c r="D56" s="17">
        <f>SUM(C56/$C$58)</f>
        <v>0.64379928568902722</v>
      </c>
      <c r="E56" s="16"/>
    </row>
    <row r="57" spans="1:12" s="2" customFormat="1" ht="16.5" customHeight="1" thickBot="1">
      <c r="A57" s="12" t="s">
        <v>1004</v>
      </c>
      <c r="B57" s="80" t="s">
        <v>363</v>
      </c>
      <c r="C57" s="8">
        <v>20146</v>
      </c>
      <c r="D57" s="17">
        <f>SUM(C57/$C$58)</f>
        <v>0.35620071431097283</v>
      </c>
      <c r="E57" s="16"/>
      <c r="G57" s="14"/>
    </row>
    <row r="58" spans="1:12" s="2" customFormat="1" ht="16.5" customHeight="1">
      <c r="A58" s="75"/>
      <c r="B58" s="76"/>
      <c r="C58" s="23">
        <f>SUM(C56:C57)</f>
        <v>56558</v>
      </c>
      <c r="D58" s="17"/>
      <c r="E58" s="10" t="s">
        <v>1874</v>
      </c>
      <c r="F58" s="21">
        <f>(C56-C57)</f>
        <v>16266</v>
      </c>
    </row>
    <row r="59" spans="1:12" s="2" customFormat="1" ht="12" customHeight="1">
      <c r="A59" s="1"/>
    </row>
    <row r="60" spans="1:12" s="2" customFormat="1" ht="16.5" customHeight="1">
      <c r="A60" s="1" t="s">
        <v>1009</v>
      </c>
    </row>
    <row r="61" spans="1:12" s="2" customFormat="1" ht="9.75" customHeight="1" thickBot="1">
      <c r="A61" s="3"/>
    </row>
    <row r="62" spans="1:12" s="2" customFormat="1" ht="16.5" customHeight="1" thickBot="1">
      <c r="A62" s="4" t="s">
        <v>1244</v>
      </c>
      <c r="B62" s="5" t="s">
        <v>1245</v>
      </c>
      <c r="C62" s="5" t="s">
        <v>1248</v>
      </c>
      <c r="D62" s="10"/>
      <c r="E62" s="10" t="s">
        <v>1413</v>
      </c>
      <c r="F62" s="11">
        <f>(65938/78896)</f>
        <v>0.8357584668424255</v>
      </c>
    </row>
    <row r="63" spans="1:12" s="2" customFormat="1" ht="16.5" customHeight="1" thickBot="1">
      <c r="A63" s="6" t="s">
        <v>1006</v>
      </c>
      <c r="B63" s="9" t="s">
        <v>2107</v>
      </c>
      <c r="C63" s="36">
        <v>33917</v>
      </c>
      <c r="D63" s="17">
        <f>SUM(C63/$C$66)</f>
        <v>0.51437714216385089</v>
      </c>
      <c r="E63" s="16"/>
    </row>
    <row r="64" spans="1:12" s="2" customFormat="1" ht="16.5" customHeight="1" thickBot="1">
      <c r="A64" s="12" t="s">
        <v>951</v>
      </c>
      <c r="B64" s="78" t="s">
        <v>954</v>
      </c>
      <c r="C64" s="8">
        <v>30539</v>
      </c>
      <c r="D64" s="17">
        <f>SUM(C64/$C$66)</f>
        <v>0.46314719888379996</v>
      </c>
      <c r="E64" s="16"/>
      <c r="G64" s="14"/>
    </row>
    <row r="65" spans="1:7" s="2" customFormat="1" ht="16.5" customHeight="1" thickBot="1">
      <c r="A65" s="12" t="s">
        <v>1007</v>
      </c>
      <c r="B65" s="13" t="s">
        <v>1247</v>
      </c>
      <c r="C65" s="8">
        <v>1482</v>
      </c>
      <c r="D65" s="17">
        <f>SUM(C65/$C$66)</f>
        <v>2.2475658952349178E-2</v>
      </c>
      <c r="E65" s="16"/>
      <c r="G65" s="14"/>
    </row>
    <row r="66" spans="1:7" s="2" customFormat="1" ht="16.5" customHeight="1">
      <c r="A66" s="75"/>
      <c r="B66" s="76"/>
      <c r="C66" s="23">
        <f>SUM(C63:C65)</f>
        <v>65938</v>
      </c>
      <c r="D66" s="17"/>
      <c r="E66" s="10" t="s">
        <v>1874</v>
      </c>
      <c r="F66" s="21">
        <f>(C63-C64)</f>
        <v>3378</v>
      </c>
    </row>
    <row r="67" spans="1:7" s="2" customFormat="1" ht="16.5" customHeight="1">
      <c r="A67" s="99" t="s">
        <v>1008</v>
      </c>
      <c r="B67" s="76"/>
      <c r="C67" s="23"/>
      <c r="D67" s="17"/>
      <c r="E67" s="10"/>
      <c r="F67" s="21"/>
    </row>
    <row r="68" spans="1:7" s="2" customFormat="1" ht="12" customHeight="1">
      <c r="A68" s="1"/>
    </row>
    <row r="69" spans="1:7" s="2" customFormat="1" ht="16.5" customHeight="1">
      <c r="A69" s="1" t="s">
        <v>1011</v>
      </c>
    </row>
    <row r="70" spans="1:7" s="2" customFormat="1" ht="9.75" customHeight="1" thickBot="1">
      <c r="A70" s="3"/>
    </row>
    <row r="71" spans="1:7" s="2" customFormat="1" ht="16.5" customHeight="1" thickBot="1">
      <c r="A71" s="4" t="s">
        <v>1244</v>
      </c>
      <c r="B71" s="5" t="s">
        <v>1245</v>
      </c>
      <c r="C71" s="5" t="s">
        <v>1248</v>
      </c>
      <c r="D71" s="10"/>
      <c r="E71" s="10" t="s">
        <v>1413</v>
      </c>
      <c r="F71" s="11">
        <f>(46048/66486)</f>
        <v>0.69259693770117015</v>
      </c>
    </row>
    <row r="72" spans="1:7" s="2" customFormat="1" ht="16.5" customHeight="1" thickBot="1">
      <c r="A72" s="6" t="s">
        <v>986</v>
      </c>
      <c r="B72" s="9" t="s">
        <v>2107</v>
      </c>
      <c r="C72" s="36">
        <v>34620</v>
      </c>
      <c r="D72" s="17">
        <f>SUM(C72/$C$74)</f>
        <v>0.75182418346073665</v>
      </c>
      <c r="E72" s="16"/>
    </row>
    <row r="73" spans="1:7" s="2" customFormat="1" ht="16.5" customHeight="1" thickBot="1">
      <c r="A73" s="12" t="s">
        <v>1010</v>
      </c>
      <c r="B73" s="80" t="s">
        <v>363</v>
      </c>
      <c r="C73" s="8">
        <v>11428</v>
      </c>
      <c r="D73" s="17">
        <f>SUM(C73/$C$74)</f>
        <v>0.24817581653926338</v>
      </c>
      <c r="E73" s="16"/>
      <c r="G73" s="14"/>
    </row>
    <row r="74" spans="1:7" s="2" customFormat="1" ht="16.5" customHeight="1">
      <c r="A74" s="75"/>
      <c r="B74" s="76"/>
      <c r="C74" s="23">
        <f>SUM(C72:C73)</f>
        <v>46048</v>
      </c>
      <c r="D74" s="17"/>
      <c r="E74" s="10" t="s">
        <v>1874</v>
      </c>
      <c r="F74" s="21">
        <f>(C72-C73)</f>
        <v>23192</v>
      </c>
    </row>
    <row r="75" spans="1:7" s="2" customFormat="1" ht="12" customHeight="1">
      <c r="A75" s="1"/>
    </row>
    <row r="76" spans="1:7" s="2" customFormat="1" ht="16.5" customHeight="1">
      <c r="A76" s="1" t="s">
        <v>1013</v>
      </c>
    </row>
    <row r="77" spans="1:7" s="2" customFormat="1" ht="9.75" customHeight="1" thickBot="1">
      <c r="A77" s="3"/>
    </row>
    <row r="78" spans="1:7" s="2" customFormat="1" ht="16.5" customHeight="1" thickBot="1">
      <c r="A78" s="4" t="s">
        <v>1244</v>
      </c>
      <c r="B78" s="5" t="s">
        <v>1245</v>
      </c>
      <c r="C78" s="5" t="s">
        <v>1248</v>
      </c>
      <c r="D78" s="10"/>
      <c r="E78" s="10" t="s">
        <v>1413</v>
      </c>
      <c r="F78" s="11">
        <f>(47182/61561)</f>
        <v>0.76642679618589693</v>
      </c>
    </row>
    <row r="79" spans="1:7" s="2" customFormat="1" ht="16.5" customHeight="1" thickBot="1">
      <c r="A79" s="6" t="s">
        <v>1012</v>
      </c>
      <c r="B79" s="9" t="s">
        <v>2107</v>
      </c>
      <c r="C79" s="36">
        <v>29844</v>
      </c>
      <c r="D79" s="17">
        <f>SUM(C79/$C$81)</f>
        <v>0.63252935441481917</v>
      </c>
      <c r="E79" s="16"/>
    </row>
    <row r="80" spans="1:7" s="2" customFormat="1" ht="16.5" customHeight="1" thickBot="1">
      <c r="A80" s="12" t="s">
        <v>959</v>
      </c>
      <c r="B80" s="80" t="s">
        <v>363</v>
      </c>
      <c r="C80" s="8">
        <v>17338</v>
      </c>
      <c r="D80" s="17">
        <f>SUM(C80/$C$81)</f>
        <v>0.36747064558518078</v>
      </c>
      <c r="E80" s="16"/>
      <c r="G80" s="14"/>
    </row>
    <row r="81" spans="1:7" s="2" customFormat="1" ht="16.5" customHeight="1">
      <c r="A81" s="75"/>
      <c r="B81" s="76"/>
      <c r="C81" s="23">
        <f>SUM(C79:C80)</f>
        <v>47182</v>
      </c>
      <c r="D81" s="17"/>
      <c r="E81" s="10" t="s">
        <v>1874</v>
      </c>
      <c r="F81" s="21">
        <f>(C79-C80)</f>
        <v>12506</v>
      </c>
    </row>
    <row r="83" spans="1:7" ht="15">
      <c r="A83" s="104" t="s">
        <v>1072</v>
      </c>
    </row>
    <row r="84" spans="1:7" s="2" customFormat="1" ht="16.5" customHeight="1">
      <c r="A84" s="1" t="s">
        <v>16</v>
      </c>
    </row>
    <row r="85" spans="1:7" s="2" customFormat="1" ht="9.75" customHeight="1" thickBot="1">
      <c r="A85" s="3"/>
    </row>
    <row r="86" spans="1:7" s="2" customFormat="1" ht="16.5" customHeight="1" thickBot="1">
      <c r="A86" s="4" t="s">
        <v>1244</v>
      </c>
      <c r="B86" s="5" t="s">
        <v>1245</v>
      </c>
      <c r="C86" s="5" t="s">
        <v>1248</v>
      </c>
      <c r="D86" s="10"/>
      <c r="E86" s="10" t="s">
        <v>1413</v>
      </c>
      <c r="F86" s="11">
        <f>(62679/78459)</f>
        <v>0.79887584598325245</v>
      </c>
    </row>
    <row r="87" spans="1:7" s="2" customFormat="1" ht="16.5" customHeight="1" thickBot="1">
      <c r="A87" s="6" t="s">
        <v>15</v>
      </c>
      <c r="B87" s="9" t="s">
        <v>2107</v>
      </c>
      <c r="C87" s="36">
        <v>31796</v>
      </c>
      <c r="D87" s="17">
        <f>SUM(C87/$C$89)</f>
        <v>0.50728314108393557</v>
      </c>
      <c r="E87" s="16"/>
    </row>
    <row r="88" spans="1:7" s="2" customFormat="1" ht="16.5" customHeight="1" thickBot="1">
      <c r="A88" s="12" t="s">
        <v>2122</v>
      </c>
      <c r="B88" s="78" t="s">
        <v>954</v>
      </c>
      <c r="C88" s="8">
        <v>30883</v>
      </c>
      <c r="D88" s="17">
        <f>SUM(C88/$C$89)</f>
        <v>0.49271685891606437</v>
      </c>
      <c r="E88" s="16"/>
      <c r="G88" s="14"/>
    </row>
    <row r="89" spans="1:7" s="2" customFormat="1" ht="16.5" customHeight="1">
      <c r="A89" s="75"/>
      <c r="B89" s="76"/>
      <c r="C89" s="23">
        <f>SUM(C87:C88)</f>
        <v>62679</v>
      </c>
      <c r="D89" s="17"/>
      <c r="E89" s="10" t="s">
        <v>1874</v>
      </c>
      <c r="F89" s="21">
        <f>(C87-C88)</f>
        <v>913</v>
      </c>
    </row>
    <row r="91" spans="1:7" s="2" customFormat="1" ht="16.5" customHeight="1">
      <c r="A91" s="1" t="s">
        <v>17</v>
      </c>
    </row>
    <row r="92" spans="1:7" s="2" customFormat="1" ht="9.75" customHeight="1" thickBot="1">
      <c r="A92" s="3"/>
    </row>
    <row r="93" spans="1:7" s="2" customFormat="1" ht="16.5" customHeight="1" thickBot="1">
      <c r="A93" s="4" t="s">
        <v>1244</v>
      </c>
      <c r="B93" s="5" t="s">
        <v>1245</v>
      </c>
      <c r="C93" s="5" t="s">
        <v>1248</v>
      </c>
      <c r="D93" s="10"/>
      <c r="E93" s="10"/>
      <c r="F93" s="11"/>
    </row>
    <row r="94" spans="1:7" s="2" customFormat="1" ht="16.5" customHeight="1" thickBot="1">
      <c r="A94" s="6" t="s">
        <v>18</v>
      </c>
      <c r="B94" s="9" t="s">
        <v>2107</v>
      </c>
      <c r="C94" s="100" t="s">
        <v>968</v>
      </c>
      <c r="D94" s="17"/>
      <c r="E94" s="16"/>
    </row>
    <row r="95" spans="1:7" s="2" customFormat="1" ht="12" customHeight="1">
      <c r="A95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36"/>
  <dimension ref="A1:L92"/>
  <sheetViews>
    <sheetView workbookViewId="0">
      <selection activeCell="J1" sqref="J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1206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(203169/229954)</f>
        <v>0.88352018229732898</v>
      </c>
    </row>
    <row r="4" spans="1:7" s="2" customFormat="1" ht="16.5" customHeight="1" thickBot="1">
      <c r="A4" s="6" t="s">
        <v>28</v>
      </c>
      <c r="B4" s="7" t="s">
        <v>493</v>
      </c>
      <c r="C4" s="36">
        <v>55373</v>
      </c>
      <c r="D4" s="17">
        <f>SUM(C4/$C$8)</f>
        <v>0.27254650069646452</v>
      </c>
      <c r="E4" s="16"/>
    </row>
    <row r="5" spans="1:7" s="2" customFormat="1" ht="16.5" customHeight="1" thickBot="1">
      <c r="A5" s="6" t="s">
        <v>993</v>
      </c>
      <c r="B5" s="7" t="s">
        <v>493</v>
      </c>
      <c r="C5" s="36">
        <v>55144</v>
      </c>
      <c r="D5" s="17">
        <f>SUM(C5/$C$8)</f>
        <v>0.27141936023704405</v>
      </c>
      <c r="E5" s="16"/>
    </row>
    <row r="6" spans="1:7" s="2" customFormat="1" ht="16.5" customHeight="1" thickBot="1">
      <c r="A6" s="12" t="s">
        <v>1204</v>
      </c>
      <c r="B6" s="22" t="s">
        <v>2107</v>
      </c>
      <c r="C6" s="8">
        <v>46392</v>
      </c>
      <c r="D6" s="17">
        <f>SUM(C6/$C$8)</f>
        <v>0.22834192224207434</v>
      </c>
      <c r="E6" s="16"/>
      <c r="G6" s="14"/>
    </row>
    <row r="7" spans="1:7" s="2" customFormat="1" ht="16.5" customHeight="1" thickBot="1">
      <c r="A7" s="12" t="s">
        <v>1205</v>
      </c>
      <c r="B7" s="22" t="s">
        <v>2107</v>
      </c>
      <c r="C7" s="8">
        <v>46260</v>
      </c>
      <c r="D7" s="17">
        <f>SUM(C7/$C$8)</f>
        <v>0.22769221682441712</v>
      </c>
      <c r="E7" s="16"/>
      <c r="G7" s="14"/>
    </row>
    <row r="8" spans="1:7" s="2" customFormat="1" ht="16.5" customHeight="1">
      <c r="A8" s="75"/>
      <c r="B8" s="76"/>
      <c r="C8" s="23">
        <f>SUM(C4:C7)</f>
        <v>203169</v>
      </c>
      <c r="D8" s="17"/>
      <c r="E8" s="10" t="s">
        <v>1874</v>
      </c>
      <c r="F8" s="21">
        <f>(C5-C6)</f>
        <v>8752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1211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(79246/89979)</f>
        <v>0.88071661165383031</v>
      </c>
    </row>
    <row r="13" spans="1:7" s="2" customFormat="1" ht="16.5" customHeight="1" thickBot="1">
      <c r="A13" s="6" t="s">
        <v>995</v>
      </c>
      <c r="B13" s="9" t="s">
        <v>2107</v>
      </c>
      <c r="C13" s="36">
        <v>40214</v>
      </c>
      <c r="D13" s="17">
        <f>SUM(C13/$C$16)</f>
        <v>0.50745778966761734</v>
      </c>
      <c r="E13" s="16"/>
    </row>
    <row r="14" spans="1:7" s="2" customFormat="1" ht="16.5" customHeight="1" thickBot="1">
      <c r="A14" s="12" t="s">
        <v>1209</v>
      </c>
      <c r="B14" s="20" t="s">
        <v>493</v>
      </c>
      <c r="C14" s="8">
        <v>37561</v>
      </c>
      <c r="D14" s="17">
        <f>SUM(C14/$C$16)</f>
        <v>0.47397975923074981</v>
      </c>
      <c r="E14" s="16"/>
      <c r="G14" s="14"/>
    </row>
    <row r="15" spans="1:7" s="2" customFormat="1" ht="16.5" customHeight="1" thickBot="1">
      <c r="A15" s="12" t="s">
        <v>1210</v>
      </c>
      <c r="B15" s="80" t="s">
        <v>363</v>
      </c>
      <c r="C15" s="8">
        <v>1471</v>
      </c>
      <c r="D15" s="17">
        <f>SUM(C15/$C$16)</f>
        <v>1.856245110163289E-2</v>
      </c>
      <c r="E15" s="16"/>
      <c r="G15" s="14"/>
    </row>
    <row r="16" spans="1:7" s="2" customFormat="1" ht="16.5" customHeight="1">
      <c r="A16" s="75"/>
      <c r="B16" s="76"/>
      <c r="C16" s="23">
        <f>SUM(C13:C15)</f>
        <v>79246</v>
      </c>
      <c r="D16" s="17"/>
      <c r="E16" s="10" t="s">
        <v>1874</v>
      </c>
      <c r="F16" s="21">
        <f>(C13-C14)</f>
        <v>2653</v>
      </c>
    </row>
    <row r="17" spans="1:7" s="2" customFormat="1" ht="12" customHeight="1">
      <c r="A17" s="1"/>
    </row>
    <row r="18" spans="1:7" s="2" customFormat="1" ht="16.5" customHeight="1">
      <c r="A18" s="1" t="s">
        <v>971</v>
      </c>
    </row>
    <row r="19" spans="1:7" s="2" customFormat="1" ht="9.75" customHeight="1" thickBot="1">
      <c r="A19" s="3"/>
    </row>
    <row r="20" spans="1:7" s="2" customFormat="1" ht="16.5" customHeight="1" thickBot="1">
      <c r="A20" s="4" t="s">
        <v>1244</v>
      </c>
      <c r="B20" s="5" t="s">
        <v>1245</v>
      </c>
      <c r="C20" s="5" t="s">
        <v>1248</v>
      </c>
      <c r="D20" s="10"/>
      <c r="E20" s="10"/>
      <c r="F20" s="11"/>
    </row>
    <row r="21" spans="1:7" s="2" customFormat="1" ht="16.5" customHeight="1" thickBot="1">
      <c r="A21" s="6" t="s">
        <v>29</v>
      </c>
      <c r="B21" s="9" t="s">
        <v>2107</v>
      </c>
      <c r="C21" s="100" t="s">
        <v>968</v>
      </c>
      <c r="D21" s="17"/>
      <c r="E21" s="16"/>
    </row>
    <row r="22" spans="1:7" s="2" customFormat="1" ht="12" customHeight="1">
      <c r="A22" s="1"/>
    </row>
    <row r="23" spans="1:7" s="2" customFormat="1" ht="16.5" customHeight="1">
      <c r="A23" s="1" t="s">
        <v>1215</v>
      </c>
    </row>
    <row r="24" spans="1:7" s="2" customFormat="1" ht="9.75" customHeight="1" thickBot="1">
      <c r="A24" s="3"/>
    </row>
    <row r="25" spans="1:7" s="2" customFormat="1" ht="16.5" customHeight="1" thickBot="1">
      <c r="A25" s="4" t="s">
        <v>1244</v>
      </c>
      <c r="B25" s="5" t="s">
        <v>1245</v>
      </c>
      <c r="C25" s="5" t="s">
        <v>1248</v>
      </c>
      <c r="D25" s="10"/>
      <c r="E25" s="10" t="s">
        <v>1413</v>
      </c>
      <c r="F25" s="11">
        <f>(57887/145524)</f>
        <v>0.39778318352986447</v>
      </c>
    </row>
    <row r="26" spans="1:7" s="2" customFormat="1" ht="16.5" customHeight="1" thickBot="1">
      <c r="A26" s="6" t="s">
        <v>1212</v>
      </c>
      <c r="B26" s="77" t="s">
        <v>328</v>
      </c>
      <c r="C26" s="36">
        <v>46732</v>
      </c>
      <c r="D26" s="17">
        <f>SUM(C26/$C$30)</f>
        <v>0.40365197412177278</v>
      </c>
      <c r="E26" s="16"/>
    </row>
    <row r="27" spans="1:7" s="2" customFormat="1" ht="16.5" customHeight="1" thickBot="1">
      <c r="A27" s="6" t="s">
        <v>1213</v>
      </c>
      <c r="B27" s="9" t="s">
        <v>2107</v>
      </c>
      <c r="C27" s="36">
        <v>24148</v>
      </c>
      <c r="D27" s="17">
        <f>SUM(C27/$C$30)</f>
        <v>0.20858058441951061</v>
      </c>
      <c r="E27" s="16"/>
    </row>
    <row r="28" spans="1:7" s="2" customFormat="1" ht="16.5" customHeight="1" thickBot="1">
      <c r="A28" s="12" t="s">
        <v>1214</v>
      </c>
      <c r="B28" s="22" t="s">
        <v>2107</v>
      </c>
      <c r="C28" s="8">
        <v>22730</v>
      </c>
      <c r="D28" s="17">
        <f>SUM(C28/$C$30)</f>
        <v>0.19633247821167285</v>
      </c>
      <c r="E28" s="16"/>
      <c r="G28" s="14"/>
    </row>
    <row r="29" spans="1:7" s="2" customFormat="1" ht="16.5" customHeight="1" thickBot="1">
      <c r="A29" s="12" t="s">
        <v>2105</v>
      </c>
      <c r="B29" s="78" t="s">
        <v>328</v>
      </c>
      <c r="C29" s="8">
        <v>22163</v>
      </c>
      <c r="D29" s="17">
        <f>SUM(C29/$C$30)</f>
        <v>0.19143496324704379</v>
      </c>
      <c r="E29" s="16"/>
      <c r="G29" s="14"/>
    </row>
    <row r="30" spans="1:7" s="2" customFormat="1" ht="16.5" customHeight="1">
      <c r="A30" s="75"/>
      <c r="B30" s="76"/>
      <c r="C30" s="23">
        <f>SUM(C26:C29)</f>
        <v>115773</v>
      </c>
      <c r="D30" s="17"/>
      <c r="E30" s="10" t="s">
        <v>1874</v>
      </c>
      <c r="F30" s="21">
        <f>(C27-C28)</f>
        <v>1418</v>
      </c>
    </row>
    <row r="31" spans="1:7" s="2" customFormat="1" ht="12" customHeight="1">
      <c r="A31" s="1"/>
    </row>
    <row r="32" spans="1:7" s="2" customFormat="1" ht="16.5" customHeight="1">
      <c r="A32" s="1" t="s">
        <v>1219</v>
      </c>
    </row>
    <row r="33" spans="1:12" s="2" customFormat="1" ht="9.75" customHeight="1" thickBot="1">
      <c r="A33" s="3"/>
    </row>
    <row r="34" spans="1:12" s="2" customFormat="1" ht="16.5" customHeight="1" thickBot="1">
      <c r="A34" s="4" t="s">
        <v>1244</v>
      </c>
      <c r="B34" s="5" t="s">
        <v>1245</v>
      </c>
      <c r="C34" s="5" t="s">
        <v>1248</v>
      </c>
      <c r="D34" s="10"/>
      <c r="E34" s="10" t="s">
        <v>1413</v>
      </c>
      <c r="F34" s="11">
        <f>(66447/134528)</f>
        <v>0.49392691484300666</v>
      </c>
    </row>
    <row r="35" spans="1:12" s="2" customFormat="1" ht="16.5" customHeight="1" thickBot="1">
      <c r="A35" s="6" t="s">
        <v>978</v>
      </c>
      <c r="B35" s="9" t="s">
        <v>2107</v>
      </c>
      <c r="C35" s="36">
        <v>57259</v>
      </c>
      <c r="D35" s="17">
        <f>SUM(C35/$C$38)</f>
        <v>0.43086219091907835</v>
      </c>
      <c r="E35" s="16"/>
    </row>
    <row r="36" spans="1:12" s="2" customFormat="1" ht="16.5" customHeight="1" thickBot="1">
      <c r="A36" s="6" t="s">
        <v>1217</v>
      </c>
      <c r="B36" s="9" t="s">
        <v>2107</v>
      </c>
      <c r="C36" s="36">
        <v>57232</v>
      </c>
      <c r="D36" s="17">
        <f>SUM(C36/$C$38)</f>
        <v>0.43065902147576263</v>
      </c>
      <c r="E36" s="16"/>
    </row>
    <row r="37" spans="1:12" s="2" customFormat="1" ht="16.5" customHeight="1" thickBot="1">
      <c r="A37" s="12" t="s">
        <v>1218</v>
      </c>
      <c r="B37" s="80" t="s">
        <v>363</v>
      </c>
      <c r="C37" s="8">
        <v>18403</v>
      </c>
      <c r="D37" s="17">
        <f>SUM(C37/$C$38)</f>
        <v>0.138478787605159</v>
      </c>
      <c r="E37" s="16"/>
      <c r="G37" s="14"/>
    </row>
    <row r="38" spans="1:12" s="2" customFormat="1" ht="16.5" customHeight="1">
      <c r="A38" s="75"/>
      <c r="B38" s="76"/>
      <c r="C38" s="23">
        <f>SUM(C35:C37)</f>
        <v>132894</v>
      </c>
      <c r="D38" s="17"/>
      <c r="E38" s="10" t="s">
        <v>1874</v>
      </c>
      <c r="F38" s="21">
        <f>(C36-C37)</f>
        <v>38829</v>
      </c>
    </row>
    <row r="39" spans="1:12" s="2" customFormat="1" ht="12" customHeight="1">
      <c r="A39" s="1"/>
      <c r="E39"/>
      <c r="L39"/>
    </row>
    <row r="40" spans="1:12" s="2" customFormat="1" ht="16.5" customHeight="1">
      <c r="A40" s="1" t="s">
        <v>1221</v>
      </c>
    </row>
    <row r="41" spans="1:12" s="2" customFormat="1" ht="9.75" customHeight="1" thickBot="1">
      <c r="A41" s="3"/>
    </row>
    <row r="42" spans="1:12" s="2" customFormat="1" ht="16.5" customHeight="1" thickBot="1">
      <c r="A42" s="4" t="s">
        <v>1244</v>
      </c>
      <c r="B42" s="5" t="s">
        <v>1245</v>
      </c>
      <c r="C42" s="5" t="s">
        <v>1248</v>
      </c>
      <c r="D42" s="10"/>
      <c r="E42" s="10" t="s">
        <v>1413</v>
      </c>
      <c r="F42" s="11">
        <f>(46606/73231)</f>
        <v>0.63642446504895467</v>
      </c>
    </row>
    <row r="43" spans="1:12" s="2" customFormat="1" ht="16.5" customHeight="1" thickBot="1">
      <c r="A43" s="6" t="s">
        <v>1220</v>
      </c>
      <c r="B43" s="9" t="s">
        <v>2107</v>
      </c>
      <c r="C43" s="36">
        <v>25761</v>
      </c>
      <c r="D43" s="17">
        <f>SUM(C43/$C$45)</f>
        <v>0.55273999055915546</v>
      </c>
      <c r="E43" s="16"/>
    </row>
    <row r="44" spans="1:12" s="2" customFormat="1" ht="16.5" customHeight="1" thickBot="1">
      <c r="A44" s="12" t="s">
        <v>1004</v>
      </c>
      <c r="B44" s="80" t="s">
        <v>363</v>
      </c>
      <c r="C44" s="8">
        <v>20845</v>
      </c>
      <c r="D44" s="17">
        <f>SUM(C44/$C$45)</f>
        <v>0.44726000944084454</v>
      </c>
      <c r="E44" s="16"/>
      <c r="G44" s="14"/>
    </row>
    <row r="45" spans="1:12" s="2" customFormat="1" ht="16.5" customHeight="1">
      <c r="A45" s="75"/>
      <c r="B45" s="76"/>
      <c r="C45" s="23">
        <f>SUM(C43:C44)</f>
        <v>46606</v>
      </c>
      <c r="D45" s="17"/>
      <c r="E45" s="10" t="s">
        <v>1874</v>
      </c>
      <c r="F45" s="21">
        <f>(C43-C44)</f>
        <v>4916</v>
      </c>
    </row>
    <row r="46" spans="1:12" s="2" customFormat="1" ht="12" customHeight="1">
      <c r="A46" s="1"/>
    </row>
    <row r="47" spans="1:12" s="2" customFormat="1" ht="16.5" customHeight="1">
      <c r="A47" s="1" t="s">
        <v>1222</v>
      </c>
    </row>
    <row r="48" spans="1:12" s="2" customFormat="1" ht="9.75" customHeight="1" thickBot="1">
      <c r="A48" s="3"/>
    </row>
    <row r="49" spans="1:7" s="2" customFormat="1" ht="16.5" customHeight="1" thickBot="1">
      <c r="A49" s="4" t="s">
        <v>1244</v>
      </c>
      <c r="B49" s="5" t="s">
        <v>1245</v>
      </c>
      <c r="C49" s="5" t="s">
        <v>1248</v>
      </c>
      <c r="D49" s="10"/>
      <c r="E49" s="10" t="s">
        <v>1413</v>
      </c>
      <c r="F49" s="11">
        <f>(57516/78674)</f>
        <v>0.73106744286549563</v>
      </c>
    </row>
    <row r="50" spans="1:7" s="2" customFormat="1" ht="16.5" customHeight="1" thickBot="1">
      <c r="A50" s="6" t="s">
        <v>2122</v>
      </c>
      <c r="B50" s="77" t="s">
        <v>954</v>
      </c>
      <c r="C50" s="36">
        <v>30787</v>
      </c>
      <c r="D50" s="17">
        <f>SUM(C50/$C$52)</f>
        <v>0.53527714027401074</v>
      </c>
      <c r="E50" s="16"/>
    </row>
    <row r="51" spans="1:7" s="2" customFormat="1" ht="16.5" customHeight="1" thickBot="1">
      <c r="A51" s="12" t="s">
        <v>942</v>
      </c>
      <c r="B51" s="22" t="s">
        <v>2107</v>
      </c>
      <c r="C51" s="8">
        <v>26729</v>
      </c>
      <c r="D51" s="17">
        <f>SUM(C51/$C$52)</f>
        <v>0.46472285972598931</v>
      </c>
      <c r="E51" s="16"/>
      <c r="G51" s="14"/>
    </row>
    <row r="52" spans="1:7" s="2" customFormat="1" ht="16.5" customHeight="1">
      <c r="A52" s="75"/>
      <c r="B52" s="76"/>
      <c r="C52" s="23">
        <f>SUM(C50:C51)</f>
        <v>57516</v>
      </c>
      <c r="D52" s="17"/>
      <c r="E52" s="10" t="s">
        <v>1874</v>
      </c>
      <c r="F52" s="21">
        <f>(C50-C51)</f>
        <v>4058</v>
      </c>
    </row>
    <row r="53" spans="1:7" s="2" customFormat="1" ht="12" customHeight="1">
      <c r="A53" s="1"/>
    </row>
    <row r="54" spans="1:7" s="2" customFormat="1" ht="16.5" customHeight="1">
      <c r="A54" s="1" t="s">
        <v>1226</v>
      </c>
    </row>
    <row r="55" spans="1:7" s="2" customFormat="1" ht="9.75" customHeight="1" thickBot="1">
      <c r="A55" s="3"/>
    </row>
    <row r="56" spans="1:7" s="2" customFormat="1" ht="16.5" customHeight="1" thickBot="1">
      <c r="A56" s="4" t="s">
        <v>1244</v>
      </c>
      <c r="B56" s="5" t="s">
        <v>1245</v>
      </c>
      <c r="C56" s="5" t="s">
        <v>1248</v>
      </c>
      <c r="D56" s="10"/>
      <c r="E56" s="10" t="s">
        <v>1413</v>
      </c>
      <c r="F56" s="11">
        <f>(46544/70140)</f>
        <v>0.66358711149130312</v>
      </c>
    </row>
    <row r="57" spans="1:7" s="2" customFormat="1" ht="16.5" customHeight="1" thickBot="1">
      <c r="A57" s="6" t="s">
        <v>1223</v>
      </c>
      <c r="B57" s="9" t="s">
        <v>2107</v>
      </c>
      <c r="C57" s="36">
        <v>24282</v>
      </c>
      <c r="D57" s="17">
        <f>SUM(C57/$C$60)</f>
        <v>0.5216998968717772</v>
      </c>
      <c r="E57" s="16"/>
    </row>
    <row r="58" spans="1:7" s="2" customFormat="1" ht="16.5" customHeight="1" thickBot="1">
      <c r="A58" s="12" t="s">
        <v>1225</v>
      </c>
      <c r="B58" s="78" t="s">
        <v>1224</v>
      </c>
      <c r="C58" s="8">
        <v>14096</v>
      </c>
      <c r="D58" s="17">
        <f>SUM(C58/$C$60)</f>
        <v>0.30285321416294259</v>
      </c>
      <c r="E58" s="16"/>
      <c r="G58" s="14"/>
    </row>
    <row r="59" spans="1:7" s="2" customFormat="1" ht="16.5" customHeight="1" thickBot="1">
      <c r="A59" s="12" t="s">
        <v>982</v>
      </c>
      <c r="B59" s="80" t="s">
        <v>363</v>
      </c>
      <c r="C59" s="8">
        <v>8166</v>
      </c>
      <c r="D59" s="17">
        <f>SUM(C59/$C$60)</f>
        <v>0.17544688896528016</v>
      </c>
      <c r="E59" s="16"/>
      <c r="G59" s="14"/>
    </row>
    <row r="60" spans="1:7" s="2" customFormat="1" ht="16.5" customHeight="1">
      <c r="A60" s="75"/>
      <c r="B60" s="76"/>
      <c r="C60" s="23">
        <f>SUM(C57:C59)</f>
        <v>46544</v>
      </c>
      <c r="D60" s="17"/>
      <c r="E60" s="10" t="s">
        <v>1874</v>
      </c>
      <c r="F60" s="21">
        <f>(C57-C58)</f>
        <v>10186</v>
      </c>
    </row>
    <row r="61" spans="1:7" s="2" customFormat="1" ht="12" customHeight="1">
      <c r="A61" s="1"/>
    </row>
    <row r="62" spans="1:7" s="2" customFormat="1" ht="16.5" customHeight="1">
      <c r="A62" s="1" t="s">
        <v>1228</v>
      </c>
    </row>
    <row r="63" spans="1:7" s="2" customFormat="1" ht="9.75" customHeight="1" thickBot="1">
      <c r="A63" s="3"/>
    </row>
    <row r="64" spans="1:7" s="2" customFormat="1" ht="16.5" customHeight="1" thickBot="1">
      <c r="A64" s="4" t="s">
        <v>1244</v>
      </c>
      <c r="B64" s="5" t="s">
        <v>1245</v>
      </c>
      <c r="C64" s="5" t="s">
        <v>1248</v>
      </c>
      <c r="D64" s="10"/>
      <c r="E64" s="10" t="s">
        <v>1413</v>
      </c>
      <c r="F64" s="11">
        <f>(38017/60175)</f>
        <v>0.63177399252181143</v>
      </c>
    </row>
    <row r="65" spans="1:7" s="2" customFormat="1" ht="16.5" customHeight="1" thickBot="1">
      <c r="A65" s="6" t="s">
        <v>1227</v>
      </c>
      <c r="B65" s="9" t="s">
        <v>2107</v>
      </c>
      <c r="C65" s="36">
        <v>21443</v>
      </c>
      <c r="D65" s="17">
        <f>SUM(C65/$C$67)</f>
        <v>0.56403714127890159</v>
      </c>
      <c r="E65" s="16"/>
    </row>
    <row r="66" spans="1:7" s="2" customFormat="1" ht="16.5" customHeight="1" thickBot="1">
      <c r="A66" s="12" t="s">
        <v>959</v>
      </c>
      <c r="B66" s="80" t="s">
        <v>363</v>
      </c>
      <c r="C66" s="8">
        <v>16574</v>
      </c>
      <c r="D66" s="17">
        <f>SUM(C66/$C$67)</f>
        <v>0.43596285872109847</v>
      </c>
      <c r="E66" s="16"/>
      <c r="G66" s="14"/>
    </row>
    <row r="67" spans="1:7" s="2" customFormat="1" ht="16.5" customHeight="1">
      <c r="A67" s="75"/>
      <c r="B67" s="76"/>
      <c r="C67" s="23">
        <f>SUM(C65:C66)</f>
        <v>38017</v>
      </c>
      <c r="D67" s="17"/>
      <c r="E67" s="10" t="s">
        <v>1874</v>
      </c>
      <c r="F67" s="21">
        <f>(C65-C66)</f>
        <v>4869</v>
      </c>
    </row>
    <row r="69" spans="1:7" s="2" customFormat="1" ht="16.5" customHeight="1">
      <c r="A69" s="1" t="s">
        <v>1230</v>
      </c>
    </row>
    <row r="70" spans="1:7" s="2" customFormat="1" ht="9.75" customHeight="1" thickBot="1">
      <c r="A70" s="3"/>
    </row>
    <row r="71" spans="1:7" s="2" customFormat="1" ht="16.5" customHeight="1" thickBot="1">
      <c r="A71" s="4" t="s">
        <v>1244</v>
      </c>
      <c r="B71" s="5" t="s">
        <v>1245</v>
      </c>
      <c r="C71" s="5" t="s">
        <v>1248</v>
      </c>
      <c r="D71" s="10"/>
      <c r="E71" s="10" t="s">
        <v>1413</v>
      </c>
      <c r="F71" s="11">
        <f>(2651/5134)</f>
        <v>0.51636151149201404</v>
      </c>
    </row>
    <row r="72" spans="1:7" s="2" customFormat="1" ht="16.5" customHeight="1" thickBot="1">
      <c r="A72" s="6" t="s">
        <v>1000</v>
      </c>
      <c r="B72" s="9" t="s">
        <v>2107</v>
      </c>
      <c r="C72" s="36">
        <v>1923</v>
      </c>
      <c r="D72" s="17">
        <f>SUM(C72/$C$74)</f>
        <v>0.72538664654847229</v>
      </c>
      <c r="E72" s="16"/>
    </row>
    <row r="73" spans="1:7" s="2" customFormat="1" ht="16.5" customHeight="1" thickBot="1">
      <c r="A73" s="12" t="s">
        <v>1229</v>
      </c>
      <c r="B73" s="78" t="s">
        <v>1270</v>
      </c>
      <c r="C73" s="8">
        <v>728</v>
      </c>
      <c r="D73" s="17">
        <f>SUM(C73/$C$74)</f>
        <v>0.27461335345152771</v>
      </c>
      <c r="E73" s="16"/>
      <c r="G73" s="14"/>
    </row>
    <row r="74" spans="1:7" s="2" customFormat="1" ht="16.5" customHeight="1">
      <c r="A74" s="75"/>
      <c r="B74" s="76"/>
      <c r="C74" s="23">
        <f>SUM(C72:C73)</f>
        <v>2651</v>
      </c>
      <c r="D74" s="17"/>
      <c r="E74" s="10" t="s">
        <v>1874</v>
      </c>
      <c r="F74" s="21">
        <f>(C72-C73)</f>
        <v>1195</v>
      </c>
    </row>
    <row r="75" spans="1:7" s="2" customFormat="1" ht="12" customHeight="1">
      <c r="A75" s="1"/>
    </row>
    <row r="76" spans="1:7" ht="15">
      <c r="A76" s="104" t="s">
        <v>1072</v>
      </c>
    </row>
    <row r="77" spans="1:7" s="2" customFormat="1" ht="16.5" customHeight="1">
      <c r="A77" s="1" t="s">
        <v>21</v>
      </c>
    </row>
    <row r="78" spans="1:7" s="2" customFormat="1" ht="9.75" customHeight="1" thickBot="1">
      <c r="A78" s="3"/>
    </row>
    <row r="79" spans="1:7" s="2" customFormat="1" ht="16.5" customHeight="1" thickBot="1">
      <c r="A79" s="4" t="s">
        <v>1244</v>
      </c>
      <c r="B79" s="5" t="s">
        <v>1245</v>
      </c>
      <c r="C79" s="5" t="s">
        <v>1248</v>
      </c>
      <c r="D79" s="10"/>
      <c r="E79" s="10" t="s">
        <v>1413</v>
      </c>
      <c r="F79" s="11">
        <f>(98565/147978)</f>
        <v>0.6660787414345376</v>
      </c>
    </row>
    <row r="80" spans="1:7" s="2" customFormat="1" ht="16.5" customHeight="1" thickBot="1">
      <c r="A80" s="6" t="s">
        <v>19</v>
      </c>
      <c r="B80" s="9" t="s">
        <v>2107</v>
      </c>
      <c r="C80" s="36">
        <v>50699</v>
      </c>
      <c r="D80" s="17">
        <f>SUM(C80/$C$84)</f>
        <v>0.5143712271090144</v>
      </c>
      <c r="E80" s="16"/>
    </row>
    <row r="81" spans="1:7" s="2" customFormat="1" ht="16.5" customHeight="1" thickBot="1">
      <c r="A81" s="12" t="s">
        <v>20</v>
      </c>
      <c r="B81" s="80" t="s">
        <v>363</v>
      </c>
      <c r="C81" s="8">
        <v>28846</v>
      </c>
      <c r="D81" s="17">
        <f>SUM(C81/$C$84)</f>
        <v>0.29265966621011513</v>
      </c>
      <c r="E81" s="16"/>
    </row>
    <row r="82" spans="1:7" s="2" customFormat="1" ht="16.5" customHeight="1" thickBot="1">
      <c r="A82" s="12" t="s">
        <v>1212</v>
      </c>
      <c r="B82" s="78" t="s">
        <v>328</v>
      </c>
      <c r="C82" s="8">
        <v>16895</v>
      </c>
      <c r="D82" s="17">
        <f>SUM(C82/$C$84)</f>
        <v>0.17140972962004769</v>
      </c>
      <c r="E82" s="16"/>
      <c r="G82" s="14"/>
    </row>
    <row r="83" spans="1:7" s="2" customFormat="1" ht="16.5" customHeight="1" thickBot="1">
      <c r="A83" s="12" t="s">
        <v>2105</v>
      </c>
      <c r="B83" s="78" t="s">
        <v>328</v>
      </c>
      <c r="C83" s="8">
        <v>2125</v>
      </c>
      <c r="D83" s="17">
        <f>SUM(C83/$C$84)</f>
        <v>2.1559377060822806E-2</v>
      </c>
      <c r="E83" s="16"/>
      <c r="G83" s="14"/>
    </row>
    <row r="84" spans="1:7" s="2" customFormat="1" ht="16.5" customHeight="1">
      <c r="A84" s="75"/>
      <c r="B84" s="76"/>
      <c r="C84" s="23">
        <f>SUM(C80:C83)</f>
        <v>98565</v>
      </c>
      <c r="D84" s="17"/>
      <c r="E84" s="10" t="s">
        <v>1874</v>
      </c>
      <c r="F84" s="21">
        <f>(C80-C81)</f>
        <v>21853</v>
      </c>
    </row>
    <row r="85" spans="1:7" s="2" customFormat="1" ht="12" customHeight="1">
      <c r="A85" s="1"/>
    </row>
    <row r="86" spans="1:7" s="2" customFormat="1" ht="16.5" customHeight="1">
      <c r="A86" s="1" t="s">
        <v>23</v>
      </c>
    </row>
    <row r="87" spans="1:7" s="2" customFormat="1" ht="9.75" customHeight="1" thickBot="1">
      <c r="A87" s="3"/>
    </row>
    <row r="88" spans="1:7" s="2" customFormat="1" ht="16.5" customHeight="1" thickBot="1">
      <c r="A88" s="4" t="s">
        <v>1244</v>
      </c>
      <c r="B88" s="5" t="s">
        <v>1245</v>
      </c>
      <c r="C88" s="5" t="s">
        <v>1248</v>
      </c>
      <c r="D88" s="10"/>
      <c r="E88" s="10" t="s">
        <v>1413</v>
      </c>
      <c r="F88" s="11">
        <f>(61158/70337)</f>
        <v>0.86949969432873164</v>
      </c>
    </row>
    <row r="89" spans="1:7" s="2" customFormat="1" ht="16.5" customHeight="1" thickBot="1">
      <c r="A89" s="6" t="s">
        <v>22</v>
      </c>
      <c r="B89" s="9" t="s">
        <v>2107</v>
      </c>
      <c r="C89" s="36">
        <v>36736</v>
      </c>
      <c r="D89" s="17">
        <f>SUM(C89/$C$91)</f>
        <v>0.60067366493345109</v>
      </c>
      <c r="E89" s="16"/>
    </row>
    <row r="90" spans="1:7" s="2" customFormat="1" ht="16.5" customHeight="1" thickBot="1">
      <c r="A90" s="12" t="s">
        <v>514</v>
      </c>
      <c r="B90" s="20" t="s">
        <v>493</v>
      </c>
      <c r="C90" s="8">
        <v>24422</v>
      </c>
      <c r="D90" s="17">
        <f>SUM(C90/$C$91)</f>
        <v>0.39932633506654897</v>
      </c>
      <c r="E90" s="16"/>
      <c r="G90" s="14"/>
    </row>
    <row r="91" spans="1:7" s="2" customFormat="1" ht="16.5" customHeight="1">
      <c r="A91" s="75"/>
      <c r="B91" s="76"/>
      <c r="C91" s="23">
        <f>SUM(C89:C90)</f>
        <v>61158</v>
      </c>
      <c r="D91" s="17"/>
      <c r="E91" s="10" t="s">
        <v>1874</v>
      </c>
      <c r="F91" s="21">
        <f>(C89-C90)</f>
        <v>12314</v>
      </c>
    </row>
    <row r="92" spans="1:7" s="2" customFormat="1" ht="12" customHeight="1">
      <c r="A92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37"/>
  <dimension ref="A1:G95"/>
  <sheetViews>
    <sheetView workbookViewId="0">
      <selection activeCell="K1" sqref="K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25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(97060/118322)</f>
        <v>0.82030391643143286</v>
      </c>
    </row>
    <row r="4" spans="1:7" s="2" customFormat="1" ht="16.5" customHeight="1" thickBot="1">
      <c r="A4" s="6" t="s">
        <v>1202</v>
      </c>
      <c r="B4" s="7" t="s">
        <v>493</v>
      </c>
      <c r="C4" s="36">
        <v>50891</v>
      </c>
      <c r="D4" s="17">
        <f>SUM(C4/$C$8)</f>
        <v>0.26216393037260649</v>
      </c>
      <c r="E4" s="16"/>
    </row>
    <row r="5" spans="1:7" s="2" customFormat="1" ht="16.5" customHeight="1" thickBot="1">
      <c r="A5" s="6" t="s">
        <v>1203</v>
      </c>
      <c r="B5" s="7" t="s">
        <v>493</v>
      </c>
      <c r="C5" s="36">
        <v>50603</v>
      </c>
      <c r="D5" s="17">
        <f>SUM(C5/$C$8)</f>
        <v>0.26068030434939393</v>
      </c>
      <c r="E5" s="16"/>
    </row>
    <row r="6" spans="1:7" s="2" customFormat="1" ht="16.5" customHeight="1" thickBot="1">
      <c r="A6" s="12" t="s">
        <v>24</v>
      </c>
      <c r="B6" s="22" t="s">
        <v>2107</v>
      </c>
      <c r="C6" s="8">
        <v>46625</v>
      </c>
      <c r="D6" s="17">
        <f>SUM(C6/$C$8)</f>
        <v>0.24018771990377036</v>
      </c>
      <c r="E6" s="16"/>
      <c r="G6" s="14"/>
    </row>
    <row r="7" spans="1:7" s="2" customFormat="1" ht="16.5" customHeight="1" thickBot="1">
      <c r="A7" s="12" t="s">
        <v>1214</v>
      </c>
      <c r="B7" s="22" t="s">
        <v>2107</v>
      </c>
      <c r="C7" s="8">
        <v>46000</v>
      </c>
      <c r="D7" s="17">
        <f>SUM(C7/$C$8)</f>
        <v>0.23696804537422922</v>
      </c>
      <c r="E7" s="16"/>
      <c r="G7" s="14"/>
    </row>
    <row r="8" spans="1:7" s="2" customFormat="1" ht="16.5" customHeight="1">
      <c r="A8" s="75"/>
      <c r="B8" s="76"/>
      <c r="C8" s="23">
        <f>SUM(C4:C7)</f>
        <v>194119</v>
      </c>
      <c r="D8" s="17"/>
      <c r="E8" s="10" t="s">
        <v>1874</v>
      </c>
      <c r="F8" s="21">
        <f>(C5-C6)</f>
        <v>3978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26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/>
      <c r="F12" s="11"/>
    </row>
    <row r="13" spans="1:7" s="2" customFormat="1" ht="16.5" customHeight="1" thickBot="1">
      <c r="A13" s="6" t="s">
        <v>995</v>
      </c>
      <c r="B13" s="9" t="s">
        <v>2107</v>
      </c>
      <c r="C13" s="100" t="s">
        <v>968</v>
      </c>
      <c r="D13" s="17"/>
      <c r="E13" s="16"/>
    </row>
    <row r="14" spans="1:7" s="2" customFormat="1" ht="12" customHeight="1">
      <c r="A14" s="1"/>
    </row>
    <row r="15" spans="1:7" s="2" customFormat="1" ht="16.5" customHeight="1">
      <c r="A15" s="1" t="s">
        <v>27</v>
      </c>
    </row>
    <row r="16" spans="1:7" s="2" customFormat="1" ht="9.75" customHeight="1" thickBot="1">
      <c r="A16" s="3"/>
    </row>
    <row r="17" spans="1:7" s="2" customFormat="1" ht="16.5" customHeight="1" thickBot="1">
      <c r="A17" s="4" t="s">
        <v>1244</v>
      </c>
      <c r="B17" s="5" t="s">
        <v>1245</v>
      </c>
      <c r="C17" s="5" t="s">
        <v>1248</v>
      </c>
      <c r="D17" s="10"/>
      <c r="E17" s="10" t="s">
        <v>1413</v>
      </c>
      <c r="F17" s="11">
        <f>(50286/68582)</f>
        <v>0.73322446122889384</v>
      </c>
    </row>
    <row r="18" spans="1:7" s="2" customFormat="1" ht="16.5" customHeight="1" thickBot="1">
      <c r="A18" s="6" t="s">
        <v>29</v>
      </c>
      <c r="B18" s="9" t="s">
        <v>2107</v>
      </c>
      <c r="C18" s="36">
        <v>34002</v>
      </c>
      <c r="D18" s="17">
        <f>SUM(C18/$C$20)</f>
        <v>0.67617229447559957</v>
      </c>
      <c r="E18" s="16"/>
    </row>
    <row r="19" spans="1:7" s="2" customFormat="1" ht="16.5" customHeight="1" thickBot="1">
      <c r="A19" s="12" t="s">
        <v>846</v>
      </c>
      <c r="B19" s="20" t="s">
        <v>838</v>
      </c>
      <c r="C19" s="8">
        <v>16284</v>
      </c>
      <c r="D19" s="17">
        <f>SUM(C19/$C$20)</f>
        <v>0.32382770552440043</v>
      </c>
      <c r="E19" s="16"/>
      <c r="G19" s="14"/>
    </row>
    <row r="20" spans="1:7" s="2" customFormat="1" ht="16.5" customHeight="1">
      <c r="A20" s="75"/>
      <c r="B20" s="76"/>
      <c r="C20" s="23">
        <f>SUM(C18:C19)</f>
        <v>50286</v>
      </c>
      <c r="D20" s="17"/>
      <c r="E20" s="10" t="s">
        <v>1874</v>
      </c>
      <c r="F20" s="21">
        <f>(C18-C19)</f>
        <v>17718</v>
      </c>
    </row>
    <row r="21" spans="1:7" s="2" customFormat="1" ht="12" customHeight="1">
      <c r="A21" s="1"/>
    </row>
    <row r="22" spans="1:7" s="2" customFormat="1" ht="16.5" customHeight="1">
      <c r="A22" s="1" t="s">
        <v>33</v>
      </c>
    </row>
    <row r="23" spans="1:7" s="2" customFormat="1" ht="9.75" customHeight="1" thickBot="1">
      <c r="A23" s="3"/>
    </row>
    <row r="24" spans="1:7" s="2" customFormat="1" ht="16.5" customHeight="1" thickBot="1">
      <c r="A24" s="4" t="s">
        <v>1244</v>
      </c>
      <c r="B24" s="5" t="s">
        <v>1245</v>
      </c>
      <c r="C24" s="5" t="s">
        <v>1248</v>
      </c>
      <c r="D24" s="10"/>
      <c r="E24" s="10" t="s">
        <v>1413</v>
      </c>
      <c r="F24" s="11">
        <f>(76195/134467)</f>
        <v>0.56664460425234442</v>
      </c>
    </row>
    <row r="25" spans="1:7" s="2" customFormat="1" ht="16.5" customHeight="1" thickBot="1">
      <c r="A25" s="6" t="s">
        <v>30</v>
      </c>
      <c r="B25" s="9" t="s">
        <v>2107</v>
      </c>
      <c r="C25" s="36">
        <v>66324</v>
      </c>
      <c r="D25" s="17">
        <f>SUM(C25/$C$28)</f>
        <v>0.43522826450728069</v>
      </c>
      <c r="E25" s="16"/>
    </row>
    <row r="26" spans="1:7" s="2" customFormat="1" ht="16.5" customHeight="1" thickBot="1">
      <c r="A26" s="6" t="s">
        <v>31</v>
      </c>
      <c r="B26" s="9" t="s">
        <v>2107</v>
      </c>
      <c r="C26" s="36">
        <v>65829</v>
      </c>
      <c r="D26" s="17">
        <f>SUM(C26/$C$28)</f>
        <v>0.43197999855632624</v>
      </c>
      <c r="E26" s="16"/>
    </row>
    <row r="27" spans="1:7" s="2" customFormat="1" ht="16.5" customHeight="1" thickBot="1">
      <c r="A27" s="12" t="s">
        <v>32</v>
      </c>
      <c r="B27" s="20" t="s">
        <v>838</v>
      </c>
      <c r="C27" s="8">
        <v>20236</v>
      </c>
      <c r="D27" s="17">
        <f>SUM(C27/$C$28)</f>
        <v>0.13279173693639304</v>
      </c>
      <c r="E27" s="16"/>
      <c r="G27" s="14"/>
    </row>
    <row r="28" spans="1:7" s="2" customFormat="1" ht="16.5" customHeight="1">
      <c r="A28" s="75"/>
      <c r="B28" s="76"/>
      <c r="C28" s="23">
        <f>SUM(C25:C27)</f>
        <v>152389</v>
      </c>
      <c r="D28" s="17"/>
      <c r="E28" s="10" t="s">
        <v>1874</v>
      </c>
      <c r="F28" s="21">
        <f>(C26-C27)</f>
        <v>45593</v>
      </c>
    </row>
    <row r="29" spans="1:7" s="2" customFormat="1" ht="12" customHeight="1">
      <c r="A29" s="1"/>
    </row>
    <row r="30" spans="1:7" s="2" customFormat="1" ht="16.5" customHeight="1">
      <c r="A30" s="1" t="s">
        <v>34</v>
      </c>
    </row>
    <row r="31" spans="1:7" s="2" customFormat="1" ht="9.75" customHeight="1" thickBot="1">
      <c r="A31" s="3"/>
    </row>
    <row r="32" spans="1:7" s="2" customFormat="1" ht="16.5" customHeight="1" thickBot="1">
      <c r="A32" s="4" t="s">
        <v>1244</v>
      </c>
      <c r="B32" s="5" t="s">
        <v>1245</v>
      </c>
      <c r="C32" s="5" t="s">
        <v>1248</v>
      </c>
      <c r="D32" s="10"/>
      <c r="E32" s="10"/>
      <c r="F32" s="11"/>
    </row>
    <row r="33" spans="1:7" s="2" customFormat="1" ht="16.5" customHeight="1" thickBot="1">
      <c r="A33" s="6" t="s">
        <v>36</v>
      </c>
      <c r="B33" s="9" t="s">
        <v>2107</v>
      </c>
      <c r="C33" s="100" t="s">
        <v>968</v>
      </c>
      <c r="D33" s="17"/>
      <c r="E33" s="16"/>
    </row>
    <row r="34" spans="1:7" s="2" customFormat="1" ht="16.5" customHeight="1" thickBot="1">
      <c r="A34" s="6" t="s">
        <v>978</v>
      </c>
      <c r="B34" s="9" t="s">
        <v>2107</v>
      </c>
      <c r="C34" s="100" t="s">
        <v>968</v>
      </c>
      <c r="D34" s="17"/>
      <c r="E34" s="16"/>
    </row>
    <row r="35" spans="1:7" s="2" customFormat="1" ht="12" customHeight="1">
      <c r="A35" s="1"/>
    </row>
    <row r="36" spans="1:7" s="2" customFormat="1" ht="16.5" customHeight="1">
      <c r="A36" s="1" t="s">
        <v>37</v>
      </c>
    </row>
    <row r="37" spans="1:7" s="2" customFormat="1" ht="9.75" customHeight="1" thickBot="1">
      <c r="A37" s="3"/>
    </row>
    <row r="38" spans="1:7" s="2" customFormat="1" ht="16.5" customHeight="1" thickBot="1">
      <c r="A38" s="4" t="s">
        <v>1244</v>
      </c>
      <c r="B38" s="5" t="s">
        <v>1245</v>
      </c>
      <c r="C38" s="5" t="s">
        <v>1248</v>
      </c>
      <c r="D38" s="10"/>
      <c r="E38" s="10"/>
      <c r="F38" s="11"/>
    </row>
    <row r="39" spans="1:7" s="2" customFormat="1" ht="16.5" customHeight="1" thickBot="1">
      <c r="A39" s="6" t="s">
        <v>38</v>
      </c>
      <c r="B39" s="9" t="s">
        <v>2107</v>
      </c>
      <c r="C39" s="100" t="s">
        <v>968</v>
      </c>
      <c r="D39" s="17"/>
      <c r="E39" s="16"/>
    </row>
    <row r="40" spans="1:7" s="2" customFormat="1" ht="12" customHeight="1">
      <c r="A40" s="1"/>
    </row>
    <row r="41" spans="1:7" s="2" customFormat="1" ht="16.5" customHeight="1">
      <c r="A41" s="1" t="s">
        <v>41</v>
      </c>
    </row>
    <row r="42" spans="1:7" s="2" customFormat="1" ht="9.75" customHeight="1" thickBot="1">
      <c r="A42" s="3"/>
    </row>
    <row r="43" spans="1:7" s="2" customFormat="1" ht="16.5" customHeight="1" thickBot="1">
      <c r="A43" s="4" t="s">
        <v>1244</v>
      </c>
      <c r="B43" s="5" t="s">
        <v>1245</v>
      </c>
      <c r="C43" s="5" t="s">
        <v>1248</v>
      </c>
      <c r="D43" s="10"/>
      <c r="E43" s="10" t="s">
        <v>1413</v>
      </c>
      <c r="F43" s="11">
        <f>(54373/79902)</f>
        <v>0.68049610773197167</v>
      </c>
    </row>
    <row r="44" spans="1:7" s="2" customFormat="1" ht="16.5" customHeight="1" thickBot="1">
      <c r="A44" s="6" t="s">
        <v>39</v>
      </c>
      <c r="B44" s="9" t="s">
        <v>2107</v>
      </c>
      <c r="C44" s="36">
        <v>34060</v>
      </c>
      <c r="D44" s="17">
        <f>SUM(C44/$C$46)</f>
        <v>0.62641384510694642</v>
      </c>
      <c r="E44" s="16"/>
    </row>
    <row r="45" spans="1:7" s="2" customFormat="1" ht="16.5" customHeight="1" thickBot="1">
      <c r="A45" s="12" t="s">
        <v>40</v>
      </c>
      <c r="B45" s="20" t="s">
        <v>838</v>
      </c>
      <c r="C45" s="8">
        <v>20313</v>
      </c>
      <c r="D45" s="17">
        <f>SUM(C45/$C$46)</f>
        <v>0.37358615489305352</v>
      </c>
      <c r="E45" s="16"/>
      <c r="G45" s="14"/>
    </row>
    <row r="46" spans="1:7" s="2" customFormat="1" ht="16.5" customHeight="1">
      <c r="A46" s="75"/>
      <c r="B46" s="76"/>
      <c r="C46" s="23">
        <f>SUM(C44:C45)</f>
        <v>54373</v>
      </c>
      <c r="D46" s="17"/>
      <c r="E46" s="10" t="s">
        <v>1874</v>
      </c>
      <c r="F46" s="21">
        <f>(C44-C45)</f>
        <v>13747</v>
      </c>
    </row>
    <row r="47" spans="1:7" s="2" customFormat="1" ht="12" customHeight="1">
      <c r="A47" s="1"/>
    </row>
    <row r="48" spans="1:7" s="2" customFormat="1" ht="16.5" customHeight="1">
      <c r="A48" s="1" t="s">
        <v>42</v>
      </c>
    </row>
    <row r="49" spans="1:6" s="2" customFormat="1" ht="9.75" customHeight="1" thickBot="1">
      <c r="A49" s="3"/>
    </row>
    <row r="50" spans="1:6" s="2" customFormat="1" ht="16.5" customHeight="1" thickBot="1">
      <c r="A50" s="4" t="s">
        <v>1244</v>
      </c>
      <c r="B50" s="5" t="s">
        <v>1245</v>
      </c>
      <c r="C50" s="5" t="s">
        <v>1248</v>
      </c>
      <c r="D50" s="10"/>
      <c r="E50" s="10"/>
      <c r="F50" s="11"/>
    </row>
    <row r="51" spans="1:6" s="2" customFormat="1" ht="16.5" customHeight="1" thickBot="1">
      <c r="A51" s="6" t="s">
        <v>43</v>
      </c>
      <c r="B51" s="9" t="s">
        <v>2107</v>
      </c>
      <c r="C51" s="100" t="s">
        <v>968</v>
      </c>
      <c r="D51" s="17"/>
      <c r="E51" s="16"/>
    </row>
    <row r="52" spans="1:6" s="2" customFormat="1" ht="12" customHeight="1">
      <c r="A52" s="1"/>
    </row>
    <row r="53" spans="1:6" s="2" customFormat="1" ht="16.5" customHeight="1">
      <c r="A53" s="1" t="s">
        <v>44</v>
      </c>
    </row>
    <row r="54" spans="1:6" s="2" customFormat="1" ht="9.75" customHeight="1" thickBot="1">
      <c r="A54" s="3"/>
    </row>
    <row r="55" spans="1:6" s="2" customFormat="1" ht="16.5" customHeight="1" thickBot="1">
      <c r="A55" s="4" t="s">
        <v>1244</v>
      </c>
      <c r="B55" s="5" t="s">
        <v>1245</v>
      </c>
      <c r="C55" s="5" t="s">
        <v>1248</v>
      </c>
      <c r="D55" s="10"/>
      <c r="E55" s="10"/>
      <c r="F55" s="11"/>
    </row>
    <row r="56" spans="1:6" s="2" customFormat="1" ht="16.5" customHeight="1" thickBot="1">
      <c r="A56" s="6" t="s">
        <v>45</v>
      </c>
      <c r="B56" s="9" t="s">
        <v>2107</v>
      </c>
      <c r="C56" s="100" t="s">
        <v>968</v>
      </c>
      <c r="D56" s="17"/>
      <c r="E56" s="16"/>
    </row>
    <row r="57" spans="1:6" s="2" customFormat="1" ht="12" customHeight="1">
      <c r="A57" s="1"/>
    </row>
    <row r="58" spans="1:6" s="2" customFormat="1" ht="16.5" customHeight="1">
      <c r="A58" s="1" t="s">
        <v>46</v>
      </c>
    </row>
    <row r="59" spans="1:6" s="2" customFormat="1" ht="9.75" customHeight="1" thickBot="1">
      <c r="A59" s="3"/>
    </row>
    <row r="60" spans="1:6" s="2" customFormat="1" ht="16.5" customHeight="1" thickBot="1">
      <c r="A60" s="4" t="s">
        <v>1244</v>
      </c>
      <c r="B60" s="5" t="s">
        <v>1245</v>
      </c>
      <c r="C60" s="5" t="s">
        <v>1248</v>
      </c>
      <c r="D60" s="10"/>
      <c r="E60" s="10"/>
      <c r="F60" s="11"/>
    </row>
    <row r="61" spans="1:6" s="2" customFormat="1" ht="16.5" customHeight="1" thickBot="1">
      <c r="A61" s="6" t="s">
        <v>47</v>
      </c>
      <c r="B61" s="9" t="s">
        <v>2107</v>
      </c>
      <c r="C61" s="100" t="s">
        <v>968</v>
      </c>
      <c r="D61" s="17"/>
      <c r="E61" s="16"/>
    </row>
    <row r="62" spans="1:6" s="2" customFormat="1" ht="12" customHeight="1">
      <c r="A62" s="1"/>
    </row>
    <row r="63" spans="1:6" ht="15">
      <c r="A63" s="104" t="s">
        <v>1072</v>
      </c>
    </row>
    <row r="64" spans="1:6" s="2" customFormat="1" ht="16.5" customHeight="1">
      <c r="A64" s="1" t="s">
        <v>49</v>
      </c>
    </row>
    <row r="65" spans="1:6" s="2" customFormat="1" ht="9.75" customHeight="1" thickBot="1">
      <c r="A65" s="3"/>
    </row>
    <row r="66" spans="1:6" s="2" customFormat="1" ht="16.5" customHeight="1" thickBot="1">
      <c r="A66" s="4" t="s">
        <v>1244</v>
      </c>
      <c r="B66" s="5" t="s">
        <v>1245</v>
      </c>
      <c r="C66" s="5" t="s">
        <v>1248</v>
      </c>
      <c r="D66" s="10"/>
      <c r="E66" s="10"/>
      <c r="F66" s="11"/>
    </row>
    <row r="67" spans="1:6" s="2" customFormat="1" ht="16.5" customHeight="1" thickBot="1">
      <c r="A67" s="6" t="s">
        <v>1212</v>
      </c>
      <c r="B67" s="77" t="s">
        <v>328</v>
      </c>
      <c r="C67" s="100" t="s">
        <v>968</v>
      </c>
      <c r="D67" s="17"/>
      <c r="E67" s="16"/>
    </row>
    <row r="68" spans="1:6" s="2" customFormat="1" ht="12" customHeight="1">
      <c r="A68" s="1"/>
    </row>
    <row r="69" spans="1:6" s="2" customFormat="1" ht="16.5" customHeight="1">
      <c r="A69" s="1" t="s">
        <v>48</v>
      </c>
    </row>
    <row r="70" spans="1:6" s="2" customFormat="1" ht="9.75" customHeight="1" thickBot="1">
      <c r="A70" s="3"/>
    </row>
    <row r="71" spans="1:6" s="2" customFormat="1" ht="16.5" customHeight="1" thickBot="1">
      <c r="A71" s="4" t="s">
        <v>1244</v>
      </c>
      <c r="B71" s="5" t="s">
        <v>1245</v>
      </c>
      <c r="C71" s="5" t="s">
        <v>1248</v>
      </c>
      <c r="D71" s="10"/>
      <c r="E71" s="10"/>
      <c r="F71" s="11"/>
    </row>
    <row r="72" spans="1:6" s="2" customFormat="1" ht="16.5" customHeight="1" thickBot="1">
      <c r="A72" s="6" t="s">
        <v>50</v>
      </c>
      <c r="B72" s="9" t="s">
        <v>2107</v>
      </c>
      <c r="C72" s="100" t="s">
        <v>968</v>
      </c>
      <c r="D72" s="17"/>
      <c r="E72" s="16"/>
    </row>
    <row r="73" spans="1:6" s="2" customFormat="1" ht="12" customHeight="1">
      <c r="A73" s="1"/>
    </row>
    <row r="74" spans="1:6" s="2" customFormat="1" ht="16.5" customHeight="1">
      <c r="A74" s="1" t="s">
        <v>51</v>
      </c>
    </row>
    <row r="75" spans="1:6" s="2" customFormat="1" ht="9.75" customHeight="1" thickBot="1">
      <c r="A75" s="3"/>
    </row>
    <row r="76" spans="1:6" s="2" customFormat="1" ht="16.5" customHeight="1" thickBot="1">
      <c r="A76" s="4" t="s">
        <v>1244</v>
      </c>
      <c r="B76" s="5" t="s">
        <v>1245</v>
      </c>
      <c r="C76" s="5" t="s">
        <v>1248</v>
      </c>
      <c r="D76" s="10"/>
      <c r="E76" s="10"/>
      <c r="F76" s="11"/>
    </row>
    <row r="77" spans="1:6" s="2" customFormat="1" ht="16.5" customHeight="1" thickBot="1">
      <c r="A77" s="6" t="s">
        <v>1000</v>
      </c>
      <c r="B77" s="9" t="s">
        <v>2107</v>
      </c>
      <c r="C77" s="100" t="s">
        <v>968</v>
      </c>
      <c r="D77" s="17"/>
      <c r="E77" s="16"/>
    </row>
    <row r="78" spans="1:6" s="2" customFormat="1" ht="12" customHeight="1">
      <c r="A78" s="1"/>
    </row>
    <row r="79" spans="1:6" s="2" customFormat="1" ht="16.5" customHeight="1">
      <c r="A79" s="1" t="s">
        <v>55</v>
      </c>
    </row>
    <row r="80" spans="1:6" s="2" customFormat="1" ht="9.75" customHeight="1" thickBot="1">
      <c r="A80" s="3"/>
    </row>
    <row r="81" spans="1:7" s="2" customFormat="1" ht="16.5" customHeight="1" thickBot="1">
      <c r="A81" s="4" t="s">
        <v>1244</v>
      </c>
      <c r="B81" s="5" t="s">
        <v>1245</v>
      </c>
      <c r="C81" s="5" t="s">
        <v>1248</v>
      </c>
      <c r="D81" s="10"/>
      <c r="E81" s="10" t="s">
        <v>1413</v>
      </c>
      <c r="F81" s="11">
        <f>(43163/78763)</f>
        <v>0.54801112197351554</v>
      </c>
    </row>
    <row r="82" spans="1:7" s="2" customFormat="1" ht="16.5" customHeight="1" thickBot="1">
      <c r="A82" s="6" t="s">
        <v>2122</v>
      </c>
      <c r="B82" s="77" t="s">
        <v>2039</v>
      </c>
      <c r="C82" s="36">
        <v>19936</v>
      </c>
      <c r="D82" s="17">
        <f>SUM(C82/$C$86)</f>
        <v>0.46187707063920486</v>
      </c>
      <c r="E82" s="16"/>
    </row>
    <row r="83" spans="1:7" s="2" customFormat="1" ht="16.5" customHeight="1" thickBot="1">
      <c r="A83" s="12" t="s">
        <v>942</v>
      </c>
      <c r="B83" s="22" t="s">
        <v>2107</v>
      </c>
      <c r="C83" s="8">
        <v>14426</v>
      </c>
      <c r="D83" s="17">
        <f>SUM(C83/$C$86)</f>
        <v>0.33422143965896717</v>
      </c>
      <c r="E83" s="16"/>
    </row>
    <row r="84" spans="1:7" s="2" customFormat="1" ht="16.5" customHeight="1" thickBot="1">
      <c r="A84" s="12" t="s">
        <v>53</v>
      </c>
      <c r="B84" s="78" t="s">
        <v>328</v>
      </c>
      <c r="C84" s="8">
        <v>7551</v>
      </c>
      <c r="D84" s="17">
        <f>SUM(C84/$C$86)</f>
        <v>0.17494150082246368</v>
      </c>
      <c r="E84" s="16"/>
      <c r="G84" s="14"/>
    </row>
    <row r="85" spans="1:7" s="2" customFormat="1" ht="16.5" customHeight="1" thickBot="1">
      <c r="A85" s="12" t="s">
        <v>54</v>
      </c>
      <c r="B85" s="78" t="s">
        <v>52</v>
      </c>
      <c r="C85" s="8">
        <v>1250</v>
      </c>
      <c r="D85" s="17">
        <f>SUM(C85/$C$86)</f>
        <v>2.8959988879364271E-2</v>
      </c>
      <c r="E85" s="16"/>
      <c r="G85" s="14"/>
    </row>
    <row r="86" spans="1:7" s="2" customFormat="1" ht="16.5" customHeight="1">
      <c r="A86" s="75"/>
      <c r="B86" s="76"/>
      <c r="C86" s="23">
        <f>SUM(C82:C85)</f>
        <v>43163</v>
      </c>
      <c r="D86" s="17"/>
      <c r="E86" s="10" t="s">
        <v>1874</v>
      </c>
      <c r="F86" s="21">
        <f>(C82-C83)</f>
        <v>5510</v>
      </c>
    </row>
    <row r="87" spans="1:7" s="2" customFormat="1" ht="12" customHeight="1">
      <c r="A87" s="1"/>
    </row>
    <row r="88" spans="1:7" s="2" customFormat="1" ht="16.5" customHeight="1">
      <c r="A88" s="1" t="s">
        <v>59</v>
      </c>
    </row>
    <row r="89" spans="1:7" s="2" customFormat="1" ht="9.75" customHeight="1" thickBot="1">
      <c r="A89" s="3"/>
    </row>
    <row r="90" spans="1:7" s="2" customFormat="1" ht="16.5" customHeight="1" thickBot="1">
      <c r="A90" s="4" t="s">
        <v>1244</v>
      </c>
      <c r="B90" s="5" t="s">
        <v>1245</v>
      </c>
      <c r="C90" s="5" t="s">
        <v>1248</v>
      </c>
      <c r="D90" s="10"/>
      <c r="E90" s="10" t="s">
        <v>1413</v>
      </c>
      <c r="F90" s="11">
        <f>(61056/135795)</f>
        <v>0.44961891085827904</v>
      </c>
    </row>
    <row r="91" spans="1:7" s="2" customFormat="1" ht="16.5" customHeight="1" thickBot="1">
      <c r="A91" s="6" t="s">
        <v>56</v>
      </c>
      <c r="B91" s="9" t="s">
        <v>2107</v>
      </c>
      <c r="C91" s="36">
        <v>42371</v>
      </c>
      <c r="D91" s="17">
        <f>SUM(C91/$C$94)</f>
        <v>0.69396947064989523</v>
      </c>
      <c r="E91" s="16"/>
    </row>
    <row r="92" spans="1:7" s="2" customFormat="1" ht="16.5" customHeight="1" thickBot="1">
      <c r="A92" s="12" t="s">
        <v>57</v>
      </c>
      <c r="B92" s="80" t="s">
        <v>363</v>
      </c>
      <c r="C92" s="8">
        <v>17253</v>
      </c>
      <c r="D92" s="17">
        <f>SUM(C92/$C$94)</f>
        <v>0.28257665094339623</v>
      </c>
      <c r="E92" s="16"/>
      <c r="G92" s="14"/>
    </row>
    <row r="93" spans="1:7" s="2" customFormat="1" ht="16.5" customHeight="1" thickBot="1">
      <c r="A93" s="12" t="s">
        <v>58</v>
      </c>
      <c r="B93" s="78" t="s">
        <v>328</v>
      </c>
      <c r="C93" s="8">
        <v>1432</v>
      </c>
      <c r="D93" s="17">
        <f>SUM(C93/$C$94)</f>
        <v>2.3453878406708595E-2</v>
      </c>
      <c r="E93" s="16"/>
      <c r="G93" s="14"/>
    </row>
    <row r="94" spans="1:7" s="2" customFormat="1" ht="16.5" customHeight="1">
      <c r="A94" s="75"/>
      <c r="B94" s="76"/>
      <c r="C94" s="23">
        <f>SUM(C91:C93)</f>
        <v>61056</v>
      </c>
      <c r="D94" s="17"/>
      <c r="E94" s="10" t="s">
        <v>1874</v>
      </c>
      <c r="F94" s="21">
        <f>(C91-C92)</f>
        <v>25118</v>
      </c>
    </row>
    <row r="95" spans="1:7" s="2" customFormat="1" ht="12" customHeight="1">
      <c r="A95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38"/>
  <dimension ref="A1:G66"/>
  <sheetViews>
    <sheetView workbookViewId="0">
      <selection activeCell="K1" sqref="K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63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(95535/116965)</f>
        <v>0.81678279827298761</v>
      </c>
    </row>
    <row r="4" spans="1:7" s="2" customFormat="1" ht="16.5" customHeight="1" thickBot="1">
      <c r="A4" s="6" t="s">
        <v>64</v>
      </c>
      <c r="B4" s="7" t="s">
        <v>493</v>
      </c>
      <c r="C4" s="36">
        <v>50650</v>
      </c>
      <c r="D4" s="17">
        <f>SUM(C4/$C$8)</f>
        <v>0.26508748148574601</v>
      </c>
      <c r="E4" s="16"/>
    </row>
    <row r="5" spans="1:7" s="2" customFormat="1" ht="16.5" customHeight="1" thickBot="1">
      <c r="A5" s="6" t="s">
        <v>962</v>
      </c>
      <c r="B5" s="7" t="s">
        <v>493</v>
      </c>
      <c r="C5" s="36">
        <v>50397</v>
      </c>
      <c r="D5" s="17">
        <f>SUM(C5/$C$8)</f>
        <v>0.26376335250616267</v>
      </c>
      <c r="E5" s="16"/>
    </row>
    <row r="6" spans="1:7" s="2" customFormat="1" ht="16.5" customHeight="1" thickBot="1">
      <c r="A6" s="12" t="s">
        <v>61</v>
      </c>
      <c r="B6" s="22" t="s">
        <v>2107</v>
      </c>
      <c r="C6" s="8">
        <v>45101</v>
      </c>
      <c r="D6" s="17">
        <f>SUM(C6/$C$8)</f>
        <v>0.23604561702840335</v>
      </c>
      <c r="E6" s="16"/>
      <c r="G6" s="14"/>
    </row>
    <row r="7" spans="1:7" s="2" customFormat="1" ht="16.5" customHeight="1" thickBot="1">
      <c r="A7" s="12" t="s">
        <v>62</v>
      </c>
      <c r="B7" s="22" t="s">
        <v>2107</v>
      </c>
      <c r="C7" s="8">
        <v>44921</v>
      </c>
      <c r="D7" s="17">
        <f>SUM(C7/$C$8)</f>
        <v>0.23510354897968797</v>
      </c>
      <c r="E7" s="16"/>
      <c r="G7" s="14"/>
    </row>
    <row r="8" spans="1:7" s="2" customFormat="1" ht="16.5" customHeight="1">
      <c r="A8" s="75"/>
      <c r="B8" s="76"/>
      <c r="C8" s="23">
        <f>SUM(C4:C7)</f>
        <v>191069</v>
      </c>
      <c r="D8" s="17"/>
      <c r="E8" s="10" t="s">
        <v>1874</v>
      </c>
      <c r="F8" s="21">
        <f>(C5-C6)</f>
        <v>5296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26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/>
      <c r="F12" s="11"/>
    </row>
    <row r="13" spans="1:7" s="2" customFormat="1" ht="16.5" customHeight="1" thickBot="1">
      <c r="A13" s="6" t="s">
        <v>995</v>
      </c>
      <c r="B13" s="9" t="s">
        <v>2107</v>
      </c>
      <c r="C13" s="100" t="s">
        <v>968</v>
      </c>
      <c r="D13" s="17"/>
      <c r="E13" s="16"/>
    </row>
    <row r="14" spans="1:7" s="2" customFormat="1" ht="12" customHeight="1">
      <c r="A14" s="1"/>
    </row>
    <row r="15" spans="1:7" s="2" customFormat="1" ht="16.5" customHeight="1">
      <c r="A15" s="1" t="s">
        <v>971</v>
      </c>
    </row>
    <row r="16" spans="1:7" s="2" customFormat="1" ht="9.75" customHeight="1" thickBot="1">
      <c r="A16" s="3"/>
    </row>
    <row r="17" spans="1:6" s="2" customFormat="1" ht="16.5" customHeight="1" thickBot="1">
      <c r="A17" s="4" t="s">
        <v>1244</v>
      </c>
      <c r="B17" s="5" t="s">
        <v>1245</v>
      </c>
      <c r="C17" s="5" t="s">
        <v>1248</v>
      </c>
      <c r="D17" s="10"/>
      <c r="E17" s="10"/>
      <c r="F17" s="11"/>
    </row>
    <row r="18" spans="1:6" s="2" customFormat="1" ht="16.5" customHeight="1" thickBot="1">
      <c r="A18" s="6" t="s">
        <v>29</v>
      </c>
      <c r="B18" s="9" t="s">
        <v>2107</v>
      </c>
      <c r="C18" s="100" t="s">
        <v>968</v>
      </c>
      <c r="D18" s="17"/>
      <c r="E18" s="16"/>
    </row>
    <row r="19" spans="1:6" s="2" customFormat="1" ht="12" customHeight="1">
      <c r="A19" s="1"/>
    </row>
    <row r="20" spans="1:6" s="2" customFormat="1" ht="16.5" customHeight="1">
      <c r="A20" s="1" t="s">
        <v>65</v>
      </c>
    </row>
    <row r="21" spans="1:6" s="2" customFormat="1" ht="9.75" customHeight="1" thickBot="1">
      <c r="A21" s="3"/>
    </row>
    <row r="22" spans="1:6" s="2" customFormat="1" ht="16.5" customHeight="1" thickBot="1">
      <c r="A22" s="4" t="s">
        <v>1244</v>
      </c>
      <c r="B22" s="5" t="s">
        <v>1245</v>
      </c>
      <c r="C22" s="5" t="s">
        <v>1248</v>
      </c>
      <c r="D22" s="10"/>
      <c r="E22" s="10"/>
      <c r="F22" s="11"/>
    </row>
    <row r="23" spans="1:6" s="2" customFormat="1" ht="16.5" customHeight="1" thickBot="1">
      <c r="A23" s="6" t="s">
        <v>66</v>
      </c>
      <c r="B23" s="9" t="s">
        <v>2107</v>
      </c>
      <c r="C23" s="100" t="s">
        <v>968</v>
      </c>
      <c r="D23" s="17"/>
      <c r="E23" s="16"/>
    </row>
    <row r="24" spans="1:6" s="2" customFormat="1" ht="16.5" customHeight="1" thickBot="1">
      <c r="A24" s="6" t="s">
        <v>31</v>
      </c>
      <c r="B24" s="9" t="s">
        <v>2107</v>
      </c>
      <c r="C24" s="100" t="s">
        <v>968</v>
      </c>
      <c r="D24" s="17"/>
      <c r="E24" s="16"/>
    </row>
    <row r="25" spans="1:6" s="2" customFormat="1" ht="12" customHeight="1">
      <c r="A25" s="1"/>
    </row>
    <row r="26" spans="1:6" s="2" customFormat="1" ht="16.5" customHeight="1">
      <c r="A26" s="1" t="s">
        <v>34</v>
      </c>
    </row>
    <row r="27" spans="1:6" s="2" customFormat="1" ht="9.75" customHeight="1" thickBot="1">
      <c r="A27" s="3"/>
    </row>
    <row r="28" spans="1:6" s="2" customFormat="1" ht="16.5" customHeight="1" thickBot="1">
      <c r="A28" s="4" t="s">
        <v>1244</v>
      </c>
      <c r="B28" s="5" t="s">
        <v>1245</v>
      </c>
      <c r="C28" s="5" t="s">
        <v>1248</v>
      </c>
      <c r="D28" s="10"/>
      <c r="E28" s="10"/>
      <c r="F28" s="11"/>
    </row>
    <row r="29" spans="1:6" s="2" customFormat="1" ht="16.5" customHeight="1" thickBot="1">
      <c r="A29" s="6" t="s">
        <v>36</v>
      </c>
      <c r="B29" s="9" t="s">
        <v>2107</v>
      </c>
      <c r="C29" s="100" t="s">
        <v>968</v>
      </c>
      <c r="D29" s="17"/>
      <c r="E29" s="16"/>
    </row>
    <row r="30" spans="1:6" s="2" customFormat="1" ht="16.5" customHeight="1" thickBot="1">
      <c r="A30" s="6" t="s">
        <v>978</v>
      </c>
      <c r="B30" s="9" t="s">
        <v>2107</v>
      </c>
      <c r="C30" s="100" t="s">
        <v>968</v>
      </c>
      <c r="D30" s="17"/>
      <c r="E30" s="16"/>
    </row>
    <row r="31" spans="1:6" s="2" customFormat="1" ht="12" customHeight="1">
      <c r="A31" s="1"/>
    </row>
    <row r="32" spans="1:6" s="2" customFormat="1" ht="16.5" customHeight="1">
      <c r="A32" s="1" t="s">
        <v>37</v>
      </c>
    </row>
    <row r="33" spans="1:7" s="2" customFormat="1" ht="9.75" customHeight="1" thickBot="1">
      <c r="A33" s="3"/>
    </row>
    <row r="34" spans="1:7" s="2" customFormat="1" ht="16.5" customHeight="1" thickBot="1">
      <c r="A34" s="4" t="s">
        <v>1244</v>
      </c>
      <c r="B34" s="5" t="s">
        <v>1245</v>
      </c>
      <c r="C34" s="5" t="s">
        <v>1248</v>
      </c>
      <c r="D34" s="10"/>
      <c r="E34" s="10"/>
      <c r="F34" s="11"/>
    </row>
    <row r="35" spans="1:7" s="2" customFormat="1" ht="16.5" customHeight="1" thickBot="1">
      <c r="A35" s="6" t="s">
        <v>38</v>
      </c>
      <c r="B35" s="9" t="s">
        <v>2107</v>
      </c>
      <c r="C35" s="100" t="s">
        <v>968</v>
      </c>
      <c r="D35" s="17"/>
      <c r="E35" s="16"/>
    </row>
    <row r="36" spans="1:7" s="2" customFormat="1" ht="12" customHeight="1">
      <c r="A36" s="1"/>
    </row>
    <row r="37" spans="1:7" s="2" customFormat="1" ht="16.5" customHeight="1">
      <c r="A37" s="1" t="s">
        <v>69</v>
      </c>
    </row>
    <row r="38" spans="1:7" s="2" customFormat="1" ht="9.75" customHeight="1" thickBot="1">
      <c r="A38" s="3"/>
    </row>
    <row r="39" spans="1:7" s="2" customFormat="1" ht="16.5" customHeight="1" thickBot="1">
      <c r="A39" s="4" t="s">
        <v>1244</v>
      </c>
      <c r="B39" s="5" t="s">
        <v>1245</v>
      </c>
      <c r="C39" s="5" t="s">
        <v>1248</v>
      </c>
      <c r="D39" s="10"/>
      <c r="E39" s="10" t="s">
        <v>1413</v>
      </c>
      <c r="F39" s="11">
        <f>(53119/77993)</f>
        <v>0.68107394253330422</v>
      </c>
    </row>
    <row r="40" spans="1:7" s="2" customFormat="1" ht="16.5" customHeight="1" thickBot="1">
      <c r="A40" s="6" t="s">
        <v>67</v>
      </c>
      <c r="B40" s="9" t="s">
        <v>2107</v>
      </c>
      <c r="C40" s="36">
        <v>31113</v>
      </c>
      <c r="D40" s="17">
        <f>SUM(C40/$C$42)</f>
        <v>0.58572262279033871</v>
      </c>
      <c r="E40" s="16"/>
    </row>
    <row r="41" spans="1:7" s="2" customFormat="1" ht="16.5" customHeight="1" thickBot="1">
      <c r="A41" s="12" t="s">
        <v>68</v>
      </c>
      <c r="B41" s="20" t="s">
        <v>493</v>
      </c>
      <c r="C41" s="8">
        <v>22006</v>
      </c>
      <c r="D41" s="17">
        <f>SUM(C41/$C$42)</f>
        <v>0.41427737720966135</v>
      </c>
      <c r="E41" s="16"/>
      <c r="G41" s="14"/>
    </row>
    <row r="42" spans="1:7" s="2" customFormat="1" ht="16.5" customHeight="1">
      <c r="A42" s="75"/>
      <c r="B42" s="76"/>
      <c r="C42" s="23">
        <f>SUM(C40:C41)</f>
        <v>53119</v>
      </c>
      <c r="D42" s="17"/>
      <c r="E42" s="10" t="s">
        <v>1874</v>
      </c>
      <c r="F42" s="21">
        <f>(C40-C41)</f>
        <v>9107</v>
      </c>
    </row>
    <row r="43" spans="1:7" s="2" customFormat="1" ht="12" customHeight="1">
      <c r="A43" s="1"/>
    </row>
    <row r="44" spans="1:7" s="2" customFormat="1" ht="16.5" customHeight="1">
      <c r="A44" s="1" t="s">
        <v>42</v>
      </c>
    </row>
    <row r="45" spans="1:7" s="2" customFormat="1" ht="9.75" customHeight="1" thickBot="1">
      <c r="A45" s="3"/>
    </row>
    <row r="46" spans="1:7" s="2" customFormat="1" ht="16.5" customHeight="1" thickBot="1">
      <c r="A46" s="4" t="s">
        <v>1244</v>
      </c>
      <c r="B46" s="5" t="s">
        <v>1245</v>
      </c>
      <c r="C46" s="5" t="s">
        <v>1248</v>
      </c>
      <c r="D46" s="10"/>
      <c r="E46" s="10"/>
      <c r="F46" s="11"/>
    </row>
    <row r="47" spans="1:7" s="2" customFormat="1" ht="16.5" customHeight="1" thickBot="1">
      <c r="A47" s="6" t="s">
        <v>43</v>
      </c>
      <c r="B47" s="9" t="s">
        <v>2107</v>
      </c>
      <c r="C47" s="100" t="s">
        <v>968</v>
      </c>
      <c r="D47" s="17"/>
      <c r="E47" s="16"/>
    </row>
    <row r="48" spans="1:7" s="2" customFormat="1" ht="12" customHeight="1">
      <c r="A48" s="1"/>
    </row>
    <row r="49" spans="1:7" s="2" customFormat="1" ht="16.5" customHeight="1">
      <c r="A49" s="1" t="s">
        <v>44</v>
      </c>
    </row>
    <row r="50" spans="1:7" s="2" customFormat="1" ht="9.75" customHeight="1" thickBot="1">
      <c r="A50" s="3"/>
    </row>
    <row r="51" spans="1:7" s="2" customFormat="1" ht="16.5" customHeight="1" thickBot="1">
      <c r="A51" s="4" t="s">
        <v>1244</v>
      </c>
      <c r="B51" s="5" t="s">
        <v>1245</v>
      </c>
      <c r="C51" s="5" t="s">
        <v>1248</v>
      </c>
      <c r="D51" s="10"/>
      <c r="E51" s="10"/>
      <c r="F51" s="11"/>
    </row>
    <row r="52" spans="1:7" s="2" customFormat="1" ht="16.5" customHeight="1" thickBot="1">
      <c r="A52" s="6" t="s">
        <v>45</v>
      </c>
      <c r="B52" s="9" t="s">
        <v>2107</v>
      </c>
      <c r="C52" s="100" t="s">
        <v>968</v>
      </c>
      <c r="D52" s="17"/>
      <c r="E52" s="16"/>
    </row>
    <row r="53" spans="1:7" s="2" customFormat="1" ht="12" customHeight="1">
      <c r="A53" s="1"/>
    </row>
    <row r="54" spans="1:7" s="2" customFormat="1" ht="16.5" customHeight="1">
      <c r="A54" s="1" t="s">
        <v>46</v>
      </c>
    </row>
    <row r="55" spans="1:7" s="2" customFormat="1" ht="9.75" customHeight="1" thickBot="1">
      <c r="A55" s="3"/>
    </row>
    <row r="56" spans="1:7" s="2" customFormat="1" ht="16.5" customHeight="1" thickBot="1">
      <c r="A56" s="4" t="s">
        <v>1244</v>
      </c>
      <c r="B56" s="5" t="s">
        <v>1245</v>
      </c>
      <c r="C56" s="5" t="s">
        <v>1248</v>
      </c>
      <c r="D56" s="10"/>
      <c r="E56" s="10"/>
      <c r="F56" s="11"/>
    </row>
    <row r="57" spans="1:7" s="2" customFormat="1" ht="16.5" customHeight="1" thickBot="1">
      <c r="A57" s="6" t="s">
        <v>47</v>
      </c>
      <c r="B57" s="9" t="s">
        <v>2107</v>
      </c>
      <c r="C57" s="100" t="s">
        <v>968</v>
      </c>
      <c r="D57" s="17"/>
      <c r="E57" s="16"/>
    </row>
    <row r="58" spans="1:7" s="2" customFormat="1" ht="12" customHeight="1">
      <c r="A58" s="1"/>
    </row>
    <row r="59" spans="1:7" ht="15">
      <c r="A59" s="104" t="s">
        <v>1072</v>
      </c>
    </row>
    <row r="60" spans="1:7" s="2" customFormat="1" ht="16.5" customHeight="1">
      <c r="A60" s="1" t="s">
        <v>95</v>
      </c>
    </row>
    <row r="61" spans="1:7" s="2" customFormat="1" ht="9.75" customHeight="1" thickBot="1">
      <c r="A61" s="3"/>
    </row>
    <row r="62" spans="1:7" s="2" customFormat="1" ht="16.5" customHeight="1" thickBot="1">
      <c r="A62" s="4" t="s">
        <v>1244</v>
      </c>
      <c r="B62" s="5" t="s">
        <v>1245</v>
      </c>
      <c r="C62" s="5" t="s">
        <v>1248</v>
      </c>
      <c r="D62" s="10"/>
      <c r="E62" s="10" t="s">
        <v>1413</v>
      </c>
      <c r="F62" s="11">
        <f>(46879/118884)</f>
        <v>0.39432556105110866</v>
      </c>
    </row>
    <row r="63" spans="1:7" s="2" customFormat="1" ht="16.5" customHeight="1" thickBot="1">
      <c r="A63" s="6" t="s">
        <v>93</v>
      </c>
      <c r="B63" s="7" t="s">
        <v>493</v>
      </c>
      <c r="C63" s="36">
        <v>28790</v>
      </c>
      <c r="D63" s="17">
        <f>SUM(C63/$C$65)</f>
        <v>0.61413426054310027</v>
      </c>
      <c r="E63" s="16"/>
    </row>
    <row r="64" spans="1:7" s="2" customFormat="1" ht="16.5" customHeight="1" thickBot="1">
      <c r="A64" s="12" t="s">
        <v>94</v>
      </c>
      <c r="B64" s="78" t="s">
        <v>973</v>
      </c>
      <c r="C64" s="8">
        <v>18089</v>
      </c>
      <c r="D64" s="17">
        <f>SUM(C64/$C$65)</f>
        <v>0.38586573945689967</v>
      </c>
      <c r="E64" s="16"/>
      <c r="G64" s="14"/>
    </row>
    <row r="65" spans="1:6" s="2" customFormat="1" ht="16.5" customHeight="1">
      <c r="A65" s="75"/>
      <c r="B65" s="76"/>
      <c r="C65" s="23">
        <f>SUM(C63:C64)</f>
        <v>46879</v>
      </c>
      <c r="D65" s="17"/>
      <c r="E65" s="10" t="s">
        <v>1874</v>
      </c>
      <c r="F65" s="21">
        <f>(C63-C64)</f>
        <v>10701</v>
      </c>
    </row>
    <row r="66" spans="1:6" s="2" customFormat="1" ht="12" customHeight="1">
      <c r="A66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39"/>
  <dimension ref="A1:L76"/>
  <sheetViews>
    <sheetView workbookViewId="0">
      <selection activeCell="I1" sqref="I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71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/>
      <c r="F3" s="11"/>
    </row>
    <row r="4" spans="1:7" s="2" customFormat="1" ht="16.5" customHeight="1" thickBot="1">
      <c r="A4" s="6" t="s">
        <v>60</v>
      </c>
      <c r="B4" s="7" t="s">
        <v>493</v>
      </c>
      <c r="C4" s="100" t="s">
        <v>968</v>
      </c>
      <c r="D4" s="17"/>
      <c r="E4" s="16"/>
    </row>
    <row r="5" spans="1:7" s="2" customFormat="1" ht="16.5" customHeight="1" thickBot="1">
      <c r="A5" s="6" t="s">
        <v>72</v>
      </c>
      <c r="B5" s="7" t="s">
        <v>493</v>
      </c>
      <c r="C5" s="100" t="s">
        <v>968</v>
      </c>
      <c r="D5" s="17"/>
      <c r="E5" s="16"/>
    </row>
    <row r="6" spans="1:7" s="2" customFormat="1" ht="12" customHeight="1">
      <c r="A6" s="1"/>
    </row>
    <row r="7" spans="1:7" s="2" customFormat="1" ht="16.5" customHeight="1">
      <c r="A7" s="1" t="s">
        <v>26</v>
      </c>
    </row>
    <row r="8" spans="1:7" s="2" customFormat="1" ht="9.75" customHeight="1" thickBot="1">
      <c r="A8" s="3"/>
    </row>
    <row r="9" spans="1:7" s="2" customFormat="1" ht="16.5" customHeight="1" thickBot="1">
      <c r="A9" s="4" t="s">
        <v>1244</v>
      </c>
      <c r="B9" s="5" t="s">
        <v>1245</v>
      </c>
      <c r="C9" s="5" t="s">
        <v>1248</v>
      </c>
      <c r="D9" s="10"/>
      <c r="E9" s="10"/>
      <c r="F9" s="11"/>
    </row>
    <row r="10" spans="1:7" s="2" customFormat="1" ht="16.5" customHeight="1" thickBot="1">
      <c r="A10" s="6" t="s">
        <v>995</v>
      </c>
      <c r="B10" s="9" t="s">
        <v>2107</v>
      </c>
      <c r="C10" s="100" t="s">
        <v>968</v>
      </c>
      <c r="D10" s="17"/>
      <c r="E10" s="16"/>
    </row>
    <row r="11" spans="1:7" s="2" customFormat="1" ht="12" customHeight="1">
      <c r="A11" s="1"/>
    </row>
    <row r="12" spans="1:7" s="2" customFormat="1" ht="16.5" customHeight="1">
      <c r="A12" s="1" t="s">
        <v>74</v>
      </c>
    </row>
    <row r="13" spans="1:7" s="2" customFormat="1" ht="9.75" customHeight="1" thickBot="1">
      <c r="A13" s="3"/>
    </row>
    <row r="14" spans="1:7" s="2" customFormat="1" ht="16.5" customHeight="1" thickBot="1">
      <c r="A14" s="4" t="s">
        <v>1244</v>
      </c>
      <c r="B14" s="5" t="s">
        <v>1245</v>
      </c>
      <c r="C14" s="5" t="s">
        <v>1248</v>
      </c>
      <c r="D14" s="10"/>
      <c r="E14" s="10" t="s">
        <v>1413</v>
      </c>
      <c r="F14" s="11">
        <f>(40018/66527)</f>
        <v>0.60153020578111138</v>
      </c>
    </row>
    <row r="15" spans="1:7" s="2" customFormat="1" ht="16.5" customHeight="1" thickBot="1">
      <c r="A15" s="6" t="s">
        <v>29</v>
      </c>
      <c r="B15" s="9" t="s">
        <v>2107</v>
      </c>
      <c r="C15" s="36">
        <v>26966</v>
      </c>
      <c r="D15" s="17">
        <f>SUM(C15/$C$43)</f>
        <v>0.60218847699866007</v>
      </c>
      <c r="E15" s="16"/>
    </row>
    <row r="16" spans="1:7" s="2" customFormat="1" ht="16.5" customHeight="1" thickBot="1">
      <c r="A16" s="12" t="s">
        <v>73</v>
      </c>
      <c r="B16" s="91" t="s">
        <v>522</v>
      </c>
      <c r="C16" s="8">
        <v>13052</v>
      </c>
      <c r="D16" s="17">
        <f>SUM(C16/$C$43)</f>
        <v>0.29146940598481463</v>
      </c>
      <c r="E16" s="16"/>
      <c r="G16" s="14"/>
    </row>
    <row r="17" spans="1:7" s="2" customFormat="1" ht="16.5" customHeight="1">
      <c r="A17" s="75"/>
      <c r="B17" s="76"/>
      <c r="C17" s="23">
        <f>SUM(C15:C16)</f>
        <v>40018</v>
      </c>
      <c r="D17" s="17"/>
      <c r="E17" s="10" t="s">
        <v>1874</v>
      </c>
      <c r="F17" s="21">
        <f>(C15-C16)</f>
        <v>13914</v>
      </c>
    </row>
    <row r="18" spans="1:7" s="2" customFormat="1" ht="12" customHeight="1">
      <c r="A18" s="1"/>
    </row>
    <row r="19" spans="1:7" s="2" customFormat="1" ht="16.5" customHeight="1">
      <c r="A19" s="1" t="s">
        <v>78</v>
      </c>
    </row>
    <row r="20" spans="1:7" s="2" customFormat="1" ht="9.75" customHeight="1" thickBot="1">
      <c r="A20" s="3"/>
    </row>
    <row r="21" spans="1:7" s="2" customFormat="1" ht="16.5" customHeight="1" thickBot="1">
      <c r="A21" s="4" t="s">
        <v>1244</v>
      </c>
      <c r="B21" s="5" t="s">
        <v>1245</v>
      </c>
      <c r="C21" s="5" t="s">
        <v>1248</v>
      </c>
      <c r="D21" s="10"/>
      <c r="E21" s="10" t="s">
        <v>1413</v>
      </c>
      <c r="F21" s="11">
        <f>(74514/127346)</f>
        <v>0.58513027499882209</v>
      </c>
    </row>
    <row r="22" spans="1:7" s="2" customFormat="1" ht="16.5" customHeight="1" thickBot="1">
      <c r="A22" s="6" t="s">
        <v>66</v>
      </c>
      <c r="B22" s="9" t="s">
        <v>2107</v>
      </c>
      <c r="C22" s="36">
        <v>54073</v>
      </c>
      <c r="D22" s="17">
        <f>SUM(C22/$C$26)</f>
        <v>0.36283785597337415</v>
      </c>
      <c r="E22" s="16"/>
    </row>
    <row r="23" spans="1:7" s="2" customFormat="1" ht="16.5" customHeight="1" thickBot="1">
      <c r="A23" s="6" t="s">
        <v>75</v>
      </c>
      <c r="B23" s="9" t="s">
        <v>2107</v>
      </c>
      <c r="C23" s="36">
        <v>53943</v>
      </c>
      <c r="D23" s="17">
        <f>SUM(C23/$C$26)</f>
        <v>0.36196553667767128</v>
      </c>
      <c r="E23" s="16"/>
    </row>
    <row r="24" spans="1:7" s="2" customFormat="1" ht="16.5" customHeight="1" thickBot="1">
      <c r="A24" s="12" t="s">
        <v>76</v>
      </c>
      <c r="B24" s="91" t="s">
        <v>522</v>
      </c>
      <c r="C24" s="8">
        <v>20999</v>
      </c>
      <c r="D24" s="17">
        <f>SUM(C24/$C$26)</f>
        <v>0.14090640684971953</v>
      </c>
      <c r="E24" s="16"/>
      <c r="G24" s="14"/>
    </row>
    <row r="25" spans="1:7" s="2" customFormat="1" ht="16.5" customHeight="1" thickBot="1">
      <c r="A25" s="12" t="s">
        <v>77</v>
      </c>
      <c r="B25" s="91" t="s">
        <v>522</v>
      </c>
      <c r="C25" s="8">
        <v>20013</v>
      </c>
      <c r="D25" s="17">
        <f>SUM(C25/$C$26)</f>
        <v>0.13429020049923504</v>
      </c>
      <c r="E25" s="16"/>
      <c r="G25" s="14"/>
    </row>
    <row r="26" spans="1:7" s="2" customFormat="1" ht="16.5" customHeight="1">
      <c r="A26" s="75"/>
      <c r="B26" s="76"/>
      <c r="C26" s="23">
        <f>SUM(C22:C25)</f>
        <v>149028</v>
      </c>
      <c r="D26" s="17"/>
      <c r="E26" s="10" t="s">
        <v>1874</v>
      </c>
      <c r="F26" s="21">
        <f>(C23-C24)</f>
        <v>32944</v>
      </c>
    </row>
    <row r="27" spans="1:7" s="2" customFormat="1" ht="12" customHeight="1">
      <c r="A27" s="1"/>
    </row>
    <row r="28" spans="1:7" s="2" customFormat="1" ht="16.5" customHeight="1">
      <c r="A28" s="1" t="s">
        <v>81</v>
      </c>
    </row>
    <row r="29" spans="1:7" s="2" customFormat="1" ht="9.75" customHeight="1" thickBot="1">
      <c r="A29" s="3"/>
    </row>
    <row r="30" spans="1:7" s="2" customFormat="1" ht="16.5" customHeight="1" thickBot="1">
      <c r="A30" s="4" t="s">
        <v>1244</v>
      </c>
      <c r="B30" s="5" t="s">
        <v>1245</v>
      </c>
      <c r="C30" s="5" t="s">
        <v>1248</v>
      </c>
      <c r="D30" s="10"/>
      <c r="E30" s="10" t="s">
        <v>1413</v>
      </c>
      <c r="F30" s="11">
        <f>(71762/123474)</f>
        <v>0.58119118194923625</v>
      </c>
    </row>
    <row r="31" spans="1:7" s="2" customFormat="1" ht="16.5" customHeight="1" thickBot="1">
      <c r="A31" s="6" t="s">
        <v>978</v>
      </c>
      <c r="B31" s="9" t="s">
        <v>2107</v>
      </c>
      <c r="C31" s="36">
        <v>53864</v>
      </c>
      <c r="D31" s="17">
        <f>SUM(C31/$C$35)</f>
        <v>0.37529611772247151</v>
      </c>
      <c r="E31" s="16"/>
    </row>
    <row r="32" spans="1:7" s="2" customFormat="1" ht="16.5" customHeight="1" thickBot="1">
      <c r="A32" s="6" t="s">
        <v>35</v>
      </c>
      <c r="B32" s="9" t="s">
        <v>2107</v>
      </c>
      <c r="C32" s="36">
        <v>52851</v>
      </c>
      <c r="D32" s="17">
        <f>SUM(C32/$C$35)</f>
        <v>0.36823806471391546</v>
      </c>
      <c r="E32" s="16"/>
    </row>
    <row r="33" spans="1:12" s="2" customFormat="1" ht="16.5" customHeight="1" thickBot="1">
      <c r="A33" s="12" t="s">
        <v>79</v>
      </c>
      <c r="B33" s="91" t="s">
        <v>522</v>
      </c>
      <c r="C33" s="8">
        <v>18985</v>
      </c>
      <c r="D33" s="17">
        <f>SUM(C33/$C$35)</f>
        <v>0.1322775284969761</v>
      </c>
      <c r="E33" s="16"/>
      <c r="G33" s="14"/>
    </row>
    <row r="34" spans="1:12" s="2" customFormat="1" ht="16.5" customHeight="1" thickBot="1">
      <c r="A34" s="12" t="s">
        <v>80</v>
      </c>
      <c r="B34" s="91" t="s">
        <v>522</v>
      </c>
      <c r="C34" s="8">
        <v>17824</v>
      </c>
      <c r="D34" s="17">
        <f>SUM(C34/$C$35)</f>
        <v>0.12418828906663694</v>
      </c>
      <c r="E34" s="16"/>
      <c r="G34" s="14"/>
    </row>
    <row r="35" spans="1:12" s="2" customFormat="1" ht="16.5" customHeight="1">
      <c r="A35" s="75"/>
      <c r="B35" s="76"/>
      <c r="C35" s="23">
        <f>SUM(C31:C34)</f>
        <v>143524</v>
      </c>
      <c r="D35" s="17"/>
      <c r="E35" s="10" t="s">
        <v>1874</v>
      </c>
      <c r="F35" s="21">
        <f>(C32-C33)</f>
        <v>33866</v>
      </c>
    </row>
    <row r="36" spans="1:12" s="2" customFormat="1" ht="12" customHeight="1">
      <c r="A36" s="1"/>
      <c r="E36"/>
      <c r="L36"/>
    </row>
    <row r="37" spans="1:12" s="2" customFormat="1" ht="16.5" customHeight="1">
      <c r="A37" s="1" t="s">
        <v>85</v>
      </c>
    </row>
    <row r="38" spans="1:12" s="2" customFormat="1" ht="9.75" customHeight="1" thickBot="1">
      <c r="A38" s="3"/>
    </row>
    <row r="39" spans="1:12" s="2" customFormat="1" ht="16.5" customHeight="1" thickBot="1">
      <c r="A39" s="4" t="s">
        <v>1244</v>
      </c>
      <c r="B39" s="5" t="s">
        <v>1245</v>
      </c>
      <c r="C39" s="5" t="s">
        <v>1248</v>
      </c>
      <c r="D39" s="10"/>
      <c r="E39" s="10" t="s">
        <v>1413</v>
      </c>
      <c r="F39" s="11">
        <f>(44780/61438)</f>
        <v>0.72886487190338223</v>
      </c>
    </row>
    <row r="40" spans="1:12" s="2" customFormat="1" ht="16.5" customHeight="1" thickBot="1">
      <c r="A40" s="6" t="s">
        <v>82</v>
      </c>
      <c r="B40" s="9" t="s">
        <v>2107</v>
      </c>
      <c r="C40" s="36">
        <v>27812</v>
      </c>
      <c r="D40" s="17">
        <f>SUM(C40/$C$43)</f>
        <v>0.62108083966056271</v>
      </c>
      <c r="E40" s="16"/>
    </row>
    <row r="41" spans="1:12" s="2" customFormat="1" ht="16.5" customHeight="1" thickBot="1">
      <c r="A41" s="12" t="s">
        <v>83</v>
      </c>
      <c r="B41" s="78" t="s">
        <v>328</v>
      </c>
      <c r="C41" s="8">
        <v>10909</v>
      </c>
      <c r="D41" s="17">
        <f>SUM(C41/$C$43)</f>
        <v>0.24361322018758375</v>
      </c>
      <c r="E41" s="16"/>
      <c r="G41" s="14"/>
    </row>
    <row r="42" spans="1:12" s="2" customFormat="1" ht="16.5" customHeight="1" thickBot="1">
      <c r="A42" s="12" t="s">
        <v>84</v>
      </c>
      <c r="B42" s="78" t="s">
        <v>1270</v>
      </c>
      <c r="C42" s="8">
        <v>6059</v>
      </c>
      <c r="D42" s="17">
        <f>SUM(C42/$C$43)</f>
        <v>0.13530594015185352</v>
      </c>
      <c r="E42" s="16"/>
      <c r="G42" s="14"/>
    </row>
    <row r="43" spans="1:12" s="2" customFormat="1" ht="16.5" customHeight="1">
      <c r="A43" s="75"/>
      <c r="B43" s="76"/>
      <c r="C43" s="23">
        <f>SUM(C40:C42)</f>
        <v>44780</v>
      </c>
      <c r="D43" s="17"/>
      <c r="E43" s="10" t="s">
        <v>1874</v>
      </c>
      <c r="F43" s="21">
        <f>(C40-C41)</f>
        <v>16903</v>
      </c>
    </row>
    <row r="44" spans="1:12" s="2" customFormat="1" ht="12" customHeight="1">
      <c r="A44" s="1"/>
    </row>
    <row r="45" spans="1:12" s="2" customFormat="1" ht="16.5" customHeight="1">
      <c r="A45" s="1" t="s">
        <v>87</v>
      </c>
    </row>
    <row r="46" spans="1:12" s="2" customFormat="1" ht="9.75" customHeight="1" thickBot="1">
      <c r="A46" s="3"/>
    </row>
    <row r="47" spans="1:12" s="2" customFormat="1" ht="16.5" customHeight="1" thickBot="1">
      <c r="A47" s="4" t="s">
        <v>1244</v>
      </c>
      <c r="B47" s="5" t="s">
        <v>1245</v>
      </c>
      <c r="C47" s="5" t="s">
        <v>1248</v>
      </c>
      <c r="D47" s="10"/>
      <c r="E47" s="10" t="s">
        <v>1413</v>
      </c>
      <c r="F47" s="11">
        <f>(57451/77721)</f>
        <v>0.73919532687433254</v>
      </c>
    </row>
    <row r="48" spans="1:12" s="2" customFormat="1" ht="16.5" customHeight="1" thickBot="1">
      <c r="A48" s="6" t="s">
        <v>550</v>
      </c>
      <c r="B48" s="9" t="s">
        <v>2107</v>
      </c>
      <c r="C48" s="36">
        <v>33274</v>
      </c>
      <c r="D48" s="17">
        <f>SUM(C48/$C$50)</f>
        <v>0.57917181598231537</v>
      </c>
      <c r="E48" s="16"/>
    </row>
    <row r="49" spans="1:7" s="2" customFormat="1" ht="16.5" customHeight="1" thickBot="1">
      <c r="A49" s="12" t="s">
        <v>86</v>
      </c>
      <c r="B49" s="20" t="s">
        <v>493</v>
      </c>
      <c r="C49" s="8">
        <v>24177</v>
      </c>
      <c r="D49" s="17">
        <f>SUM(C49/$C$50)</f>
        <v>0.42082818401768463</v>
      </c>
      <c r="E49" s="16"/>
      <c r="G49" s="14"/>
    </row>
    <row r="50" spans="1:7" s="2" customFormat="1" ht="16.5" customHeight="1">
      <c r="A50" s="75"/>
      <c r="B50" s="76"/>
      <c r="C50" s="23">
        <f>SUM(C48:C49)</f>
        <v>57451</v>
      </c>
      <c r="D50" s="17"/>
      <c r="E50" s="10" t="s">
        <v>1874</v>
      </c>
      <c r="F50" s="21">
        <f>(C48-C49)</f>
        <v>9097</v>
      </c>
    </row>
    <row r="51" spans="1:7" s="2" customFormat="1" ht="12" customHeight="1">
      <c r="A51" s="1"/>
    </row>
    <row r="52" spans="1:7" s="2" customFormat="1" ht="16.5" customHeight="1">
      <c r="A52" s="1" t="s">
        <v>90</v>
      </c>
    </row>
    <row r="53" spans="1:7" s="2" customFormat="1" ht="9.75" customHeight="1" thickBot="1">
      <c r="A53" s="3"/>
    </row>
    <row r="54" spans="1:7" s="2" customFormat="1" ht="16.5" customHeight="1" thickBot="1">
      <c r="A54" s="4" t="s">
        <v>1244</v>
      </c>
      <c r="B54" s="5" t="s">
        <v>1245</v>
      </c>
      <c r="C54" s="5" t="s">
        <v>1248</v>
      </c>
      <c r="D54" s="10"/>
      <c r="E54" s="10" t="s">
        <v>1413</v>
      </c>
      <c r="F54" s="11">
        <f>(38167/59025)</f>
        <v>0.64662431173231683</v>
      </c>
    </row>
    <row r="55" spans="1:7" s="2" customFormat="1" ht="16.5" customHeight="1" thickBot="1">
      <c r="A55" s="6" t="s">
        <v>88</v>
      </c>
      <c r="B55" s="9" t="s">
        <v>2107</v>
      </c>
      <c r="C55" s="36">
        <v>24019</v>
      </c>
      <c r="D55" s="17">
        <f>SUM(C55/$C$57)</f>
        <v>0.62931328110671525</v>
      </c>
      <c r="E55" s="16"/>
    </row>
    <row r="56" spans="1:7" s="2" customFormat="1" ht="16.5" customHeight="1" thickBot="1">
      <c r="A56" s="12" t="s">
        <v>89</v>
      </c>
      <c r="B56" s="78" t="s">
        <v>328</v>
      </c>
      <c r="C56" s="8">
        <v>14148</v>
      </c>
      <c r="D56" s="17">
        <f>SUM(C56/$C$57)</f>
        <v>0.37068671889328475</v>
      </c>
      <c r="E56" s="16"/>
      <c r="G56" s="14"/>
    </row>
    <row r="57" spans="1:7" s="2" customFormat="1" ht="16.5" customHeight="1">
      <c r="A57" s="75"/>
      <c r="B57" s="76"/>
      <c r="C57" s="23">
        <f>SUM(C55:C56)</f>
        <v>38167</v>
      </c>
      <c r="D57" s="17"/>
      <c r="E57" s="10" t="s">
        <v>1874</v>
      </c>
      <c r="F57" s="21">
        <f>(C55-C56)</f>
        <v>9871</v>
      </c>
    </row>
    <row r="58" spans="1:7" s="2" customFormat="1" ht="12" customHeight="1">
      <c r="A58" s="1"/>
    </row>
    <row r="59" spans="1:7" s="2" customFormat="1" ht="16.5" customHeight="1">
      <c r="A59" s="1" t="s">
        <v>92</v>
      </c>
    </row>
    <row r="60" spans="1:7" s="2" customFormat="1" ht="9.75" customHeight="1" thickBot="1">
      <c r="A60" s="3"/>
    </row>
    <row r="61" spans="1:7" s="2" customFormat="1" ht="16.5" customHeight="1" thickBot="1">
      <c r="A61" s="4" t="s">
        <v>1244</v>
      </c>
      <c r="B61" s="5" t="s">
        <v>1245</v>
      </c>
      <c r="C61" s="5" t="s">
        <v>1248</v>
      </c>
      <c r="D61" s="10"/>
      <c r="E61" s="10" t="s">
        <v>1413</v>
      </c>
      <c r="F61" s="11">
        <f>(37085/56426)</f>
        <v>0.65723248148016866</v>
      </c>
    </row>
    <row r="62" spans="1:7" s="2" customFormat="1" ht="16.5" customHeight="1" thickBot="1">
      <c r="A62" s="6" t="s">
        <v>45</v>
      </c>
      <c r="B62" s="9" t="s">
        <v>2107</v>
      </c>
      <c r="C62" s="36">
        <v>27855</v>
      </c>
      <c r="D62" s="17">
        <f>SUM(C62/$C$64)</f>
        <v>0.75111230955912089</v>
      </c>
      <c r="E62" s="16"/>
    </row>
    <row r="63" spans="1:7" s="2" customFormat="1" ht="16.5" customHeight="1" thickBot="1">
      <c r="A63" s="12" t="s">
        <v>91</v>
      </c>
      <c r="B63" s="91" t="s">
        <v>522</v>
      </c>
      <c r="C63" s="8">
        <v>9230</v>
      </c>
      <c r="D63" s="17">
        <f>SUM(C63/$C$64)</f>
        <v>0.24888769044087905</v>
      </c>
      <c r="E63" s="16"/>
      <c r="G63" s="14"/>
    </row>
    <row r="64" spans="1:7" s="2" customFormat="1" ht="16.5" customHeight="1">
      <c r="A64" s="75"/>
      <c r="B64" s="76"/>
      <c r="C64" s="23">
        <f>SUM(C62:C63)</f>
        <v>37085</v>
      </c>
      <c r="D64" s="17"/>
      <c r="E64" s="10" t="s">
        <v>1874</v>
      </c>
      <c r="F64" s="21">
        <f>(C62-C63)</f>
        <v>18625</v>
      </c>
    </row>
    <row r="66" spans="1:6" s="2" customFormat="1" ht="16.5" customHeight="1">
      <c r="A66" s="1" t="s">
        <v>46</v>
      </c>
    </row>
    <row r="67" spans="1:6" s="2" customFormat="1" ht="9.75" customHeight="1" thickBot="1">
      <c r="A67" s="3"/>
    </row>
    <row r="68" spans="1:6" s="2" customFormat="1" ht="16.5" customHeight="1" thickBot="1">
      <c r="A68" s="4" t="s">
        <v>1244</v>
      </c>
      <c r="B68" s="5" t="s">
        <v>1245</v>
      </c>
      <c r="C68" s="5" t="s">
        <v>1248</v>
      </c>
      <c r="D68" s="10"/>
      <c r="E68" s="10"/>
      <c r="F68" s="11"/>
    </row>
    <row r="69" spans="1:6" s="2" customFormat="1" ht="16.5" customHeight="1" thickBot="1">
      <c r="A69" s="6" t="s">
        <v>47</v>
      </c>
      <c r="B69" s="9" t="s">
        <v>2107</v>
      </c>
      <c r="C69" s="100" t="s">
        <v>968</v>
      </c>
      <c r="D69" s="17"/>
      <c r="E69" s="16"/>
    </row>
    <row r="70" spans="1:6" s="2" customFormat="1" ht="12" customHeight="1">
      <c r="A70" s="1"/>
    </row>
    <row r="71" spans="1:6" ht="15">
      <c r="A71" s="104" t="s">
        <v>1072</v>
      </c>
    </row>
    <row r="72" spans="1:6" s="2" customFormat="1" ht="16.5" customHeight="1">
      <c r="A72" s="1" t="s">
        <v>70</v>
      </c>
    </row>
    <row r="73" spans="1:6" s="2" customFormat="1" ht="9.75" customHeight="1" thickBot="1">
      <c r="A73" s="3"/>
    </row>
    <row r="74" spans="1:6" s="2" customFormat="1" ht="16.5" customHeight="1" thickBot="1">
      <c r="A74" s="4" t="s">
        <v>1244</v>
      </c>
      <c r="B74" s="5" t="s">
        <v>1245</v>
      </c>
      <c r="C74" s="5" t="s">
        <v>1248</v>
      </c>
      <c r="D74" s="10"/>
      <c r="E74" s="10"/>
      <c r="F74" s="11"/>
    </row>
    <row r="75" spans="1:6" s="2" customFormat="1" ht="16.5" customHeight="1" thickBot="1">
      <c r="A75" s="6" t="s">
        <v>990</v>
      </c>
      <c r="B75" s="7" t="s">
        <v>493</v>
      </c>
      <c r="C75" s="100" t="s">
        <v>968</v>
      </c>
      <c r="D75" s="17"/>
      <c r="E75" s="16"/>
    </row>
    <row r="76" spans="1:6" s="2" customFormat="1" ht="12" customHeight="1">
      <c r="A76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 codeName="Sheet40"/>
  <dimension ref="A1:L76"/>
  <sheetViews>
    <sheetView workbookViewId="0">
      <selection activeCell="K1" sqref="K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100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(51462/97044)</f>
        <v>0.53029553604550517</v>
      </c>
    </row>
    <row r="4" spans="1:7" s="2" customFormat="1" ht="16.5" customHeight="1" thickBot="1">
      <c r="A4" s="6" t="s">
        <v>96</v>
      </c>
      <c r="B4" s="9" t="s">
        <v>2107</v>
      </c>
      <c r="C4" s="36">
        <v>44716</v>
      </c>
      <c r="D4" s="17">
        <f>SUM(C4/$C$8)</f>
        <v>0.43445649216897902</v>
      </c>
      <c r="E4" s="16"/>
    </row>
    <row r="5" spans="1:7" s="2" customFormat="1" ht="16.5" customHeight="1" thickBot="1">
      <c r="A5" s="6" t="s">
        <v>97</v>
      </c>
      <c r="B5" s="9" t="s">
        <v>2107</v>
      </c>
      <c r="C5" s="36">
        <v>44711</v>
      </c>
      <c r="D5" s="17">
        <f>SUM(C5/$C$8)</f>
        <v>0.4344079126345653</v>
      </c>
      <c r="E5" s="16"/>
    </row>
    <row r="6" spans="1:7" s="2" customFormat="1" ht="16.5" customHeight="1" thickBot="1">
      <c r="A6" s="12" t="s">
        <v>98</v>
      </c>
      <c r="B6" s="13" t="s">
        <v>1247</v>
      </c>
      <c r="C6" s="8">
        <v>6812</v>
      </c>
      <c r="D6" s="17">
        <f>SUM(C6/$C$8)</f>
        <v>6.6184757685282342E-2</v>
      </c>
      <c r="E6" s="16"/>
      <c r="G6" s="14"/>
    </row>
    <row r="7" spans="1:7" s="2" customFormat="1" ht="16.5" customHeight="1" thickBot="1">
      <c r="A7" s="12" t="s">
        <v>99</v>
      </c>
      <c r="B7" s="13" t="s">
        <v>1247</v>
      </c>
      <c r="C7" s="8">
        <v>6685</v>
      </c>
      <c r="D7" s="17">
        <f>SUM(C7/$C$8)</f>
        <v>6.4950837511173296E-2</v>
      </c>
      <c r="E7" s="16"/>
      <c r="G7" s="14"/>
    </row>
    <row r="8" spans="1:7" s="2" customFormat="1" ht="16.5" customHeight="1">
      <c r="A8" s="75"/>
      <c r="B8" s="76"/>
      <c r="C8" s="23">
        <f>SUM(C4:C7)</f>
        <v>102924</v>
      </c>
      <c r="D8" s="17"/>
      <c r="E8" s="10" t="s">
        <v>1874</v>
      </c>
      <c r="F8" s="21">
        <f>(C5-C6)</f>
        <v>37899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104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(37261/63087)</f>
        <v>0.59062881417724733</v>
      </c>
    </row>
    <row r="13" spans="1:7" s="2" customFormat="1" ht="16.5" customHeight="1" thickBot="1">
      <c r="A13" s="6" t="s">
        <v>101</v>
      </c>
      <c r="B13" s="9" t="s">
        <v>2107</v>
      </c>
      <c r="C13" s="36">
        <v>30875</v>
      </c>
      <c r="D13" s="17">
        <f>SUM(C13/$C$16)</f>
        <v>0.828614368911194</v>
      </c>
      <c r="E13" s="16"/>
    </row>
    <row r="14" spans="1:7" s="2" customFormat="1" ht="16.5" customHeight="1" thickBot="1">
      <c r="A14" s="12" t="s">
        <v>102</v>
      </c>
      <c r="B14" s="13" t="s">
        <v>1247</v>
      </c>
      <c r="C14" s="8">
        <v>5869</v>
      </c>
      <c r="D14" s="17">
        <f>SUM(C14/$C$16)</f>
        <v>0.1575105338020987</v>
      </c>
      <c r="E14" s="16"/>
      <c r="G14" s="14"/>
    </row>
    <row r="15" spans="1:7" s="2" customFormat="1" ht="16.5" customHeight="1" thickBot="1">
      <c r="A15" s="12" t="s">
        <v>103</v>
      </c>
      <c r="B15" s="78" t="s">
        <v>328</v>
      </c>
      <c r="C15" s="8">
        <v>517</v>
      </c>
      <c r="D15" s="17">
        <f>SUM(C15/$C$16)</f>
        <v>1.3875097286707281E-2</v>
      </c>
      <c r="E15" s="16"/>
      <c r="G15" s="14"/>
    </row>
    <row r="16" spans="1:7" s="2" customFormat="1" ht="16.5" customHeight="1">
      <c r="A16" s="75"/>
      <c r="B16" s="76"/>
      <c r="C16" s="23">
        <f>SUM(C13:C15)</f>
        <v>37261</v>
      </c>
      <c r="D16" s="17"/>
      <c r="E16" s="10" t="s">
        <v>1874</v>
      </c>
      <c r="F16" s="21">
        <f>(C13-C14)</f>
        <v>25006</v>
      </c>
    </row>
    <row r="17" spans="1:7" s="2" customFormat="1" ht="12" customHeight="1">
      <c r="A17" s="1"/>
    </row>
    <row r="18" spans="1:7" s="2" customFormat="1" ht="16.5" customHeight="1">
      <c r="A18" s="1" t="s">
        <v>106</v>
      </c>
    </row>
    <row r="19" spans="1:7" s="2" customFormat="1" ht="9.75" customHeight="1" thickBot="1">
      <c r="A19" s="3"/>
    </row>
    <row r="20" spans="1:7" s="2" customFormat="1" ht="16.5" customHeight="1" thickBot="1">
      <c r="A20" s="4" t="s">
        <v>1244</v>
      </c>
      <c r="B20" s="5" t="s">
        <v>1245</v>
      </c>
      <c r="C20" s="5" t="s">
        <v>1248</v>
      </c>
      <c r="D20" s="10"/>
      <c r="E20" s="10" t="s">
        <v>1413</v>
      </c>
      <c r="F20" s="11">
        <f>(40777/54376)</f>
        <v>0.74990804766808883</v>
      </c>
    </row>
    <row r="21" spans="1:7" s="2" customFormat="1" ht="16.5" customHeight="1" thickBot="1">
      <c r="A21" s="6" t="s">
        <v>29</v>
      </c>
      <c r="B21" s="9" t="s">
        <v>2107</v>
      </c>
      <c r="C21" s="36">
        <v>29021</v>
      </c>
      <c r="D21" s="17">
        <f>SUM(C21/$C$23)</f>
        <v>0.71170022316501946</v>
      </c>
      <c r="E21" s="16"/>
    </row>
    <row r="22" spans="1:7" s="2" customFormat="1" ht="16.5" customHeight="1" thickBot="1">
      <c r="A22" s="12" t="s">
        <v>105</v>
      </c>
      <c r="B22" s="13" t="s">
        <v>1247</v>
      </c>
      <c r="C22" s="8">
        <v>11756</v>
      </c>
      <c r="D22" s="17">
        <f>SUM(C22/$C$23)</f>
        <v>0.28829977683498048</v>
      </c>
      <c r="E22" s="16"/>
      <c r="G22" s="14"/>
    </row>
    <row r="23" spans="1:7" s="2" customFormat="1" ht="16.5" customHeight="1">
      <c r="A23" s="75"/>
      <c r="B23" s="76"/>
      <c r="C23" s="23">
        <f>SUM(C21:C22)</f>
        <v>40777</v>
      </c>
      <c r="D23" s="17"/>
      <c r="E23" s="10" t="s">
        <v>1874</v>
      </c>
      <c r="F23" s="21">
        <f>(C21-C22)</f>
        <v>17265</v>
      </c>
    </row>
    <row r="24" spans="1:7" s="2" customFormat="1" ht="12" customHeight="1">
      <c r="A24" s="1"/>
    </row>
    <row r="25" spans="1:7" s="2" customFormat="1" ht="16.5" customHeight="1">
      <c r="A25" s="1" t="s">
        <v>108</v>
      </c>
    </row>
    <row r="26" spans="1:7" s="2" customFormat="1" ht="9.75" customHeight="1" thickBot="1">
      <c r="A26" s="3"/>
    </row>
    <row r="27" spans="1:7" s="2" customFormat="1" ht="16.5" customHeight="1" thickBot="1">
      <c r="A27" s="4" t="s">
        <v>1244</v>
      </c>
      <c r="B27" s="5" t="s">
        <v>1245</v>
      </c>
      <c r="C27" s="5" t="s">
        <v>1248</v>
      </c>
      <c r="D27" s="10"/>
      <c r="E27" s="10" t="s">
        <v>1413</v>
      </c>
      <c r="F27" s="11">
        <f>(63324/96285)</f>
        <v>0.65767253466272002</v>
      </c>
    </row>
    <row r="28" spans="1:7" s="2" customFormat="1" ht="16.5" customHeight="1" thickBot="1">
      <c r="A28" s="6" t="s">
        <v>66</v>
      </c>
      <c r="B28" s="9" t="s">
        <v>2107</v>
      </c>
      <c r="C28" s="36">
        <v>58929</v>
      </c>
      <c r="D28" s="17">
        <f>SUM(C28/$C$31)</f>
        <v>0.46530119150078564</v>
      </c>
      <c r="E28" s="16"/>
    </row>
    <row r="29" spans="1:7" s="2" customFormat="1" ht="16.5" customHeight="1" thickBot="1">
      <c r="A29" s="6" t="s">
        <v>75</v>
      </c>
      <c r="B29" s="9" t="s">
        <v>2107</v>
      </c>
      <c r="C29" s="36">
        <v>58777</v>
      </c>
      <c r="D29" s="17">
        <f>SUM(C29/$C$31)</f>
        <v>0.46410100515606373</v>
      </c>
      <c r="E29" s="16"/>
    </row>
    <row r="30" spans="1:7" s="2" customFormat="1" ht="16.5" customHeight="1" thickBot="1">
      <c r="A30" s="12" t="s">
        <v>107</v>
      </c>
      <c r="B30" s="13" t="s">
        <v>1247</v>
      </c>
      <c r="C30" s="8">
        <v>8941</v>
      </c>
      <c r="D30" s="17">
        <f>SUM(C30/$C$31)</f>
        <v>7.0597803343150647E-2</v>
      </c>
      <c r="E30" s="16"/>
      <c r="G30" s="14"/>
    </row>
    <row r="31" spans="1:7" s="2" customFormat="1" ht="16.5" customHeight="1">
      <c r="A31" s="75"/>
      <c r="B31" s="76"/>
      <c r="C31" s="23">
        <f>SUM(C28:C30)</f>
        <v>126647</v>
      </c>
      <c r="D31" s="17"/>
      <c r="E31" s="10" t="s">
        <v>1874</v>
      </c>
      <c r="F31" s="21">
        <f>(C29-C30)</f>
        <v>49836</v>
      </c>
    </row>
    <row r="32" spans="1:7" s="2" customFormat="1" ht="12" customHeight="1">
      <c r="A32" s="1"/>
    </row>
    <row r="33" spans="1:12" s="2" customFormat="1" ht="16.5" customHeight="1">
      <c r="A33" s="1" t="s">
        <v>111</v>
      </c>
    </row>
    <row r="34" spans="1:12" s="2" customFormat="1" ht="9.75" customHeight="1" thickBot="1">
      <c r="A34" s="3"/>
    </row>
    <row r="35" spans="1:12" s="2" customFormat="1" ht="16.5" customHeight="1" thickBot="1">
      <c r="A35" s="4" t="s">
        <v>1244</v>
      </c>
      <c r="B35" s="5" t="s">
        <v>1245</v>
      </c>
      <c r="C35" s="5" t="s">
        <v>1248</v>
      </c>
      <c r="D35" s="10"/>
      <c r="E35" s="10" t="s">
        <v>1413</v>
      </c>
      <c r="F35" s="11">
        <f>(62073/98616)</f>
        <v>0.62944146994402528</v>
      </c>
    </row>
    <row r="36" spans="1:12" s="2" customFormat="1" ht="16.5" customHeight="1" thickBot="1">
      <c r="A36" s="6" t="s">
        <v>109</v>
      </c>
      <c r="B36" s="9" t="s">
        <v>2107</v>
      </c>
      <c r="C36" s="36">
        <v>60868</v>
      </c>
      <c r="D36" s="17">
        <f>SUM(C36/$C$39)</f>
        <v>0.4902936864659353</v>
      </c>
      <c r="E36" s="16"/>
    </row>
    <row r="37" spans="1:12" s="2" customFormat="1" ht="16.5" customHeight="1" thickBot="1">
      <c r="A37" s="6" t="s">
        <v>978</v>
      </c>
      <c r="B37" s="9" t="s">
        <v>2107</v>
      </c>
      <c r="C37" s="36">
        <v>60764</v>
      </c>
      <c r="D37" s="17">
        <f>SUM(C37/$C$39)</f>
        <v>0.48945596314017364</v>
      </c>
      <c r="E37" s="16"/>
    </row>
    <row r="38" spans="1:12" s="2" customFormat="1" ht="16.5" customHeight="1" thickBot="1">
      <c r="A38" s="12" t="s">
        <v>110</v>
      </c>
      <c r="B38" s="13" t="s">
        <v>1247</v>
      </c>
      <c r="C38" s="8">
        <v>2514</v>
      </c>
      <c r="D38" s="17">
        <f>SUM(C38/$C$39)</f>
        <v>2.0250350393891062E-2</v>
      </c>
      <c r="E38" s="16"/>
      <c r="G38" s="14"/>
    </row>
    <row r="39" spans="1:12" s="2" customFormat="1" ht="16.5" customHeight="1">
      <c r="A39" s="75"/>
      <c r="B39" s="76"/>
      <c r="C39" s="23">
        <f>SUM(C36:C38)</f>
        <v>124146</v>
      </c>
      <c r="D39" s="17"/>
      <c r="E39" s="10" t="s">
        <v>1874</v>
      </c>
      <c r="F39" s="21">
        <f>(C37-C38)</f>
        <v>58250</v>
      </c>
    </row>
    <row r="40" spans="1:12" s="2" customFormat="1" ht="12" customHeight="1">
      <c r="A40" s="1"/>
      <c r="E40"/>
      <c r="L40"/>
    </row>
    <row r="41" spans="1:12" s="2" customFormat="1" ht="16.5" customHeight="1">
      <c r="A41" s="1" t="s">
        <v>113</v>
      </c>
    </row>
    <row r="42" spans="1:12" s="2" customFormat="1" ht="9.75" customHeight="1" thickBot="1">
      <c r="A42" s="3"/>
    </row>
    <row r="43" spans="1:12" s="2" customFormat="1" ht="16.5" customHeight="1" thickBot="1">
      <c r="A43" s="4" t="s">
        <v>1244</v>
      </c>
      <c r="B43" s="5" t="s">
        <v>1245</v>
      </c>
      <c r="C43" s="5" t="s">
        <v>1248</v>
      </c>
      <c r="D43" s="10"/>
      <c r="E43" s="10" t="s">
        <v>1413</v>
      </c>
      <c r="F43" s="11">
        <f>(35374/46902)</f>
        <v>0.75421090785041145</v>
      </c>
    </row>
    <row r="44" spans="1:12" s="2" customFormat="1" ht="16.5" customHeight="1" thickBot="1">
      <c r="A44" s="6" t="s">
        <v>112</v>
      </c>
      <c r="B44" s="9" t="s">
        <v>2107</v>
      </c>
      <c r="C44" s="36">
        <v>34182</v>
      </c>
      <c r="D44" s="17">
        <f>SUM(C44/$C$46)</f>
        <v>0.9663029343585684</v>
      </c>
      <c r="E44" s="16"/>
    </row>
    <row r="45" spans="1:12" s="2" customFormat="1" ht="16.5" customHeight="1" thickBot="1">
      <c r="A45" s="12" t="s">
        <v>54</v>
      </c>
      <c r="B45" s="13" t="s">
        <v>1247</v>
      </c>
      <c r="C45" s="8">
        <v>1192</v>
      </c>
      <c r="D45" s="17">
        <f>SUM(C45/$C$46)</f>
        <v>3.3697065641431559E-2</v>
      </c>
      <c r="E45" s="16"/>
      <c r="G45" s="14"/>
    </row>
    <row r="46" spans="1:12" s="2" customFormat="1" ht="16.5" customHeight="1">
      <c r="A46" s="75"/>
      <c r="B46" s="76"/>
      <c r="C46" s="23">
        <f>SUM(C44:C45)</f>
        <v>35374</v>
      </c>
      <c r="D46" s="17"/>
      <c r="E46" s="10" t="s">
        <v>1874</v>
      </c>
      <c r="F46" s="21">
        <f>(C44-C45)</f>
        <v>32990</v>
      </c>
    </row>
    <row r="47" spans="1:12" s="2" customFormat="1" ht="12" customHeight="1">
      <c r="A47" s="1"/>
    </row>
    <row r="48" spans="1:12" s="2" customFormat="1" ht="16.5" customHeight="1">
      <c r="A48" s="1" t="s">
        <v>116</v>
      </c>
    </row>
    <row r="49" spans="1:7" s="2" customFormat="1" ht="9.75" customHeight="1" thickBot="1">
      <c r="A49" s="3"/>
    </row>
    <row r="50" spans="1:7" s="2" customFormat="1" ht="16.5" customHeight="1" thickBot="1">
      <c r="A50" s="4" t="s">
        <v>1244</v>
      </c>
      <c r="B50" s="5" t="s">
        <v>1245</v>
      </c>
      <c r="C50" s="5" t="s">
        <v>1248</v>
      </c>
      <c r="D50" s="10"/>
      <c r="E50" s="10" t="s">
        <v>1413</v>
      </c>
      <c r="F50" s="11">
        <f>(52245/66010)</f>
        <v>0.7914709892440539</v>
      </c>
    </row>
    <row r="51" spans="1:7" s="2" customFormat="1" ht="16.5" customHeight="1" thickBot="1">
      <c r="A51" s="6" t="s">
        <v>114</v>
      </c>
      <c r="B51" s="9" t="s">
        <v>2107</v>
      </c>
      <c r="C51" s="36">
        <v>28435</v>
      </c>
      <c r="D51" s="17">
        <f>SUM(C51/$C$54)</f>
        <v>0.5442626088620921</v>
      </c>
      <c r="E51" s="16"/>
    </row>
    <row r="52" spans="1:7" s="2" customFormat="1" ht="16.5" customHeight="1" thickBot="1">
      <c r="A52" s="12" t="s">
        <v>1225</v>
      </c>
      <c r="B52" s="80" t="s">
        <v>363</v>
      </c>
      <c r="C52" s="8">
        <v>21122</v>
      </c>
      <c r="D52" s="17">
        <f>SUM(C52/$C$54)</f>
        <v>0.40428749162599292</v>
      </c>
      <c r="E52" s="16"/>
      <c r="G52" s="14"/>
    </row>
    <row r="53" spans="1:7" s="2" customFormat="1" ht="16.5" customHeight="1" thickBot="1">
      <c r="A53" s="12" t="s">
        <v>115</v>
      </c>
      <c r="B53" s="13" t="s">
        <v>1247</v>
      </c>
      <c r="C53" s="8">
        <v>2688</v>
      </c>
      <c r="D53" s="17">
        <f>SUM(C53/$C$54)</f>
        <v>5.1449899511915018E-2</v>
      </c>
      <c r="E53" s="16"/>
      <c r="G53" s="14"/>
    </row>
    <row r="54" spans="1:7" s="2" customFormat="1" ht="16.5" customHeight="1">
      <c r="A54" s="75"/>
      <c r="B54" s="76"/>
      <c r="C54" s="23">
        <f>SUM(C51:C53)</f>
        <v>52245</v>
      </c>
      <c r="D54" s="17"/>
      <c r="E54" s="10" t="s">
        <v>1874</v>
      </c>
      <c r="F54" s="21">
        <f>(C51-C52)</f>
        <v>7313</v>
      </c>
    </row>
    <row r="55" spans="1:7" s="2" customFormat="1" ht="12" customHeight="1">
      <c r="A55" s="1"/>
    </row>
    <row r="56" spans="1:7" s="2" customFormat="1" ht="16.5" customHeight="1">
      <c r="A56" s="1" t="s">
        <v>42</v>
      </c>
    </row>
    <row r="57" spans="1:7" s="2" customFormat="1" ht="9.75" customHeight="1" thickBot="1">
      <c r="A57" s="3"/>
    </row>
    <row r="58" spans="1:7" s="2" customFormat="1" ht="16.5" customHeight="1" thickBot="1">
      <c r="A58" s="4" t="s">
        <v>1244</v>
      </c>
      <c r="B58" s="5" t="s">
        <v>1245</v>
      </c>
      <c r="C58" s="5" t="s">
        <v>1248</v>
      </c>
      <c r="D58" s="10"/>
      <c r="E58" s="10"/>
      <c r="F58" s="11"/>
    </row>
    <row r="59" spans="1:7" s="2" customFormat="1" ht="16.5" customHeight="1" thickBot="1">
      <c r="A59" s="6" t="s">
        <v>117</v>
      </c>
      <c r="B59" s="9" t="s">
        <v>2107</v>
      </c>
      <c r="C59" s="100" t="s">
        <v>968</v>
      </c>
      <c r="D59" s="17"/>
      <c r="E59" s="16"/>
    </row>
    <row r="60" spans="1:7" s="2" customFormat="1" ht="12" customHeight="1">
      <c r="A60" s="1"/>
    </row>
    <row r="61" spans="1:7" s="2" customFormat="1" ht="16.5" customHeight="1">
      <c r="A61" s="1" t="s">
        <v>44</v>
      </c>
    </row>
    <row r="62" spans="1:7" s="2" customFormat="1" ht="9.75" customHeight="1" thickBot="1">
      <c r="A62" s="3"/>
    </row>
    <row r="63" spans="1:7" s="2" customFormat="1" ht="16.5" customHeight="1" thickBot="1">
      <c r="A63" s="4" t="s">
        <v>1244</v>
      </c>
      <c r="B63" s="5" t="s">
        <v>1245</v>
      </c>
      <c r="C63" s="5" t="s">
        <v>1248</v>
      </c>
      <c r="D63" s="10"/>
      <c r="E63" s="10"/>
      <c r="F63" s="11"/>
    </row>
    <row r="64" spans="1:7" s="2" customFormat="1" ht="16.5" customHeight="1" thickBot="1">
      <c r="A64" s="6" t="s">
        <v>45</v>
      </c>
      <c r="B64" s="9" t="s">
        <v>2107</v>
      </c>
      <c r="C64" s="100" t="s">
        <v>968</v>
      </c>
      <c r="D64" s="17"/>
      <c r="E64" s="16"/>
    </row>
    <row r="66" spans="1:6" s="2" customFormat="1" ht="16.5" customHeight="1">
      <c r="A66" s="1" t="s">
        <v>46</v>
      </c>
    </row>
    <row r="67" spans="1:6" s="2" customFormat="1" ht="9.75" customHeight="1" thickBot="1">
      <c r="A67" s="3"/>
    </row>
    <row r="68" spans="1:6" s="2" customFormat="1" ht="16.5" customHeight="1" thickBot="1">
      <c r="A68" s="4" t="s">
        <v>1244</v>
      </c>
      <c r="B68" s="5" t="s">
        <v>1245</v>
      </c>
      <c r="C68" s="5" t="s">
        <v>1248</v>
      </c>
      <c r="D68" s="10"/>
      <c r="E68" s="10"/>
      <c r="F68" s="11"/>
    </row>
    <row r="69" spans="1:6" s="2" customFormat="1" ht="16.5" customHeight="1" thickBot="1">
      <c r="A69" s="6" t="s">
        <v>47</v>
      </c>
      <c r="B69" s="9" t="s">
        <v>2107</v>
      </c>
      <c r="C69" s="100" t="s">
        <v>968</v>
      </c>
      <c r="D69" s="17"/>
      <c r="E69" s="16"/>
    </row>
    <row r="70" spans="1:6" s="2" customFormat="1" ht="12" customHeight="1">
      <c r="A70" s="1"/>
    </row>
    <row r="71" spans="1:6" ht="15">
      <c r="A71" s="104" t="s">
        <v>1072</v>
      </c>
    </row>
    <row r="72" spans="1:6" s="2" customFormat="1" ht="16.5" customHeight="1">
      <c r="A72" s="1" t="s">
        <v>118</v>
      </c>
    </row>
    <row r="73" spans="1:6" s="2" customFormat="1" ht="9.75" customHeight="1" thickBot="1">
      <c r="A73" s="3"/>
    </row>
    <row r="74" spans="1:6" s="2" customFormat="1" ht="16.5" customHeight="1" thickBot="1">
      <c r="A74" s="4" t="s">
        <v>1244</v>
      </c>
      <c r="B74" s="5" t="s">
        <v>1245</v>
      </c>
      <c r="C74" s="5" t="s">
        <v>1248</v>
      </c>
      <c r="D74" s="10"/>
      <c r="E74" s="10"/>
      <c r="F74" s="11"/>
    </row>
    <row r="75" spans="1:6" s="2" customFormat="1" ht="16.5" customHeight="1" thickBot="1">
      <c r="A75" s="6" t="s">
        <v>1208</v>
      </c>
      <c r="B75" s="9" t="s">
        <v>2107</v>
      </c>
      <c r="C75" s="100" t="s">
        <v>968</v>
      </c>
      <c r="D75" s="17"/>
      <c r="E75" s="16"/>
    </row>
    <row r="76" spans="1:6" s="2" customFormat="1" ht="12" customHeight="1">
      <c r="A76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 codeName="Sheet41"/>
  <dimension ref="A1:G60"/>
  <sheetViews>
    <sheetView topLeftCell="A22" workbookViewId="0">
      <selection activeCell="L1" sqref="L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120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(81543/96497)</f>
        <v>0.84503145175497685</v>
      </c>
    </row>
    <row r="4" spans="1:7" s="2" customFormat="1" ht="16.5" customHeight="1" thickBot="1">
      <c r="A4" s="6" t="s">
        <v>119</v>
      </c>
      <c r="B4" s="7" t="s">
        <v>493</v>
      </c>
      <c r="C4" s="36">
        <v>44003</v>
      </c>
      <c r="D4" s="17">
        <f>SUM(C4/$C$8)</f>
        <v>0.26981469899316923</v>
      </c>
      <c r="E4" s="16"/>
    </row>
    <row r="5" spans="1:7" s="2" customFormat="1" ht="16.5" customHeight="1" thickBot="1">
      <c r="A5" s="6" t="s">
        <v>962</v>
      </c>
      <c r="B5" s="7" t="s">
        <v>493</v>
      </c>
      <c r="C5" s="36">
        <v>43668</v>
      </c>
      <c r="D5" s="17">
        <f>SUM(C5/$C$8)</f>
        <v>0.26776056804385417</v>
      </c>
      <c r="E5" s="16"/>
    </row>
    <row r="6" spans="1:7" s="2" customFormat="1" ht="16.5" customHeight="1" thickBot="1">
      <c r="A6" s="12" t="s">
        <v>97</v>
      </c>
      <c r="B6" s="22" t="s">
        <v>2107</v>
      </c>
      <c r="C6" s="8">
        <v>37733</v>
      </c>
      <c r="D6" s="17">
        <f>SUM(C6/$C$8)</f>
        <v>0.23136872570300332</v>
      </c>
      <c r="E6" s="16"/>
      <c r="G6" s="14"/>
    </row>
    <row r="7" spans="1:7" s="2" customFormat="1" ht="16.5" customHeight="1" thickBot="1">
      <c r="A7" s="12" t="s">
        <v>96</v>
      </c>
      <c r="B7" s="22" t="s">
        <v>2107</v>
      </c>
      <c r="C7" s="8">
        <v>37682</v>
      </c>
      <c r="D7" s="17">
        <f>SUM(C7/$C$8)</f>
        <v>0.23105600725997327</v>
      </c>
      <c r="E7" s="16"/>
      <c r="G7" s="14"/>
    </row>
    <row r="8" spans="1:7" s="2" customFormat="1" ht="16.5" customHeight="1">
      <c r="A8" s="75"/>
      <c r="B8" s="76"/>
      <c r="C8" s="23">
        <f>SUM(C4:C7)</f>
        <v>163086</v>
      </c>
      <c r="D8" s="17"/>
      <c r="E8" s="10" t="s">
        <v>1874</v>
      </c>
      <c r="F8" s="21">
        <f>(C5-C6)</f>
        <v>5935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26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/>
      <c r="F12" s="11"/>
    </row>
    <row r="13" spans="1:7" s="2" customFormat="1" ht="16.5" customHeight="1" thickBot="1">
      <c r="A13" s="6" t="s">
        <v>101</v>
      </c>
      <c r="B13" s="9" t="s">
        <v>2107</v>
      </c>
      <c r="C13" s="100" t="s">
        <v>968</v>
      </c>
      <c r="D13" s="17"/>
      <c r="E13" s="16"/>
    </row>
    <row r="14" spans="1:7" s="2" customFormat="1" ht="12" customHeight="1">
      <c r="A14" s="1"/>
    </row>
    <row r="15" spans="1:7" s="2" customFormat="1" ht="16.5" customHeight="1">
      <c r="A15" s="1" t="s">
        <v>971</v>
      </c>
    </row>
    <row r="16" spans="1:7" s="2" customFormat="1" ht="9.75" customHeight="1" thickBot="1">
      <c r="A16" s="3"/>
    </row>
    <row r="17" spans="1:6" s="2" customFormat="1" ht="16.5" customHeight="1" thickBot="1">
      <c r="A17" s="4" t="s">
        <v>1244</v>
      </c>
      <c r="B17" s="5" t="s">
        <v>1245</v>
      </c>
      <c r="C17" s="5" t="s">
        <v>1248</v>
      </c>
      <c r="D17" s="10"/>
      <c r="E17" s="10"/>
      <c r="F17" s="11"/>
    </row>
    <row r="18" spans="1:6" s="2" customFormat="1" ht="16.5" customHeight="1" thickBot="1">
      <c r="A18" s="6" t="s">
        <v>29</v>
      </c>
      <c r="B18" s="9" t="s">
        <v>2107</v>
      </c>
      <c r="C18" s="100" t="s">
        <v>968</v>
      </c>
      <c r="D18" s="17"/>
      <c r="E18" s="16"/>
    </row>
    <row r="19" spans="1:6" s="2" customFormat="1" ht="12" customHeight="1">
      <c r="A19" s="1"/>
    </row>
    <row r="20" spans="1:6" s="2" customFormat="1" ht="16.5" customHeight="1">
      <c r="A20" s="1" t="s">
        <v>65</v>
      </c>
    </row>
    <row r="21" spans="1:6" s="2" customFormat="1" ht="9.75" customHeight="1" thickBot="1">
      <c r="A21" s="3"/>
    </row>
    <row r="22" spans="1:6" s="2" customFormat="1" ht="16.5" customHeight="1" thickBot="1">
      <c r="A22" s="4" t="s">
        <v>1244</v>
      </c>
      <c r="B22" s="5" t="s">
        <v>1245</v>
      </c>
      <c r="C22" s="5" t="s">
        <v>1248</v>
      </c>
      <c r="D22" s="10"/>
      <c r="E22" s="10"/>
      <c r="F22" s="11"/>
    </row>
    <row r="23" spans="1:6" s="2" customFormat="1" ht="16.5" customHeight="1" thickBot="1">
      <c r="A23" s="6" t="s">
        <v>66</v>
      </c>
      <c r="B23" s="9" t="s">
        <v>2107</v>
      </c>
      <c r="C23" s="100" t="s">
        <v>968</v>
      </c>
      <c r="D23" s="17"/>
      <c r="E23" s="16"/>
    </row>
    <row r="24" spans="1:6" s="2" customFormat="1" ht="16.5" customHeight="1" thickBot="1">
      <c r="A24" s="6" t="s">
        <v>75</v>
      </c>
      <c r="B24" s="9" t="s">
        <v>2107</v>
      </c>
      <c r="C24" s="100" t="s">
        <v>968</v>
      </c>
      <c r="D24" s="17"/>
      <c r="E24" s="16"/>
    </row>
    <row r="25" spans="1:6" s="2" customFormat="1" ht="12" customHeight="1">
      <c r="A25" s="1"/>
    </row>
    <row r="26" spans="1:6" s="2" customFormat="1" ht="16.5" customHeight="1">
      <c r="A26" s="1" t="s">
        <v>34</v>
      </c>
    </row>
    <row r="27" spans="1:6" s="2" customFormat="1" ht="9.75" customHeight="1" thickBot="1">
      <c r="A27" s="3"/>
    </row>
    <row r="28" spans="1:6" s="2" customFormat="1" ht="16.5" customHeight="1" thickBot="1">
      <c r="A28" s="4" t="s">
        <v>1244</v>
      </c>
      <c r="B28" s="5" t="s">
        <v>1245</v>
      </c>
      <c r="C28" s="5" t="s">
        <v>1248</v>
      </c>
      <c r="D28" s="10"/>
      <c r="E28" s="10"/>
      <c r="F28" s="11"/>
    </row>
    <row r="29" spans="1:6" s="2" customFormat="1" ht="16.5" customHeight="1" thickBot="1">
      <c r="A29" s="6" t="s">
        <v>109</v>
      </c>
      <c r="B29" s="9" t="s">
        <v>2107</v>
      </c>
      <c r="C29" s="100" t="s">
        <v>968</v>
      </c>
      <c r="D29" s="17"/>
      <c r="E29" s="16"/>
    </row>
    <row r="30" spans="1:6" s="2" customFormat="1" ht="16.5" customHeight="1" thickBot="1">
      <c r="A30" s="6" t="s">
        <v>978</v>
      </c>
      <c r="B30" s="9" t="s">
        <v>2107</v>
      </c>
      <c r="C30" s="100" t="s">
        <v>968</v>
      </c>
      <c r="D30" s="17"/>
      <c r="E30" s="16"/>
    </row>
    <row r="31" spans="1:6" s="2" customFormat="1" ht="12" customHeight="1">
      <c r="A31" s="1"/>
    </row>
    <row r="32" spans="1:6" s="2" customFormat="1" ht="16.5" customHeight="1">
      <c r="A32" s="1" t="s">
        <v>121</v>
      </c>
    </row>
    <row r="33" spans="1:7" s="2" customFormat="1" ht="9.75" customHeight="1" thickBot="1">
      <c r="A33" s="3"/>
    </row>
    <row r="34" spans="1:7" s="2" customFormat="1" ht="16.5" customHeight="1" thickBot="1">
      <c r="A34" s="4" t="s">
        <v>1244</v>
      </c>
      <c r="B34" s="5" t="s">
        <v>1245</v>
      </c>
      <c r="C34" s="5" t="s">
        <v>1248</v>
      </c>
      <c r="D34" s="10"/>
      <c r="E34" s="10" t="s">
        <v>1413</v>
      </c>
      <c r="F34" s="11">
        <f>(31942/46844)</f>
        <v>0.68188028349415075</v>
      </c>
    </row>
    <row r="35" spans="1:7" s="2" customFormat="1" ht="16.5" customHeight="1" thickBot="1">
      <c r="A35" s="6" t="s">
        <v>112</v>
      </c>
      <c r="B35" s="9" t="s">
        <v>2107</v>
      </c>
      <c r="C35" s="36">
        <v>16771</v>
      </c>
      <c r="D35" s="17">
        <f>SUM(C35/$C$37)</f>
        <v>0.52504539477803513</v>
      </c>
      <c r="E35" s="16"/>
    </row>
    <row r="36" spans="1:7" s="2" customFormat="1" ht="16.5" customHeight="1" thickBot="1">
      <c r="A36" s="12" t="s">
        <v>83</v>
      </c>
      <c r="B36" s="78" t="s">
        <v>328</v>
      </c>
      <c r="C36" s="8">
        <v>15171</v>
      </c>
      <c r="D36" s="17">
        <f>SUM(C36/$C$37)</f>
        <v>0.47495460522196481</v>
      </c>
      <c r="E36" s="16"/>
      <c r="G36" s="14"/>
    </row>
    <row r="37" spans="1:7" s="2" customFormat="1" ht="16.5" customHeight="1">
      <c r="A37" s="75"/>
      <c r="B37" s="76"/>
      <c r="C37" s="23">
        <f>SUM(C35:C36)</f>
        <v>31942</v>
      </c>
      <c r="D37" s="17"/>
      <c r="E37" s="10" t="s">
        <v>1874</v>
      </c>
      <c r="F37" s="21">
        <f>(C35-C36)</f>
        <v>1600</v>
      </c>
    </row>
    <row r="38" spans="1:7" s="2" customFormat="1" ht="12" customHeight="1">
      <c r="A38" s="1"/>
    </row>
    <row r="39" spans="1:7" s="2" customFormat="1" ht="16.5" customHeight="1">
      <c r="A39" s="1" t="s">
        <v>122</v>
      </c>
    </row>
    <row r="40" spans="1:7" s="2" customFormat="1" ht="9.75" customHeight="1" thickBot="1">
      <c r="A40" s="3"/>
    </row>
    <row r="41" spans="1:7" s="2" customFormat="1" ht="16.5" customHeight="1" thickBot="1">
      <c r="A41" s="4" t="s">
        <v>1244</v>
      </c>
      <c r="B41" s="5" t="s">
        <v>1245</v>
      </c>
      <c r="C41" s="5" t="s">
        <v>1248</v>
      </c>
      <c r="D41" s="10"/>
      <c r="E41" s="10" t="s">
        <v>1413</v>
      </c>
      <c r="F41" s="11">
        <f>(47200/67161)</f>
        <v>0.70278882089307781</v>
      </c>
    </row>
    <row r="42" spans="1:7" s="2" customFormat="1" ht="16.5" customHeight="1" thickBot="1">
      <c r="A42" s="6" t="s">
        <v>114</v>
      </c>
      <c r="B42" s="9" t="s">
        <v>2107</v>
      </c>
      <c r="C42" s="36">
        <v>24975</v>
      </c>
      <c r="D42" s="17">
        <f>SUM(C42/$C$44)</f>
        <v>0.5291313559322034</v>
      </c>
      <c r="E42" s="16"/>
    </row>
    <row r="43" spans="1:7" s="2" customFormat="1" ht="16.5" customHeight="1" thickBot="1">
      <c r="A43" s="12" t="s">
        <v>1225</v>
      </c>
      <c r="B43" s="78" t="s">
        <v>2039</v>
      </c>
      <c r="C43" s="8">
        <v>22225</v>
      </c>
      <c r="D43" s="17">
        <f>SUM(C43/$C$44)</f>
        <v>0.4708686440677966</v>
      </c>
      <c r="E43" s="16"/>
      <c r="G43" s="14"/>
    </row>
    <row r="44" spans="1:7" s="2" customFormat="1" ht="16.5" customHeight="1">
      <c r="A44" s="75"/>
      <c r="B44" s="76"/>
      <c r="C44" s="23">
        <f>SUM(C42:C43)</f>
        <v>47200</v>
      </c>
      <c r="D44" s="17"/>
      <c r="E44" s="10" t="s">
        <v>1874</v>
      </c>
      <c r="F44" s="21">
        <f>(C42-C43)</f>
        <v>2750</v>
      </c>
    </row>
    <row r="45" spans="1:7" s="2" customFormat="1" ht="12" customHeight="1">
      <c r="A45" s="1"/>
    </row>
    <row r="46" spans="1:7" s="2" customFormat="1" ht="16.5" customHeight="1">
      <c r="A46" s="1" t="s">
        <v>42</v>
      </c>
    </row>
    <row r="47" spans="1:7" s="2" customFormat="1" ht="9.75" customHeight="1" thickBot="1">
      <c r="A47" s="3"/>
    </row>
    <row r="48" spans="1:7" s="2" customFormat="1" ht="16.5" customHeight="1" thickBot="1">
      <c r="A48" s="4" t="s">
        <v>1244</v>
      </c>
      <c r="B48" s="5" t="s">
        <v>1245</v>
      </c>
      <c r="C48" s="5" t="s">
        <v>1248</v>
      </c>
      <c r="D48" s="10"/>
      <c r="E48" s="10"/>
      <c r="F48" s="11"/>
    </row>
    <row r="49" spans="1:6" s="2" customFormat="1" ht="16.5" customHeight="1" thickBot="1">
      <c r="A49" s="6" t="s">
        <v>117</v>
      </c>
      <c r="B49" s="9" t="s">
        <v>2107</v>
      </c>
      <c r="C49" s="100" t="s">
        <v>968</v>
      </c>
      <c r="D49" s="17"/>
      <c r="E49" s="16"/>
    </row>
    <row r="50" spans="1:6" s="2" customFormat="1" ht="12" customHeight="1">
      <c r="A50" s="1"/>
    </row>
    <row r="51" spans="1:6" s="2" customFormat="1" ht="16.5" customHeight="1">
      <c r="A51" s="1" t="s">
        <v>44</v>
      </c>
    </row>
    <row r="52" spans="1:6" s="2" customFormat="1" ht="9.75" customHeight="1" thickBot="1">
      <c r="A52" s="3"/>
    </row>
    <row r="53" spans="1:6" s="2" customFormat="1" ht="16.5" customHeight="1" thickBot="1">
      <c r="A53" s="4" t="s">
        <v>1244</v>
      </c>
      <c r="B53" s="5" t="s">
        <v>1245</v>
      </c>
      <c r="C53" s="5" t="s">
        <v>1248</v>
      </c>
      <c r="D53" s="10"/>
      <c r="E53" s="10"/>
      <c r="F53" s="11"/>
    </row>
    <row r="54" spans="1:6" s="2" customFormat="1" ht="16.5" customHeight="1" thickBot="1">
      <c r="A54" s="6" t="s">
        <v>45</v>
      </c>
      <c r="B54" s="9" t="s">
        <v>2107</v>
      </c>
      <c r="C54" s="100" t="s">
        <v>968</v>
      </c>
      <c r="D54" s="17"/>
      <c r="E54" s="16"/>
    </row>
    <row r="56" spans="1:6" s="2" customFormat="1" ht="16.5" customHeight="1">
      <c r="A56" s="1" t="s">
        <v>46</v>
      </c>
    </row>
    <row r="57" spans="1:6" s="2" customFormat="1" ht="9.75" customHeight="1" thickBot="1">
      <c r="A57" s="3"/>
    </row>
    <row r="58" spans="1:6" s="2" customFormat="1" ht="16.5" customHeight="1" thickBot="1">
      <c r="A58" s="4" t="s">
        <v>1244</v>
      </c>
      <c r="B58" s="5" t="s">
        <v>1245</v>
      </c>
      <c r="C58" s="5" t="s">
        <v>1248</v>
      </c>
      <c r="D58" s="10"/>
      <c r="E58" s="10"/>
      <c r="F58" s="11"/>
    </row>
    <row r="59" spans="1:6" s="2" customFormat="1" ht="16.5" customHeight="1" thickBot="1">
      <c r="A59" s="6" t="s">
        <v>123</v>
      </c>
      <c r="B59" s="9" t="s">
        <v>2107</v>
      </c>
      <c r="C59" s="100" t="s">
        <v>968</v>
      </c>
      <c r="D59" s="17"/>
      <c r="E59" s="16"/>
    </row>
    <row r="60" spans="1:6" s="2" customFormat="1" ht="12" customHeight="1">
      <c r="A60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42"/>
  <dimension ref="A1:G58"/>
  <sheetViews>
    <sheetView workbookViewId="0">
      <selection activeCell="L1" sqref="L1"/>
    </sheetView>
  </sheetViews>
  <sheetFormatPr defaultRowHeight="12.75"/>
  <cols>
    <col min="1" max="1" width="25.5703125" customWidth="1"/>
    <col min="2" max="2" width="9.42578125" customWidth="1"/>
    <col min="3" max="3" width="8.85546875" customWidth="1"/>
    <col min="8" max="8" width="9.42578125" bestFit="1" customWidth="1"/>
  </cols>
  <sheetData>
    <row r="1" spans="1:7" s="2" customFormat="1" ht="16.5" customHeight="1">
      <c r="A1" s="1" t="s">
        <v>124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(83641/97904)</f>
        <v>0.85431647327994775</v>
      </c>
    </row>
    <row r="4" spans="1:7" s="2" customFormat="1" ht="16.5" customHeight="1" thickBot="1">
      <c r="A4" s="6" t="s">
        <v>72</v>
      </c>
      <c r="B4" s="7" t="s">
        <v>493</v>
      </c>
      <c r="C4" s="36">
        <v>45236</v>
      </c>
      <c r="D4" s="17">
        <f>SUM(C4/$C$8)</f>
        <v>0.27041761815377624</v>
      </c>
      <c r="E4" s="16"/>
    </row>
    <row r="5" spans="1:7" s="2" customFormat="1" ht="16.5" customHeight="1" thickBot="1">
      <c r="A5" s="6" t="s">
        <v>990</v>
      </c>
      <c r="B5" s="7" t="s">
        <v>493</v>
      </c>
      <c r="C5" s="36">
        <v>44817</v>
      </c>
      <c r="D5" s="17">
        <f>SUM(C5/$C$8)</f>
        <v>0.26791286569983619</v>
      </c>
      <c r="E5" s="16"/>
    </row>
    <row r="6" spans="1:7" s="2" customFormat="1" ht="16.5" customHeight="1" thickBot="1">
      <c r="A6" s="12" t="s">
        <v>97</v>
      </c>
      <c r="B6" s="22" t="s">
        <v>2107</v>
      </c>
      <c r="C6" s="8">
        <v>38640</v>
      </c>
      <c r="D6" s="17">
        <f>SUM(C6/$C$8)</f>
        <v>0.23098719527504455</v>
      </c>
      <c r="E6" s="16"/>
      <c r="G6" s="14"/>
    </row>
    <row r="7" spans="1:7" s="2" customFormat="1" ht="16.5" customHeight="1" thickBot="1">
      <c r="A7" s="12" t="s">
        <v>550</v>
      </c>
      <c r="B7" s="22" t="s">
        <v>2107</v>
      </c>
      <c r="C7" s="8">
        <v>38589</v>
      </c>
      <c r="D7" s="17">
        <f>SUM(C7/$C$8)</f>
        <v>0.23068232087134299</v>
      </c>
      <c r="E7" s="16"/>
      <c r="G7" s="14"/>
    </row>
    <row r="8" spans="1:7" s="2" customFormat="1" ht="16.5" customHeight="1">
      <c r="A8" s="75"/>
      <c r="B8" s="76"/>
      <c r="C8" s="23">
        <f>SUM(C4:C7)</f>
        <v>167282</v>
      </c>
      <c r="D8" s="17"/>
      <c r="E8" s="10" t="s">
        <v>1874</v>
      </c>
      <c r="F8" s="21">
        <f>(C5-C6)</f>
        <v>6177</v>
      </c>
    </row>
    <row r="9" spans="1:7" s="2" customFormat="1" ht="12" customHeight="1">
      <c r="A9" s="1"/>
      <c r="D9" s="11"/>
    </row>
    <row r="10" spans="1:7" s="2" customFormat="1" ht="16.5" customHeight="1">
      <c r="A10" s="1" t="s">
        <v>127</v>
      </c>
    </row>
    <row r="11" spans="1:7" s="2" customFormat="1" ht="9.75" customHeight="1" thickBot="1">
      <c r="A11" s="3"/>
    </row>
    <row r="12" spans="1:7" s="2" customFormat="1" ht="16.5" customHeight="1" thickBot="1">
      <c r="A12" s="4" t="s">
        <v>1244</v>
      </c>
      <c r="B12" s="5" t="s">
        <v>1245</v>
      </c>
      <c r="C12" s="5" t="s">
        <v>1248</v>
      </c>
      <c r="D12" s="10"/>
      <c r="E12" s="10" t="s">
        <v>1413</v>
      </c>
      <c r="F12" s="11">
        <f>(40604/63505)</f>
        <v>0.6393827257696244</v>
      </c>
    </row>
    <row r="13" spans="1:7" s="2" customFormat="1" ht="16.5" customHeight="1" thickBot="1">
      <c r="A13" s="6" t="s">
        <v>125</v>
      </c>
      <c r="B13" s="9" t="s">
        <v>2107</v>
      </c>
      <c r="C13" s="36">
        <v>30743</v>
      </c>
      <c r="D13" s="17">
        <f>SUM(C13/$C$15)</f>
        <v>0.75714215348241554</v>
      </c>
      <c r="E13" s="16"/>
    </row>
    <row r="14" spans="1:7" s="2" customFormat="1" ht="16.5" customHeight="1" thickBot="1">
      <c r="A14" s="12" t="s">
        <v>126</v>
      </c>
      <c r="B14" s="78" t="s">
        <v>973</v>
      </c>
      <c r="C14" s="8">
        <v>9861</v>
      </c>
      <c r="D14" s="17">
        <f>SUM(C14/$C$15)</f>
        <v>0.24285784651758446</v>
      </c>
      <c r="E14" s="16"/>
      <c r="G14" s="14"/>
    </row>
    <row r="15" spans="1:7" s="2" customFormat="1" ht="16.5" customHeight="1">
      <c r="A15" s="75"/>
      <c r="B15" s="76"/>
      <c r="C15" s="23">
        <f>SUM(C13:C14)</f>
        <v>40604</v>
      </c>
      <c r="D15" s="17"/>
      <c r="E15" s="10" t="s">
        <v>1874</v>
      </c>
      <c r="F15" s="21">
        <f>(C13-C14)</f>
        <v>20882</v>
      </c>
    </row>
    <row r="16" spans="1:7" s="2" customFormat="1" ht="12" customHeight="1">
      <c r="A16" s="1"/>
    </row>
    <row r="17" spans="1:6" s="2" customFormat="1" ht="16.5" customHeight="1">
      <c r="A17" s="1" t="s">
        <v>971</v>
      </c>
    </row>
    <row r="18" spans="1:6" s="2" customFormat="1" ht="9.75" customHeight="1" thickBot="1">
      <c r="A18" s="3"/>
    </row>
    <row r="19" spans="1:6" s="2" customFormat="1" ht="16.5" customHeight="1" thickBot="1">
      <c r="A19" s="4" t="s">
        <v>1244</v>
      </c>
      <c r="B19" s="5" t="s">
        <v>1245</v>
      </c>
      <c r="C19" s="5" t="s">
        <v>1248</v>
      </c>
      <c r="D19" s="10"/>
      <c r="E19" s="10"/>
      <c r="F19" s="11"/>
    </row>
    <row r="20" spans="1:6" s="2" customFormat="1" ht="16.5" customHeight="1" thickBot="1">
      <c r="A20" s="6" t="s">
        <v>1207</v>
      </c>
      <c r="B20" s="9" t="s">
        <v>2107</v>
      </c>
      <c r="C20" s="100" t="s">
        <v>968</v>
      </c>
      <c r="D20" s="17"/>
      <c r="E20" s="16"/>
    </row>
    <row r="21" spans="1:6" s="2" customFormat="1" ht="12" customHeight="1">
      <c r="A21" s="1"/>
    </row>
    <row r="22" spans="1:6" s="2" customFormat="1" ht="16.5" customHeight="1">
      <c r="A22" s="1" t="s">
        <v>65</v>
      </c>
    </row>
    <row r="23" spans="1:6" s="2" customFormat="1" ht="9.75" customHeight="1" thickBot="1">
      <c r="A23" s="3"/>
    </row>
    <row r="24" spans="1:6" s="2" customFormat="1" ht="16.5" customHeight="1" thickBot="1">
      <c r="A24" s="4" t="s">
        <v>1244</v>
      </c>
      <c r="B24" s="5" t="s">
        <v>1245</v>
      </c>
      <c r="C24" s="5" t="s">
        <v>1248</v>
      </c>
      <c r="D24" s="10"/>
      <c r="E24" s="10"/>
      <c r="F24" s="11"/>
    </row>
    <row r="25" spans="1:6" s="2" customFormat="1" ht="16.5" customHeight="1" thickBot="1">
      <c r="A25" s="6" t="s">
        <v>30</v>
      </c>
      <c r="B25" s="9" t="s">
        <v>2107</v>
      </c>
      <c r="C25" s="100" t="s">
        <v>968</v>
      </c>
      <c r="D25" s="17"/>
      <c r="E25" s="16"/>
    </row>
    <row r="26" spans="1:6" s="2" customFormat="1" ht="16.5" customHeight="1" thickBot="1">
      <c r="A26" s="6" t="s">
        <v>128</v>
      </c>
      <c r="B26" s="9" t="s">
        <v>2107</v>
      </c>
      <c r="C26" s="100" t="s">
        <v>968</v>
      </c>
      <c r="D26" s="17"/>
      <c r="E26" s="16"/>
    </row>
    <row r="27" spans="1:6" s="2" customFormat="1" ht="12" customHeight="1">
      <c r="A27" s="1"/>
    </row>
    <row r="28" spans="1:6" s="2" customFormat="1" ht="16.5" customHeight="1">
      <c r="A28" s="1" t="s">
        <v>34</v>
      </c>
    </row>
    <row r="29" spans="1:6" s="2" customFormat="1" ht="9.75" customHeight="1" thickBot="1">
      <c r="A29" s="3"/>
    </row>
    <row r="30" spans="1:6" s="2" customFormat="1" ht="16.5" customHeight="1" thickBot="1">
      <c r="A30" s="4" t="s">
        <v>1244</v>
      </c>
      <c r="B30" s="5" t="s">
        <v>1245</v>
      </c>
      <c r="C30" s="5" t="s">
        <v>1248</v>
      </c>
      <c r="D30" s="10"/>
      <c r="E30" s="10"/>
      <c r="F30" s="11"/>
    </row>
    <row r="31" spans="1:6" s="2" customFormat="1" ht="16.5" customHeight="1" thickBot="1">
      <c r="A31" s="6" t="s">
        <v>129</v>
      </c>
      <c r="B31" s="9" t="s">
        <v>2107</v>
      </c>
      <c r="C31" s="100" t="s">
        <v>968</v>
      </c>
      <c r="D31" s="17"/>
      <c r="E31" s="16"/>
    </row>
    <row r="32" spans="1:6" s="2" customFormat="1" ht="16.5" customHeight="1" thickBot="1">
      <c r="A32" s="6" t="s">
        <v>1216</v>
      </c>
      <c r="B32" s="9" t="s">
        <v>2107</v>
      </c>
      <c r="C32" s="100" t="s">
        <v>968</v>
      </c>
      <c r="D32" s="17"/>
      <c r="E32" s="16"/>
    </row>
    <row r="33" spans="1:6" s="2" customFormat="1" ht="12" customHeight="1">
      <c r="A33" s="1"/>
    </row>
    <row r="34" spans="1:6" s="2" customFormat="1" ht="16.5" customHeight="1">
      <c r="A34" s="1" t="s">
        <v>121</v>
      </c>
    </row>
    <row r="35" spans="1:6" s="2" customFormat="1" ht="9.75" customHeight="1" thickBot="1">
      <c r="A35" s="3"/>
    </row>
    <row r="36" spans="1:6" s="2" customFormat="1" ht="16.5" customHeight="1" thickBot="1">
      <c r="A36" s="4" t="s">
        <v>1244</v>
      </c>
      <c r="B36" s="5" t="s">
        <v>1245</v>
      </c>
      <c r="C36" s="5" t="s">
        <v>1248</v>
      </c>
      <c r="D36" s="10"/>
      <c r="E36" s="10"/>
      <c r="F36" s="11"/>
    </row>
    <row r="37" spans="1:6" s="2" customFormat="1" ht="16.5" customHeight="1" thickBot="1">
      <c r="A37" s="6" t="s">
        <v>130</v>
      </c>
      <c r="B37" s="9" t="s">
        <v>2107</v>
      </c>
      <c r="C37" s="100" t="s">
        <v>968</v>
      </c>
      <c r="D37" s="17"/>
      <c r="E37" s="16"/>
    </row>
    <row r="38" spans="1:6" s="2" customFormat="1" ht="12" customHeight="1">
      <c r="A38" s="1"/>
    </row>
    <row r="39" spans="1:6" s="2" customFormat="1" ht="16.5" customHeight="1">
      <c r="A39" s="1" t="s">
        <v>122</v>
      </c>
    </row>
    <row r="40" spans="1:6" s="2" customFormat="1" ht="9.75" customHeight="1" thickBot="1">
      <c r="A40" s="3"/>
    </row>
    <row r="41" spans="1:6" s="2" customFormat="1" ht="16.5" customHeight="1" thickBot="1">
      <c r="A41" s="4" t="s">
        <v>1244</v>
      </c>
      <c r="B41" s="5" t="s">
        <v>1245</v>
      </c>
      <c r="C41" s="5" t="s">
        <v>1248</v>
      </c>
      <c r="D41" s="10"/>
      <c r="E41" s="10"/>
      <c r="F41" s="11"/>
    </row>
    <row r="42" spans="1:6" s="2" customFormat="1" ht="16.5" customHeight="1" thickBot="1">
      <c r="A42" s="6" t="s">
        <v>131</v>
      </c>
      <c r="B42" s="9" t="s">
        <v>2107</v>
      </c>
      <c r="C42" s="100" t="s">
        <v>968</v>
      </c>
      <c r="D42" s="17"/>
      <c r="E42" s="16"/>
    </row>
    <row r="43" spans="1:6" s="2" customFormat="1" ht="12" customHeight="1">
      <c r="A43" s="1"/>
    </row>
    <row r="44" spans="1:6" s="2" customFormat="1" ht="16.5" customHeight="1">
      <c r="A44" s="1" t="s">
        <v>42</v>
      </c>
    </row>
    <row r="45" spans="1:6" s="2" customFormat="1" ht="9.75" customHeight="1" thickBot="1">
      <c r="A45" s="3"/>
    </row>
    <row r="46" spans="1:6" s="2" customFormat="1" ht="16.5" customHeight="1" thickBot="1">
      <c r="A46" s="4" t="s">
        <v>1244</v>
      </c>
      <c r="B46" s="5" t="s">
        <v>1245</v>
      </c>
      <c r="C46" s="5" t="s">
        <v>1248</v>
      </c>
      <c r="D46" s="10"/>
      <c r="E46" s="10"/>
      <c r="F46" s="11"/>
    </row>
    <row r="47" spans="1:6" s="2" customFormat="1" ht="16.5" customHeight="1" thickBot="1">
      <c r="A47" s="6" t="s">
        <v>132</v>
      </c>
      <c r="B47" s="9" t="s">
        <v>2107</v>
      </c>
      <c r="C47" s="100" t="s">
        <v>968</v>
      </c>
      <c r="D47" s="17"/>
      <c r="E47" s="16"/>
    </row>
    <row r="48" spans="1:6" s="2" customFormat="1" ht="12" customHeight="1">
      <c r="A48" s="1"/>
    </row>
    <row r="49" spans="1:6" s="2" customFormat="1" ht="16.5" customHeight="1">
      <c r="A49" s="1" t="s">
        <v>44</v>
      </c>
    </row>
    <row r="50" spans="1:6" s="2" customFormat="1" ht="9.75" customHeight="1" thickBot="1">
      <c r="A50" s="3"/>
    </row>
    <row r="51" spans="1:6" s="2" customFormat="1" ht="16.5" customHeight="1" thickBot="1">
      <c r="A51" s="4" t="s">
        <v>1244</v>
      </c>
      <c r="B51" s="5" t="s">
        <v>1245</v>
      </c>
      <c r="C51" s="5" t="s">
        <v>1248</v>
      </c>
      <c r="D51" s="10"/>
      <c r="E51" s="10"/>
      <c r="F51" s="11"/>
    </row>
    <row r="52" spans="1:6" s="2" customFormat="1" ht="16.5" customHeight="1" thickBot="1">
      <c r="A52" s="6" t="s">
        <v>133</v>
      </c>
      <c r="B52" s="9" t="s">
        <v>2107</v>
      </c>
      <c r="C52" s="100" t="s">
        <v>968</v>
      </c>
      <c r="D52" s="17"/>
      <c r="E52" s="16"/>
    </row>
    <row r="54" spans="1:6" s="2" customFormat="1" ht="16.5" customHeight="1">
      <c r="A54" s="1" t="s">
        <v>46</v>
      </c>
    </row>
    <row r="55" spans="1:6" s="2" customFormat="1" ht="9.75" customHeight="1" thickBot="1">
      <c r="A55" s="3"/>
    </row>
    <row r="56" spans="1:6" s="2" customFormat="1" ht="16.5" customHeight="1" thickBot="1">
      <c r="A56" s="4" t="s">
        <v>1244</v>
      </c>
      <c r="B56" s="5" t="s">
        <v>1245</v>
      </c>
      <c r="C56" s="5" t="s">
        <v>1248</v>
      </c>
      <c r="D56" s="10"/>
      <c r="E56" s="10"/>
      <c r="F56" s="11"/>
    </row>
    <row r="57" spans="1:6" s="2" customFormat="1" ht="16.5" customHeight="1" thickBot="1">
      <c r="A57" s="6" t="s">
        <v>134</v>
      </c>
      <c r="B57" s="9" t="s">
        <v>2107</v>
      </c>
      <c r="C57" s="100" t="s">
        <v>968</v>
      </c>
      <c r="D57" s="17"/>
      <c r="E57" s="16"/>
    </row>
    <row r="58" spans="1:6" s="2" customFormat="1" ht="12" customHeight="1">
      <c r="A58" s="1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35"/>
  <dimension ref="A1:L372"/>
  <sheetViews>
    <sheetView topLeftCell="A145" workbookViewId="0">
      <selection activeCell="K1" sqref="K1"/>
    </sheetView>
  </sheetViews>
  <sheetFormatPr defaultRowHeight="12.75"/>
  <cols>
    <col min="1" max="1" width="25.5703125" customWidth="1"/>
    <col min="2" max="2" width="9.42578125" customWidth="1"/>
    <col min="3" max="3" width="11.5703125" customWidth="1"/>
    <col min="8" max="8" width="9.42578125" bestFit="1" customWidth="1"/>
  </cols>
  <sheetData>
    <row r="1" spans="1:7" s="2" customFormat="1" ht="16.5" customHeight="1">
      <c r="A1" s="1" t="s">
        <v>1017</v>
      </c>
    </row>
    <row r="2" spans="1:7" s="2" customFormat="1" ht="9.75" customHeight="1" thickBot="1">
      <c r="A2" s="3"/>
    </row>
    <row r="3" spans="1:7" s="2" customFormat="1" ht="16.5" customHeight="1" thickBot="1">
      <c r="A3" s="4" t="s">
        <v>1244</v>
      </c>
      <c r="B3" s="5" t="s">
        <v>1245</v>
      </c>
      <c r="C3" s="5" t="s">
        <v>1248</v>
      </c>
      <c r="D3" s="10"/>
      <c r="E3" s="10" t="s">
        <v>1413</v>
      </c>
      <c r="F3" s="11">
        <f>(10093/11695)</f>
        <v>0.86301838392475416</v>
      </c>
    </row>
    <row r="4" spans="1:7" s="2" customFormat="1" ht="16.5" customHeight="1" thickBot="1">
      <c r="A4" s="6" t="s">
        <v>745</v>
      </c>
      <c r="B4" s="9" t="s">
        <v>2107</v>
      </c>
      <c r="C4" s="36">
        <v>4891</v>
      </c>
      <c r="D4" s="17">
        <f>SUM(C4/$C$7)</f>
        <v>0.4845932824730011</v>
      </c>
      <c r="E4" s="16"/>
    </row>
    <row r="5" spans="1:7" s="2" customFormat="1" ht="16.5" customHeight="1" thickBot="1">
      <c r="A5" s="12" t="s">
        <v>1015</v>
      </c>
      <c r="B5" s="101" t="s">
        <v>2338</v>
      </c>
      <c r="C5" s="8">
        <v>2784</v>
      </c>
      <c r="D5" s="17">
        <f>SUM(C5/$C$7)</f>
        <v>0.27583473694639848</v>
      </c>
      <c r="E5" s="16"/>
      <c r="G5" s="14"/>
    </row>
    <row r="6" spans="1:7" s="2" customFormat="1" ht="16.5" customHeight="1" thickBot="1">
      <c r="A6" s="12" t="s">
        <v>1016</v>
      </c>
      <c r="B6" s="102" t="s">
        <v>1014</v>
      </c>
      <c r="C6" s="8">
        <v>2418</v>
      </c>
      <c r="D6" s="17">
        <f>SUM(C6/$C$7)</f>
        <v>0.23957198058060042</v>
      </c>
      <c r="E6" s="16"/>
      <c r="G6" s="14"/>
    </row>
    <row r="7" spans="1:7" s="2" customFormat="1" ht="16.5" customHeight="1">
      <c r="A7" s="75"/>
      <c r="B7" s="76"/>
      <c r="C7" s="23">
        <f>SUM(C4:C6)</f>
        <v>10093</v>
      </c>
      <c r="D7" s="17"/>
      <c r="E7" s="10" t="s">
        <v>1874</v>
      </c>
      <c r="F7" s="21">
        <f>(C4-C5)</f>
        <v>2107</v>
      </c>
    </row>
    <row r="8" spans="1:7" s="2" customFormat="1" ht="12" customHeight="1">
      <c r="A8" s="1"/>
      <c r="D8" s="11"/>
    </row>
    <row r="9" spans="1:7" s="2" customFormat="1" ht="16.5" customHeight="1">
      <c r="A9" s="1" t="s">
        <v>1021</v>
      </c>
    </row>
    <row r="10" spans="1:7" s="2" customFormat="1" ht="9.75" customHeight="1" thickBot="1">
      <c r="A10" s="3"/>
    </row>
    <row r="11" spans="1:7" s="2" customFormat="1" ht="16.5" customHeight="1" thickBot="1">
      <c r="A11" s="4" t="s">
        <v>1244</v>
      </c>
      <c r="B11" s="5" t="s">
        <v>1245</v>
      </c>
      <c r="C11" s="5" t="s">
        <v>1248</v>
      </c>
      <c r="D11" s="10"/>
      <c r="E11" s="10" t="s">
        <v>1413</v>
      </c>
      <c r="F11" s="11">
        <f>(9222/10506)</f>
        <v>0.87778412335808109</v>
      </c>
    </row>
    <row r="12" spans="1:7" s="2" customFormat="1" ht="16.5" customHeight="1" thickBot="1">
      <c r="A12" s="6" t="s">
        <v>1018</v>
      </c>
      <c r="B12" s="9" t="s">
        <v>2107</v>
      </c>
      <c r="C12" s="36">
        <v>4794</v>
      </c>
      <c r="D12" s="17">
        <f>SUM(C12/$C$15)</f>
        <v>0.51984385165907609</v>
      </c>
      <c r="E12" s="16"/>
    </row>
    <row r="13" spans="1:7" s="2" customFormat="1" ht="16.5" customHeight="1" thickBot="1">
      <c r="A13" s="12" t="s">
        <v>1019</v>
      </c>
      <c r="B13" s="102" t="s">
        <v>1014</v>
      </c>
      <c r="C13" s="8">
        <v>2702</v>
      </c>
      <c r="D13" s="17">
        <f>SUM(C13/$C$15)</f>
        <v>0.29299501192799826</v>
      </c>
      <c r="E13" s="16"/>
      <c r="G13" s="14"/>
    </row>
    <row r="14" spans="1:7" s="2" customFormat="1" ht="16.5" customHeight="1" thickBot="1">
      <c r="A14" s="12" t="s">
        <v>1020</v>
      </c>
      <c r="B14" s="101" t="s">
        <v>2338</v>
      </c>
      <c r="C14" s="8">
        <v>1726</v>
      </c>
      <c r="D14" s="17">
        <f>SUM(C14/$C$15)</f>
        <v>0.18716113641292562</v>
      </c>
      <c r="E14" s="16"/>
      <c r="G14" s="14"/>
    </row>
    <row r="15" spans="1:7" s="2" customFormat="1" ht="16.5" customHeight="1">
      <c r="A15" s="75"/>
      <c r="B15" s="76"/>
      <c r="C15" s="23">
        <f>SUM(C12:C14)</f>
        <v>9222</v>
      </c>
      <c r="D15" s="17"/>
      <c r="E15" s="10" t="s">
        <v>1874</v>
      </c>
      <c r="F15" s="21">
        <f>(C12-C13)</f>
        <v>2092</v>
      </c>
    </row>
    <row r="16" spans="1:7" s="2" customFormat="1" ht="12" customHeight="1">
      <c r="A16" s="1"/>
    </row>
    <row r="17" spans="1:7" s="2" customFormat="1" ht="16.5" customHeight="1">
      <c r="A17" s="1" t="s">
        <v>1024</v>
      </c>
    </row>
    <row r="18" spans="1:7" s="2" customFormat="1" ht="9.75" customHeight="1" thickBot="1">
      <c r="A18" s="3"/>
    </row>
    <row r="19" spans="1:7" s="2" customFormat="1" ht="16.5" customHeight="1" thickBot="1">
      <c r="A19" s="4" t="s">
        <v>1244</v>
      </c>
      <c r="B19" s="5" t="s">
        <v>1245</v>
      </c>
      <c r="C19" s="5" t="s">
        <v>1248</v>
      </c>
      <c r="D19" s="10"/>
      <c r="E19" s="10" t="s">
        <v>1413</v>
      </c>
      <c r="F19" s="11">
        <f>(6208/8322)</f>
        <v>0.74597452535448205</v>
      </c>
    </row>
    <row r="20" spans="1:7" s="2" customFormat="1" ht="16.5" customHeight="1" thickBot="1">
      <c r="A20" s="6" t="s">
        <v>1022</v>
      </c>
      <c r="B20" s="7" t="s">
        <v>493</v>
      </c>
      <c r="C20" s="36">
        <v>4108</v>
      </c>
      <c r="D20" s="17">
        <f>SUM(C20/$C$22)</f>
        <v>0.66172680412371132</v>
      </c>
      <c r="E20" s="16"/>
    </row>
    <row r="21" spans="1:7" s="2" customFormat="1" ht="16.5" customHeight="1" thickBot="1">
      <c r="A21" s="12" t="s">
        <v>1023</v>
      </c>
      <c r="B21" s="101" t="s">
        <v>2338</v>
      </c>
      <c r="C21" s="8">
        <v>2100</v>
      </c>
      <c r="D21" s="17">
        <f>SUM(C21/$C$22)</f>
        <v>0.33827319587628868</v>
      </c>
      <c r="E21" s="16"/>
      <c r="G21" s="14"/>
    </row>
    <row r="22" spans="1:7" s="2" customFormat="1" ht="16.5" customHeight="1">
      <c r="A22" s="75"/>
      <c r="B22" s="76"/>
      <c r="C22" s="23">
        <f>SUM(C20:C21)</f>
        <v>6208</v>
      </c>
      <c r="D22" s="17"/>
      <c r="E22" s="10" t="s">
        <v>1874</v>
      </c>
      <c r="F22" s="21">
        <f>(C20-C21)</f>
        <v>2008</v>
      </c>
    </row>
    <row r="23" spans="1:7" s="2" customFormat="1" ht="12" customHeight="1">
      <c r="A23" s="1"/>
    </row>
    <row r="24" spans="1:7" s="2" customFormat="1" ht="16.5" customHeight="1">
      <c r="A24" s="1" t="s">
        <v>1027</v>
      </c>
    </row>
    <row r="25" spans="1:7" s="2" customFormat="1" ht="9.75" customHeight="1" thickBot="1">
      <c r="A25" s="3"/>
    </row>
    <row r="26" spans="1:7" s="2" customFormat="1" ht="16.5" customHeight="1" thickBot="1">
      <c r="A26" s="4" t="s">
        <v>1244</v>
      </c>
      <c r="B26" s="5" t="s">
        <v>1245</v>
      </c>
      <c r="C26" s="5" t="s">
        <v>1248</v>
      </c>
      <c r="D26" s="10"/>
      <c r="E26" s="10" t="s">
        <v>1413</v>
      </c>
      <c r="F26" s="11">
        <f>(15566/17358)</f>
        <v>0.89676229980412492</v>
      </c>
    </row>
    <row r="27" spans="1:7" s="2" customFormat="1" ht="16.5" customHeight="1" thickBot="1">
      <c r="A27" s="6" t="s">
        <v>1025</v>
      </c>
      <c r="B27" s="7" t="s">
        <v>493</v>
      </c>
      <c r="C27" s="36">
        <v>9065</v>
      </c>
      <c r="D27" s="17">
        <f>SUM(C27/$C$29)</f>
        <v>0.58235898753693949</v>
      </c>
      <c r="E27" s="16"/>
    </row>
    <row r="28" spans="1:7" s="2" customFormat="1" ht="16.5" customHeight="1" thickBot="1">
      <c r="A28" s="12" t="s">
        <v>1026</v>
      </c>
      <c r="B28" s="102" t="s">
        <v>1014</v>
      </c>
      <c r="C28" s="8">
        <v>6501</v>
      </c>
      <c r="D28" s="17">
        <f>SUM(C28/$C$29)</f>
        <v>0.41764101246306051</v>
      </c>
      <c r="E28" s="16"/>
      <c r="G28" s="14"/>
    </row>
    <row r="29" spans="1:7" s="2" customFormat="1" ht="16.5" customHeight="1">
      <c r="A29" s="75"/>
      <c r="B29" s="76"/>
      <c r="C29" s="23">
        <f>SUM(C27:C28)</f>
        <v>15566</v>
      </c>
      <c r="D29" s="17"/>
      <c r="E29" s="10" t="s">
        <v>1874</v>
      </c>
      <c r="F29" s="21">
        <f>(C27-C28)</f>
        <v>2564</v>
      </c>
    </row>
    <row r="30" spans="1:7" s="2" customFormat="1" ht="12" customHeight="1">
      <c r="A30" s="1"/>
    </row>
    <row r="31" spans="1:7" s="2" customFormat="1" ht="16.5" customHeight="1">
      <c r="A31" s="1" t="s">
        <v>1031</v>
      </c>
    </row>
    <row r="32" spans="1:7" s="2" customFormat="1" ht="9.75" customHeight="1" thickBot="1">
      <c r="A32" s="3"/>
    </row>
    <row r="33" spans="1:10" s="2" customFormat="1" ht="16.5" customHeight="1" thickBot="1">
      <c r="A33" s="4" t="s">
        <v>1244</v>
      </c>
      <c r="B33" s="5" t="s">
        <v>1245</v>
      </c>
      <c r="C33" s="5" t="s">
        <v>1248</v>
      </c>
      <c r="D33" s="10"/>
      <c r="E33" s="10" t="s">
        <v>1413</v>
      </c>
      <c r="F33" s="11">
        <f>(8141/11779)</f>
        <v>0.69114525851090924</v>
      </c>
    </row>
    <row r="34" spans="1:10" s="2" customFormat="1" ht="16.5" customHeight="1" thickBot="1">
      <c r="A34" s="6" t="s">
        <v>1028</v>
      </c>
      <c r="B34" s="7" t="s">
        <v>493</v>
      </c>
      <c r="C34" s="36">
        <v>5149</v>
      </c>
      <c r="D34" s="17">
        <f>SUM(C34/$C$36)</f>
        <v>0.6324775826065594</v>
      </c>
      <c r="E34" s="16"/>
    </row>
    <row r="35" spans="1:10" s="2" customFormat="1" ht="16.5" customHeight="1" thickBot="1">
      <c r="A35" s="12" t="s">
        <v>1029</v>
      </c>
      <c r="B35" s="78" t="s">
        <v>1030</v>
      </c>
      <c r="C35" s="8">
        <v>2992</v>
      </c>
      <c r="D35" s="17">
        <f>SUM(C35/$C$36)</f>
        <v>0.3675224173934406</v>
      </c>
      <c r="E35" s="16"/>
      <c r="G35" s="14"/>
    </row>
    <row r="36" spans="1:10" s="2" customFormat="1" ht="16.5" customHeight="1">
      <c r="A36" s="75"/>
      <c r="B36" s="76"/>
      <c r="C36" s="23">
        <f>SUM(C34:C35)</f>
        <v>8141</v>
      </c>
      <c r="D36" s="17"/>
      <c r="E36" s="10" t="s">
        <v>1874</v>
      </c>
      <c r="F36" s="21">
        <f>(C34-C35)</f>
        <v>2157</v>
      </c>
    </row>
    <row r="37" spans="1:10" s="2" customFormat="1" ht="12" customHeight="1">
      <c r="A37" s="1"/>
    </row>
    <row r="38" spans="1:10" s="2" customFormat="1" ht="16.5" customHeight="1">
      <c r="A38" s="1" t="s">
        <v>1035</v>
      </c>
    </row>
    <row r="39" spans="1:10" s="2" customFormat="1" ht="9.75" customHeight="1" thickBot="1">
      <c r="A39" s="3"/>
    </row>
    <row r="40" spans="1:10" s="2" customFormat="1" ht="16.5" customHeight="1" thickBot="1">
      <c r="A40" s="4" t="s">
        <v>1244</v>
      </c>
      <c r="B40" s="5" t="s">
        <v>1245</v>
      </c>
      <c r="C40" s="5" t="s">
        <v>1248</v>
      </c>
      <c r="D40" s="10"/>
      <c r="E40" s="10" t="s">
        <v>1413</v>
      </c>
      <c r="F40" s="11">
        <f>(15445/18024)</f>
        <v>0.85691300488237909</v>
      </c>
    </row>
    <row r="41" spans="1:10" s="2" customFormat="1" ht="16.5" customHeight="1" thickBot="1">
      <c r="A41" s="6" t="s">
        <v>1033</v>
      </c>
      <c r="B41" s="103" t="s">
        <v>1014</v>
      </c>
      <c r="C41" s="36">
        <v>8290</v>
      </c>
      <c r="D41" s="17">
        <f>SUM(C41/$C$44)</f>
        <v>0.53674328261573323</v>
      </c>
      <c r="E41" s="16"/>
    </row>
    <row r="42" spans="1:10" s="2" customFormat="1" ht="16.5" customHeight="1" thickBot="1">
      <c r="A42" s="12" t="s">
        <v>1034</v>
      </c>
      <c r="B42" s="78" t="s">
        <v>1032</v>
      </c>
      <c r="C42" s="8">
        <v>6596</v>
      </c>
      <c r="D42" s="17">
        <f>SUM(C42/$C$44)</f>
        <v>0.42706377468436385</v>
      </c>
      <c r="E42" s="16"/>
      <c r="G42" s="14"/>
    </row>
    <row r="43" spans="1:10" s="2" customFormat="1" ht="16.5" customHeight="1" thickBot="1">
      <c r="A43" s="12" t="s">
        <v>1966</v>
      </c>
      <c r="B43" s="78" t="s">
        <v>1270</v>
      </c>
      <c r="C43" s="8">
        <v>559</v>
      </c>
      <c r="D43" s="17">
        <f>SUM(C43/$C$44)</f>
        <v>3.6192942699902884E-2</v>
      </c>
      <c r="E43" s="16"/>
      <c r="G43" s="14"/>
    </row>
    <row r="44" spans="1:10" s="2" customFormat="1" ht="16.5" customHeight="1">
      <c r="A44" s="75"/>
      <c r="B44" s="76"/>
      <c r="C44" s="23">
        <f>SUM(C41:C43)</f>
        <v>15445</v>
      </c>
      <c r="D44" s="17"/>
      <c r="E44" s="10" t="s">
        <v>1874</v>
      </c>
      <c r="F44" s="21">
        <f>(C41-C42)</f>
        <v>1694</v>
      </c>
    </row>
    <row r="45" spans="1:10" s="2" customFormat="1" ht="12" customHeight="1">
      <c r="A45" s="1"/>
    </row>
    <row r="46" spans="1:10" s="2" customFormat="1" ht="16.5" customHeight="1">
      <c r="A46" s="1" t="s">
        <v>1037</v>
      </c>
      <c r="J46" s="93"/>
    </row>
    <row r="47" spans="1:10" s="2" customFormat="1" ht="9.75" customHeight="1" thickBot="1">
      <c r="A47" s="3"/>
    </row>
    <row r="48" spans="1:10" s="2" customFormat="1" ht="16.5" customHeight="1" thickBot="1">
      <c r="A48" s="4" t="s">
        <v>1244</v>
      </c>
      <c r="B48" s="5" t="s">
        <v>1245</v>
      </c>
      <c r="C48" s="5" t="s">
        <v>1248</v>
      </c>
      <c r="D48" s="10"/>
      <c r="E48" s="10" t="s">
        <v>1413</v>
      </c>
      <c r="F48" s="11">
        <f>(14216/17132)</f>
        <v>0.82979220172776091</v>
      </c>
    </row>
    <row r="49" spans="1:12" s="2" customFormat="1" ht="16.5" customHeight="1" thickBot="1">
      <c r="A49" s="6" t="s">
        <v>1802</v>
      </c>
      <c r="B49" s="9" t="s">
        <v>2107</v>
      </c>
      <c r="C49" s="36">
        <v>7683</v>
      </c>
      <c r="D49" s="17">
        <f>SUM(C49/$C$51)</f>
        <v>0.54044738323016317</v>
      </c>
      <c r="E49" s="16"/>
    </row>
    <row r="50" spans="1:12" s="2" customFormat="1" ht="16.5" customHeight="1" thickBot="1">
      <c r="A50" s="12" t="s">
        <v>1036</v>
      </c>
      <c r="B50" s="102" t="s">
        <v>1014</v>
      </c>
      <c r="C50" s="8">
        <v>6533</v>
      </c>
      <c r="D50" s="17">
        <f>SUM(C50/$C$51)</f>
        <v>0.45955261676983683</v>
      </c>
      <c r="E50" s="16"/>
      <c r="G50" s="14"/>
    </row>
    <row r="51" spans="1:12" s="2" customFormat="1" ht="16.5" customHeight="1">
      <c r="A51" s="75"/>
      <c r="B51" s="76"/>
      <c r="C51" s="23">
        <f>SUM(C49:C50)</f>
        <v>14216</v>
      </c>
      <c r="D51" s="17"/>
      <c r="E51" s="10" t="s">
        <v>1874</v>
      </c>
      <c r="F51" s="21">
        <f>(C49-C50)</f>
        <v>1150</v>
      </c>
    </row>
    <row r="52" spans="1:12" s="2" customFormat="1" ht="12" customHeight="1">
      <c r="A52" s="1"/>
    </row>
    <row r="53" spans="1:12" s="2" customFormat="1" ht="16.5" customHeight="1">
      <c r="A53" s="1" t="s">
        <v>1038</v>
      </c>
    </row>
    <row r="54" spans="1:12" s="2" customFormat="1" ht="9.75" customHeight="1" thickBot="1">
      <c r="A54" s="3"/>
    </row>
    <row r="55" spans="1:12" s="2" customFormat="1" ht="16.5" customHeight="1" thickBot="1">
      <c r="A55" s="4" t="s">
        <v>1244</v>
      </c>
      <c r="B55" s="5" t="s">
        <v>1245</v>
      </c>
      <c r="C55" s="5" t="s">
        <v>1248</v>
      </c>
      <c r="D55" s="10"/>
      <c r="E55" s="10"/>
      <c r="F55" s="11"/>
    </row>
    <row r="56" spans="1:12" s="2" customFormat="1" ht="16.5" customHeight="1" thickBot="1">
      <c r="A56" s="6" t="s">
        <v>1039</v>
      </c>
      <c r="B56" s="7" t="s">
        <v>493</v>
      </c>
      <c r="C56" s="100" t="s">
        <v>968</v>
      </c>
      <c r="D56" s="17"/>
      <c r="E56" s="16"/>
    </row>
    <row r="57" spans="1:12" s="2" customFormat="1" ht="16.5" customHeight="1">
      <c r="A57" s="75"/>
      <c r="B57" s="76"/>
      <c r="C57" s="23"/>
      <c r="D57" s="17"/>
      <c r="E57" s="10"/>
      <c r="F57" s="21"/>
    </row>
    <row r="58" spans="1:12" s="2" customFormat="1" ht="12" customHeight="1">
      <c r="A58" s="1"/>
      <c r="E58"/>
      <c r="L58"/>
    </row>
    <row r="59" spans="1:12" s="2" customFormat="1" ht="16.5" customHeight="1">
      <c r="A59" s="1" t="s">
        <v>1043</v>
      </c>
    </row>
    <row r="60" spans="1:12" s="2" customFormat="1" ht="9.75" customHeight="1" thickBot="1">
      <c r="A60" s="3"/>
    </row>
    <row r="61" spans="1:12" s="2" customFormat="1" ht="16.5" customHeight="1" thickBot="1">
      <c r="A61" s="4" t="s">
        <v>1244</v>
      </c>
      <c r="B61" s="5" t="s">
        <v>1245</v>
      </c>
      <c r="C61" s="5" t="s">
        <v>1248</v>
      </c>
      <c r="D61" s="10"/>
      <c r="E61" s="10" t="s">
        <v>1413</v>
      </c>
      <c r="F61" s="11">
        <f>(16431/19344)</f>
        <v>0.84941066997518611</v>
      </c>
    </row>
    <row r="62" spans="1:12" s="2" customFormat="1" ht="16.5" customHeight="1" thickBot="1">
      <c r="A62" s="6" t="s">
        <v>1040</v>
      </c>
      <c r="B62" s="9" t="s">
        <v>2107</v>
      </c>
      <c r="C62" s="36">
        <v>6480</v>
      </c>
      <c r="D62" s="17">
        <f>SUM(C62/$C$65)</f>
        <v>0.39437648347635568</v>
      </c>
      <c r="E62" s="16"/>
    </row>
    <row r="63" spans="1:12" s="2" customFormat="1" ht="16.5" customHeight="1" thickBot="1">
      <c r="A63" s="12" t="s">
        <v>1041</v>
      </c>
      <c r="B63" s="91" t="s">
        <v>522</v>
      </c>
      <c r="C63" s="8">
        <v>5770</v>
      </c>
      <c r="D63" s="17">
        <f>SUM(C63/$C$65)</f>
        <v>0.35116547988558211</v>
      </c>
      <c r="E63" s="16"/>
      <c r="G63" s="14"/>
    </row>
    <row r="64" spans="1:12" s="2" customFormat="1" ht="16.5" customHeight="1" thickBot="1">
      <c r="A64" s="12" t="s">
        <v>1042</v>
      </c>
      <c r="B64" s="102" t="s">
        <v>1014</v>
      </c>
      <c r="C64" s="8">
        <v>4181</v>
      </c>
      <c r="D64" s="17">
        <f>SUM(C64/$C$65)</f>
        <v>0.25445803663806221</v>
      </c>
      <c r="E64" s="16"/>
      <c r="G64" s="14"/>
    </row>
    <row r="65" spans="1:7" s="2" customFormat="1" ht="16.5" customHeight="1">
      <c r="A65" s="75"/>
      <c r="B65" s="76"/>
      <c r="C65" s="23">
        <f>SUM(C62:C64)</f>
        <v>16431</v>
      </c>
      <c r="D65" s="17"/>
      <c r="E65" s="10" t="s">
        <v>1874</v>
      </c>
      <c r="F65" s="21">
        <f>(C62-C63)</f>
        <v>710</v>
      </c>
    </row>
    <row r="66" spans="1:7" s="2" customFormat="1" ht="12" customHeight="1">
      <c r="A66" s="1"/>
    </row>
    <row r="67" spans="1:7" s="2" customFormat="1" ht="16.5" customHeight="1">
      <c r="A67" s="1" t="s">
        <v>1046</v>
      </c>
    </row>
    <row r="68" spans="1:7" s="2" customFormat="1" ht="9.75" customHeight="1" thickBot="1">
      <c r="A68" s="3"/>
    </row>
    <row r="69" spans="1:7" s="2" customFormat="1" ht="16.5" customHeight="1" thickBot="1">
      <c r="A69" s="4" t="s">
        <v>1244</v>
      </c>
      <c r="B69" s="5" t="s">
        <v>1245</v>
      </c>
      <c r="C69" s="5" t="s">
        <v>1248</v>
      </c>
      <c r="D69" s="10"/>
      <c r="E69" s="10" t="s">
        <v>1413</v>
      </c>
      <c r="F69" s="11">
        <f>(16180/19875)</f>
        <v>0.81408805031446541</v>
      </c>
    </row>
    <row r="70" spans="1:7" s="2" customFormat="1" ht="16.5" customHeight="1" thickBot="1">
      <c r="A70" s="6" t="s">
        <v>1991</v>
      </c>
      <c r="B70" s="77" t="s">
        <v>1270</v>
      </c>
      <c r="C70" s="36">
        <v>8920</v>
      </c>
      <c r="D70" s="17">
        <f>SUM(C70/$C$73)</f>
        <v>0.55129789864029666</v>
      </c>
      <c r="E70" s="16"/>
    </row>
    <row r="71" spans="1:7" s="2" customFormat="1" ht="16.5" customHeight="1" thickBot="1">
      <c r="A71" s="12" t="s">
        <v>1044</v>
      </c>
      <c r="B71" s="20" t="s">
        <v>493</v>
      </c>
      <c r="C71" s="8">
        <v>5267</v>
      </c>
      <c r="D71" s="17">
        <f>SUM(C71/$C$73)</f>
        <v>0.32552533992583438</v>
      </c>
      <c r="E71" s="16"/>
      <c r="G71" s="14"/>
    </row>
    <row r="72" spans="1:7" s="2" customFormat="1" ht="16.5" customHeight="1" thickBot="1">
      <c r="A72" s="12" t="s">
        <v>1045</v>
      </c>
      <c r="B72" s="80" t="s">
        <v>363</v>
      </c>
      <c r="C72" s="8">
        <v>1993</v>
      </c>
      <c r="D72" s="17">
        <f>SUM(C72/$C$73)</f>
        <v>0.12317676143386898</v>
      </c>
      <c r="E72" s="16"/>
      <c r="G72" s="14"/>
    </row>
    <row r="73" spans="1:7" s="2" customFormat="1" ht="16.5" customHeight="1">
      <c r="A73" s="75"/>
      <c r="B73" s="76"/>
      <c r="C73" s="23">
        <f>SUM(C70:C72)</f>
        <v>16180</v>
      </c>
      <c r="D73" s="17"/>
      <c r="E73" s="10" t="s">
        <v>1874</v>
      </c>
      <c r="F73" s="21">
        <f>(C70-C71)</f>
        <v>3653</v>
      </c>
    </row>
    <row r="74" spans="1:7" s="2" customFormat="1" ht="12" customHeight="1">
      <c r="A74" s="1"/>
    </row>
    <row r="75" spans="1:7" s="2" customFormat="1" ht="16.5" customHeight="1">
      <c r="A75" s="1" t="s">
        <v>1055</v>
      </c>
    </row>
    <row r="76" spans="1:7" s="2" customFormat="1" ht="9.75" customHeight="1" thickBot="1">
      <c r="A76" s="3"/>
    </row>
    <row r="77" spans="1:7" s="2" customFormat="1" ht="16.5" customHeight="1" thickBot="1">
      <c r="A77" s="4" t="s">
        <v>1244</v>
      </c>
      <c r="B77" s="5" t="s">
        <v>1245</v>
      </c>
      <c r="C77" s="5" t="s">
        <v>1248</v>
      </c>
      <c r="D77" s="10"/>
      <c r="E77" s="10" t="s">
        <v>1413</v>
      </c>
      <c r="F77" s="11">
        <f>(13432/16411)</f>
        <v>0.81847541283285596</v>
      </c>
    </row>
    <row r="78" spans="1:7" s="2" customFormat="1" ht="16.5" customHeight="1" thickBot="1">
      <c r="A78" s="6" t="s">
        <v>343</v>
      </c>
      <c r="B78" s="77" t="s">
        <v>1270</v>
      </c>
      <c r="C78" s="36">
        <v>6056</v>
      </c>
      <c r="D78" s="17">
        <f>SUM(C78/$C$82)</f>
        <v>0.4508636092912448</v>
      </c>
      <c r="E78" s="16"/>
    </row>
    <row r="79" spans="1:7" s="2" customFormat="1" ht="16.5" customHeight="1" thickBot="1">
      <c r="A79" s="12" t="s">
        <v>1047</v>
      </c>
      <c r="B79" s="22" t="s">
        <v>2107</v>
      </c>
      <c r="C79" s="8">
        <v>4438</v>
      </c>
      <c r="D79" s="17">
        <f>SUM(C79/$C$82)</f>
        <v>0.33040500297796305</v>
      </c>
      <c r="E79" s="16"/>
      <c r="G79" s="14"/>
    </row>
    <row r="80" spans="1:7" s="2" customFormat="1" ht="16.5" customHeight="1" thickBot="1">
      <c r="A80" s="12" t="s">
        <v>1048</v>
      </c>
      <c r="B80" s="20" t="s">
        <v>493</v>
      </c>
      <c r="C80" s="8">
        <v>2229</v>
      </c>
      <c r="D80" s="17">
        <f>SUM(C80/$C$82)</f>
        <v>0.16594699225729601</v>
      </c>
      <c r="E80" s="16"/>
      <c r="G80" s="14"/>
    </row>
    <row r="81" spans="1:12" s="2" customFormat="1" ht="16.5" customHeight="1" thickBot="1">
      <c r="A81" s="12" t="s">
        <v>1049</v>
      </c>
      <c r="B81" s="20" t="s">
        <v>574</v>
      </c>
      <c r="C81" s="8">
        <v>709</v>
      </c>
      <c r="D81" s="17">
        <f>SUM(C81/$C$82)</f>
        <v>5.2784395473496129E-2</v>
      </c>
      <c r="E81" s="16"/>
      <c r="G81" s="14"/>
    </row>
    <row r="82" spans="1:12" s="2" customFormat="1" ht="16.5" customHeight="1">
      <c r="A82" s="75"/>
      <c r="B82" s="76"/>
      <c r="C82" s="23">
        <f>SUM(C78:C81)</f>
        <v>13432</v>
      </c>
      <c r="D82" s="17"/>
      <c r="E82" s="10" t="s">
        <v>1874</v>
      </c>
      <c r="F82" s="21">
        <f>(C78-C79)</f>
        <v>1618</v>
      </c>
    </row>
    <row r="83" spans="1:12" s="2" customFormat="1" ht="12" customHeight="1">
      <c r="A83" s="1"/>
    </row>
    <row r="84" spans="1:12" s="2" customFormat="1" ht="16.5" customHeight="1">
      <c r="A84" s="1" t="s">
        <v>1052</v>
      </c>
    </row>
    <row r="85" spans="1:12" s="2" customFormat="1" ht="9.75" customHeight="1" thickBot="1">
      <c r="A85" s="3"/>
    </row>
    <row r="86" spans="1:12" s="2" customFormat="1" ht="16.5" customHeight="1" thickBot="1">
      <c r="A86" s="4" t="s">
        <v>1244</v>
      </c>
      <c r="B86" s="5" t="s">
        <v>1245</v>
      </c>
      <c r="C86" s="5" t="s">
        <v>1248</v>
      </c>
      <c r="D86" s="10"/>
      <c r="E86" s="10" t="s">
        <v>1413</v>
      </c>
      <c r="F86" s="11">
        <f>(18613/24457)</f>
        <v>0.76105000613321339</v>
      </c>
    </row>
    <row r="87" spans="1:12" s="2" customFormat="1" ht="16.5" customHeight="1" thickBot="1">
      <c r="A87" s="6" t="s">
        <v>1050</v>
      </c>
      <c r="B87" s="9" t="s">
        <v>2107</v>
      </c>
      <c r="C87" s="36">
        <v>9364</v>
      </c>
      <c r="D87" s="17">
        <f>SUM(C87/$C$89)</f>
        <v>0.50308923870413147</v>
      </c>
      <c r="E87" s="16"/>
    </row>
    <row r="88" spans="1:12" s="2" customFormat="1" ht="16.5" customHeight="1" thickBot="1">
      <c r="A88" s="12" t="s">
        <v>1051</v>
      </c>
      <c r="B88" s="102" t="s">
        <v>1014</v>
      </c>
      <c r="C88" s="8">
        <v>9249</v>
      </c>
      <c r="D88" s="17">
        <f>SUM(C88/$C$89)</f>
        <v>0.49691076129586847</v>
      </c>
      <c r="E88" s="16"/>
      <c r="G88" s="14"/>
    </row>
    <row r="89" spans="1:12" s="2" customFormat="1" ht="16.5" customHeight="1">
      <c r="A89" s="75"/>
      <c r="B89" s="76"/>
      <c r="C89" s="23">
        <f>SUM(C87:C88)</f>
        <v>18613</v>
      </c>
      <c r="D89" s="17"/>
      <c r="E89" s="10" t="s">
        <v>1874</v>
      </c>
      <c r="F89" s="21">
        <f>(C87-C88)</f>
        <v>115</v>
      </c>
    </row>
    <row r="90" spans="1:12" s="2" customFormat="1" ht="12" customHeight="1">
      <c r="A90" s="1"/>
      <c r="E90"/>
      <c r="L90"/>
    </row>
    <row r="91" spans="1:12" s="2" customFormat="1" ht="16.5" customHeight="1">
      <c r="A91" s="1" t="s">
        <v>1056</v>
      </c>
    </row>
    <row r="92" spans="1:12" s="2" customFormat="1" ht="9.75" customHeight="1" thickBot="1">
      <c r="A92" s="3"/>
    </row>
    <row r="93" spans="1:12" s="2" customFormat="1" ht="16.5" customHeight="1" thickBot="1">
      <c r="A93" s="4" t="s">
        <v>1244</v>
      </c>
      <c r="B93" s="5" t="s">
        <v>1245</v>
      </c>
      <c r="C93" s="5" t="s">
        <v>1248</v>
      </c>
      <c r="D93" s="10"/>
      <c r="E93" s="10" t="s">
        <v>1413</v>
      </c>
      <c r="F93" s="11">
        <f>(15007/18393)</f>
        <v>0.81590822595552659</v>
      </c>
    </row>
    <row r="94" spans="1:12" s="2" customFormat="1" ht="16.5" customHeight="1" thickBot="1">
      <c r="A94" s="6" t="s">
        <v>1053</v>
      </c>
      <c r="B94" s="103" t="s">
        <v>1014</v>
      </c>
      <c r="C94" s="36">
        <v>9195</v>
      </c>
      <c r="D94" s="17">
        <f>SUM(C94/$C$96)</f>
        <v>0.61271406676884121</v>
      </c>
      <c r="E94" s="16"/>
    </row>
    <row r="95" spans="1:12" s="2" customFormat="1" ht="16.5" customHeight="1" thickBot="1">
      <c r="A95" s="12" t="s">
        <v>1054</v>
      </c>
      <c r="B95" s="101" t="s">
        <v>2338</v>
      </c>
      <c r="C95" s="8">
        <v>5812</v>
      </c>
      <c r="D95" s="17">
        <f>SUM(C95/$C$96)</f>
        <v>0.38728593323115879</v>
      </c>
      <c r="E95" s="16"/>
      <c r="G95" s="14"/>
    </row>
    <row r="96" spans="1:12" s="2" customFormat="1" ht="16.5" customHeight="1">
      <c r="A96" s="75"/>
      <c r="B96" s="76"/>
      <c r="C96" s="23">
        <f>SUM(C94:C95)</f>
        <v>15007</v>
      </c>
      <c r="D96" s="17"/>
      <c r="E96" s="10" t="s">
        <v>1874</v>
      </c>
      <c r="F96" s="21">
        <f>(C94-C95)</f>
        <v>3383</v>
      </c>
    </row>
    <row r="97" spans="1:7" s="2" customFormat="1" ht="12" customHeight="1">
      <c r="A97" s="1"/>
    </row>
    <row r="98" spans="1:7" s="2" customFormat="1" ht="16.5" customHeight="1">
      <c r="A98" s="1" t="s">
        <v>135</v>
      </c>
    </row>
    <row r="99" spans="1:7" s="2" customFormat="1" ht="9.75" customHeight="1" thickBot="1">
      <c r="A99" s="3"/>
    </row>
    <row r="100" spans="1:7" s="2" customFormat="1" ht="16.5" customHeight="1" thickBot="1">
      <c r="A100" s="4" t="s">
        <v>1244</v>
      </c>
      <c r="B100" s="5" t="s">
        <v>1245</v>
      </c>
      <c r="C100" s="5" t="s">
        <v>1248</v>
      </c>
      <c r="D100" s="10"/>
      <c r="E100" s="10"/>
      <c r="F100" s="11"/>
    </row>
    <row r="101" spans="1:7" s="2" customFormat="1" ht="16.5" customHeight="1" thickBot="1">
      <c r="A101" s="6" t="s">
        <v>372</v>
      </c>
      <c r="B101" s="103" t="s">
        <v>1014</v>
      </c>
      <c r="C101" s="100" t="s">
        <v>968</v>
      </c>
      <c r="D101" s="17"/>
      <c r="E101" s="16"/>
    </row>
    <row r="102" spans="1:7" s="2" customFormat="1" ht="12" customHeight="1">
      <c r="A102" s="1"/>
    </row>
    <row r="103" spans="1:7" s="2" customFormat="1" ht="16.5" customHeight="1">
      <c r="A103" s="1" t="s">
        <v>137</v>
      </c>
    </row>
    <row r="104" spans="1:7" s="2" customFormat="1" ht="9.75" customHeight="1" thickBot="1">
      <c r="A104" s="3"/>
    </row>
    <row r="105" spans="1:7" s="2" customFormat="1" ht="16.5" customHeight="1" thickBot="1">
      <c r="A105" s="4" t="s">
        <v>1244</v>
      </c>
      <c r="B105" s="5" t="s">
        <v>1245</v>
      </c>
      <c r="C105" s="5" t="s">
        <v>1248</v>
      </c>
      <c r="D105" s="10"/>
      <c r="E105" s="10" t="s">
        <v>1413</v>
      </c>
      <c r="F105" s="11">
        <f>(12804/15901)</f>
        <v>0.80523237532230674</v>
      </c>
    </row>
    <row r="106" spans="1:7" s="2" customFormat="1" ht="16.5" customHeight="1" thickBot="1">
      <c r="A106" s="6" t="s">
        <v>505</v>
      </c>
      <c r="B106" s="9" t="s">
        <v>2107</v>
      </c>
      <c r="C106" s="36">
        <v>6932</v>
      </c>
      <c r="D106" s="17">
        <f>SUM(C106/$C$109)</f>
        <v>0.54139331458919093</v>
      </c>
      <c r="E106" s="16"/>
    </row>
    <row r="107" spans="1:7" s="2" customFormat="1" ht="16.5" customHeight="1" thickBot="1">
      <c r="A107" s="12" t="s">
        <v>2266</v>
      </c>
      <c r="B107" s="101" t="s">
        <v>2338</v>
      </c>
      <c r="C107" s="8">
        <v>3551</v>
      </c>
      <c r="D107" s="17">
        <f>SUM(C107/$C$109)</f>
        <v>0.27733520774757886</v>
      </c>
      <c r="E107" s="16"/>
      <c r="G107" s="14"/>
    </row>
    <row r="108" spans="1:7" s="2" customFormat="1" ht="16.5" customHeight="1" thickBot="1">
      <c r="A108" s="12" t="s">
        <v>136</v>
      </c>
      <c r="B108" s="102" t="s">
        <v>1014</v>
      </c>
      <c r="C108" s="8">
        <v>2321</v>
      </c>
      <c r="D108" s="17">
        <f>SUM(C108/$C$109)</f>
        <v>0.18127147766323023</v>
      </c>
      <c r="E108" s="16"/>
      <c r="G108" s="14"/>
    </row>
    <row r="109" spans="1:7" s="2" customFormat="1" ht="16.5" customHeight="1">
      <c r="A109" s="75"/>
      <c r="B109" s="76"/>
      <c r="C109" s="23">
        <f>SUM(C106:C108)</f>
        <v>12804</v>
      </c>
      <c r="D109" s="17"/>
      <c r="E109" s="10" t="s">
        <v>1874</v>
      </c>
      <c r="F109" s="21">
        <f>(C106-C107)</f>
        <v>3381</v>
      </c>
    </row>
    <row r="110" spans="1:7" s="2" customFormat="1" ht="12" customHeight="1">
      <c r="A110" s="1"/>
    </row>
    <row r="111" spans="1:7" s="2" customFormat="1" ht="16.5" customHeight="1">
      <c r="A111" s="1" t="s">
        <v>139</v>
      </c>
    </row>
    <row r="112" spans="1:7" s="2" customFormat="1" ht="9.75" customHeight="1" thickBot="1">
      <c r="A112" s="3"/>
    </row>
    <row r="113" spans="1:7" s="2" customFormat="1" ht="16.5" customHeight="1" thickBot="1">
      <c r="A113" s="4" t="s">
        <v>1244</v>
      </c>
      <c r="B113" s="5" t="s">
        <v>1245</v>
      </c>
      <c r="C113" s="5" t="s">
        <v>1248</v>
      </c>
      <c r="D113" s="10"/>
      <c r="E113" s="10" t="s">
        <v>1413</v>
      </c>
      <c r="F113" s="11">
        <f>(14934/20652)</f>
        <v>0.72312608948285884</v>
      </c>
    </row>
    <row r="114" spans="1:7" s="2" customFormat="1" ht="16.5" customHeight="1" thickBot="1">
      <c r="A114" s="6" t="s">
        <v>509</v>
      </c>
      <c r="B114" s="9" t="s">
        <v>2107</v>
      </c>
      <c r="C114" s="36">
        <v>9087</v>
      </c>
      <c r="D114" s="17">
        <f>SUM(C114/$C$116)</f>
        <v>0.60847730012053036</v>
      </c>
      <c r="E114" s="16"/>
    </row>
    <row r="115" spans="1:7" s="2" customFormat="1" ht="16.5" customHeight="1" thickBot="1">
      <c r="A115" s="12" t="s">
        <v>138</v>
      </c>
      <c r="B115" s="78" t="s">
        <v>1032</v>
      </c>
      <c r="C115" s="8">
        <v>5847</v>
      </c>
      <c r="D115" s="17">
        <f>SUM(C115/$C$116)</f>
        <v>0.39152269987946969</v>
      </c>
      <c r="E115" s="16"/>
      <c r="G115" s="14"/>
    </row>
    <row r="116" spans="1:7" s="2" customFormat="1" ht="16.5" customHeight="1">
      <c r="A116" s="75"/>
      <c r="B116" s="76"/>
      <c r="C116" s="23">
        <f>SUM(C114:C115)</f>
        <v>14934</v>
      </c>
      <c r="D116" s="17"/>
      <c r="E116" s="10" t="s">
        <v>1874</v>
      </c>
      <c r="F116" s="21">
        <f>(C114-C115)</f>
        <v>3240</v>
      </c>
    </row>
    <row r="118" spans="1:7" s="2" customFormat="1" ht="16.5" customHeight="1">
      <c r="A118" s="1" t="s">
        <v>142</v>
      </c>
    </row>
    <row r="119" spans="1:7" s="2" customFormat="1" ht="9.75" customHeight="1" thickBot="1">
      <c r="A119" s="3"/>
    </row>
    <row r="120" spans="1:7" s="2" customFormat="1" ht="16.5" customHeight="1" thickBot="1">
      <c r="A120" s="4" t="s">
        <v>1244</v>
      </c>
      <c r="B120" s="5" t="s">
        <v>1245</v>
      </c>
      <c r="C120" s="5" t="s">
        <v>1248</v>
      </c>
      <c r="D120" s="10"/>
      <c r="E120" s="10" t="s">
        <v>1413</v>
      </c>
      <c r="F120" s="11">
        <f>(12568/18140)</f>
        <v>0.69283351708930541</v>
      </c>
    </row>
    <row r="121" spans="1:7" s="2" customFormat="1" ht="16.5" customHeight="1" thickBot="1">
      <c r="A121" s="6" t="s">
        <v>370</v>
      </c>
      <c r="B121" s="77" t="s">
        <v>1270</v>
      </c>
      <c r="C121" s="36">
        <v>6442</v>
      </c>
      <c r="D121" s="17">
        <f>SUM(C121/$C$124)</f>
        <v>0.51257161043921073</v>
      </c>
      <c r="E121" s="16"/>
    </row>
    <row r="122" spans="1:7" s="2" customFormat="1" ht="16.5" customHeight="1" thickBot="1">
      <c r="A122" s="12" t="s">
        <v>140</v>
      </c>
      <c r="B122" s="20" t="s">
        <v>493</v>
      </c>
      <c r="C122" s="8">
        <v>4332</v>
      </c>
      <c r="D122" s="17">
        <f>SUM(C122/$C$124)</f>
        <v>0.34468491406747293</v>
      </c>
      <c r="E122" s="16"/>
      <c r="G122" s="14"/>
    </row>
    <row r="123" spans="1:7" s="2" customFormat="1" ht="16.5" customHeight="1" thickBot="1">
      <c r="A123" s="12" t="s">
        <v>141</v>
      </c>
      <c r="B123" s="80" t="s">
        <v>363</v>
      </c>
      <c r="C123" s="8">
        <v>1794</v>
      </c>
      <c r="D123" s="17">
        <f>SUM(C123/$C$124)</f>
        <v>0.14274347549331637</v>
      </c>
      <c r="E123" s="16"/>
      <c r="G123" s="14"/>
    </row>
    <row r="124" spans="1:7" s="2" customFormat="1" ht="16.5" customHeight="1">
      <c r="A124" s="75"/>
      <c r="B124" s="76"/>
      <c r="C124" s="23">
        <f>SUM(C121:C123)</f>
        <v>12568</v>
      </c>
      <c r="D124" s="17"/>
      <c r="E124" s="10" t="s">
        <v>1874</v>
      </c>
      <c r="F124" s="21">
        <f>(C121-C122)</f>
        <v>2110</v>
      </c>
    </row>
    <row r="125" spans="1:7" s="2" customFormat="1" ht="12" customHeight="1">
      <c r="A125" s="1"/>
      <c r="D125" s="11"/>
    </row>
    <row r="126" spans="1:7" s="2" customFormat="1" ht="16.5" customHeight="1">
      <c r="A126" s="1" t="s">
        <v>144</v>
      </c>
    </row>
    <row r="127" spans="1:7" s="2" customFormat="1" ht="9.75" customHeight="1" thickBot="1">
      <c r="A127" s="3"/>
    </row>
    <row r="128" spans="1:7" s="2" customFormat="1" ht="16.5" customHeight="1" thickBot="1">
      <c r="A128" s="4" t="s">
        <v>1244</v>
      </c>
      <c r="B128" s="5" t="s">
        <v>1245</v>
      </c>
      <c r="C128" s="5" t="s">
        <v>1248</v>
      </c>
      <c r="D128" s="10"/>
      <c r="E128" s="10" t="s">
        <v>1413</v>
      </c>
      <c r="F128" s="11">
        <f>(15811/18230)</f>
        <v>0.86730663741086123</v>
      </c>
    </row>
    <row r="129" spans="1:7" s="2" customFormat="1" ht="16.5" customHeight="1" thickBot="1">
      <c r="A129" s="6" t="s">
        <v>143</v>
      </c>
      <c r="B129" s="9" t="s">
        <v>2107</v>
      </c>
      <c r="C129" s="36">
        <v>8136</v>
      </c>
      <c r="D129" s="17">
        <f>SUM(C129/$C$132)</f>
        <v>0.51457845803554492</v>
      </c>
      <c r="E129" s="16"/>
    </row>
    <row r="130" spans="1:7" s="2" customFormat="1" ht="16.5" customHeight="1" thickBot="1">
      <c r="A130" s="12" t="s">
        <v>2030</v>
      </c>
      <c r="B130" s="78" t="s">
        <v>1032</v>
      </c>
      <c r="C130" s="8">
        <v>6427</v>
      </c>
      <c r="D130" s="17">
        <f>SUM(C130/$C$132)</f>
        <v>0.40648915312124473</v>
      </c>
      <c r="E130" s="16"/>
      <c r="G130" s="14"/>
    </row>
    <row r="131" spans="1:7" s="2" customFormat="1" ht="16.5" customHeight="1" thickBot="1">
      <c r="A131" s="12" t="s">
        <v>384</v>
      </c>
      <c r="B131" s="102" t="s">
        <v>1014</v>
      </c>
      <c r="C131" s="8">
        <v>1248</v>
      </c>
      <c r="D131" s="17">
        <f>SUM(C131/$C$132)</f>
        <v>7.8932388843210424E-2</v>
      </c>
      <c r="E131" s="16"/>
      <c r="G131" s="14"/>
    </row>
    <row r="132" spans="1:7" s="2" customFormat="1" ht="16.5" customHeight="1">
      <c r="A132" s="75"/>
      <c r="B132" s="76"/>
      <c r="C132" s="23">
        <f>SUM(C129:C131)</f>
        <v>15811</v>
      </c>
      <c r="D132" s="17"/>
      <c r="E132" s="10" t="s">
        <v>1874</v>
      </c>
      <c r="F132" s="21">
        <f>(C129-C130)</f>
        <v>1709</v>
      </c>
    </row>
    <row r="133" spans="1:7" s="2" customFormat="1" ht="12" customHeight="1">
      <c r="A133" s="1"/>
    </row>
    <row r="134" spans="1:7" s="2" customFormat="1" ht="16.5" customHeight="1">
      <c r="A134" s="1" t="s">
        <v>145</v>
      </c>
    </row>
    <row r="135" spans="1:7" s="2" customFormat="1" ht="9.75" customHeight="1" thickBot="1">
      <c r="A135" s="3"/>
    </row>
    <row r="136" spans="1:7" s="2" customFormat="1" ht="16.5" customHeight="1" thickBot="1">
      <c r="A136" s="4" t="s">
        <v>1244</v>
      </c>
      <c r="B136" s="5" t="s">
        <v>1245</v>
      </c>
      <c r="C136" s="5" t="s">
        <v>1248</v>
      </c>
      <c r="D136" s="10"/>
      <c r="E136" s="10"/>
      <c r="F136" s="11"/>
    </row>
    <row r="137" spans="1:7" s="2" customFormat="1" ht="16.5" customHeight="1" thickBot="1">
      <c r="A137" s="6" t="s">
        <v>146</v>
      </c>
      <c r="B137" s="103" t="s">
        <v>1014</v>
      </c>
      <c r="C137" s="100" t="s">
        <v>968</v>
      </c>
      <c r="D137" s="17"/>
      <c r="E137" s="16"/>
    </row>
    <row r="138" spans="1:7" s="2" customFormat="1" ht="12" customHeight="1">
      <c r="A138" s="1"/>
    </row>
    <row r="139" spans="1:7" s="2" customFormat="1" ht="16.5" customHeight="1">
      <c r="A139" s="1" t="s">
        <v>148</v>
      </c>
    </row>
    <row r="140" spans="1:7" s="2" customFormat="1" ht="9.75" customHeight="1" thickBot="1">
      <c r="A140" s="3"/>
    </row>
    <row r="141" spans="1:7" s="2" customFormat="1" ht="16.5" customHeight="1" thickBot="1">
      <c r="A141" s="4" t="s">
        <v>1244</v>
      </c>
      <c r="B141" s="5" t="s">
        <v>1245</v>
      </c>
      <c r="C141" s="5" t="s">
        <v>1248</v>
      </c>
      <c r="D141" s="10"/>
      <c r="E141" s="10" t="s">
        <v>1413</v>
      </c>
      <c r="F141" s="11">
        <f>(10580/18408)</f>
        <v>0.57475010864841369</v>
      </c>
    </row>
    <row r="142" spans="1:7" s="2" customFormat="1" ht="16.5" customHeight="1" thickBot="1">
      <c r="A142" s="6" t="s">
        <v>147</v>
      </c>
      <c r="B142" s="103" t="s">
        <v>1014</v>
      </c>
      <c r="C142" s="36">
        <v>9013</v>
      </c>
      <c r="D142" s="17">
        <f>SUM(C142/$C$144)</f>
        <v>0.85189035916824196</v>
      </c>
      <c r="E142" s="16"/>
    </row>
    <row r="143" spans="1:7" s="2" customFormat="1" ht="16.5" customHeight="1" thickBot="1">
      <c r="A143" s="12" t="s">
        <v>855</v>
      </c>
      <c r="B143" s="91" t="s">
        <v>522</v>
      </c>
      <c r="C143" s="8">
        <v>1567</v>
      </c>
      <c r="D143" s="17">
        <f>SUM(C143/$C$144)</f>
        <v>0.14810964083175804</v>
      </c>
      <c r="E143" s="16"/>
      <c r="G143" s="14"/>
    </row>
    <row r="144" spans="1:7" s="2" customFormat="1" ht="16.5" customHeight="1">
      <c r="A144" s="75"/>
      <c r="B144" s="76"/>
      <c r="C144" s="23">
        <f>SUM(C142:C143)</f>
        <v>10580</v>
      </c>
      <c r="D144" s="17"/>
      <c r="E144" s="10" t="s">
        <v>1874</v>
      </c>
      <c r="F144" s="21">
        <f>(C142-C143)</f>
        <v>7446</v>
      </c>
    </row>
    <row r="145" spans="1:7" s="2" customFormat="1" ht="12" customHeight="1">
      <c r="A145" s="1"/>
    </row>
    <row r="146" spans="1:7" s="2" customFormat="1" ht="16.5" customHeight="1">
      <c r="A146" s="1" t="s">
        <v>151</v>
      </c>
    </row>
    <row r="147" spans="1:7" s="2" customFormat="1" ht="9.75" customHeight="1" thickBot="1">
      <c r="A147" s="3"/>
    </row>
    <row r="148" spans="1:7" s="2" customFormat="1" ht="16.5" customHeight="1" thickBot="1">
      <c r="A148" s="4" t="s">
        <v>1244</v>
      </c>
      <c r="B148" s="5" t="s">
        <v>1245</v>
      </c>
      <c r="C148" s="5" t="s">
        <v>1248</v>
      </c>
      <c r="D148" s="10"/>
      <c r="E148" s="10" t="s">
        <v>1413</v>
      </c>
      <c r="F148" s="11">
        <f>(9440/17486)</f>
        <v>0.53986045979640851</v>
      </c>
    </row>
    <row r="149" spans="1:7" s="2" customFormat="1" ht="16.5" customHeight="1" thickBot="1">
      <c r="A149" s="6" t="s">
        <v>149</v>
      </c>
      <c r="B149" s="7" t="s">
        <v>493</v>
      </c>
      <c r="C149" s="36">
        <v>4830</v>
      </c>
      <c r="D149" s="17">
        <f>SUM(C149/$C$151)</f>
        <v>0.51165254237288138</v>
      </c>
      <c r="E149" s="16"/>
    </row>
    <row r="150" spans="1:7" s="2" customFormat="1" ht="16.5" customHeight="1" thickBot="1">
      <c r="A150" s="12" t="s">
        <v>150</v>
      </c>
      <c r="B150" s="101" t="s">
        <v>2338</v>
      </c>
      <c r="C150" s="8">
        <v>4610</v>
      </c>
      <c r="D150" s="17">
        <f>SUM(C150/$C$151)</f>
        <v>0.48834745762711862</v>
      </c>
      <c r="E150" s="16"/>
      <c r="G150" s="14"/>
    </row>
    <row r="151" spans="1:7" s="2" customFormat="1" ht="16.5" customHeight="1">
      <c r="A151" s="75"/>
      <c r="B151" s="76"/>
      <c r="C151" s="23">
        <f>SUM(C149:C150)</f>
        <v>9440</v>
      </c>
      <c r="D151" s="17"/>
      <c r="E151" s="10" t="s">
        <v>1874</v>
      </c>
      <c r="F151" s="21">
        <f>(C149-C150)</f>
        <v>220</v>
      </c>
    </row>
    <row r="152" spans="1:7" s="2" customFormat="1" ht="12" customHeight="1">
      <c r="A152" s="1"/>
    </row>
    <row r="153" spans="1:7" s="2" customFormat="1" ht="16.5" customHeight="1">
      <c r="A153" s="1" t="s">
        <v>153</v>
      </c>
    </row>
    <row r="154" spans="1:7" s="2" customFormat="1" ht="9.75" customHeight="1" thickBot="1">
      <c r="A154" s="3"/>
    </row>
    <row r="155" spans="1:7" s="2" customFormat="1" ht="16.5" customHeight="1" thickBot="1">
      <c r="A155" s="4" t="s">
        <v>1244</v>
      </c>
      <c r="B155" s="5" t="s">
        <v>1245</v>
      </c>
      <c r="C155" s="5" t="s">
        <v>1248</v>
      </c>
      <c r="D155" s="10"/>
      <c r="E155" s="10" t="s">
        <v>1413</v>
      </c>
      <c r="F155" s="11">
        <f>(12827/16548)</f>
        <v>0.7751389896059947</v>
      </c>
    </row>
    <row r="156" spans="1:7" s="2" customFormat="1" ht="16.5" customHeight="1" thickBot="1">
      <c r="A156" s="6" t="s">
        <v>154</v>
      </c>
      <c r="B156" s="9" t="s">
        <v>2107</v>
      </c>
      <c r="C156" s="36">
        <v>7608</v>
      </c>
      <c r="D156" s="17">
        <f>SUM(C156/$C$158)</f>
        <v>0.59312387931706556</v>
      </c>
      <c r="E156" s="16"/>
    </row>
    <row r="157" spans="1:7" s="2" customFormat="1" ht="16.5" customHeight="1" thickBot="1">
      <c r="A157" s="12" t="s">
        <v>152</v>
      </c>
      <c r="B157" s="102" t="s">
        <v>1014</v>
      </c>
      <c r="C157" s="8">
        <v>5219</v>
      </c>
      <c r="D157" s="17">
        <f>SUM(C157/$C$158)</f>
        <v>0.40687612068293444</v>
      </c>
      <c r="E157" s="16"/>
      <c r="G157" s="14"/>
    </row>
    <row r="158" spans="1:7" s="2" customFormat="1" ht="16.5" customHeight="1">
      <c r="A158" s="75"/>
      <c r="B158" s="76"/>
      <c r="C158" s="23">
        <f>SUM(C156:C157)</f>
        <v>12827</v>
      </c>
      <c r="D158" s="17"/>
      <c r="E158" s="10" t="s">
        <v>1874</v>
      </c>
      <c r="F158" s="21">
        <f>(C156-C157)</f>
        <v>2389</v>
      </c>
    </row>
    <row r="159" spans="1:7" s="2" customFormat="1" ht="12" customHeight="1">
      <c r="A159" s="1"/>
    </row>
    <row r="160" spans="1:7" s="2" customFormat="1" ht="16.5" customHeight="1">
      <c r="A160" s="1" t="s">
        <v>156</v>
      </c>
    </row>
    <row r="161" spans="1:10" s="2" customFormat="1" ht="9.75" customHeight="1" thickBot="1">
      <c r="A161" s="3"/>
    </row>
    <row r="162" spans="1:10" s="2" customFormat="1" ht="16.5" customHeight="1" thickBot="1">
      <c r="A162" s="4" t="s">
        <v>1244</v>
      </c>
      <c r="B162" s="5" t="s">
        <v>1245</v>
      </c>
      <c r="C162" s="5" t="s">
        <v>1248</v>
      </c>
      <c r="D162" s="10"/>
      <c r="E162" s="10" t="s">
        <v>1413</v>
      </c>
      <c r="F162" s="11">
        <f>(13295/16272)</f>
        <v>0.81704768928220251</v>
      </c>
    </row>
    <row r="163" spans="1:10" s="2" customFormat="1" ht="16.5" customHeight="1" thickBot="1">
      <c r="A163" s="6" t="s">
        <v>157</v>
      </c>
      <c r="B163" s="7" t="s">
        <v>493</v>
      </c>
      <c r="C163" s="36">
        <v>7335</v>
      </c>
      <c r="D163" s="17">
        <f>SUM(C163/$C$165)</f>
        <v>0.55171116961263633</v>
      </c>
      <c r="E163" s="16"/>
    </row>
    <row r="164" spans="1:10" s="2" customFormat="1" ht="16.5" customHeight="1" thickBot="1">
      <c r="A164" s="12" t="s">
        <v>155</v>
      </c>
      <c r="B164" s="22" t="s">
        <v>2107</v>
      </c>
      <c r="C164" s="8">
        <v>5960</v>
      </c>
      <c r="D164" s="17">
        <f>SUM(C164/$C$165)</f>
        <v>0.44828883038736367</v>
      </c>
      <c r="E164" s="16"/>
      <c r="G164" s="14"/>
    </row>
    <row r="165" spans="1:10" s="2" customFormat="1" ht="16.5" customHeight="1">
      <c r="A165" s="75"/>
      <c r="B165" s="76"/>
      <c r="C165" s="23">
        <f>SUM(C163:C164)</f>
        <v>13295</v>
      </c>
      <c r="D165" s="17"/>
      <c r="E165" s="10" t="s">
        <v>1874</v>
      </c>
      <c r="F165" s="21">
        <f>(C163-C164)</f>
        <v>1375</v>
      </c>
    </row>
    <row r="166" spans="1:10" s="2" customFormat="1" ht="12" customHeight="1">
      <c r="A166" s="1"/>
    </row>
    <row r="167" spans="1:10" s="2" customFormat="1" ht="16.5" customHeight="1">
      <c r="A167" s="1" t="s">
        <v>158</v>
      </c>
      <c r="J167" s="93"/>
    </row>
    <row r="168" spans="1:10" s="2" customFormat="1" ht="9.75" customHeight="1" thickBot="1">
      <c r="A168" s="3"/>
    </row>
    <row r="169" spans="1:10" s="2" customFormat="1" ht="16.5" customHeight="1" thickBot="1">
      <c r="A169" s="4" t="s">
        <v>1244</v>
      </c>
      <c r="B169" s="5" t="s">
        <v>1245</v>
      </c>
      <c r="C169" s="5" t="s">
        <v>1248</v>
      </c>
      <c r="D169" s="10"/>
      <c r="E169" s="10"/>
      <c r="F169" s="11"/>
    </row>
    <row r="170" spans="1:10" s="2" customFormat="1" ht="16.5" customHeight="1" thickBot="1">
      <c r="A170" s="6" t="s">
        <v>159</v>
      </c>
      <c r="B170" s="103" t="s">
        <v>1014</v>
      </c>
      <c r="C170" s="100" t="s">
        <v>968</v>
      </c>
      <c r="D170" s="17"/>
      <c r="E170" s="16"/>
    </row>
    <row r="171" spans="1:10" s="2" customFormat="1" ht="12" customHeight="1">
      <c r="A171" s="1"/>
    </row>
    <row r="172" spans="1:10" s="2" customFormat="1" ht="16.5" customHeight="1">
      <c r="A172" s="1" t="s">
        <v>160</v>
      </c>
    </row>
    <row r="173" spans="1:10" s="2" customFormat="1" ht="9.75" customHeight="1" thickBot="1">
      <c r="A173" s="3"/>
    </row>
    <row r="174" spans="1:10" s="2" customFormat="1" ht="16.5" customHeight="1" thickBot="1">
      <c r="A174" s="4" t="s">
        <v>1244</v>
      </c>
      <c r="B174" s="5" t="s">
        <v>1245</v>
      </c>
      <c r="C174" s="5" t="s">
        <v>1248</v>
      </c>
      <c r="D174" s="10"/>
      <c r="E174" s="10" t="s">
        <v>1413</v>
      </c>
      <c r="F174" s="11">
        <f>(12904/20886)</f>
        <v>0.61783012544288041</v>
      </c>
    </row>
    <row r="175" spans="1:10" s="2" customFormat="1" ht="16.5" customHeight="1" thickBot="1">
      <c r="A175" s="6" t="s">
        <v>417</v>
      </c>
      <c r="B175" s="103" t="s">
        <v>1014</v>
      </c>
      <c r="C175" s="36">
        <v>7714</v>
      </c>
      <c r="D175" s="17">
        <f>SUM(C175/$C$177)</f>
        <v>0.59779913205207691</v>
      </c>
      <c r="E175" s="16"/>
    </row>
    <row r="176" spans="1:10" s="2" customFormat="1" ht="16.5" customHeight="1" thickBot="1">
      <c r="A176" s="12" t="s">
        <v>422</v>
      </c>
      <c r="B176" s="22" t="s">
        <v>2107</v>
      </c>
      <c r="C176" s="8">
        <v>5190</v>
      </c>
      <c r="D176" s="17">
        <f>SUM(C176/$C$177)</f>
        <v>0.40220086794792315</v>
      </c>
      <c r="E176" s="16"/>
      <c r="G176" s="14"/>
    </row>
    <row r="177" spans="1:12" s="2" customFormat="1" ht="16.5" customHeight="1">
      <c r="A177" s="75"/>
      <c r="B177" s="76"/>
      <c r="C177" s="23">
        <f>SUM(C175:C176)</f>
        <v>12904</v>
      </c>
      <c r="D177" s="17"/>
      <c r="E177" s="10" t="s">
        <v>1874</v>
      </c>
      <c r="F177" s="21">
        <f>(C175-C176)</f>
        <v>2524</v>
      </c>
    </row>
    <row r="178" spans="1:12" s="2" customFormat="1" ht="12" customHeight="1">
      <c r="A178" s="1"/>
      <c r="E178"/>
      <c r="L178"/>
    </row>
    <row r="179" spans="1:12" s="2" customFormat="1" ht="16.5" customHeight="1">
      <c r="A179" s="1" t="s">
        <v>161</v>
      </c>
    </row>
    <row r="180" spans="1:12" s="2" customFormat="1" ht="9.75" customHeight="1" thickBot="1">
      <c r="A180" s="3"/>
    </row>
    <row r="181" spans="1:12" s="2" customFormat="1" ht="16.5" customHeight="1" thickBot="1">
      <c r="A181" s="4" t="s">
        <v>1244</v>
      </c>
      <c r="B181" s="5" t="s">
        <v>1245</v>
      </c>
      <c r="C181" s="5" t="s">
        <v>1248</v>
      </c>
      <c r="D181" s="10"/>
      <c r="E181" s="10" t="s">
        <v>1413</v>
      </c>
      <c r="F181" s="11">
        <f>(11234/16172)</f>
        <v>0.69465743259955481</v>
      </c>
    </row>
    <row r="182" spans="1:12" s="2" customFormat="1" ht="16.5" customHeight="1" thickBot="1">
      <c r="A182" s="6" t="s">
        <v>162</v>
      </c>
      <c r="B182" s="103" t="s">
        <v>1014</v>
      </c>
      <c r="C182" s="36">
        <v>6869</v>
      </c>
      <c r="D182" s="17">
        <f>SUM(C182/$C$184)</f>
        <v>0.61144739184618124</v>
      </c>
      <c r="E182" s="16"/>
    </row>
    <row r="183" spans="1:12" s="2" customFormat="1" ht="16.5" customHeight="1" thickBot="1">
      <c r="A183" s="12" t="s">
        <v>2324</v>
      </c>
      <c r="B183" s="78" t="s">
        <v>328</v>
      </c>
      <c r="C183" s="8">
        <v>4365</v>
      </c>
      <c r="D183" s="17">
        <f>SUM(C183/$C$184)</f>
        <v>0.38855260815381876</v>
      </c>
      <c r="E183" s="16"/>
      <c r="G183" s="14"/>
    </row>
    <row r="184" spans="1:12" s="2" customFormat="1" ht="16.5" customHeight="1">
      <c r="A184" s="75"/>
      <c r="B184" s="76"/>
      <c r="C184" s="23">
        <f>SUM(C182:C183)</f>
        <v>11234</v>
      </c>
      <c r="D184" s="17"/>
      <c r="E184" s="10" t="s">
        <v>1874</v>
      </c>
      <c r="F184" s="21">
        <f>(C182-C183)</f>
        <v>2504</v>
      </c>
    </row>
    <row r="185" spans="1:12" s="2" customFormat="1" ht="12" customHeight="1">
      <c r="A185" s="1"/>
    </row>
    <row r="186" spans="1:12" s="2" customFormat="1" ht="16.5" customHeight="1">
      <c r="A186" s="1" t="s">
        <v>164</v>
      </c>
    </row>
    <row r="187" spans="1:12" s="2" customFormat="1" ht="9.75" customHeight="1" thickBot="1">
      <c r="A187" s="3"/>
    </row>
    <row r="188" spans="1:12" s="2" customFormat="1" ht="16.5" customHeight="1" thickBot="1">
      <c r="A188" s="4" t="s">
        <v>1244</v>
      </c>
      <c r="B188" s="5" t="s">
        <v>1245</v>
      </c>
      <c r="C188" s="5" t="s">
        <v>1248</v>
      </c>
      <c r="D188" s="10"/>
      <c r="E188" s="10"/>
      <c r="F188" s="11"/>
    </row>
    <row r="189" spans="1:12" s="2" customFormat="1" ht="16.5" customHeight="1" thickBot="1">
      <c r="A189" s="6" t="s">
        <v>163</v>
      </c>
      <c r="B189" s="103" t="s">
        <v>1014</v>
      </c>
      <c r="C189" s="100" t="s">
        <v>968</v>
      </c>
      <c r="D189" s="17"/>
      <c r="E189" s="16"/>
    </row>
    <row r="190" spans="1:12" s="2" customFormat="1" ht="12" customHeight="1">
      <c r="A190" s="1"/>
    </row>
    <row r="191" spans="1:12" s="2" customFormat="1" ht="16.5" customHeight="1">
      <c r="A191" s="1" t="s">
        <v>166</v>
      </c>
    </row>
    <row r="192" spans="1:12" s="2" customFormat="1" ht="9.75" customHeight="1" thickBot="1">
      <c r="A192" s="3"/>
    </row>
    <row r="193" spans="1:7" s="2" customFormat="1" ht="16.5" customHeight="1" thickBot="1">
      <c r="A193" s="4" t="s">
        <v>1244</v>
      </c>
      <c r="B193" s="5" t="s">
        <v>1245</v>
      </c>
      <c r="C193" s="5" t="s">
        <v>1248</v>
      </c>
      <c r="D193" s="10"/>
      <c r="E193" s="10"/>
      <c r="F193" s="11"/>
    </row>
    <row r="194" spans="1:7" s="2" customFormat="1" ht="16.5" customHeight="1" thickBot="1">
      <c r="A194" s="6" t="s">
        <v>165</v>
      </c>
      <c r="B194" s="103" t="s">
        <v>1014</v>
      </c>
      <c r="C194" s="100" t="s">
        <v>968</v>
      </c>
      <c r="D194" s="17"/>
      <c r="E194" s="16"/>
    </row>
    <row r="195" spans="1:7" s="2" customFormat="1" ht="12" customHeight="1">
      <c r="A195" s="1"/>
    </row>
    <row r="196" spans="1:7" s="2" customFormat="1" ht="16.5" customHeight="1">
      <c r="A196" s="1" t="s">
        <v>169</v>
      </c>
    </row>
    <row r="197" spans="1:7" s="2" customFormat="1" ht="9.75" customHeight="1" thickBot="1">
      <c r="A197" s="3"/>
    </row>
    <row r="198" spans="1:7" s="2" customFormat="1" ht="16.5" customHeight="1" thickBot="1">
      <c r="A198" s="4" t="s">
        <v>1244</v>
      </c>
      <c r="B198" s="5" t="s">
        <v>1245</v>
      </c>
      <c r="C198" s="5" t="s">
        <v>1248</v>
      </c>
      <c r="D198" s="10"/>
      <c r="E198" s="10" t="s">
        <v>1413</v>
      </c>
      <c r="F198" s="11">
        <f>(12373/21992)</f>
        <v>0.56261367770098214</v>
      </c>
    </row>
    <row r="199" spans="1:7" s="2" customFormat="1" ht="16.5" customHeight="1" thickBot="1">
      <c r="A199" s="6" t="s">
        <v>167</v>
      </c>
      <c r="B199" s="103" t="s">
        <v>1014</v>
      </c>
      <c r="C199" s="36">
        <v>10249</v>
      </c>
      <c r="D199" s="17">
        <f>SUM(C199/$C$201)</f>
        <v>0.82833589266952234</v>
      </c>
      <c r="E199" s="16"/>
    </row>
    <row r="200" spans="1:7" s="2" customFormat="1" ht="16.5" customHeight="1" thickBot="1">
      <c r="A200" s="12" t="s">
        <v>168</v>
      </c>
      <c r="B200" s="80" t="s">
        <v>363</v>
      </c>
      <c r="C200" s="8">
        <v>2124</v>
      </c>
      <c r="D200" s="17">
        <f>SUM(C200/$C$201)</f>
        <v>0.17166410733047766</v>
      </c>
      <c r="E200" s="16"/>
      <c r="G200" s="14"/>
    </row>
    <row r="201" spans="1:7" s="2" customFormat="1" ht="16.5" customHeight="1">
      <c r="A201" s="75"/>
      <c r="B201" s="76"/>
      <c r="C201" s="23">
        <f>SUM(C199:C200)</f>
        <v>12373</v>
      </c>
      <c r="D201" s="17"/>
      <c r="E201" s="10" t="s">
        <v>1874</v>
      </c>
      <c r="F201" s="21">
        <f>(C199-C200)</f>
        <v>8125</v>
      </c>
    </row>
    <row r="202" spans="1:7" s="2" customFormat="1" ht="12" customHeight="1">
      <c r="A202" s="1"/>
      <c r="D202" s="11"/>
    </row>
    <row r="203" spans="1:7" s="2" customFormat="1" ht="16.5" customHeight="1">
      <c r="A203" s="1" t="s">
        <v>171</v>
      </c>
    </row>
    <row r="204" spans="1:7" s="2" customFormat="1" ht="9.75" customHeight="1" thickBot="1">
      <c r="A204" s="3"/>
    </row>
    <row r="205" spans="1:7" s="2" customFormat="1" ht="16.5" customHeight="1" thickBot="1">
      <c r="A205" s="4" t="s">
        <v>1244</v>
      </c>
      <c r="B205" s="5" t="s">
        <v>1245</v>
      </c>
      <c r="C205" s="5" t="s">
        <v>1248</v>
      </c>
      <c r="D205" s="10"/>
      <c r="E205" s="10" t="s">
        <v>1413</v>
      </c>
      <c r="F205" s="11">
        <f>(12383/19611)</f>
        <v>0.63143133955433173</v>
      </c>
    </row>
    <row r="206" spans="1:7" s="2" customFormat="1" ht="16.5" customHeight="1" thickBot="1">
      <c r="A206" s="6" t="s">
        <v>944</v>
      </c>
      <c r="B206" s="103" t="s">
        <v>1014</v>
      </c>
      <c r="C206" s="36">
        <v>9142</v>
      </c>
      <c r="D206" s="17">
        <f>SUM(C206/$C$208)</f>
        <v>0.73827020915771624</v>
      </c>
      <c r="E206" s="16"/>
    </row>
    <row r="207" spans="1:7" s="2" customFormat="1" ht="16.5" customHeight="1" thickBot="1">
      <c r="A207" s="12" t="s">
        <v>170</v>
      </c>
      <c r="B207" s="27" t="s">
        <v>639</v>
      </c>
      <c r="C207" s="8">
        <v>3241</v>
      </c>
      <c r="D207" s="17">
        <f>SUM(C207/$C$208)</f>
        <v>0.26172979084228376</v>
      </c>
      <c r="E207" s="16"/>
      <c r="G207" s="14"/>
    </row>
    <row r="208" spans="1:7" s="2" customFormat="1" ht="16.5" customHeight="1">
      <c r="A208" s="75"/>
      <c r="B208" s="76"/>
      <c r="C208" s="23">
        <f>SUM(C206:C207)</f>
        <v>12383</v>
      </c>
      <c r="D208" s="17"/>
      <c r="E208" s="10" t="s">
        <v>1874</v>
      </c>
      <c r="F208" s="21">
        <f>(C206-C207)</f>
        <v>5901</v>
      </c>
    </row>
    <row r="209" spans="1:7" s="2" customFormat="1" ht="12" customHeight="1">
      <c r="A209" s="1"/>
    </row>
    <row r="210" spans="1:7" s="2" customFormat="1" ht="16.5" customHeight="1">
      <c r="A210" s="1" t="s">
        <v>173</v>
      </c>
    </row>
    <row r="211" spans="1:7" s="2" customFormat="1" ht="9.75" customHeight="1" thickBot="1">
      <c r="A211" s="3"/>
    </row>
    <row r="212" spans="1:7" s="2" customFormat="1" ht="16.5" customHeight="1" thickBot="1">
      <c r="A212" s="4" t="s">
        <v>1244</v>
      </c>
      <c r="B212" s="5" t="s">
        <v>1245</v>
      </c>
      <c r="C212" s="5" t="s">
        <v>1248</v>
      </c>
      <c r="D212" s="10"/>
      <c r="E212" s="10" t="s">
        <v>1413</v>
      </c>
      <c r="F212" s="11">
        <f>(16123/24693)</f>
        <v>0.65293807961770545</v>
      </c>
    </row>
    <row r="213" spans="1:7" s="2" customFormat="1" ht="16.5" customHeight="1" thickBot="1">
      <c r="A213" s="6" t="s">
        <v>172</v>
      </c>
      <c r="B213" s="103" t="s">
        <v>1014</v>
      </c>
      <c r="C213" s="36">
        <v>10761</v>
      </c>
      <c r="D213" s="17">
        <f>SUM(C213/$C$215)</f>
        <v>0.6674316194256652</v>
      </c>
      <c r="E213" s="16"/>
    </row>
    <row r="214" spans="1:7" s="2" customFormat="1" ht="16.5" customHeight="1" thickBot="1">
      <c r="A214" s="12" t="s">
        <v>2280</v>
      </c>
      <c r="B214" s="27" t="s">
        <v>639</v>
      </c>
      <c r="C214" s="8">
        <v>5362</v>
      </c>
      <c r="D214" s="17">
        <f>SUM(C214/$C$215)</f>
        <v>0.3325683805743348</v>
      </c>
      <c r="E214" s="16"/>
      <c r="G214" s="14"/>
    </row>
    <row r="215" spans="1:7" s="2" customFormat="1" ht="16.5" customHeight="1">
      <c r="A215" s="75"/>
      <c r="B215" s="76"/>
      <c r="C215" s="23">
        <f>SUM(C213:C214)</f>
        <v>16123</v>
      </c>
      <c r="D215" s="17"/>
      <c r="E215" s="10" t="s">
        <v>1874</v>
      </c>
      <c r="F215" s="21">
        <f>(C213-C214)</f>
        <v>5399</v>
      </c>
    </row>
    <row r="216" spans="1:7" s="2" customFormat="1" ht="12" customHeight="1">
      <c r="A216" s="1"/>
    </row>
    <row r="217" spans="1:7" s="2" customFormat="1" ht="16.5" customHeight="1">
      <c r="A217" s="1" t="s">
        <v>176</v>
      </c>
    </row>
    <row r="218" spans="1:7" s="2" customFormat="1" ht="9.75" customHeight="1" thickBot="1">
      <c r="A218" s="3"/>
    </row>
    <row r="219" spans="1:7" s="2" customFormat="1" ht="16.5" customHeight="1" thickBot="1">
      <c r="A219" s="4" t="s">
        <v>1244</v>
      </c>
      <c r="B219" s="5" t="s">
        <v>1245</v>
      </c>
      <c r="C219" s="5" t="s">
        <v>1248</v>
      </c>
      <c r="D219" s="10"/>
      <c r="E219" s="10" t="s">
        <v>1413</v>
      </c>
      <c r="F219" s="11">
        <f>(16386/20635)</f>
        <v>0.79408771504724984</v>
      </c>
    </row>
    <row r="220" spans="1:7" s="2" customFormat="1" ht="16.5" customHeight="1" thickBot="1">
      <c r="A220" s="6" t="s">
        <v>174</v>
      </c>
      <c r="B220" s="103" t="s">
        <v>1014</v>
      </c>
      <c r="C220" s="36">
        <v>7745</v>
      </c>
      <c r="D220" s="17">
        <f>SUM(C220/$C$223)</f>
        <v>0.47265958745270353</v>
      </c>
      <c r="E220" s="16"/>
    </row>
    <row r="221" spans="1:7" s="2" customFormat="1" ht="16.5" customHeight="1" thickBot="1">
      <c r="A221" s="12" t="s">
        <v>2083</v>
      </c>
      <c r="B221" s="27" t="s">
        <v>639</v>
      </c>
      <c r="C221" s="8">
        <v>6331</v>
      </c>
      <c r="D221" s="17">
        <f>SUM(C221/$C$223)</f>
        <v>0.38636641035029906</v>
      </c>
      <c r="E221" s="16"/>
      <c r="G221" s="14"/>
    </row>
    <row r="222" spans="1:7" s="2" customFormat="1" ht="16.5" customHeight="1" thickBot="1">
      <c r="A222" s="12" t="s">
        <v>175</v>
      </c>
      <c r="B222" s="101" t="s">
        <v>2338</v>
      </c>
      <c r="C222" s="8">
        <v>2310</v>
      </c>
      <c r="D222" s="17">
        <f>SUM(C222/$C$223)</f>
        <v>0.14097400219699743</v>
      </c>
      <c r="E222" s="16"/>
      <c r="G222" s="14"/>
    </row>
    <row r="223" spans="1:7" s="2" customFormat="1" ht="16.5" customHeight="1">
      <c r="A223" s="75"/>
      <c r="B223" s="76"/>
      <c r="C223" s="23">
        <f>SUM(C220:C222)</f>
        <v>16386</v>
      </c>
      <c r="D223" s="17"/>
      <c r="E223" s="10" t="s">
        <v>1874</v>
      </c>
      <c r="F223" s="21">
        <f>(C220-C221)</f>
        <v>1414</v>
      </c>
    </row>
    <row r="224" spans="1:7" s="2" customFormat="1" ht="12" customHeight="1">
      <c r="A224" s="1"/>
    </row>
    <row r="225" spans="1:10" s="2" customFormat="1" ht="16.5" customHeight="1">
      <c r="A225" s="1" t="s">
        <v>177</v>
      </c>
    </row>
    <row r="226" spans="1:10" s="2" customFormat="1" ht="9.75" customHeight="1" thickBot="1">
      <c r="A226" s="3"/>
    </row>
    <row r="227" spans="1:10" s="2" customFormat="1" ht="16.5" customHeight="1" thickBot="1">
      <c r="A227" s="4" t="s">
        <v>1244</v>
      </c>
      <c r="B227" s="5" t="s">
        <v>1245</v>
      </c>
      <c r="C227" s="5" t="s">
        <v>1248</v>
      </c>
      <c r="D227" s="10"/>
      <c r="E227" s="10" t="s">
        <v>1413</v>
      </c>
      <c r="F227" s="11">
        <f>(14775/22905)</f>
        <v>0.64505566470203013</v>
      </c>
    </row>
    <row r="228" spans="1:10" s="2" customFormat="1" ht="16.5" customHeight="1" thickBot="1">
      <c r="A228" s="6" t="s">
        <v>399</v>
      </c>
      <c r="B228" s="103" t="s">
        <v>1014</v>
      </c>
      <c r="C228" s="36">
        <v>9529</v>
      </c>
      <c r="D228" s="17">
        <f>SUM(C228/$C$230)</f>
        <v>0.64494077834179353</v>
      </c>
      <c r="E228" s="16"/>
    </row>
    <row r="229" spans="1:10" s="2" customFormat="1" ht="16.5" customHeight="1" thickBot="1">
      <c r="A229" s="12" t="s">
        <v>538</v>
      </c>
      <c r="B229" s="78" t="s">
        <v>328</v>
      </c>
      <c r="C229" s="8">
        <v>5246</v>
      </c>
      <c r="D229" s="17">
        <f>SUM(C229/$C$230)</f>
        <v>0.35505922165820641</v>
      </c>
      <c r="E229" s="16"/>
      <c r="G229" s="14"/>
    </row>
    <row r="230" spans="1:10" s="2" customFormat="1" ht="16.5" customHeight="1">
      <c r="A230" s="75"/>
      <c r="B230" s="76"/>
      <c r="C230" s="23">
        <f>SUM(C228:C229)</f>
        <v>14775</v>
      </c>
      <c r="D230" s="17"/>
      <c r="E230" s="10" t="s">
        <v>1874</v>
      </c>
      <c r="F230" s="21">
        <f>(C228-C229)</f>
        <v>4283</v>
      </c>
    </row>
    <row r="231" spans="1:10" s="2" customFormat="1" ht="12" customHeight="1">
      <c r="A231" s="1"/>
    </row>
    <row r="232" spans="1:10" s="2" customFormat="1" ht="16.5" customHeight="1">
      <c r="A232" s="1" t="s">
        <v>178</v>
      </c>
    </row>
    <row r="233" spans="1:10" s="2" customFormat="1" ht="9.75" customHeight="1" thickBot="1">
      <c r="A233" s="3"/>
    </row>
    <row r="234" spans="1:10" s="2" customFormat="1" ht="16.5" customHeight="1" thickBot="1">
      <c r="A234" s="4" t="s">
        <v>1244</v>
      </c>
      <c r="B234" s="5" t="s">
        <v>1245</v>
      </c>
      <c r="C234" s="5" t="s">
        <v>1248</v>
      </c>
      <c r="D234" s="10"/>
      <c r="E234" s="10" t="s">
        <v>1413</v>
      </c>
      <c r="F234" s="11">
        <f>(16447/20728)</f>
        <v>0.79346777306059435</v>
      </c>
    </row>
    <row r="235" spans="1:10" s="2" customFormat="1" ht="16.5" customHeight="1" thickBot="1">
      <c r="A235" s="6" t="s">
        <v>696</v>
      </c>
      <c r="B235" s="9" t="s">
        <v>2107</v>
      </c>
      <c r="C235" s="36">
        <v>8550</v>
      </c>
      <c r="D235" s="17">
        <f>SUM(C235/$C$237)</f>
        <v>0.51985164467684075</v>
      </c>
      <c r="E235" s="16"/>
    </row>
    <row r="236" spans="1:10" s="2" customFormat="1" ht="16.5" customHeight="1" thickBot="1">
      <c r="A236" s="12" t="s">
        <v>411</v>
      </c>
      <c r="B236" s="102" t="s">
        <v>1014</v>
      </c>
      <c r="C236" s="8">
        <v>7897</v>
      </c>
      <c r="D236" s="17">
        <f>SUM(C236/$C$237)</f>
        <v>0.48014835532315925</v>
      </c>
      <c r="E236" s="16"/>
      <c r="G236" s="14"/>
    </row>
    <row r="237" spans="1:10" s="2" customFormat="1" ht="16.5" customHeight="1">
      <c r="A237" s="75"/>
      <c r="B237" s="76"/>
      <c r="C237" s="23">
        <f>SUM(C235:C236)</f>
        <v>16447</v>
      </c>
      <c r="D237" s="17"/>
      <c r="E237" s="10" t="s">
        <v>1874</v>
      </c>
      <c r="F237" s="21">
        <f>(C235-C236)</f>
        <v>653</v>
      </c>
    </row>
    <row r="238" spans="1:10" s="2" customFormat="1" ht="12" customHeight="1">
      <c r="A238" s="1"/>
    </row>
    <row r="239" spans="1:10" s="2" customFormat="1" ht="16.5" customHeight="1">
      <c r="A239" s="1" t="s">
        <v>180</v>
      </c>
      <c r="J239" s="93"/>
    </row>
    <row r="240" spans="1:10" s="2" customFormat="1" ht="9.75" customHeight="1" thickBot="1">
      <c r="A240" s="3"/>
    </row>
    <row r="241" spans="1:12" s="2" customFormat="1" ht="16.5" customHeight="1" thickBot="1">
      <c r="A241" s="4" t="s">
        <v>1244</v>
      </c>
      <c r="B241" s="5" t="s">
        <v>1245</v>
      </c>
      <c r="C241" s="5" t="s">
        <v>1248</v>
      </c>
      <c r="D241" s="10"/>
      <c r="E241" s="10" t="s">
        <v>1413</v>
      </c>
      <c r="F241" s="11">
        <f>(13262/22151)</f>
        <v>0.59870886190239714</v>
      </c>
    </row>
    <row r="242" spans="1:12" s="2" customFormat="1" ht="16.5" customHeight="1" thickBot="1">
      <c r="A242" s="6" t="s">
        <v>179</v>
      </c>
      <c r="B242" s="103" t="s">
        <v>1014</v>
      </c>
      <c r="C242" s="36">
        <v>9852</v>
      </c>
      <c r="D242" s="17">
        <f>SUM(C242/$C$244)</f>
        <v>0.74287437792188205</v>
      </c>
      <c r="E242" s="16"/>
    </row>
    <row r="243" spans="1:12" s="2" customFormat="1" ht="16.5" customHeight="1" thickBot="1">
      <c r="A243" s="12" t="s">
        <v>887</v>
      </c>
      <c r="B243" s="80" t="s">
        <v>363</v>
      </c>
      <c r="C243" s="8">
        <v>3410</v>
      </c>
      <c r="D243" s="17">
        <f>SUM(C243/$C$244)</f>
        <v>0.25712562207811795</v>
      </c>
      <c r="E243" s="16"/>
      <c r="G243" s="14"/>
    </row>
    <row r="244" spans="1:12" s="2" customFormat="1" ht="16.5" customHeight="1">
      <c r="A244" s="75"/>
      <c r="B244" s="76"/>
      <c r="C244" s="23">
        <f>SUM(C242:C243)</f>
        <v>13262</v>
      </c>
      <c r="D244" s="17"/>
      <c r="E244" s="10" t="s">
        <v>1874</v>
      </c>
      <c r="F244" s="21">
        <f>(C242-C243)</f>
        <v>6442</v>
      </c>
    </row>
    <row r="245" spans="1:12" s="2" customFormat="1" ht="12" customHeight="1">
      <c r="A245" s="1"/>
    </row>
    <row r="246" spans="1:12" s="2" customFormat="1" ht="16.5" customHeight="1">
      <c r="A246" s="1" t="s">
        <v>184</v>
      </c>
    </row>
    <row r="247" spans="1:12" s="2" customFormat="1" ht="9.75" customHeight="1" thickBot="1">
      <c r="A247" s="3"/>
    </row>
    <row r="248" spans="1:12" s="2" customFormat="1" ht="16.5" customHeight="1" thickBot="1">
      <c r="A248" s="4" t="s">
        <v>1244</v>
      </c>
      <c r="B248" s="5" t="s">
        <v>1245</v>
      </c>
      <c r="C248" s="5" t="s">
        <v>1248</v>
      </c>
      <c r="D248" s="10"/>
      <c r="E248" s="10" t="s">
        <v>1413</v>
      </c>
      <c r="F248" s="11">
        <f>(14192/20774)</f>
        <v>0.68316164436314619</v>
      </c>
    </row>
    <row r="249" spans="1:12" s="2" customFormat="1" ht="16.5" customHeight="1" thickBot="1">
      <c r="A249" s="6" t="s">
        <v>581</v>
      </c>
      <c r="B249" s="103" t="s">
        <v>1014</v>
      </c>
      <c r="C249" s="36">
        <v>8501</v>
      </c>
      <c r="D249" s="17">
        <f>SUM(C249/$C$253)</f>
        <v>0.59899943630214203</v>
      </c>
      <c r="E249" s="16"/>
    </row>
    <row r="250" spans="1:12" s="2" customFormat="1" ht="16.5" customHeight="1" thickBot="1">
      <c r="A250" s="12" t="s">
        <v>181</v>
      </c>
      <c r="B250" s="78" t="s">
        <v>1032</v>
      </c>
      <c r="C250" s="8">
        <v>2386</v>
      </c>
      <c r="D250" s="17">
        <f>SUM(C250/$C$253)</f>
        <v>0.1681228861330327</v>
      </c>
      <c r="E250" s="16"/>
      <c r="G250" s="14"/>
    </row>
    <row r="251" spans="1:12" s="2" customFormat="1" ht="16.5" customHeight="1" thickBot="1">
      <c r="A251" s="12" t="s">
        <v>182</v>
      </c>
      <c r="B251" s="80" t="s">
        <v>363</v>
      </c>
      <c r="C251" s="8">
        <v>1714</v>
      </c>
      <c r="D251" s="17">
        <f>SUM(C251/$C$253)</f>
        <v>0.12077226606538895</v>
      </c>
      <c r="E251" s="16"/>
      <c r="G251" s="14"/>
    </row>
    <row r="252" spans="1:12" s="2" customFormat="1" ht="16.5" customHeight="1" thickBot="1">
      <c r="A252" s="12" t="s">
        <v>183</v>
      </c>
      <c r="B252" s="20" t="s">
        <v>574</v>
      </c>
      <c r="C252" s="8">
        <v>1591</v>
      </c>
      <c r="D252" s="17">
        <f>SUM(C252/$C$253)</f>
        <v>0.1121054114994363</v>
      </c>
      <c r="E252" s="16"/>
      <c r="G252" s="14"/>
    </row>
    <row r="253" spans="1:12" s="2" customFormat="1" ht="16.5" customHeight="1">
      <c r="A253" s="75"/>
      <c r="B253" s="76"/>
      <c r="C253" s="23">
        <f>SUM(C249:C252)</f>
        <v>14192</v>
      </c>
      <c r="D253" s="17"/>
      <c r="E253" s="10" t="s">
        <v>1874</v>
      </c>
      <c r="F253" s="21">
        <f>(C249-C250)</f>
        <v>6115</v>
      </c>
    </row>
    <row r="254" spans="1:12" s="2" customFormat="1" ht="12" customHeight="1">
      <c r="A254" s="1"/>
      <c r="E254"/>
      <c r="L254"/>
    </row>
    <row r="255" spans="1:12" s="2" customFormat="1" ht="16.5" customHeight="1">
      <c r="A255" s="1" t="s">
        <v>185</v>
      </c>
    </row>
    <row r="256" spans="1:12" s="2" customFormat="1" ht="9.75" customHeight="1" thickBot="1">
      <c r="A256" s="3"/>
    </row>
    <row r="257" spans="1:7" s="2" customFormat="1" ht="16.5" customHeight="1" thickBot="1">
      <c r="A257" s="4" t="s">
        <v>1244</v>
      </c>
      <c r="B257" s="5" t="s">
        <v>1245</v>
      </c>
      <c r="C257" s="5" t="s">
        <v>1248</v>
      </c>
      <c r="D257" s="10"/>
      <c r="E257" s="10" t="s">
        <v>1413</v>
      </c>
      <c r="F257" s="11">
        <f>(9198/14572)</f>
        <v>0.63121054076310734</v>
      </c>
    </row>
    <row r="258" spans="1:7" s="2" customFormat="1" ht="16.5" customHeight="1" thickBot="1">
      <c r="A258" s="6" t="s">
        <v>186</v>
      </c>
      <c r="B258" s="103" t="s">
        <v>1014</v>
      </c>
      <c r="C258" s="36">
        <v>6523</v>
      </c>
      <c r="D258" s="17">
        <f>SUM(C258/$C$260)</f>
        <v>0.70917590780604478</v>
      </c>
      <c r="E258" s="16"/>
    </row>
    <row r="259" spans="1:7" s="2" customFormat="1" ht="16.5" customHeight="1" thickBot="1">
      <c r="A259" s="12" t="s">
        <v>453</v>
      </c>
      <c r="B259" s="80" t="s">
        <v>363</v>
      </c>
      <c r="C259" s="8">
        <v>2675</v>
      </c>
      <c r="D259" s="17">
        <f>SUM(C259/$C$260)</f>
        <v>0.29082409219395522</v>
      </c>
      <c r="E259" s="16"/>
      <c r="G259" s="14"/>
    </row>
    <row r="260" spans="1:7" s="2" customFormat="1" ht="16.5" customHeight="1">
      <c r="A260" s="75"/>
      <c r="B260" s="76"/>
      <c r="C260" s="23">
        <f>SUM(C258:C259)</f>
        <v>9198</v>
      </c>
      <c r="D260" s="17"/>
      <c r="E260" s="10" t="s">
        <v>1874</v>
      </c>
      <c r="F260" s="21">
        <f>(C258-C259)</f>
        <v>3848</v>
      </c>
    </row>
    <row r="261" spans="1:7" s="2" customFormat="1" ht="12" customHeight="1">
      <c r="A261" s="1"/>
    </row>
    <row r="262" spans="1:7" s="2" customFormat="1" ht="16.5" customHeight="1">
      <c r="A262" s="1" t="s">
        <v>188</v>
      </c>
    </row>
    <row r="263" spans="1:7" s="2" customFormat="1" ht="9.75" customHeight="1" thickBot="1">
      <c r="A263" s="3"/>
    </row>
    <row r="264" spans="1:7" s="2" customFormat="1" ht="16.5" customHeight="1" thickBot="1">
      <c r="A264" s="4" t="s">
        <v>1244</v>
      </c>
      <c r="B264" s="5" t="s">
        <v>1245</v>
      </c>
      <c r="C264" s="5" t="s">
        <v>1248</v>
      </c>
      <c r="D264" s="10"/>
      <c r="E264" s="10" t="s">
        <v>1413</v>
      </c>
      <c r="F264" s="11">
        <f>(14848/21142)</f>
        <v>0.70229874184088548</v>
      </c>
    </row>
    <row r="265" spans="1:7" s="2" customFormat="1" ht="16.5" customHeight="1" thickBot="1">
      <c r="A265" s="6" t="s">
        <v>195</v>
      </c>
      <c r="B265" s="103" t="s">
        <v>1014</v>
      </c>
      <c r="C265" s="36">
        <v>9084</v>
      </c>
      <c r="D265" s="17">
        <f>SUM(C265/$C$268)</f>
        <v>0.61179956896551724</v>
      </c>
      <c r="E265" s="16"/>
    </row>
    <row r="266" spans="1:7" s="2" customFormat="1" ht="16.5" customHeight="1" thickBot="1">
      <c r="A266" s="12" t="s">
        <v>570</v>
      </c>
      <c r="B266" s="27" t="s">
        <v>639</v>
      </c>
      <c r="C266" s="8">
        <v>3568</v>
      </c>
      <c r="D266" s="17">
        <f>SUM(C266/$C$268)</f>
        <v>0.24030172413793102</v>
      </c>
      <c r="E266" s="16"/>
      <c r="G266" s="14"/>
    </row>
    <row r="267" spans="1:7" s="2" customFormat="1" ht="16.5" customHeight="1" thickBot="1">
      <c r="A267" s="12" t="s">
        <v>187</v>
      </c>
      <c r="B267" s="80" t="s">
        <v>363</v>
      </c>
      <c r="C267" s="8">
        <v>2196</v>
      </c>
      <c r="D267" s="17">
        <f>SUM(C267/$C$268)</f>
        <v>0.14789870689655171</v>
      </c>
      <c r="E267" s="16"/>
      <c r="G267" s="14"/>
    </row>
    <row r="268" spans="1:7" s="2" customFormat="1" ht="16.5" customHeight="1">
      <c r="A268" s="75"/>
      <c r="B268" s="76"/>
      <c r="C268" s="23">
        <f>SUM(C265:C267)</f>
        <v>14848</v>
      </c>
      <c r="D268" s="17"/>
      <c r="E268" s="10" t="s">
        <v>1874</v>
      </c>
      <c r="F268" s="21">
        <f>(C265-C266)</f>
        <v>5516</v>
      </c>
    </row>
    <row r="269" spans="1:7" s="2" customFormat="1" ht="12" customHeight="1">
      <c r="A269" s="1"/>
    </row>
    <row r="270" spans="1:7" s="2" customFormat="1" ht="16.5" customHeight="1">
      <c r="A270" s="1" t="s">
        <v>189</v>
      </c>
    </row>
    <row r="271" spans="1:7" s="2" customFormat="1" ht="9.75" customHeight="1" thickBot="1">
      <c r="A271" s="3"/>
    </row>
    <row r="272" spans="1:7" s="2" customFormat="1" ht="16.5" customHeight="1" thickBot="1">
      <c r="A272" s="4" t="s">
        <v>1244</v>
      </c>
      <c r="B272" s="5" t="s">
        <v>1245</v>
      </c>
      <c r="C272" s="5" t="s">
        <v>1248</v>
      </c>
      <c r="D272" s="10"/>
      <c r="E272" s="10" t="s">
        <v>1413</v>
      </c>
      <c r="F272" s="11">
        <f>(3570/6384)</f>
        <v>0.55921052631578949</v>
      </c>
    </row>
    <row r="273" spans="1:7" s="2" customFormat="1" ht="16.5" customHeight="1" thickBot="1">
      <c r="A273" s="6" t="s">
        <v>575</v>
      </c>
      <c r="B273" s="7" t="s">
        <v>574</v>
      </c>
      <c r="C273" s="36">
        <v>2032</v>
      </c>
      <c r="D273" s="17">
        <f>SUM(C273/$C$275)</f>
        <v>0.56918767507002799</v>
      </c>
      <c r="E273" s="16"/>
    </row>
    <row r="274" spans="1:7" s="2" customFormat="1" ht="16.5" customHeight="1" thickBot="1">
      <c r="A274" s="12" t="s">
        <v>196</v>
      </c>
      <c r="B274" s="80" t="s">
        <v>363</v>
      </c>
      <c r="C274" s="8">
        <v>1538</v>
      </c>
      <c r="D274" s="17">
        <f>SUM(C274/$C$275)</f>
        <v>0.43081232492997201</v>
      </c>
      <c r="E274" s="16"/>
      <c r="G274" s="14"/>
    </row>
    <row r="275" spans="1:7" s="2" customFormat="1" ht="16.5" customHeight="1">
      <c r="A275" s="75"/>
      <c r="B275" s="76"/>
      <c r="C275" s="23">
        <f>SUM(C273:C274)</f>
        <v>3570</v>
      </c>
      <c r="D275" s="17"/>
      <c r="E275" s="10" t="s">
        <v>1874</v>
      </c>
      <c r="F275" s="21">
        <f>(C273-C274)</f>
        <v>494</v>
      </c>
    </row>
    <row r="276" spans="1:7" s="2" customFormat="1" ht="12" customHeight="1">
      <c r="A276" s="1"/>
    </row>
    <row r="277" spans="1:7" s="2" customFormat="1" ht="16.5" customHeight="1">
      <c r="A277" s="1" t="s">
        <v>192</v>
      </c>
    </row>
    <row r="278" spans="1:7" s="2" customFormat="1" ht="9.75" customHeight="1" thickBot="1">
      <c r="A278" s="3"/>
    </row>
    <row r="279" spans="1:7" s="2" customFormat="1" ht="16.5" customHeight="1" thickBot="1">
      <c r="A279" s="4" t="s">
        <v>1244</v>
      </c>
      <c r="B279" s="5" t="s">
        <v>1245</v>
      </c>
      <c r="C279" s="5" t="s">
        <v>1248</v>
      </c>
      <c r="D279" s="10"/>
      <c r="E279" s="10" t="s">
        <v>1413</v>
      </c>
      <c r="F279" s="11">
        <f>(12041/16196)</f>
        <v>0.74345517411706596</v>
      </c>
    </row>
    <row r="280" spans="1:7" s="2" customFormat="1" ht="16.5" customHeight="1" thickBot="1">
      <c r="A280" s="6" t="s">
        <v>559</v>
      </c>
      <c r="B280" s="103" t="s">
        <v>1014</v>
      </c>
      <c r="C280" s="36">
        <v>6066</v>
      </c>
      <c r="D280" s="17">
        <f>SUM(C280/$C$284)</f>
        <v>0.50377875591728261</v>
      </c>
      <c r="E280" s="16"/>
    </row>
    <row r="281" spans="1:7" s="2" customFormat="1" ht="16.5" customHeight="1" thickBot="1">
      <c r="A281" s="12" t="s">
        <v>198</v>
      </c>
      <c r="B281" s="22" t="s">
        <v>2107</v>
      </c>
      <c r="C281" s="8">
        <v>3215</v>
      </c>
      <c r="D281" s="17">
        <f>SUM(C281/$C$284)</f>
        <v>0.26700440162777178</v>
      </c>
      <c r="E281" s="16"/>
      <c r="G281" s="14"/>
    </row>
    <row r="282" spans="1:7" s="2" customFormat="1" ht="16.5" customHeight="1" thickBot="1">
      <c r="A282" s="12" t="s">
        <v>190</v>
      </c>
      <c r="B282" s="80" t="s">
        <v>363</v>
      </c>
      <c r="C282" s="8">
        <v>1681</v>
      </c>
      <c r="D282" s="17">
        <f>SUM(C282/$C$284)</f>
        <v>0.13960634498795782</v>
      </c>
      <c r="E282" s="16"/>
      <c r="G282" s="14"/>
    </row>
    <row r="283" spans="1:7" s="2" customFormat="1" ht="16.5" customHeight="1" thickBot="1">
      <c r="A283" s="12" t="s">
        <v>191</v>
      </c>
      <c r="B283" s="78" t="s">
        <v>1032</v>
      </c>
      <c r="C283" s="8">
        <v>1079</v>
      </c>
      <c r="D283" s="17">
        <f>SUM(C283/$C$284)</f>
        <v>8.9610497466987793E-2</v>
      </c>
      <c r="E283" s="16"/>
      <c r="G283" s="14"/>
    </row>
    <row r="284" spans="1:7" s="2" customFormat="1" ht="16.5" customHeight="1">
      <c r="A284" s="75"/>
      <c r="B284" s="76"/>
      <c r="C284" s="23">
        <f>SUM(C280:C283)</f>
        <v>12041</v>
      </c>
      <c r="D284" s="17"/>
      <c r="E284" s="10" t="s">
        <v>1874</v>
      </c>
      <c r="F284" s="21">
        <f>(C280-C281)</f>
        <v>2851</v>
      </c>
    </row>
    <row r="286" spans="1:7" s="2" customFormat="1" ht="16.5" customHeight="1">
      <c r="A286" s="1" t="s">
        <v>194</v>
      </c>
    </row>
    <row r="287" spans="1:7" s="2" customFormat="1" ht="9.75" customHeight="1" thickBot="1">
      <c r="A287" s="3"/>
    </row>
    <row r="288" spans="1:7" s="2" customFormat="1" ht="16.5" customHeight="1" thickBot="1">
      <c r="A288" s="4" t="s">
        <v>1244</v>
      </c>
      <c r="B288" s="5" t="s">
        <v>1245</v>
      </c>
      <c r="C288" s="5" t="s">
        <v>1248</v>
      </c>
      <c r="D288" s="10"/>
      <c r="E288" s="10" t="s">
        <v>1413</v>
      </c>
      <c r="F288" s="11">
        <f>(8206/13541)</f>
        <v>0.60601137286758733</v>
      </c>
    </row>
    <row r="289" spans="1:7" s="2" customFormat="1" ht="16.5" customHeight="1" thickBot="1">
      <c r="A289" s="6" t="s">
        <v>197</v>
      </c>
      <c r="B289" s="103" t="s">
        <v>1014</v>
      </c>
      <c r="C289" s="36">
        <v>6320</v>
      </c>
      <c r="D289" s="17">
        <f>SUM(C289/$C$292)</f>
        <v>0.77016816963197665</v>
      </c>
      <c r="E289" s="16"/>
    </row>
    <row r="290" spans="1:7" s="2" customFormat="1" ht="16.5" customHeight="1" thickBot="1">
      <c r="A290" s="12" t="s">
        <v>893</v>
      </c>
      <c r="B290" s="80" t="s">
        <v>363</v>
      </c>
      <c r="C290" s="8">
        <v>1134</v>
      </c>
      <c r="D290" s="17">
        <f>SUM(C290/$C$292)</f>
        <v>0.13819156714599073</v>
      </c>
      <c r="E290" s="16"/>
      <c r="G290" s="14"/>
    </row>
    <row r="291" spans="1:7" s="2" customFormat="1" ht="16.5" customHeight="1" thickBot="1">
      <c r="A291" s="12" t="s">
        <v>193</v>
      </c>
      <c r="B291" s="101" t="s">
        <v>2338</v>
      </c>
      <c r="C291" s="8">
        <v>752</v>
      </c>
      <c r="D291" s="17">
        <f>SUM(C291/$C$292)</f>
        <v>9.1640263222032656E-2</v>
      </c>
      <c r="E291" s="16"/>
      <c r="G291" s="14"/>
    </row>
    <row r="292" spans="1:7" s="2" customFormat="1" ht="16.5" customHeight="1">
      <c r="A292" s="75"/>
      <c r="B292" s="76"/>
      <c r="C292" s="23">
        <f>SUM(C289:C291)</f>
        <v>8206</v>
      </c>
      <c r="D292" s="17"/>
      <c r="E292" s="10" t="s">
        <v>1874</v>
      </c>
      <c r="F292" s="21">
        <f>(C289-C290)</f>
        <v>5186</v>
      </c>
    </row>
    <row r="293" spans="1:7" s="2" customFormat="1" ht="12" customHeight="1">
      <c r="A293" s="1"/>
      <c r="D293" s="11"/>
    </row>
    <row r="294" spans="1:7" s="2" customFormat="1" ht="16.5" customHeight="1">
      <c r="A294" s="1" t="s">
        <v>200</v>
      </c>
    </row>
    <row r="295" spans="1:7" s="2" customFormat="1" ht="9.75" customHeight="1" thickBot="1">
      <c r="A295" s="3"/>
    </row>
    <row r="296" spans="1:7" s="2" customFormat="1" ht="16.5" customHeight="1" thickBot="1">
      <c r="A296" s="4" t="s">
        <v>1244</v>
      </c>
      <c r="B296" s="5" t="s">
        <v>1245</v>
      </c>
      <c r="C296" s="5" t="s">
        <v>1248</v>
      </c>
      <c r="D296" s="10"/>
      <c r="E296" s="10" t="s">
        <v>1413</v>
      </c>
      <c r="F296" s="11">
        <f>(5210/7212)</f>
        <v>0.7224070992789795</v>
      </c>
    </row>
    <row r="297" spans="1:7" s="2" customFormat="1" ht="16.5" customHeight="1" thickBot="1">
      <c r="A297" s="6" t="s">
        <v>680</v>
      </c>
      <c r="B297" s="7" t="s">
        <v>574</v>
      </c>
      <c r="C297" s="36">
        <v>3274</v>
      </c>
      <c r="D297" s="17">
        <f>SUM(C297/$C$299)</f>
        <v>0.6284069097888676</v>
      </c>
      <c r="E297" s="16"/>
    </row>
    <row r="298" spans="1:7" s="2" customFormat="1" ht="16.5" customHeight="1" thickBot="1">
      <c r="A298" s="12" t="s">
        <v>199</v>
      </c>
      <c r="B298" s="102" t="s">
        <v>1014</v>
      </c>
      <c r="C298" s="8">
        <v>1936</v>
      </c>
      <c r="D298" s="17">
        <f>SUM(C298/$C$299)</f>
        <v>0.37159309021113246</v>
      </c>
      <c r="E298" s="16"/>
      <c r="G298" s="14"/>
    </row>
    <row r="299" spans="1:7" s="2" customFormat="1" ht="16.5" customHeight="1">
      <c r="A299" s="75"/>
      <c r="B299" s="76"/>
      <c r="C299" s="23">
        <f>SUM(C297:C298)</f>
        <v>5210</v>
      </c>
      <c r="D299" s="17"/>
      <c r="E299" s="10" t="s">
        <v>1874</v>
      </c>
      <c r="F299" s="21">
        <f>(C297-C298)</f>
        <v>1338</v>
      </c>
    </row>
    <row r="300" spans="1:7" s="2" customFormat="1" ht="12" customHeight="1">
      <c r="A300" s="1"/>
    </row>
    <row r="301" spans="1:7" s="2" customFormat="1" ht="16.5" customHeight="1">
      <c r="A301" s="1" t="s">
        <v>202</v>
      </c>
    </row>
    <row r="302" spans="1:7" s="2" customFormat="1" ht="9.75" customHeight="1" thickBot="1">
      <c r="A302" s="3"/>
    </row>
    <row r="303" spans="1:7" s="2" customFormat="1" ht="16.5" customHeight="1" thickBot="1">
      <c r="A303" s="4" t="s">
        <v>1244</v>
      </c>
      <c r="B303" s="5" t="s">
        <v>1245</v>
      </c>
      <c r="C303" s="5" t="s">
        <v>1248</v>
      </c>
      <c r="D303" s="10"/>
      <c r="E303" s="10" t="s">
        <v>1413</v>
      </c>
      <c r="F303" s="11">
        <f>(11756/18415)</f>
        <v>0.63839261471626396</v>
      </c>
    </row>
    <row r="304" spans="1:7" s="2" customFormat="1" ht="16.5" customHeight="1" thickBot="1">
      <c r="A304" s="6" t="s">
        <v>220</v>
      </c>
      <c r="B304" s="103" t="s">
        <v>1014</v>
      </c>
      <c r="C304" s="36">
        <v>7435</v>
      </c>
      <c r="D304" s="17">
        <f>SUM(C304/$C$306)</f>
        <v>0.6324430078257911</v>
      </c>
      <c r="E304" s="16"/>
    </row>
    <row r="305" spans="1:7" s="2" customFormat="1" ht="16.5" customHeight="1" thickBot="1">
      <c r="A305" s="12" t="s">
        <v>201</v>
      </c>
      <c r="B305" s="78" t="s">
        <v>328</v>
      </c>
      <c r="C305" s="8">
        <v>4321</v>
      </c>
      <c r="D305" s="17">
        <f>SUM(C305/$C$306)</f>
        <v>0.3675569921742089</v>
      </c>
      <c r="E305" s="16"/>
      <c r="G305" s="14"/>
    </row>
    <row r="306" spans="1:7" s="2" customFormat="1" ht="16.5" customHeight="1">
      <c r="A306" s="75"/>
      <c r="B306" s="76"/>
      <c r="C306" s="23">
        <f>SUM(C304:C305)</f>
        <v>11756</v>
      </c>
      <c r="D306" s="17"/>
      <c r="E306" s="10" t="s">
        <v>1874</v>
      </c>
      <c r="F306" s="21">
        <f>(C304-C305)</f>
        <v>3114</v>
      </c>
    </row>
    <row r="307" spans="1:7" s="2" customFormat="1" ht="12" customHeight="1">
      <c r="A307" s="1"/>
    </row>
    <row r="308" spans="1:7" s="2" customFormat="1" ht="16.5" customHeight="1">
      <c r="A308" s="1" t="s">
        <v>203</v>
      </c>
    </row>
    <row r="309" spans="1:7" s="2" customFormat="1" ht="9.75" customHeight="1" thickBot="1">
      <c r="A309" s="3"/>
    </row>
    <row r="310" spans="1:7" s="2" customFormat="1" ht="16.5" customHeight="1" thickBot="1">
      <c r="A310" s="4" t="s">
        <v>1244</v>
      </c>
      <c r="B310" s="5" t="s">
        <v>1245</v>
      </c>
      <c r="C310" s="5" t="s">
        <v>1248</v>
      </c>
      <c r="D310" s="10"/>
      <c r="E310" s="10" t="s">
        <v>1413</v>
      </c>
      <c r="F310" s="11">
        <f>(11824/19802)</f>
        <v>0.5971114028885971</v>
      </c>
    </row>
    <row r="311" spans="1:7" s="2" customFormat="1" ht="16.5" customHeight="1" thickBot="1">
      <c r="A311" s="6" t="s">
        <v>435</v>
      </c>
      <c r="B311" s="89" t="s">
        <v>363</v>
      </c>
      <c r="C311" s="36">
        <v>6275</v>
      </c>
      <c r="D311" s="17">
        <f>SUM(C311/$C$313)</f>
        <v>0.53070027063599456</v>
      </c>
      <c r="E311" s="16"/>
    </row>
    <row r="312" spans="1:7" s="2" customFormat="1" ht="16.5" customHeight="1" thickBot="1">
      <c r="A312" s="12" t="s">
        <v>221</v>
      </c>
      <c r="B312" s="20" t="s">
        <v>574</v>
      </c>
      <c r="C312" s="8">
        <v>5549</v>
      </c>
      <c r="D312" s="17">
        <f>SUM(C312/$C$313)</f>
        <v>0.46929972936400544</v>
      </c>
      <c r="E312" s="16"/>
      <c r="G312" s="14"/>
    </row>
    <row r="313" spans="1:7" s="2" customFormat="1" ht="16.5" customHeight="1">
      <c r="A313" s="75"/>
      <c r="B313" s="76"/>
      <c r="C313" s="23">
        <f>SUM(C311:C312)</f>
        <v>11824</v>
      </c>
      <c r="D313" s="17"/>
      <c r="E313" s="10" t="s">
        <v>1874</v>
      </c>
      <c r="F313" s="21">
        <f>(C311-C312)</f>
        <v>726</v>
      </c>
    </row>
    <row r="314" spans="1:7" s="2" customFormat="1" ht="12" customHeight="1">
      <c r="A314" s="1"/>
    </row>
    <row r="315" spans="1:7" s="2" customFormat="1" ht="16.5" customHeight="1">
      <c r="A315" s="1" t="s">
        <v>205</v>
      </c>
    </row>
    <row r="316" spans="1:7" s="2" customFormat="1" ht="9.75" customHeight="1" thickBot="1">
      <c r="A316" s="3"/>
    </row>
    <row r="317" spans="1:7" s="2" customFormat="1" ht="16.5" customHeight="1" thickBot="1">
      <c r="A317" s="4" t="s">
        <v>1244</v>
      </c>
      <c r="B317" s="5" t="s">
        <v>1245</v>
      </c>
      <c r="C317" s="5" t="s">
        <v>1248</v>
      </c>
      <c r="D317" s="10"/>
      <c r="E317" s="10" t="s">
        <v>1413</v>
      </c>
      <c r="F317" s="11">
        <f>(12003/17817)</f>
        <v>0.67368243812089579</v>
      </c>
    </row>
    <row r="318" spans="1:7" s="2" customFormat="1" ht="16.5" customHeight="1" thickBot="1">
      <c r="A318" s="6" t="s">
        <v>222</v>
      </c>
      <c r="B318" s="89" t="s">
        <v>363</v>
      </c>
      <c r="C318" s="36">
        <v>6779</v>
      </c>
      <c r="D318" s="17">
        <f>SUM(C318/$C$320)</f>
        <v>0.56477547279846707</v>
      </c>
      <c r="E318" s="16"/>
    </row>
    <row r="319" spans="1:7" s="2" customFormat="1" ht="16.5" customHeight="1" thickBot="1">
      <c r="A319" s="12" t="s">
        <v>204</v>
      </c>
      <c r="B319" s="102" t="s">
        <v>1014</v>
      </c>
      <c r="C319" s="8">
        <v>5224</v>
      </c>
      <c r="D319" s="17">
        <f>SUM(C319/$C$320)</f>
        <v>0.43522452720153293</v>
      </c>
      <c r="E319" s="16"/>
      <c r="G319" s="14"/>
    </row>
    <row r="320" spans="1:7" s="2" customFormat="1" ht="16.5" customHeight="1">
      <c r="A320" s="75"/>
      <c r="B320" s="76"/>
      <c r="C320" s="23">
        <f>SUM(C318:C319)</f>
        <v>12003</v>
      </c>
      <c r="D320" s="17"/>
      <c r="E320" s="10" t="s">
        <v>1874</v>
      </c>
      <c r="F320" s="21">
        <f>(C318-C319)</f>
        <v>1555</v>
      </c>
    </row>
    <row r="321" spans="1:10" s="2" customFormat="1" ht="12" customHeight="1">
      <c r="A321" s="1"/>
    </row>
    <row r="322" spans="1:10" s="2" customFormat="1" ht="16.5" customHeight="1">
      <c r="A322" s="1" t="s">
        <v>210</v>
      </c>
    </row>
    <row r="323" spans="1:10" s="2" customFormat="1" ht="9.75" customHeight="1" thickBot="1">
      <c r="A323" s="3"/>
    </row>
    <row r="324" spans="1:10" s="2" customFormat="1" ht="16.5" customHeight="1" thickBot="1">
      <c r="A324" s="4" t="s">
        <v>1244</v>
      </c>
      <c r="B324" s="5" t="s">
        <v>1245</v>
      </c>
      <c r="C324" s="5" t="s">
        <v>1248</v>
      </c>
      <c r="D324" s="10"/>
      <c r="E324" s="10" t="s">
        <v>1413</v>
      </c>
      <c r="F324" s="11">
        <f>(5646/8328)</f>
        <v>0.6779538904899135</v>
      </c>
    </row>
    <row r="325" spans="1:10" s="2" customFormat="1" ht="16.5" customHeight="1" thickBot="1">
      <c r="A325" s="6" t="s">
        <v>461</v>
      </c>
      <c r="B325" s="103" t="s">
        <v>1014</v>
      </c>
      <c r="C325" s="36">
        <v>2902</v>
      </c>
      <c r="D325" s="17">
        <f>SUM(C325/$C$327)</f>
        <v>0.51399220687212188</v>
      </c>
      <c r="E325" s="16"/>
    </row>
    <row r="326" spans="1:10" s="2" customFormat="1" ht="16.5" customHeight="1" thickBot="1">
      <c r="A326" s="12" t="s">
        <v>861</v>
      </c>
      <c r="B326" s="80" t="s">
        <v>363</v>
      </c>
      <c r="C326" s="8">
        <v>2744</v>
      </c>
      <c r="D326" s="17">
        <f>SUM(C326/$C$327)</f>
        <v>0.48600779312787812</v>
      </c>
      <c r="E326" s="16"/>
      <c r="G326" s="14"/>
    </row>
    <row r="327" spans="1:10" s="2" customFormat="1" ht="16.5" customHeight="1">
      <c r="A327" s="75"/>
      <c r="B327" s="76"/>
      <c r="C327" s="23">
        <f>SUM(C325:C326)</f>
        <v>5646</v>
      </c>
      <c r="D327" s="17"/>
      <c r="E327" s="10" t="s">
        <v>1874</v>
      </c>
      <c r="F327" s="21">
        <f>(C325-C326)</f>
        <v>158</v>
      </c>
    </row>
    <row r="328" spans="1:10" s="2" customFormat="1" ht="12" customHeight="1">
      <c r="A328" s="1"/>
    </row>
    <row r="329" spans="1:10" s="2" customFormat="1" ht="16.5" customHeight="1">
      <c r="A329" s="1" t="s">
        <v>209</v>
      </c>
      <c r="J329" s="93"/>
    </row>
    <row r="330" spans="1:10" s="2" customFormat="1" ht="9.75" customHeight="1" thickBot="1">
      <c r="A330" s="3"/>
    </row>
    <row r="331" spans="1:10" s="2" customFormat="1" ht="16.5" customHeight="1" thickBot="1">
      <c r="A331" s="4" t="s">
        <v>1244</v>
      </c>
      <c r="B331" s="5" t="s">
        <v>1245</v>
      </c>
      <c r="C331" s="5" t="s">
        <v>1248</v>
      </c>
      <c r="D331" s="10"/>
      <c r="E331" s="10" t="s">
        <v>1413</v>
      </c>
      <c r="F331" s="11">
        <f>(13445/19041)</f>
        <v>0.70610787248568874</v>
      </c>
    </row>
    <row r="332" spans="1:10" s="2" customFormat="1" ht="16.5" customHeight="1" thickBot="1">
      <c r="A332" s="6" t="s">
        <v>206</v>
      </c>
      <c r="B332" s="9" t="s">
        <v>2107</v>
      </c>
      <c r="C332" s="36">
        <v>7126</v>
      </c>
      <c r="D332" s="17">
        <f>SUM(C332/$C$335)</f>
        <v>0.5300111565637784</v>
      </c>
      <c r="E332" s="16"/>
    </row>
    <row r="333" spans="1:10" s="2" customFormat="1" ht="16.5" customHeight="1" thickBot="1">
      <c r="A333" s="12" t="s">
        <v>207</v>
      </c>
      <c r="B333" s="102" t="s">
        <v>1014</v>
      </c>
      <c r="C333" s="8">
        <v>4183</v>
      </c>
      <c r="D333" s="17">
        <f>SUM(C333/$C$335)</f>
        <v>0.31111937523242839</v>
      </c>
      <c r="E333" s="16"/>
      <c r="G333" s="14"/>
    </row>
    <row r="334" spans="1:10" s="2" customFormat="1" ht="16.5" customHeight="1" thickBot="1">
      <c r="A334" s="12" t="s">
        <v>208</v>
      </c>
      <c r="B334" s="78" t="s">
        <v>1032</v>
      </c>
      <c r="C334" s="8">
        <v>2136</v>
      </c>
      <c r="D334" s="17">
        <f>SUM(C334/$C$335)</f>
        <v>0.15886946820379322</v>
      </c>
      <c r="E334" s="16"/>
      <c r="G334" s="14"/>
    </row>
    <row r="335" spans="1:10" s="2" customFormat="1" ht="16.5" customHeight="1">
      <c r="A335" s="75"/>
      <c r="B335" s="76"/>
      <c r="C335" s="23">
        <f>SUM(C332:C334)</f>
        <v>13445</v>
      </c>
      <c r="D335" s="17"/>
      <c r="E335" s="10" t="s">
        <v>1874</v>
      </c>
      <c r="F335" s="21">
        <f>(C332-C333)</f>
        <v>2943</v>
      </c>
    </row>
    <row r="336" spans="1:10" s="2" customFormat="1" ht="12" customHeight="1">
      <c r="A336" s="1"/>
    </row>
    <row r="337" spans="1:12" s="2" customFormat="1" ht="16.5" customHeight="1">
      <c r="A337" s="1" t="s">
        <v>212</v>
      </c>
    </row>
    <row r="338" spans="1:12" s="2" customFormat="1" ht="9.75" customHeight="1" thickBot="1">
      <c r="A338" s="3"/>
    </row>
    <row r="339" spans="1:12" s="2" customFormat="1" ht="16.5" customHeight="1" thickBot="1">
      <c r="A339" s="4" t="s">
        <v>1244</v>
      </c>
      <c r="B339" s="5" t="s">
        <v>1245</v>
      </c>
      <c r="C339" s="5" t="s">
        <v>1248</v>
      </c>
      <c r="D339" s="10"/>
      <c r="E339" s="10" t="s">
        <v>1413</v>
      </c>
      <c r="F339" s="11">
        <f>(12926/18136)</f>
        <v>0.71272606969563301</v>
      </c>
    </row>
    <row r="340" spans="1:12" s="2" customFormat="1" ht="16.5" customHeight="1" thickBot="1">
      <c r="A340" s="6" t="s">
        <v>223</v>
      </c>
      <c r="B340" s="9" t="s">
        <v>2107</v>
      </c>
      <c r="C340" s="36">
        <v>6384</v>
      </c>
      <c r="D340" s="17">
        <f>SUM(C340/$C$343)</f>
        <v>0.49388828717313943</v>
      </c>
      <c r="E340" s="16"/>
    </row>
    <row r="341" spans="1:12" s="2" customFormat="1" ht="16.5" customHeight="1" thickBot="1">
      <c r="A341" s="12" t="s">
        <v>211</v>
      </c>
      <c r="B341" s="102" t="s">
        <v>1014</v>
      </c>
      <c r="C341" s="8">
        <v>4545</v>
      </c>
      <c r="D341" s="17">
        <f>SUM(C341/$C$343)</f>
        <v>0.35161689617824538</v>
      </c>
      <c r="E341" s="16"/>
      <c r="G341" s="14"/>
    </row>
    <row r="342" spans="1:12" s="2" customFormat="1" ht="16.5" customHeight="1" thickBot="1">
      <c r="A342" s="12" t="s">
        <v>857</v>
      </c>
      <c r="B342" s="80" t="s">
        <v>363</v>
      </c>
      <c r="C342" s="8">
        <v>1997</v>
      </c>
      <c r="D342" s="17">
        <f>SUM(C342/$C$343)</f>
        <v>0.1544948166486152</v>
      </c>
      <c r="E342" s="16"/>
      <c r="G342" s="14"/>
    </row>
    <row r="343" spans="1:12" s="2" customFormat="1" ht="16.5" customHeight="1">
      <c r="A343" s="75"/>
      <c r="B343" s="76"/>
      <c r="C343" s="23">
        <f>SUM(C340:C342)</f>
        <v>12926</v>
      </c>
      <c r="D343" s="17"/>
      <c r="E343" s="10" t="s">
        <v>1874</v>
      </c>
      <c r="F343" s="21">
        <f>(C340-C341)</f>
        <v>1839</v>
      </c>
    </row>
    <row r="344" spans="1:12" s="2" customFormat="1" ht="12" customHeight="1">
      <c r="A344" s="1"/>
      <c r="E344"/>
      <c r="L344"/>
    </row>
    <row r="345" spans="1:12" s="2" customFormat="1" ht="16.5" customHeight="1">
      <c r="A345" s="1" t="s">
        <v>214</v>
      </c>
    </row>
    <row r="346" spans="1:12" s="2" customFormat="1" ht="9.75" customHeight="1" thickBot="1">
      <c r="A346" s="3"/>
    </row>
    <row r="347" spans="1:12" s="2" customFormat="1" ht="16.5" customHeight="1" thickBot="1">
      <c r="A347" s="4" t="s">
        <v>1244</v>
      </c>
      <c r="B347" s="5" t="s">
        <v>1245</v>
      </c>
      <c r="C347" s="5" t="s">
        <v>1248</v>
      </c>
      <c r="D347" s="10"/>
      <c r="E347" s="10" t="s">
        <v>1413</v>
      </c>
      <c r="F347" s="11">
        <f>(14710/19504)</f>
        <v>0.75420426579163247</v>
      </c>
    </row>
    <row r="348" spans="1:12" s="2" customFormat="1" ht="16.5" customHeight="1" thickBot="1">
      <c r="A348" s="6" t="s">
        <v>224</v>
      </c>
      <c r="B348" s="103" t="s">
        <v>1014</v>
      </c>
      <c r="C348" s="36">
        <v>9249</v>
      </c>
      <c r="D348" s="17">
        <f>SUM(C348/$C$351)</f>
        <v>0.62875594833446635</v>
      </c>
      <c r="E348" s="16"/>
    </row>
    <row r="349" spans="1:12" s="2" customFormat="1" ht="16.5" customHeight="1" thickBot="1">
      <c r="A349" s="12" t="s">
        <v>603</v>
      </c>
      <c r="B349" s="80" t="s">
        <v>363</v>
      </c>
      <c r="C349" s="8">
        <v>2972</v>
      </c>
      <c r="D349" s="17">
        <f>SUM(C349/$C$351)</f>
        <v>0.20203942895989124</v>
      </c>
      <c r="E349" s="16"/>
      <c r="G349" s="14"/>
    </row>
    <row r="350" spans="1:12" s="2" customFormat="1" ht="16.5" customHeight="1" thickBot="1">
      <c r="A350" s="12" t="s">
        <v>213</v>
      </c>
      <c r="B350" s="27" t="s">
        <v>639</v>
      </c>
      <c r="C350" s="8">
        <v>2489</v>
      </c>
      <c r="D350" s="17">
        <f>SUM(C350/$C$351)</f>
        <v>0.16920462270564243</v>
      </c>
      <c r="E350" s="16"/>
      <c r="G350" s="14"/>
    </row>
    <row r="351" spans="1:12" s="2" customFormat="1" ht="16.5" customHeight="1">
      <c r="A351" s="75"/>
      <c r="B351" s="76"/>
      <c r="C351" s="23">
        <f>SUM(C348:C350)</f>
        <v>14710</v>
      </c>
      <c r="D351" s="17"/>
      <c r="E351" s="10" t="s">
        <v>1874</v>
      </c>
      <c r="F351" s="21">
        <f>(C348-C349)</f>
        <v>6277</v>
      </c>
    </row>
    <row r="352" spans="1:12" s="2" customFormat="1" ht="12" customHeight="1">
      <c r="A352" s="1"/>
    </row>
    <row r="353" spans="1:7" s="2" customFormat="1" ht="16.5" customHeight="1">
      <c r="A353" s="1" t="s">
        <v>215</v>
      </c>
    </row>
    <row r="354" spans="1:7" s="2" customFormat="1" ht="9.75" customHeight="1" thickBot="1">
      <c r="A354" s="3"/>
    </row>
    <row r="355" spans="1:7" s="2" customFormat="1" ht="16.5" customHeight="1" thickBot="1">
      <c r="A355" s="4" t="s">
        <v>1244</v>
      </c>
      <c r="B355" s="5" t="s">
        <v>1245</v>
      </c>
      <c r="C355" s="5" t="s">
        <v>1248</v>
      </c>
      <c r="D355" s="10"/>
      <c r="E355" s="10" t="s">
        <v>1413</v>
      </c>
      <c r="F355" s="11">
        <f>(8494/12427)</f>
        <v>0.68351170837692121</v>
      </c>
    </row>
    <row r="356" spans="1:7" s="2" customFormat="1" ht="16.5" customHeight="1" thickBot="1">
      <c r="A356" s="6" t="s">
        <v>777</v>
      </c>
      <c r="B356" s="103" t="s">
        <v>1014</v>
      </c>
      <c r="C356" s="36">
        <v>4613</v>
      </c>
      <c r="D356" s="17">
        <f>SUM(C356/$C$359)</f>
        <v>0.54308923946315046</v>
      </c>
      <c r="E356" s="16"/>
    </row>
    <row r="357" spans="1:7" s="2" customFormat="1" ht="16.5" customHeight="1" thickBot="1">
      <c r="A357" s="12" t="s">
        <v>225</v>
      </c>
      <c r="B357" s="22" t="s">
        <v>2107</v>
      </c>
      <c r="C357" s="8">
        <v>2134</v>
      </c>
      <c r="D357" s="17">
        <f>SUM(C357/$C$359)</f>
        <v>0.25123616670591004</v>
      </c>
      <c r="E357" s="16"/>
      <c r="G357" s="14"/>
    </row>
    <row r="358" spans="1:7" s="2" customFormat="1" ht="16.5" customHeight="1" thickBot="1">
      <c r="A358" s="12" t="s">
        <v>216</v>
      </c>
      <c r="B358" s="80" t="s">
        <v>363</v>
      </c>
      <c r="C358" s="8">
        <v>1747</v>
      </c>
      <c r="D358" s="17">
        <f>SUM(C358/$C$359)</f>
        <v>0.2056745938309395</v>
      </c>
      <c r="E358" s="16"/>
      <c r="G358" s="14"/>
    </row>
    <row r="359" spans="1:7" s="2" customFormat="1" ht="16.5" customHeight="1">
      <c r="A359" s="75"/>
      <c r="B359" s="76"/>
      <c r="C359" s="23">
        <f>SUM(C356:C358)</f>
        <v>8494</v>
      </c>
      <c r="D359" s="17"/>
      <c r="E359" s="10" t="s">
        <v>1874</v>
      </c>
      <c r="F359" s="21">
        <f>(C356-C357)</f>
        <v>2479</v>
      </c>
    </row>
    <row r="360" spans="1:7" s="2" customFormat="1" ht="12" customHeight="1">
      <c r="A360" s="1"/>
    </row>
    <row r="361" spans="1:7" s="2" customFormat="1" ht="16.5" customHeight="1">
      <c r="A361" s="1" t="s">
        <v>217</v>
      </c>
    </row>
    <row r="362" spans="1:7" s="2" customFormat="1" ht="9.75" customHeight="1" thickBot="1">
      <c r="A362" s="3"/>
    </row>
    <row r="363" spans="1:7" s="2" customFormat="1" ht="16.5" customHeight="1" thickBot="1">
      <c r="A363" s="4" t="s">
        <v>1244</v>
      </c>
      <c r="B363" s="5" t="s">
        <v>1245</v>
      </c>
      <c r="C363" s="5" t="s">
        <v>1248</v>
      </c>
      <c r="D363" s="10"/>
      <c r="E363" s="10"/>
      <c r="F363" s="11"/>
    </row>
    <row r="364" spans="1:7" s="2" customFormat="1" ht="16.5" customHeight="1" thickBot="1">
      <c r="A364" s="6" t="s">
        <v>226</v>
      </c>
      <c r="B364" s="103" t="s">
        <v>1014</v>
      </c>
      <c r="C364" s="100" t="s">
        <v>968</v>
      </c>
      <c r="D364" s="17"/>
      <c r="E364" s="16"/>
    </row>
    <row r="365" spans="1:7" s="2" customFormat="1" ht="12" customHeight="1">
      <c r="A365" s="1"/>
    </row>
    <row r="366" spans="1:7" s="2" customFormat="1" ht="16.5" customHeight="1">
      <c r="A366" s="1" t="s">
        <v>218</v>
      </c>
    </row>
    <row r="367" spans="1:7" s="2" customFormat="1" ht="9.75" customHeight="1" thickBot="1">
      <c r="A367" s="3"/>
    </row>
    <row r="368" spans="1:7" s="2" customFormat="1" ht="16.5" customHeight="1" thickBot="1">
      <c r="A368" s="4" t="s">
        <v>1244</v>
      </c>
      <c r="B368" s="5" t="s">
        <v>1245</v>
      </c>
      <c r="C368" s="5" t="s">
        <v>1248</v>
      </c>
      <c r="D368" s="10"/>
      <c r="E368" s="10" t="s">
        <v>1413</v>
      </c>
      <c r="F368" s="11">
        <f>(14408/19984)</f>
        <v>0.7209767814251401</v>
      </c>
    </row>
    <row r="369" spans="1:7" s="2" customFormat="1" ht="16.5" customHeight="1" thickBot="1">
      <c r="A369" s="6" t="s">
        <v>227</v>
      </c>
      <c r="B369" s="9" t="s">
        <v>2107</v>
      </c>
      <c r="C369" s="36">
        <v>7299</v>
      </c>
      <c r="D369" s="17">
        <f>SUM(C369/$C$372)</f>
        <v>0.50659355913381454</v>
      </c>
      <c r="E369" s="16"/>
    </row>
    <row r="370" spans="1:7" s="2" customFormat="1" ht="16.5" customHeight="1" thickBot="1">
      <c r="A370" s="12" t="s">
        <v>2329</v>
      </c>
      <c r="B370" s="80" t="s">
        <v>363</v>
      </c>
      <c r="C370" s="8">
        <v>3878</v>
      </c>
      <c r="D370" s="17">
        <f>SUM(C370/$C$372)</f>
        <v>0.26915602443087172</v>
      </c>
      <c r="E370" s="16"/>
      <c r="G370" s="14"/>
    </row>
    <row r="371" spans="1:7" s="2" customFormat="1" ht="16.5" customHeight="1" thickBot="1">
      <c r="A371" s="12" t="s">
        <v>219</v>
      </c>
      <c r="B371" s="102" t="s">
        <v>1014</v>
      </c>
      <c r="C371" s="8">
        <v>3231</v>
      </c>
      <c r="D371" s="17">
        <f>SUM(C371/$C$372)</f>
        <v>0.22425041643531371</v>
      </c>
      <c r="E371" s="16"/>
      <c r="G371" s="14"/>
    </row>
    <row r="372" spans="1:7" s="2" customFormat="1" ht="16.5" customHeight="1">
      <c r="A372" s="75"/>
      <c r="B372" s="76"/>
      <c r="C372" s="23">
        <f>SUM(C369:C371)</f>
        <v>14408</v>
      </c>
      <c r="D372" s="17"/>
      <c r="E372" s="10" t="s">
        <v>1874</v>
      </c>
      <c r="F372" s="21">
        <f>(C369-C370)</f>
        <v>3421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43"/>
  <dimension ref="A1:Z155"/>
  <sheetViews>
    <sheetView workbookViewId="0">
      <pane ySplit="1" topLeftCell="A130" activePane="bottomLeft" state="frozen"/>
      <selection pane="bottomLeft" activeCell="J143" sqref="J143"/>
    </sheetView>
  </sheetViews>
  <sheetFormatPr defaultRowHeight="15"/>
  <cols>
    <col min="1" max="1" width="23.85546875" style="47" customWidth="1"/>
    <col min="2" max="2" width="8.7109375" style="47" customWidth="1"/>
    <col min="3" max="6" width="8.7109375" customWidth="1"/>
    <col min="7" max="8" width="7.7109375" customWidth="1"/>
    <col min="9" max="9" width="7.28515625" customWidth="1"/>
    <col min="10" max="10" width="1.42578125" customWidth="1"/>
    <col min="11" max="11" width="6.7109375" style="47" customWidth="1"/>
    <col min="12" max="18" width="5.7109375" customWidth="1"/>
    <col min="19" max="19" width="1.28515625" customWidth="1"/>
    <col min="20" max="26" width="7.7109375" style="61" customWidth="1"/>
  </cols>
  <sheetData>
    <row r="1" spans="1:26">
      <c r="A1" s="47" t="s">
        <v>1528</v>
      </c>
      <c r="B1" s="47" t="s">
        <v>1248</v>
      </c>
      <c r="C1" s="50" t="s">
        <v>1258</v>
      </c>
      <c r="D1" s="49" t="s">
        <v>1257</v>
      </c>
      <c r="E1" s="48" t="s">
        <v>1261</v>
      </c>
      <c r="F1" s="65" t="s">
        <v>1247</v>
      </c>
      <c r="G1" s="66" t="s">
        <v>1529</v>
      </c>
      <c r="H1" s="52" t="s">
        <v>1254</v>
      </c>
      <c r="I1" s="51" t="s">
        <v>1320</v>
      </c>
      <c r="J1" s="47"/>
      <c r="K1" s="47" t="s">
        <v>1250</v>
      </c>
      <c r="L1" s="50" t="s">
        <v>1258</v>
      </c>
      <c r="M1" s="49" t="s">
        <v>1257</v>
      </c>
      <c r="N1" s="48" t="s">
        <v>1261</v>
      </c>
      <c r="O1" s="65" t="s">
        <v>1247</v>
      </c>
      <c r="P1" s="66" t="s">
        <v>1269</v>
      </c>
      <c r="Q1" s="52" t="s">
        <v>1254</v>
      </c>
      <c r="R1" s="51" t="s">
        <v>1320</v>
      </c>
      <c r="T1" s="57" t="s">
        <v>1258</v>
      </c>
      <c r="U1" s="58" t="s">
        <v>1257</v>
      </c>
      <c r="V1" s="48" t="s">
        <v>1261</v>
      </c>
      <c r="W1" s="65" t="s">
        <v>1247</v>
      </c>
      <c r="X1" s="66" t="s">
        <v>1529</v>
      </c>
      <c r="Y1" s="60" t="s">
        <v>1254</v>
      </c>
      <c r="Z1" s="59" t="s">
        <v>1320</v>
      </c>
    </row>
    <row r="2" spans="1:26">
      <c r="A2" s="56" t="s">
        <v>1534</v>
      </c>
      <c r="B2" s="54">
        <f>SUM(C2:I2)</f>
        <v>8746</v>
      </c>
      <c r="C2" s="55">
        <v>1370</v>
      </c>
      <c r="D2" s="55">
        <v>1640</v>
      </c>
      <c r="E2" s="55">
        <v>530</v>
      </c>
      <c r="F2" s="55">
        <v>4829</v>
      </c>
      <c r="G2" s="55">
        <v>0</v>
      </c>
      <c r="H2" s="55">
        <v>377</v>
      </c>
      <c r="I2" s="55">
        <v>0</v>
      </c>
      <c r="K2" s="54">
        <f>SUM(L2:R2)</f>
        <v>6</v>
      </c>
      <c r="L2" s="55">
        <v>1</v>
      </c>
      <c r="M2" s="55">
        <v>1</v>
      </c>
      <c r="N2" s="55">
        <v>0</v>
      </c>
      <c r="O2" s="55">
        <v>4</v>
      </c>
      <c r="P2" s="55">
        <v>0</v>
      </c>
      <c r="Q2" s="55">
        <v>0</v>
      </c>
      <c r="R2" s="55">
        <v>0</v>
      </c>
      <c r="T2" s="61">
        <f>SUM(C2/B2)</f>
        <v>0.15664303681683056</v>
      </c>
      <c r="U2" s="61">
        <f>SUM(D2/B2)</f>
        <v>0.18751429224788474</v>
      </c>
      <c r="V2" s="61">
        <f>SUM(E2/B2)</f>
        <v>6.0599131031328607E-2</v>
      </c>
      <c r="W2" s="61">
        <f>SUM(F2/B2)</f>
        <v>0.55213812028355824</v>
      </c>
      <c r="X2" s="61">
        <f>SUM(G2/B2)</f>
        <v>0</v>
      </c>
      <c r="Y2" s="61">
        <f>SUM(H2/B2)</f>
        <v>4.3105419620397899E-2</v>
      </c>
      <c r="Z2" s="61">
        <f>SUM(I2/B2)</f>
        <v>0</v>
      </c>
    </row>
    <row r="3" spans="1:26">
      <c r="A3" s="56" t="s">
        <v>1535</v>
      </c>
      <c r="B3" s="54">
        <f>SUM(C3:I3)</f>
        <v>6460</v>
      </c>
      <c r="C3" s="55">
        <v>1390</v>
      </c>
      <c r="D3" s="55">
        <v>2204</v>
      </c>
      <c r="E3" s="55">
        <v>834</v>
      </c>
      <c r="F3" s="55">
        <v>1388</v>
      </c>
      <c r="G3" s="55">
        <v>0</v>
      </c>
      <c r="H3" s="55">
        <v>644</v>
      </c>
      <c r="I3" s="55">
        <v>0</v>
      </c>
      <c r="K3" s="54">
        <f>SUM(L3:R3)</f>
        <v>5</v>
      </c>
      <c r="L3" s="55">
        <v>1</v>
      </c>
      <c r="M3" s="55">
        <v>2</v>
      </c>
      <c r="N3" s="55">
        <v>1</v>
      </c>
      <c r="O3" s="55">
        <v>1</v>
      </c>
      <c r="P3" s="55">
        <v>0</v>
      </c>
      <c r="Q3" s="55">
        <v>0</v>
      </c>
      <c r="R3" s="55">
        <v>0</v>
      </c>
      <c r="T3" s="61">
        <f>SUM(C3/B3)</f>
        <v>0.21517027863777088</v>
      </c>
      <c r="U3" s="61">
        <f>SUM(D3/B3)</f>
        <v>0.3411764705882353</v>
      </c>
      <c r="V3" s="61">
        <f>SUM(E3/B3)</f>
        <v>0.12910216718266254</v>
      </c>
      <c r="W3" s="61">
        <f>SUM(F3/B3)</f>
        <v>0.21486068111455109</v>
      </c>
      <c r="X3" s="61">
        <f>SUM(G3/B3)</f>
        <v>0</v>
      </c>
      <c r="Y3" s="61">
        <f>SUM(H3/B3)</f>
        <v>9.9690402476780182E-2</v>
      </c>
      <c r="Z3" s="61">
        <f>SUM(I3/B3)</f>
        <v>0</v>
      </c>
    </row>
    <row r="4" spans="1:26">
      <c r="A4" s="56" t="s">
        <v>1536</v>
      </c>
      <c r="B4" s="54">
        <f>SUM(C4:I4)</f>
        <v>7426</v>
      </c>
      <c r="C4" s="55">
        <v>714</v>
      </c>
      <c r="D4" s="55">
        <v>1429</v>
      </c>
      <c r="E4" s="55">
        <v>1265</v>
      </c>
      <c r="F4" s="55">
        <v>3014</v>
      </c>
      <c r="G4" s="55">
        <v>0</v>
      </c>
      <c r="H4" s="55">
        <v>1004</v>
      </c>
      <c r="I4" s="55">
        <v>0</v>
      </c>
      <c r="K4" s="54">
        <f>SUM(L4:R4)</f>
        <v>5</v>
      </c>
      <c r="L4" s="55">
        <v>0</v>
      </c>
      <c r="M4" s="55">
        <v>1</v>
      </c>
      <c r="N4" s="55">
        <v>1</v>
      </c>
      <c r="O4" s="55">
        <v>2</v>
      </c>
      <c r="P4" s="55">
        <v>0</v>
      </c>
      <c r="Q4" s="55">
        <v>1</v>
      </c>
      <c r="R4" s="55">
        <v>0</v>
      </c>
      <c r="T4" s="61">
        <f>SUM(C4/B4)</f>
        <v>9.6148666846215994E-2</v>
      </c>
      <c r="U4" s="61">
        <f>SUM(D4/B4)</f>
        <v>0.19243199569081604</v>
      </c>
      <c r="V4" s="61">
        <f>SUM(E4/B4)</f>
        <v>0.17034742795583085</v>
      </c>
      <c r="W4" s="61">
        <f>SUM(F4/B4)</f>
        <v>0.40587126312954486</v>
      </c>
      <c r="X4" s="61">
        <f>SUM(G4/B4)</f>
        <v>0</v>
      </c>
      <c r="Y4" s="61">
        <f>SUM(H4/B4)</f>
        <v>0.13520064637759224</v>
      </c>
      <c r="Z4" s="61">
        <f>SUM(I4/B4)</f>
        <v>0</v>
      </c>
    </row>
    <row r="5" spans="1:26">
      <c r="A5" s="56" t="s">
        <v>1537</v>
      </c>
      <c r="B5" s="54">
        <f>SUM(C5:I5)</f>
        <v>8204</v>
      </c>
      <c r="C5" s="55">
        <v>1858</v>
      </c>
      <c r="D5" s="55">
        <v>2123</v>
      </c>
      <c r="E5" s="55">
        <v>1238</v>
      </c>
      <c r="F5" s="55">
        <v>2045</v>
      </c>
      <c r="G5" s="55">
        <v>119</v>
      </c>
      <c r="H5" s="55">
        <v>821</v>
      </c>
      <c r="I5" s="55">
        <v>0</v>
      </c>
      <c r="J5" s="55"/>
      <c r="K5" s="54">
        <f>SUM(L5:R5)</f>
        <v>7</v>
      </c>
      <c r="L5" s="55">
        <v>2</v>
      </c>
      <c r="M5" s="55">
        <v>2</v>
      </c>
      <c r="N5" s="55">
        <v>1</v>
      </c>
      <c r="O5" s="55">
        <v>2</v>
      </c>
      <c r="P5" s="55">
        <v>0</v>
      </c>
      <c r="Q5" s="55">
        <v>0</v>
      </c>
      <c r="R5" s="55">
        <v>0</v>
      </c>
      <c r="T5" s="61">
        <f>SUM(C5/B5)</f>
        <v>0.22647489029741588</v>
      </c>
      <c r="U5" s="61">
        <f>SUM(D5/B5)</f>
        <v>0.25877620672842516</v>
      </c>
      <c r="V5" s="61">
        <f>SUM(E5/B5)</f>
        <v>0.15090199902486592</v>
      </c>
      <c r="W5" s="61">
        <f>SUM(F5/B5)</f>
        <v>0.24926864943929791</v>
      </c>
      <c r="X5" s="61">
        <f>SUM(G5/B5)</f>
        <v>1.4505119453924915E-2</v>
      </c>
      <c r="Y5" s="61">
        <f>SUM(H5/B5)</f>
        <v>0.10007313505607021</v>
      </c>
      <c r="Z5" s="61">
        <f>SUM(I5/B5)</f>
        <v>0</v>
      </c>
    </row>
    <row r="6" spans="1:26" s="52" customFormat="1">
      <c r="A6" s="53" t="s">
        <v>1532</v>
      </c>
      <c r="B6" s="54">
        <f>SUM(B2:B5)</f>
        <v>30836</v>
      </c>
      <c r="C6" s="54">
        <f t="shared" ref="C6:R6" si="0">SUM(C2:C5)</f>
        <v>5332</v>
      </c>
      <c r="D6" s="54">
        <f t="shared" si="0"/>
        <v>7396</v>
      </c>
      <c r="E6" s="54">
        <f>SUM(E2:E5)</f>
        <v>3867</v>
      </c>
      <c r="F6" s="54">
        <f t="shared" si="0"/>
        <v>11276</v>
      </c>
      <c r="G6" s="54">
        <f t="shared" si="0"/>
        <v>119</v>
      </c>
      <c r="H6" s="54">
        <f>SUM(H2:H5)</f>
        <v>2846</v>
      </c>
      <c r="I6" s="54">
        <f t="shared" si="0"/>
        <v>0</v>
      </c>
      <c r="J6" s="54"/>
      <c r="K6" s="54">
        <f t="shared" si="0"/>
        <v>23</v>
      </c>
      <c r="L6" s="54">
        <f t="shared" si="0"/>
        <v>4</v>
      </c>
      <c r="M6" s="54">
        <f t="shared" si="0"/>
        <v>6</v>
      </c>
      <c r="N6" s="54">
        <f>SUM(N2:N5)</f>
        <v>3</v>
      </c>
      <c r="O6" s="54">
        <f t="shared" si="0"/>
        <v>9</v>
      </c>
      <c r="P6" s="54">
        <f t="shared" si="0"/>
        <v>0</v>
      </c>
      <c r="Q6" s="54">
        <f>SUM(Q2:Q5)</f>
        <v>1</v>
      </c>
      <c r="R6" s="54">
        <f t="shared" si="0"/>
        <v>0</v>
      </c>
      <c r="T6" s="60">
        <f>SUM(C6/B6)</f>
        <v>0.1729147749383837</v>
      </c>
      <c r="U6" s="60">
        <f>SUM(D6/B6)</f>
        <v>0.23984952652743546</v>
      </c>
      <c r="V6" s="60">
        <f>SUM(E6/B6)</f>
        <v>0.12540537034634841</v>
      </c>
      <c r="W6" s="60">
        <f>SUM(F6/B6)</f>
        <v>0.36567648203398623</v>
      </c>
      <c r="X6" s="60">
        <f>SUM(G6/B6)</f>
        <v>3.8591256972369957E-3</v>
      </c>
      <c r="Y6" s="60">
        <f>SUM(H6/B6)</f>
        <v>9.2294720456609164E-2</v>
      </c>
      <c r="Z6" s="60">
        <f>SUM(I6/B6)</f>
        <v>0</v>
      </c>
    </row>
    <row r="7" spans="1:26">
      <c r="A7" s="53"/>
      <c r="B7" s="54"/>
      <c r="C7" s="55"/>
      <c r="D7" s="55"/>
      <c r="E7" s="55"/>
      <c r="F7" s="55"/>
      <c r="G7" s="55"/>
      <c r="H7" s="55"/>
      <c r="I7" s="55"/>
      <c r="K7" s="54"/>
      <c r="L7" s="55"/>
      <c r="M7" s="55"/>
      <c r="N7" s="55"/>
      <c r="O7" s="55"/>
      <c r="P7" s="55"/>
      <c r="Q7" s="55"/>
      <c r="R7" s="55"/>
    </row>
    <row r="8" spans="1:26">
      <c r="A8" s="56" t="s">
        <v>1538</v>
      </c>
      <c r="B8" s="54">
        <f>SUM(C8:I8)</f>
        <v>7956</v>
      </c>
      <c r="C8" s="55">
        <v>1764</v>
      </c>
      <c r="D8" s="55">
        <v>1084</v>
      </c>
      <c r="E8" s="55">
        <v>1245</v>
      </c>
      <c r="F8" s="55">
        <v>3863</v>
      </c>
      <c r="G8" s="55">
        <v>0</v>
      </c>
      <c r="H8" s="55">
        <v>0</v>
      </c>
      <c r="I8" s="55">
        <v>0</v>
      </c>
      <c r="K8" s="54">
        <f>SUM(L8:R8)</f>
        <v>7</v>
      </c>
      <c r="L8" s="55">
        <v>1</v>
      </c>
      <c r="M8" s="55">
        <v>1</v>
      </c>
      <c r="N8" s="55">
        <v>1</v>
      </c>
      <c r="O8" s="55">
        <v>4</v>
      </c>
      <c r="P8" s="55">
        <v>0</v>
      </c>
      <c r="Q8" s="55">
        <v>0</v>
      </c>
      <c r="R8" s="55">
        <v>0</v>
      </c>
      <c r="T8" s="61">
        <f>SUM(C8/B8)</f>
        <v>0.22171945701357465</v>
      </c>
      <c r="U8" s="61">
        <f>SUM(D8/B8)</f>
        <v>0.13624937154348918</v>
      </c>
      <c r="V8" s="61">
        <f>SUM(E8/B8)</f>
        <v>0.15648567119155354</v>
      </c>
      <c r="W8" s="61">
        <f>SUM(F8/B8)</f>
        <v>0.4855455002513826</v>
      </c>
      <c r="X8" s="61">
        <f>SUM(G8/B8)</f>
        <v>0</v>
      </c>
      <c r="Y8" s="61">
        <f>SUM(H8/B8)</f>
        <v>0</v>
      </c>
      <c r="Z8" s="61">
        <f>SUM(I8/B8)</f>
        <v>0</v>
      </c>
    </row>
    <row r="9" spans="1:26">
      <c r="A9" s="56" t="s">
        <v>1539</v>
      </c>
      <c r="B9" s="54">
        <f>SUM(C9:I9)</f>
        <v>8063</v>
      </c>
      <c r="C9" s="55">
        <v>796</v>
      </c>
      <c r="D9" s="55">
        <v>1152</v>
      </c>
      <c r="E9" s="55">
        <v>910</v>
      </c>
      <c r="F9" s="55">
        <v>4552</v>
      </c>
      <c r="G9" s="55">
        <v>0</v>
      </c>
      <c r="H9" s="55">
        <v>653</v>
      </c>
      <c r="I9" s="55">
        <v>0</v>
      </c>
      <c r="K9" s="54">
        <f>SUM(L9:R9)</f>
        <v>7</v>
      </c>
      <c r="L9" s="55">
        <v>1</v>
      </c>
      <c r="M9" s="55">
        <v>1</v>
      </c>
      <c r="N9" s="55">
        <v>1</v>
      </c>
      <c r="O9" s="55">
        <v>4</v>
      </c>
      <c r="P9" s="55">
        <v>0</v>
      </c>
      <c r="Q9" s="55">
        <v>0</v>
      </c>
      <c r="R9" s="55">
        <v>0</v>
      </c>
      <c r="T9" s="61">
        <f>SUM(C9/B9)</f>
        <v>9.8722559841250154E-2</v>
      </c>
      <c r="U9" s="61">
        <f>SUM(D9/B9)</f>
        <v>0.14287486047376907</v>
      </c>
      <c r="V9" s="61">
        <f>SUM(E9/B9)</f>
        <v>0.11286121790896689</v>
      </c>
      <c r="W9" s="61">
        <f>SUM(F9/B9)</f>
        <v>0.56455413617760142</v>
      </c>
      <c r="X9" s="61">
        <f>SUM(G9/B9)</f>
        <v>0</v>
      </c>
      <c r="Y9" s="61">
        <f>SUM(H9/B9)</f>
        <v>8.0987225598412496E-2</v>
      </c>
      <c r="Z9" s="61">
        <f>SUM(I9/B9)</f>
        <v>0</v>
      </c>
    </row>
    <row r="10" spans="1:26">
      <c r="A10" s="56" t="s">
        <v>1657</v>
      </c>
      <c r="B10" s="54">
        <f>SUM(C10:I10)</f>
        <v>6058</v>
      </c>
      <c r="C10" s="55">
        <v>1064</v>
      </c>
      <c r="D10" s="55">
        <v>926</v>
      </c>
      <c r="E10" s="55">
        <v>788</v>
      </c>
      <c r="F10" s="55">
        <v>1938</v>
      </c>
      <c r="G10" s="55">
        <v>324</v>
      </c>
      <c r="H10" s="55">
        <v>1018</v>
      </c>
      <c r="I10" s="55">
        <v>0</v>
      </c>
      <c r="K10" s="54">
        <f>SUM(L10:R10)</f>
        <v>7</v>
      </c>
      <c r="L10" s="55">
        <v>1</v>
      </c>
      <c r="M10" s="55">
        <v>1</v>
      </c>
      <c r="N10" s="55">
        <v>1</v>
      </c>
      <c r="O10" s="55">
        <v>2</v>
      </c>
      <c r="P10" s="55">
        <v>0</v>
      </c>
      <c r="Q10" s="55">
        <v>2</v>
      </c>
      <c r="R10" s="55">
        <v>0</v>
      </c>
      <c r="T10" s="61">
        <f>SUM(C10/B10)</f>
        <v>0.17563552327500825</v>
      </c>
      <c r="U10" s="61">
        <f>SUM(D10/B10)</f>
        <v>0.1528557279630241</v>
      </c>
      <c r="V10" s="61">
        <f>SUM(E10/B10)</f>
        <v>0.13007593265103995</v>
      </c>
      <c r="W10" s="61">
        <f>SUM(F10/B10)</f>
        <v>0.31990756025090789</v>
      </c>
      <c r="X10" s="61">
        <f>SUM(G10/B10)</f>
        <v>5.3482997689006273E-2</v>
      </c>
      <c r="Y10" s="61">
        <f>SUM(H10/B10)</f>
        <v>0.16804225817101354</v>
      </c>
      <c r="Z10" s="61">
        <f>SUM(I10/B10)</f>
        <v>0</v>
      </c>
    </row>
    <row r="11" spans="1:26" s="52" customFormat="1">
      <c r="A11" s="53" t="s">
        <v>1531</v>
      </c>
      <c r="B11" s="54">
        <f>SUM(B8:B10)</f>
        <v>22077</v>
      </c>
      <c r="C11" s="54">
        <f t="shared" ref="C11:R11" si="1">SUM(C8:C10)</f>
        <v>3624</v>
      </c>
      <c r="D11" s="54">
        <f t="shared" si="1"/>
        <v>3162</v>
      </c>
      <c r="E11" s="54">
        <f>SUM(E8:E10)</f>
        <v>2943</v>
      </c>
      <c r="F11" s="54">
        <f t="shared" si="1"/>
        <v>10353</v>
      </c>
      <c r="G11" s="54">
        <f t="shared" si="1"/>
        <v>324</v>
      </c>
      <c r="H11" s="54">
        <f>SUM(H8:H10)</f>
        <v>1671</v>
      </c>
      <c r="I11" s="54">
        <f t="shared" si="1"/>
        <v>0</v>
      </c>
      <c r="J11" s="54"/>
      <c r="K11" s="54">
        <f t="shared" si="1"/>
        <v>21</v>
      </c>
      <c r="L11" s="54">
        <f t="shared" si="1"/>
        <v>3</v>
      </c>
      <c r="M11" s="54">
        <f t="shared" si="1"/>
        <v>3</v>
      </c>
      <c r="N11" s="54">
        <f>SUM(N8:N10)</f>
        <v>3</v>
      </c>
      <c r="O11" s="54">
        <f t="shared" si="1"/>
        <v>10</v>
      </c>
      <c r="P11" s="54">
        <f t="shared" si="1"/>
        <v>0</v>
      </c>
      <c r="Q11" s="54">
        <f>SUM(Q8:Q10)</f>
        <v>2</v>
      </c>
      <c r="R11" s="54">
        <f t="shared" si="1"/>
        <v>0</v>
      </c>
      <c r="T11" s="60">
        <f>SUM(C11/B11)</f>
        <v>0.16415273814376954</v>
      </c>
      <c r="U11" s="60">
        <f>SUM(D11/B11)</f>
        <v>0.14322598179100421</v>
      </c>
      <c r="V11" s="60">
        <f>SUM(E11/B11)</f>
        <v>0.1333061557276804</v>
      </c>
      <c r="W11" s="60">
        <f>SUM(F11/B11)</f>
        <v>0.46894958554151378</v>
      </c>
      <c r="X11" s="60">
        <f>SUM(G11/B11)</f>
        <v>1.4675907052588666E-2</v>
      </c>
      <c r="Y11" s="60">
        <f>SUM(H11/B11)</f>
        <v>7.5689631743443397E-2</v>
      </c>
      <c r="Z11" s="60">
        <f>SUM(I11/B11)</f>
        <v>0</v>
      </c>
    </row>
    <row r="12" spans="1:26">
      <c r="A12" s="53"/>
      <c r="B12" s="54"/>
      <c r="C12" s="55"/>
      <c r="D12" s="55"/>
      <c r="E12" s="55"/>
      <c r="F12" s="55"/>
      <c r="G12" s="55"/>
      <c r="H12" s="55"/>
      <c r="I12" s="55"/>
      <c r="K12" s="54"/>
      <c r="L12" s="55"/>
      <c r="M12" s="55"/>
      <c r="N12" s="55"/>
      <c r="O12" s="55"/>
      <c r="P12" s="55"/>
      <c r="Q12" s="55"/>
      <c r="R12" s="55"/>
    </row>
    <row r="13" spans="1:26">
      <c r="A13" s="56" t="s">
        <v>1540</v>
      </c>
      <c r="B13" s="54">
        <f>SUM(C13:I13)</f>
        <v>5924</v>
      </c>
      <c r="C13" s="55">
        <v>1457</v>
      </c>
      <c r="D13" s="55">
        <v>1344</v>
      </c>
      <c r="E13" s="55">
        <v>274</v>
      </c>
      <c r="F13" s="55">
        <v>2382</v>
      </c>
      <c r="G13" s="55">
        <v>0</v>
      </c>
      <c r="H13" s="55">
        <v>467</v>
      </c>
      <c r="I13" s="55">
        <v>0</v>
      </c>
      <c r="K13" s="54">
        <f>SUM(L13:R13)</f>
        <v>5</v>
      </c>
      <c r="L13" s="55">
        <v>1</v>
      </c>
      <c r="M13" s="55">
        <v>1</v>
      </c>
      <c r="N13" s="55">
        <v>0</v>
      </c>
      <c r="O13" s="55">
        <v>3</v>
      </c>
      <c r="P13" s="55">
        <v>0</v>
      </c>
      <c r="Q13" s="55">
        <v>0</v>
      </c>
      <c r="R13" s="55">
        <v>0</v>
      </c>
      <c r="T13" s="61">
        <f>SUM(C13/B13)</f>
        <v>0.24594868332207967</v>
      </c>
      <c r="U13" s="61">
        <f>SUM(D13/B13)</f>
        <v>0.22687373396353816</v>
      </c>
      <c r="V13" s="61">
        <f>SUM(E13/B13)</f>
        <v>4.6252532072923701E-2</v>
      </c>
      <c r="W13" s="61">
        <f>SUM(F13/B13)</f>
        <v>0.40209318028359214</v>
      </c>
      <c r="X13" s="61">
        <f>SUM(G13/B13)</f>
        <v>0</v>
      </c>
      <c r="Y13" s="61">
        <f>SUM(H13/B13)</f>
        <v>7.8831870357866304E-2</v>
      </c>
      <c r="Z13" s="61">
        <f>SUM(I13/B13)</f>
        <v>0</v>
      </c>
    </row>
    <row r="14" spans="1:26">
      <c r="A14" s="56" t="s">
        <v>1541</v>
      </c>
      <c r="B14" s="54">
        <f>SUM(C14:I14)</f>
        <v>5392</v>
      </c>
      <c r="C14" s="55">
        <v>2582</v>
      </c>
      <c r="D14" s="55">
        <v>537</v>
      </c>
      <c r="E14" s="55">
        <v>565</v>
      </c>
      <c r="F14" s="55">
        <v>1708</v>
      </c>
      <c r="G14" s="55">
        <v>0</v>
      </c>
      <c r="H14" s="55">
        <v>0</v>
      </c>
      <c r="I14" s="55">
        <v>0</v>
      </c>
      <c r="K14" s="54">
        <f>SUM(L14:R14)</f>
        <v>5</v>
      </c>
      <c r="L14" s="55">
        <v>3</v>
      </c>
      <c r="M14" s="55">
        <v>0</v>
      </c>
      <c r="N14" s="55">
        <v>0</v>
      </c>
      <c r="O14" s="55">
        <v>2</v>
      </c>
      <c r="P14" s="55">
        <v>0</v>
      </c>
      <c r="Q14" s="55">
        <v>0</v>
      </c>
      <c r="R14" s="55">
        <v>0</v>
      </c>
      <c r="T14" s="61">
        <f>SUM(C14/B14)</f>
        <v>0.47885756676557861</v>
      </c>
      <c r="U14" s="61">
        <f>SUM(D14/B14)</f>
        <v>9.9591988130563802E-2</v>
      </c>
      <c r="V14" s="61">
        <f>SUM(E14/B14)</f>
        <v>0.10478486646884273</v>
      </c>
      <c r="W14" s="61">
        <f>SUM(F14/B14)</f>
        <v>0.31676557863501481</v>
      </c>
      <c r="X14" s="61">
        <f>SUM(G14/B14)</f>
        <v>0</v>
      </c>
      <c r="Y14" s="61">
        <f>SUM(H14/B14)</f>
        <v>0</v>
      </c>
      <c r="Z14" s="61">
        <f>SUM(I14/B14)</f>
        <v>0</v>
      </c>
    </row>
    <row r="15" spans="1:26">
      <c r="A15" s="56" t="s">
        <v>1655</v>
      </c>
      <c r="B15" s="54">
        <f>SUM(C15:I15)</f>
        <v>6078</v>
      </c>
      <c r="C15" s="55">
        <v>0</v>
      </c>
      <c r="D15" s="55">
        <v>478</v>
      </c>
      <c r="E15" s="55">
        <v>766</v>
      </c>
      <c r="F15" s="55">
        <v>2744</v>
      </c>
      <c r="G15" s="55">
        <v>0</v>
      </c>
      <c r="H15" s="55">
        <v>2090</v>
      </c>
      <c r="I15" s="55">
        <v>0</v>
      </c>
      <c r="K15" s="54">
        <f>SUM(L15:R15)</f>
        <v>6</v>
      </c>
      <c r="L15" s="55">
        <v>0</v>
      </c>
      <c r="M15" s="55">
        <v>0</v>
      </c>
      <c r="N15" s="55">
        <v>1</v>
      </c>
      <c r="O15" s="55">
        <v>3</v>
      </c>
      <c r="P15" s="55">
        <v>0</v>
      </c>
      <c r="Q15" s="55">
        <v>2</v>
      </c>
      <c r="R15" s="55">
        <v>0</v>
      </c>
      <c r="T15" s="61">
        <f>SUM(C15/B15)</f>
        <v>0</v>
      </c>
      <c r="U15" s="61">
        <f>SUM(D15/B15)</f>
        <v>7.864429088515959E-2</v>
      </c>
      <c r="V15" s="61">
        <f>SUM(E15/B15)</f>
        <v>0.12602829878249425</v>
      </c>
      <c r="W15" s="61">
        <f>SUM(F15/B15)</f>
        <v>0.45146429746627181</v>
      </c>
      <c r="X15" s="61">
        <f>SUM(G15/B15)</f>
        <v>0</v>
      </c>
      <c r="Y15" s="61">
        <f>SUM(H15/B15)</f>
        <v>0.34386311286607435</v>
      </c>
      <c r="Z15" s="61">
        <f>SUM(I15/B15)</f>
        <v>0</v>
      </c>
    </row>
    <row r="16" spans="1:26" s="52" customFormat="1">
      <c r="A16" s="53" t="s">
        <v>1533</v>
      </c>
      <c r="B16" s="54">
        <f>SUM(B13:B15)</f>
        <v>17394</v>
      </c>
      <c r="C16" s="54">
        <f t="shared" ref="C16:R16" si="2">SUM(C13:C15)</f>
        <v>4039</v>
      </c>
      <c r="D16" s="54">
        <f t="shared" si="2"/>
        <v>2359</v>
      </c>
      <c r="E16" s="54">
        <f>SUM(E13:E15)</f>
        <v>1605</v>
      </c>
      <c r="F16" s="54">
        <f t="shared" si="2"/>
        <v>6834</v>
      </c>
      <c r="G16" s="54">
        <f t="shared" si="2"/>
        <v>0</v>
      </c>
      <c r="H16" s="54">
        <f>SUM(H13:H15)</f>
        <v>2557</v>
      </c>
      <c r="I16" s="54">
        <f t="shared" si="2"/>
        <v>0</v>
      </c>
      <c r="J16" s="54"/>
      <c r="K16" s="54">
        <f t="shared" si="2"/>
        <v>16</v>
      </c>
      <c r="L16" s="54">
        <f t="shared" si="2"/>
        <v>4</v>
      </c>
      <c r="M16" s="54">
        <f t="shared" si="2"/>
        <v>1</v>
      </c>
      <c r="N16" s="54">
        <f>SUM(N13:N15)</f>
        <v>1</v>
      </c>
      <c r="O16" s="54">
        <f t="shared" si="2"/>
        <v>8</v>
      </c>
      <c r="P16" s="54">
        <f t="shared" si="2"/>
        <v>0</v>
      </c>
      <c r="Q16" s="54">
        <f>SUM(Q13:Q15)</f>
        <v>2</v>
      </c>
      <c r="R16" s="54">
        <f t="shared" si="2"/>
        <v>0</v>
      </c>
      <c r="T16" s="60">
        <f>SUM(C16/B16)</f>
        <v>0.23220650799126136</v>
      </c>
      <c r="U16" s="60">
        <f>SUM(D16/B16)</f>
        <v>0.13562147867080601</v>
      </c>
      <c r="V16" s="60">
        <f>SUM(E16/B16)</f>
        <v>9.2273197654363578E-2</v>
      </c>
      <c r="W16" s="60">
        <f>SUM(F16/B16)</f>
        <v>0.39289410141428077</v>
      </c>
      <c r="X16" s="60">
        <f>SUM(G16/B16)</f>
        <v>0</v>
      </c>
      <c r="Y16" s="60">
        <f>SUM(H16/B16)</f>
        <v>0.14700471426928827</v>
      </c>
      <c r="Z16" s="60">
        <f>SUM(I16/B16)</f>
        <v>0</v>
      </c>
    </row>
    <row r="17" spans="1:26">
      <c r="A17" s="53"/>
      <c r="B17" s="54"/>
      <c r="C17" s="55"/>
      <c r="D17" s="55"/>
      <c r="E17" s="55"/>
      <c r="F17" s="55"/>
      <c r="G17" s="55"/>
      <c r="H17" s="55"/>
      <c r="I17" s="55"/>
      <c r="K17" s="54"/>
      <c r="L17" s="55"/>
      <c r="M17" s="55"/>
      <c r="N17" s="55"/>
      <c r="O17" s="55"/>
      <c r="P17" s="55"/>
      <c r="Q17" s="55"/>
      <c r="R17" s="55"/>
    </row>
    <row r="18" spans="1:26">
      <c r="A18" s="56" t="s">
        <v>1543</v>
      </c>
      <c r="B18" s="54">
        <f>SUM(C18:I18)</f>
        <v>6141</v>
      </c>
      <c r="C18" s="55">
        <v>2021</v>
      </c>
      <c r="D18" s="55">
        <v>1572</v>
      </c>
      <c r="E18" s="55">
        <v>640</v>
      </c>
      <c r="F18" s="55">
        <v>1660</v>
      </c>
      <c r="G18" s="55">
        <v>0</v>
      </c>
      <c r="H18" s="55">
        <v>248</v>
      </c>
      <c r="I18" s="55">
        <v>0</v>
      </c>
      <c r="K18" s="54">
        <f>SUM(L18:R18)</f>
        <v>5</v>
      </c>
      <c r="L18" s="55">
        <v>2</v>
      </c>
      <c r="M18" s="55">
        <v>1</v>
      </c>
      <c r="N18" s="55">
        <v>1</v>
      </c>
      <c r="O18" s="55">
        <v>1</v>
      </c>
      <c r="P18" s="55">
        <v>0</v>
      </c>
      <c r="Q18" s="55">
        <v>0</v>
      </c>
      <c r="R18" s="55">
        <v>0</v>
      </c>
      <c r="T18" s="61">
        <f>SUM(C18/B18)</f>
        <v>0.32909949519622211</v>
      </c>
      <c r="U18" s="61">
        <f>SUM(D18/B18)</f>
        <v>0.25598436736687835</v>
      </c>
      <c r="V18" s="61">
        <f>SUM(E18/B18)</f>
        <v>0.10421755414427618</v>
      </c>
      <c r="W18" s="61">
        <f>SUM(F18/B18)</f>
        <v>0.27031428106171634</v>
      </c>
      <c r="X18" s="61">
        <f>SUM(G18/B18)</f>
        <v>0</v>
      </c>
      <c r="Y18" s="61">
        <f>SUM(H18/B18)</f>
        <v>4.038430223090702E-2</v>
      </c>
      <c r="Z18" s="61">
        <f>SUM(I18/B18)</f>
        <v>0</v>
      </c>
    </row>
    <row r="19" spans="1:26">
      <c r="A19" s="56" t="s">
        <v>1542</v>
      </c>
      <c r="B19" s="54">
        <f>SUM(C19:I19)</f>
        <v>5714</v>
      </c>
      <c r="C19" s="55">
        <v>1643</v>
      </c>
      <c r="D19" s="55">
        <v>1242</v>
      </c>
      <c r="E19" s="55">
        <v>1046</v>
      </c>
      <c r="F19" s="55">
        <v>1783</v>
      </c>
      <c r="G19" s="55">
        <v>0</v>
      </c>
      <c r="H19" s="55">
        <v>0</v>
      </c>
      <c r="I19" s="55">
        <v>0</v>
      </c>
      <c r="K19" s="54">
        <f>SUM(L19:R19)</f>
        <v>5</v>
      </c>
      <c r="L19" s="55">
        <v>2</v>
      </c>
      <c r="M19" s="55">
        <v>1</v>
      </c>
      <c r="N19" s="55">
        <v>1</v>
      </c>
      <c r="O19" s="55">
        <v>1</v>
      </c>
      <c r="P19" s="55">
        <v>0</v>
      </c>
      <c r="Q19" s="55">
        <v>0</v>
      </c>
      <c r="R19" s="55">
        <v>0</v>
      </c>
      <c r="T19" s="61">
        <f>SUM(C19/B19)</f>
        <v>0.28753937696884846</v>
      </c>
      <c r="U19" s="61">
        <f>SUM(D19/B19)</f>
        <v>0.21736086804340218</v>
      </c>
      <c r="V19" s="61">
        <f>SUM(E19/B19)</f>
        <v>0.18305915295764788</v>
      </c>
      <c r="W19" s="61">
        <f>SUM(F19/B19)</f>
        <v>0.31204060203010153</v>
      </c>
      <c r="X19" s="61">
        <f>SUM(G19/B19)</f>
        <v>0</v>
      </c>
      <c r="Y19" s="61">
        <f>SUM(H19/B19)</f>
        <v>0</v>
      </c>
      <c r="Z19" s="61">
        <f>SUM(I19/B19)</f>
        <v>0</v>
      </c>
    </row>
    <row r="20" spans="1:26">
      <c r="A20" s="56" t="s">
        <v>1656</v>
      </c>
      <c r="B20" s="54">
        <f>SUM(C20:I20)</f>
        <v>5578</v>
      </c>
      <c r="C20" s="55">
        <v>1251</v>
      </c>
      <c r="D20" s="55">
        <v>891</v>
      </c>
      <c r="E20" s="55">
        <v>548</v>
      </c>
      <c r="F20" s="55">
        <v>1476</v>
      </c>
      <c r="G20" s="55">
        <v>206</v>
      </c>
      <c r="H20" s="55">
        <v>1206</v>
      </c>
      <c r="I20" s="55">
        <v>0</v>
      </c>
      <c r="K20" s="54">
        <f>SUM(L20:R20)</f>
        <v>6</v>
      </c>
      <c r="L20" s="55">
        <v>2</v>
      </c>
      <c r="M20" s="55">
        <v>1</v>
      </c>
      <c r="N20" s="55">
        <v>0</v>
      </c>
      <c r="O20" s="55">
        <v>2</v>
      </c>
      <c r="P20" s="55">
        <v>0</v>
      </c>
      <c r="Q20" s="55">
        <v>1</v>
      </c>
      <c r="R20" s="55">
        <v>0</v>
      </c>
      <c r="T20" s="61">
        <f>SUM(C20/B20)</f>
        <v>0.22427393330942991</v>
      </c>
      <c r="U20" s="61">
        <f>SUM(D20/B20)</f>
        <v>0.15973467192542129</v>
      </c>
      <c r="V20" s="61">
        <f>SUM(E20/B20)</f>
        <v>9.8243097884546438E-2</v>
      </c>
      <c r="W20" s="61">
        <f>SUM(F20/B20)</f>
        <v>0.26461097167443526</v>
      </c>
      <c r="X20" s="61">
        <f>SUM(G20/B20)</f>
        <v>3.6930799569738257E-2</v>
      </c>
      <c r="Y20" s="61">
        <f>SUM(H20/B20)</f>
        <v>0.21620652563642884</v>
      </c>
      <c r="Z20" s="61">
        <f>SUM(I20/B20)</f>
        <v>0</v>
      </c>
    </row>
    <row r="21" spans="1:26">
      <c r="A21" s="56" t="s">
        <v>1545</v>
      </c>
      <c r="B21" s="54">
        <f>SUM(C21:I21)</f>
        <v>6969</v>
      </c>
      <c r="C21" s="55">
        <v>344</v>
      </c>
      <c r="D21" s="55">
        <v>818</v>
      </c>
      <c r="E21" s="55">
        <v>1122</v>
      </c>
      <c r="F21" s="55">
        <v>3692</v>
      </c>
      <c r="G21" s="55">
        <v>0</v>
      </c>
      <c r="H21" s="55">
        <v>993</v>
      </c>
      <c r="I21" s="55">
        <v>0</v>
      </c>
      <c r="K21" s="54">
        <f>SUM(L21:R21)</f>
        <v>6</v>
      </c>
      <c r="L21" s="55">
        <v>0</v>
      </c>
      <c r="M21" s="55">
        <v>1</v>
      </c>
      <c r="N21" s="55">
        <v>1</v>
      </c>
      <c r="O21" s="55">
        <v>4</v>
      </c>
      <c r="P21" s="55">
        <v>0</v>
      </c>
      <c r="Q21" s="55">
        <v>0</v>
      </c>
      <c r="R21" s="55">
        <v>0</v>
      </c>
      <c r="T21" s="61">
        <f>SUM(C21/B21)</f>
        <v>4.9361457884918927E-2</v>
      </c>
      <c r="U21" s="61">
        <f>SUM(D21/B21)</f>
        <v>0.11737695508681303</v>
      </c>
      <c r="V21" s="61">
        <f>SUM(E21/B21)</f>
        <v>0.16099870856650883</v>
      </c>
      <c r="W21" s="61">
        <f>SUM(F21/B21)</f>
        <v>0.52977471660209496</v>
      </c>
      <c r="X21" s="61">
        <f>SUM(G21/B21)</f>
        <v>0</v>
      </c>
      <c r="Y21" s="61">
        <f>SUM(H21/B21)</f>
        <v>0.14248816185966423</v>
      </c>
      <c r="Z21" s="61">
        <f>SUM(I21/B21)</f>
        <v>0</v>
      </c>
    </row>
    <row r="22" spans="1:26" s="52" customFormat="1">
      <c r="A22" s="53" t="s">
        <v>1546</v>
      </c>
      <c r="B22" s="54">
        <f>SUM(B18:B21)</f>
        <v>24402</v>
      </c>
      <c r="C22" s="54">
        <f t="shared" ref="C22:R22" si="3">SUM(C18:C21)</f>
        <v>5259</v>
      </c>
      <c r="D22" s="54">
        <f t="shared" si="3"/>
        <v>4523</v>
      </c>
      <c r="E22" s="54">
        <f>SUM(E18:E21)</f>
        <v>3356</v>
      </c>
      <c r="F22" s="54">
        <f t="shared" si="3"/>
        <v>8611</v>
      </c>
      <c r="G22" s="54">
        <f t="shared" si="3"/>
        <v>206</v>
      </c>
      <c r="H22" s="54">
        <f>SUM(H18:H21)</f>
        <v>2447</v>
      </c>
      <c r="I22" s="54">
        <f t="shared" si="3"/>
        <v>0</v>
      </c>
      <c r="J22" s="54"/>
      <c r="K22" s="54">
        <f t="shared" si="3"/>
        <v>22</v>
      </c>
      <c r="L22" s="54">
        <f t="shared" si="3"/>
        <v>6</v>
      </c>
      <c r="M22" s="54">
        <f t="shared" si="3"/>
        <v>4</v>
      </c>
      <c r="N22" s="54">
        <f>SUM(N18:N21)</f>
        <v>3</v>
      </c>
      <c r="O22" s="54">
        <f t="shared" si="3"/>
        <v>8</v>
      </c>
      <c r="P22" s="54">
        <f t="shared" si="3"/>
        <v>0</v>
      </c>
      <c r="Q22" s="54">
        <f>SUM(Q18:Q21)</f>
        <v>1</v>
      </c>
      <c r="R22" s="54">
        <f t="shared" si="3"/>
        <v>0</v>
      </c>
      <c r="T22" s="60">
        <f>SUM(C22/B22)</f>
        <v>0.21551512171133513</v>
      </c>
      <c r="U22" s="60">
        <f>SUM(D22/B22)</f>
        <v>0.18535365953610361</v>
      </c>
      <c r="V22" s="60">
        <f>SUM(E22/B22)</f>
        <v>0.13752971067945249</v>
      </c>
      <c r="W22" s="60">
        <f>SUM(F22/B22)</f>
        <v>0.35288091140070488</v>
      </c>
      <c r="X22" s="60">
        <f>SUM(G22/B22)</f>
        <v>8.4419309892631751E-3</v>
      </c>
      <c r="Y22" s="60">
        <f>SUM(H22/B22)</f>
        <v>0.10027866568314073</v>
      </c>
      <c r="Z22" s="60">
        <f>SUM(I22/B22)</f>
        <v>0</v>
      </c>
    </row>
    <row r="23" spans="1:26">
      <c r="A23" s="53"/>
      <c r="B23" s="54"/>
      <c r="C23" s="55"/>
      <c r="D23" s="55"/>
      <c r="E23" s="55"/>
      <c r="F23" s="55"/>
      <c r="G23" s="55"/>
      <c r="H23" s="55"/>
      <c r="I23" s="55"/>
      <c r="K23" s="54"/>
      <c r="L23" s="55"/>
      <c r="M23" s="55"/>
      <c r="N23" s="55"/>
      <c r="O23" s="55"/>
      <c r="P23" s="55"/>
      <c r="Q23" s="55"/>
      <c r="R23" s="55"/>
    </row>
    <row r="24" spans="1:26">
      <c r="A24" s="56" t="s">
        <v>1547</v>
      </c>
      <c r="B24" s="54">
        <f>SUM(C24:I24)</f>
        <v>6448</v>
      </c>
      <c r="C24" s="55">
        <v>1246</v>
      </c>
      <c r="D24" s="55">
        <v>779</v>
      </c>
      <c r="E24" s="55">
        <v>1429</v>
      </c>
      <c r="F24" s="55">
        <v>2533</v>
      </c>
      <c r="G24" s="55">
        <v>0</v>
      </c>
      <c r="H24" s="55">
        <v>461</v>
      </c>
      <c r="I24" s="55">
        <v>0</v>
      </c>
      <c r="K24" s="54">
        <f>SUM(L24:R24)</f>
        <v>6</v>
      </c>
      <c r="L24" s="55">
        <v>1</v>
      </c>
      <c r="M24" s="55">
        <v>1</v>
      </c>
      <c r="N24" s="55">
        <v>2</v>
      </c>
      <c r="O24" s="55">
        <v>2</v>
      </c>
      <c r="P24" s="55">
        <v>0</v>
      </c>
      <c r="Q24" s="55">
        <v>0</v>
      </c>
      <c r="R24" s="55">
        <v>0</v>
      </c>
      <c r="T24" s="61">
        <f>SUM(C24/B24)</f>
        <v>0.19323821339950373</v>
      </c>
      <c r="U24" s="61">
        <f>SUM(D24/B24)</f>
        <v>0.12081265508684863</v>
      </c>
      <c r="V24" s="61">
        <f>SUM(E24/B24)</f>
        <v>0.22161910669975185</v>
      </c>
      <c r="W24" s="61">
        <f>SUM(F24/B24)</f>
        <v>0.39283498759305213</v>
      </c>
      <c r="X24" s="61">
        <f>SUM(G24/B24)</f>
        <v>0</v>
      </c>
      <c r="Y24" s="61">
        <f>SUM(H24/B24)</f>
        <v>7.1495037220843674E-2</v>
      </c>
      <c r="Z24" s="61">
        <f>SUM(I24/B24)</f>
        <v>0</v>
      </c>
    </row>
    <row r="25" spans="1:26">
      <c r="A25" s="56" t="s">
        <v>1549</v>
      </c>
      <c r="B25" s="54">
        <f>SUM(C25:I25)</f>
        <v>4186</v>
      </c>
      <c r="C25" s="55">
        <v>738</v>
      </c>
      <c r="D25" s="55">
        <v>909</v>
      </c>
      <c r="E25" s="55">
        <v>835</v>
      </c>
      <c r="F25" s="55">
        <v>1358</v>
      </c>
      <c r="G25" s="55">
        <v>92</v>
      </c>
      <c r="H25" s="55">
        <v>254</v>
      </c>
      <c r="I25" s="55">
        <v>0</v>
      </c>
      <c r="K25" s="54">
        <f>SUM(L25:R25)</f>
        <v>5</v>
      </c>
      <c r="L25" s="55">
        <v>1</v>
      </c>
      <c r="M25" s="55">
        <v>1</v>
      </c>
      <c r="N25" s="55">
        <v>1</v>
      </c>
      <c r="O25" s="55">
        <v>2</v>
      </c>
      <c r="P25" s="55">
        <v>0</v>
      </c>
      <c r="Q25" s="55">
        <v>0</v>
      </c>
      <c r="R25" s="55">
        <v>0</v>
      </c>
      <c r="T25" s="61">
        <f>SUM(C25/B25)</f>
        <v>0.17630195891065456</v>
      </c>
      <c r="U25" s="61">
        <f>SUM(D25/B25)</f>
        <v>0.21715241280458672</v>
      </c>
      <c r="V25" s="61">
        <f>SUM(E25/B25)</f>
        <v>0.19947443860487338</v>
      </c>
      <c r="W25" s="61">
        <f>SUM(F25/B25)</f>
        <v>0.32441471571906355</v>
      </c>
      <c r="X25" s="61">
        <f>SUM(G25/B25)</f>
        <v>2.197802197802198E-2</v>
      </c>
      <c r="Y25" s="61">
        <f>SUM(H25/B25)</f>
        <v>6.0678451982799808E-2</v>
      </c>
      <c r="Z25" s="61">
        <f>SUM(I25/B25)</f>
        <v>0</v>
      </c>
    </row>
    <row r="26" spans="1:26">
      <c r="A26" s="56" t="s">
        <v>1548</v>
      </c>
      <c r="B26" s="54">
        <f>SUM(C26:I26)</f>
        <v>5065</v>
      </c>
      <c r="C26" s="55">
        <v>850</v>
      </c>
      <c r="D26" s="55">
        <v>962</v>
      </c>
      <c r="E26" s="55">
        <v>565</v>
      </c>
      <c r="F26" s="55">
        <v>2244</v>
      </c>
      <c r="G26" s="55">
        <v>0</v>
      </c>
      <c r="H26" s="55">
        <v>444</v>
      </c>
      <c r="I26" s="55">
        <v>0</v>
      </c>
      <c r="K26" s="54">
        <f>SUM(L26:R26)</f>
        <v>5</v>
      </c>
      <c r="L26" s="55">
        <v>1</v>
      </c>
      <c r="M26" s="55">
        <v>1</v>
      </c>
      <c r="N26" s="55">
        <v>1</v>
      </c>
      <c r="O26" s="55">
        <v>2</v>
      </c>
      <c r="P26" s="55">
        <v>0</v>
      </c>
      <c r="Q26" s="55">
        <v>0</v>
      </c>
      <c r="R26" s="55">
        <v>0</v>
      </c>
      <c r="T26" s="61">
        <f>SUM(C26/B26)</f>
        <v>0.16781836130306022</v>
      </c>
      <c r="U26" s="61">
        <f>SUM(D26/B26)</f>
        <v>0.18993089832181639</v>
      </c>
      <c r="V26" s="61">
        <f>SUM(E26/B26)</f>
        <v>0.11154985192497532</v>
      </c>
      <c r="W26" s="61">
        <f>SUM(F26/B26)</f>
        <v>0.443040473840079</v>
      </c>
      <c r="X26" s="61">
        <f>SUM(G26/B26)</f>
        <v>0</v>
      </c>
      <c r="Y26" s="61">
        <f>SUM(H26/B26)</f>
        <v>8.7660414610069098E-2</v>
      </c>
      <c r="Z26" s="61">
        <f>SUM(I26/B26)</f>
        <v>0</v>
      </c>
    </row>
    <row r="27" spans="1:26" s="52" customFormat="1">
      <c r="A27" s="53" t="s">
        <v>1550</v>
      </c>
      <c r="B27" s="54">
        <f>SUM(B24:B26)</f>
        <v>15699</v>
      </c>
      <c r="C27" s="54">
        <f t="shared" ref="C27:R27" si="4">SUM(C24:C26)</f>
        <v>2834</v>
      </c>
      <c r="D27" s="54">
        <f t="shared" si="4"/>
        <v>2650</v>
      </c>
      <c r="E27" s="54">
        <f>SUM(E24:E26)</f>
        <v>2829</v>
      </c>
      <c r="F27" s="54">
        <f t="shared" si="4"/>
        <v>6135</v>
      </c>
      <c r="G27" s="54">
        <f t="shared" si="4"/>
        <v>92</v>
      </c>
      <c r="H27" s="54">
        <f>SUM(H24:H26)</f>
        <v>1159</v>
      </c>
      <c r="I27" s="54">
        <f t="shared" si="4"/>
        <v>0</v>
      </c>
      <c r="J27" s="54"/>
      <c r="K27" s="54">
        <f t="shared" si="4"/>
        <v>16</v>
      </c>
      <c r="L27" s="54">
        <f t="shared" si="4"/>
        <v>3</v>
      </c>
      <c r="M27" s="54">
        <f t="shared" si="4"/>
        <v>3</v>
      </c>
      <c r="N27" s="54">
        <f>SUM(N24:N26)</f>
        <v>4</v>
      </c>
      <c r="O27" s="54">
        <f t="shared" si="4"/>
        <v>6</v>
      </c>
      <c r="P27" s="54">
        <f t="shared" si="4"/>
        <v>0</v>
      </c>
      <c r="Q27" s="54">
        <f>SUM(Q24:Q26)</f>
        <v>0</v>
      </c>
      <c r="R27" s="54">
        <f t="shared" si="4"/>
        <v>0</v>
      </c>
      <c r="T27" s="60">
        <f>SUM(C27/B27)</f>
        <v>0.18052105229632462</v>
      </c>
      <c r="U27" s="60">
        <f>SUM(D27/B27)</f>
        <v>0.16880056054525766</v>
      </c>
      <c r="V27" s="60">
        <f>SUM(E27/B27)</f>
        <v>0.1802025606726543</v>
      </c>
      <c r="W27" s="60">
        <f>SUM(F27/B27)</f>
        <v>0.39078922224345497</v>
      </c>
      <c r="X27" s="60">
        <f>SUM(G27/B27)</f>
        <v>5.8602458755334739E-3</v>
      </c>
      <c r="Y27" s="60">
        <f>SUM(H27/B27)</f>
        <v>7.3826358366774952E-2</v>
      </c>
      <c r="Z27" s="60">
        <f>SUM(I27/B27)</f>
        <v>0</v>
      </c>
    </row>
    <row r="28" spans="1:26">
      <c r="A28" s="53"/>
      <c r="B28" s="54"/>
      <c r="C28" s="55"/>
      <c r="D28" s="55"/>
      <c r="E28" s="55"/>
      <c r="F28" s="55"/>
      <c r="G28" s="55"/>
      <c r="H28" s="55"/>
      <c r="I28" s="55"/>
      <c r="K28" s="54"/>
      <c r="L28" s="55"/>
      <c r="M28" s="55"/>
      <c r="N28" s="55"/>
      <c r="O28" s="55"/>
      <c r="P28" s="55"/>
      <c r="Q28" s="55"/>
      <c r="R28" s="55"/>
    </row>
    <row r="29" spans="1:26">
      <c r="A29" s="56" t="s">
        <v>1551</v>
      </c>
      <c r="B29" s="54">
        <f>SUM(C29:I29)</f>
        <v>6831</v>
      </c>
      <c r="C29" s="55">
        <v>1524</v>
      </c>
      <c r="D29" s="55">
        <v>694</v>
      </c>
      <c r="E29" s="55">
        <v>1207</v>
      </c>
      <c r="F29" s="55">
        <v>2829</v>
      </c>
      <c r="G29" s="55">
        <v>0</v>
      </c>
      <c r="H29" s="55">
        <v>577</v>
      </c>
      <c r="I29" s="55">
        <v>0</v>
      </c>
      <c r="K29" s="54">
        <f>SUM(L29:R29)</f>
        <v>6</v>
      </c>
      <c r="L29" s="55">
        <v>1</v>
      </c>
      <c r="M29" s="55">
        <v>1</v>
      </c>
      <c r="N29" s="55">
        <v>1</v>
      </c>
      <c r="O29" s="55">
        <v>3</v>
      </c>
      <c r="P29" s="55">
        <v>0</v>
      </c>
      <c r="Q29" s="55">
        <v>0</v>
      </c>
      <c r="R29" s="55">
        <v>0</v>
      </c>
      <c r="T29" s="61">
        <f>SUM(C29/B29)</f>
        <v>0.22310057092665789</v>
      </c>
      <c r="U29" s="61">
        <f>SUM(D29/B29)</f>
        <v>0.10159566681305812</v>
      </c>
      <c r="V29" s="61">
        <f>SUM(E29/B29)</f>
        <v>0.17669448104230712</v>
      </c>
      <c r="W29" s="61">
        <f>SUM(F29/B29)</f>
        <v>0.41414141414141414</v>
      </c>
      <c r="X29" s="61">
        <f>SUM(G29/B29)</f>
        <v>0</v>
      </c>
      <c r="Y29" s="61">
        <f>SUM(H29/B29)</f>
        <v>8.446786707656273E-2</v>
      </c>
      <c r="Z29" s="61">
        <f>SUM(I29/B29)</f>
        <v>0</v>
      </c>
    </row>
    <row r="30" spans="1:26">
      <c r="A30" s="56" t="s">
        <v>1552</v>
      </c>
      <c r="B30" s="54">
        <f>SUM(C30:I30)</f>
        <v>6161</v>
      </c>
      <c r="C30" s="55">
        <v>1053</v>
      </c>
      <c r="D30" s="55">
        <v>688</v>
      </c>
      <c r="E30" s="55">
        <v>527</v>
      </c>
      <c r="F30" s="55">
        <v>2959</v>
      </c>
      <c r="G30" s="55">
        <v>0</v>
      </c>
      <c r="H30" s="55">
        <v>934</v>
      </c>
      <c r="I30" s="55">
        <v>0</v>
      </c>
      <c r="K30" s="54">
        <f>SUM(L30:R30)</f>
        <v>5</v>
      </c>
      <c r="L30" s="55">
        <v>1</v>
      </c>
      <c r="M30" s="55">
        <v>1</v>
      </c>
      <c r="N30" s="55">
        <v>0</v>
      </c>
      <c r="O30" s="55">
        <v>3</v>
      </c>
      <c r="P30" s="55">
        <v>0</v>
      </c>
      <c r="Q30" s="55">
        <v>0</v>
      </c>
      <c r="R30" s="55">
        <v>0</v>
      </c>
      <c r="T30" s="61">
        <f>SUM(C30/B30)</f>
        <v>0.17091381269274469</v>
      </c>
      <c r="U30" s="61">
        <f>SUM(D30/B30)</f>
        <v>0.11167018341178381</v>
      </c>
      <c r="V30" s="61">
        <f>SUM(E30/B30)</f>
        <v>8.5538062002921605E-2</v>
      </c>
      <c r="W30" s="61">
        <f>SUM(F30/B30)</f>
        <v>0.48027917545852944</v>
      </c>
      <c r="X30" s="61">
        <f>SUM(G30/B30)</f>
        <v>0</v>
      </c>
      <c r="Y30" s="61">
        <f>SUM(H30/B30)</f>
        <v>0.15159876643402045</v>
      </c>
      <c r="Z30" s="61">
        <f>SUM(I30/B30)</f>
        <v>0</v>
      </c>
    </row>
    <row r="31" spans="1:26">
      <c r="A31" s="56" t="s">
        <v>1553</v>
      </c>
      <c r="B31" s="54">
        <f>SUM(C31:I31)</f>
        <v>7097</v>
      </c>
      <c r="C31" s="55">
        <v>691</v>
      </c>
      <c r="D31" s="55">
        <v>590</v>
      </c>
      <c r="E31" s="55">
        <v>1462</v>
      </c>
      <c r="F31" s="55">
        <v>3944</v>
      </c>
      <c r="G31" s="55">
        <v>0</v>
      </c>
      <c r="H31" s="55">
        <v>410</v>
      </c>
      <c r="I31" s="55">
        <v>0</v>
      </c>
      <c r="K31" s="54">
        <f>SUM(L31:R31)</f>
        <v>5</v>
      </c>
      <c r="L31" s="55">
        <v>1</v>
      </c>
      <c r="M31" s="55">
        <v>0</v>
      </c>
      <c r="N31" s="55">
        <v>1</v>
      </c>
      <c r="O31" s="55">
        <v>3</v>
      </c>
      <c r="P31" s="55">
        <v>0</v>
      </c>
      <c r="Q31" s="55">
        <v>0</v>
      </c>
      <c r="R31" s="55">
        <v>0</v>
      </c>
      <c r="T31" s="61">
        <f>SUM(C31/B31)</f>
        <v>9.7365083838241509E-2</v>
      </c>
      <c r="U31" s="61">
        <f>SUM(D31/B31)</f>
        <v>8.3133718472594056E-2</v>
      </c>
      <c r="V31" s="61">
        <f>SUM(E31/B31)</f>
        <v>0.20600253628293647</v>
      </c>
      <c r="W31" s="61">
        <f>SUM(F31/B31)</f>
        <v>0.55572777229815418</v>
      </c>
      <c r="X31" s="61">
        <f>SUM(G31/B31)</f>
        <v>0</v>
      </c>
      <c r="Y31" s="61">
        <f>SUM(H31/B31)</f>
        <v>5.7770889108073833E-2</v>
      </c>
      <c r="Z31" s="61">
        <f>SUM(I31/B31)</f>
        <v>0</v>
      </c>
    </row>
    <row r="32" spans="1:26" s="52" customFormat="1">
      <c r="A32" s="53" t="s">
        <v>1554</v>
      </c>
      <c r="B32" s="54">
        <f>SUM(B29:B31)</f>
        <v>20089</v>
      </c>
      <c r="C32" s="54">
        <f t="shared" ref="C32:R32" si="5">SUM(C29:C31)</f>
        <v>3268</v>
      </c>
      <c r="D32" s="54">
        <f t="shared" si="5"/>
        <v>1972</v>
      </c>
      <c r="E32" s="54">
        <f>SUM(E29:E31)</f>
        <v>3196</v>
      </c>
      <c r="F32" s="54">
        <f t="shared" si="5"/>
        <v>9732</v>
      </c>
      <c r="G32" s="54">
        <f t="shared" si="5"/>
        <v>0</v>
      </c>
      <c r="H32" s="54">
        <f>SUM(H29:H31)</f>
        <v>1921</v>
      </c>
      <c r="I32" s="54">
        <f t="shared" si="5"/>
        <v>0</v>
      </c>
      <c r="J32" s="54"/>
      <c r="K32" s="54">
        <f t="shared" si="5"/>
        <v>16</v>
      </c>
      <c r="L32" s="54">
        <f t="shared" si="5"/>
        <v>3</v>
      </c>
      <c r="M32" s="54">
        <f t="shared" si="5"/>
        <v>2</v>
      </c>
      <c r="N32" s="54">
        <f>SUM(N29:N31)</f>
        <v>2</v>
      </c>
      <c r="O32" s="54">
        <f t="shared" si="5"/>
        <v>9</v>
      </c>
      <c r="P32" s="54">
        <f t="shared" si="5"/>
        <v>0</v>
      </c>
      <c r="Q32" s="54">
        <f>SUM(Q29:Q31)</f>
        <v>0</v>
      </c>
      <c r="R32" s="54">
        <f t="shared" si="5"/>
        <v>0</v>
      </c>
      <c r="T32" s="60">
        <f>SUM(C32/B32)</f>
        <v>0.1626760913932998</v>
      </c>
      <c r="U32" s="60">
        <f>SUM(D32/B32)</f>
        <v>9.8163173876250689E-2</v>
      </c>
      <c r="V32" s="60">
        <f>SUM(E32/B32)</f>
        <v>0.15909204042013042</v>
      </c>
      <c r="W32" s="60">
        <f>SUM(F32/B32)</f>
        <v>0.48444422320673003</v>
      </c>
      <c r="X32" s="60">
        <f>SUM(G32/B32)</f>
        <v>0</v>
      </c>
      <c r="Y32" s="60">
        <f>SUM(H32/B32)</f>
        <v>9.5624471103589029E-2</v>
      </c>
      <c r="Z32" s="60">
        <f>SUM(I32/B32)</f>
        <v>0</v>
      </c>
    </row>
    <row r="33" spans="1:26">
      <c r="A33" s="53"/>
      <c r="B33" s="54"/>
      <c r="C33" s="55"/>
      <c r="D33" s="55"/>
      <c r="E33" s="55"/>
      <c r="F33" s="55"/>
      <c r="G33" s="55"/>
      <c r="H33" s="55"/>
      <c r="I33" s="55"/>
      <c r="K33" s="54"/>
      <c r="L33" s="55"/>
      <c r="M33" s="55"/>
      <c r="N33" s="55"/>
      <c r="O33" s="55"/>
      <c r="P33" s="55"/>
      <c r="Q33" s="55"/>
      <c r="R33" s="55"/>
    </row>
    <row r="34" spans="1:26">
      <c r="A34" s="56" t="s">
        <v>1555</v>
      </c>
      <c r="B34" s="54">
        <f>SUM(C34:I34)</f>
        <v>9208</v>
      </c>
      <c r="C34" s="55">
        <v>2652</v>
      </c>
      <c r="D34" s="55">
        <v>698</v>
      </c>
      <c r="E34" s="55">
        <v>3278</v>
      </c>
      <c r="F34" s="55">
        <v>2324</v>
      </c>
      <c r="G34" s="55">
        <v>0</v>
      </c>
      <c r="H34" s="55">
        <v>256</v>
      </c>
      <c r="I34" s="55">
        <v>0</v>
      </c>
      <c r="K34" s="54">
        <f>SUM(L34:R34)</f>
        <v>6</v>
      </c>
      <c r="L34" s="55">
        <v>2</v>
      </c>
      <c r="M34" s="55">
        <v>0</v>
      </c>
      <c r="N34" s="55">
        <v>3</v>
      </c>
      <c r="O34" s="55">
        <v>1</v>
      </c>
      <c r="P34" s="55">
        <v>0</v>
      </c>
      <c r="Q34" s="55">
        <v>0</v>
      </c>
      <c r="R34" s="55">
        <v>0</v>
      </c>
      <c r="T34" s="61">
        <f t="shared" ref="T34:T39" si="6">SUM(C34/B34)</f>
        <v>0.28801042571676805</v>
      </c>
      <c r="U34" s="61">
        <f t="shared" ref="U34:U39" si="7">SUM(D34/B34)</f>
        <v>7.5803649000868806E-2</v>
      </c>
      <c r="V34" s="61">
        <f t="shared" ref="V34:V39" si="8">SUM(E34/B34)</f>
        <v>0.35599478714161598</v>
      </c>
      <c r="W34" s="61">
        <f t="shared" ref="W34:W39" si="9">SUM(F34/B34)</f>
        <v>0.25238922675933972</v>
      </c>
      <c r="X34" s="61">
        <f t="shared" ref="X34:X39" si="10">SUM(G34/B34)</f>
        <v>0</v>
      </c>
      <c r="Y34" s="61">
        <f t="shared" ref="Y34:Y39" si="11">SUM(H34/B34)</f>
        <v>2.780191138140747E-2</v>
      </c>
      <c r="Z34" s="61">
        <f t="shared" ref="Z34:Z39" si="12">SUM(I34/B34)</f>
        <v>0</v>
      </c>
    </row>
    <row r="35" spans="1:26">
      <c r="A35" s="56" t="s">
        <v>1556</v>
      </c>
      <c r="B35" s="54">
        <f>SUM(C35:I35)</f>
        <v>8108</v>
      </c>
      <c r="C35" s="55">
        <v>3429</v>
      </c>
      <c r="D35" s="55">
        <v>944</v>
      </c>
      <c r="E35" s="55">
        <v>1676</v>
      </c>
      <c r="F35" s="55">
        <v>1491</v>
      </c>
      <c r="G35" s="55">
        <v>142</v>
      </c>
      <c r="H35" s="55">
        <v>426</v>
      </c>
      <c r="I35" s="55">
        <v>0</v>
      </c>
      <c r="K35" s="54">
        <f>SUM(L35:R35)</f>
        <v>7</v>
      </c>
      <c r="L35" s="55">
        <v>3</v>
      </c>
      <c r="M35" s="55">
        <v>1</v>
      </c>
      <c r="N35" s="55">
        <v>2</v>
      </c>
      <c r="O35" s="55">
        <v>1</v>
      </c>
      <c r="P35" s="55">
        <v>0</v>
      </c>
      <c r="Q35" s="55">
        <v>0</v>
      </c>
      <c r="R35" s="55">
        <v>0</v>
      </c>
      <c r="T35" s="61">
        <f t="shared" si="6"/>
        <v>0.42291563887518502</v>
      </c>
      <c r="U35" s="61">
        <f t="shared" si="7"/>
        <v>0.11642821904292057</v>
      </c>
      <c r="V35" s="61">
        <f t="shared" si="8"/>
        <v>0.20670942279230389</v>
      </c>
      <c r="W35" s="61">
        <f t="shared" si="9"/>
        <v>0.18389245189935866</v>
      </c>
      <c r="X35" s="61">
        <f t="shared" si="10"/>
        <v>1.7513566847557966E-2</v>
      </c>
      <c r="Y35" s="61">
        <f t="shared" si="11"/>
        <v>5.2540700542673902E-2</v>
      </c>
      <c r="Z35" s="61">
        <f t="shared" si="12"/>
        <v>0</v>
      </c>
    </row>
    <row r="36" spans="1:26">
      <c r="A36" s="56" t="s">
        <v>1557</v>
      </c>
      <c r="B36" s="54">
        <f>SUM(C36:I36)</f>
        <v>9258</v>
      </c>
      <c r="C36" s="55">
        <v>0</v>
      </c>
      <c r="D36" s="55">
        <v>0</v>
      </c>
      <c r="E36" s="55">
        <v>4454</v>
      </c>
      <c r="F36" s="55">
        <v>3683</v>
      </c>
      <c r="G36" s="55">
        <v>217</v>
      </c>
      <c r="H36" s="55">
        <v>904</v>
      </c>
      <c r="I36" s="55">
        <v>0</v>
      </c>
      <c r="J36" s="55"/>
      <c r="K36" s="54">
        <f>SUM(L36:R36)</f>
        <v>7</v>
      </c>
      <c r="L36" s="55">
        <v>0</v>
      </c>
      <c r="M36" s="55">
        <v>0</v>
      </c>
      <c r="N36" s="55">
        <v>4</v>
      </c>
      <c r="O36" s="55">
        <v>3</v>
      </c>
      <c r="P36" s="55">
        <v>0</v>
      </c>
      <c r="Q36" s="55">
        <v>0</v>
      </c>
      <c r="R36" s="55">
        <v>0</v>
      </c>
      <c r="T36" s="61">
        <f t="shared" si="6"/>
        <v>0</v>
      </c>
      <c r="U36" s="61">
        <f t="shared" si="7"/>
        <v>0</v>
      </c>
      <c r="V36" s="61">
        <f t="shared" si="8"/>
        <v>0.48109742925037807</v>
      </c>
      <c r="W36" s="61">
        <f t="shared" si="9"/>
        <v>0.39781810326204364</v>
      </c>
      <c r="X36" s="61">
        <f t="shared" si="10"/>
        <v>2.3439187729531217E-2</v>
      </c>
      <c r="Y36" s="61">
        <f t="shared" si="11"/>
        <v>9.7645279758047099E-2</v>
      </c>
      <c r="Z36" s="61">
        <f t="shared" si="12"/>
        <v>0</v>
      </c>
    </row>
    <row r="37" spans="1:26">
      <c r="A37" s="56" t="s">
        <v>1558</v>
      </c>
      <c r="B37" s="54">
        <f>SUM(C37:I37)</f>
        <v>5803</v>
      </c>
      <c r="C37" s="55">
        <v>0</v>
      </c>
      <c r="D37" s="55">
        <v>0</v>
      </c>
      <c r="E37" s="55">
        <v>1768</v>
      </c>
      <c r="F37" s="55">
        <v>3158</v>
      </c>
      <c r="G37" s="55">
        <v>0</v>
      </c>
      <c r="H37" s="55">
        <v>877</v>
      </c>
      <c r="I37" s="55">
        <v>0</v>
      </c>
      <c r="K37" s="54">
        <f>SUM(L37:R37)</f>
        <v>5</v>
      </c>
      <c r="L37" s="55">
        <v>0</v>
      </c>
      <c r="M37" s="55">
        <v>0</v>
      </c>
      <c r="N37" s="55">
        <v>2</v>
      </c>
      <c r="O37" s="55">
        <v>3</v>
      </c>
      <c r="P37" s="55">
        <v>0</v>
      </c>
      <c r="Q37" s="55">
        <v>0</v>
      </c>
      <c r="R37" s="55">
        <v>0</v>
      </c>
      <c r="T37" s="61">
        <f t="shared" si="6"/>
        <v>0</v>
      </c>
      <c r="U37" s="61">
        <f t="shared" si="7"/>
        <v>0</v>
      </c>
      <c r="V37" s="61">
        <f t="shared" si="8"/>
        <v>0.3046699982767534</v>
      </c>
      <c r="W37" s="61">
        <f t="shared" si="9"/>
        <v>0.54420127520248152</v>
      </c>
      <c r="X37" s="61">
        <f t="shared" si="10"/>
        <v>0</v>
      </c>
      <c r="Y37" s="61">
        <f t="shared" si="11"/>
        <v>0.15112872652076512</v>
      </c>
      <c r="Z37" s="61">
        <f t="shared" si="12"/>
        <v>0</v>
      </c>
    </row>
    <row r="38" spans="1:26">
      <c r="A38" s="56" t="s">
        <v>1559</v>
      </c>
      <c r="B38" s="54">
        <f>SUM(C38:I38)</f>
        <v>9000</v>
      </c>
      <c r="C38" s="55">
        <v>0</v>
      </c>
      <c r="D38" s="55">
        <v>0</v>
      </c>
      <c r="E38" s="55">
        <v>4629</v>
      </c>
      <c r="F38" s="55">
        <v>3355</v>
      </c>
      <c r="G38" s="55">
        <v>0</v>
      </c>
      <c r="H38" s="55">
        <v>1016</v>
      </c>
      <c r="I38" s="55">
        <v>0</v>
      </c>
      <c r="K38" s="54">
        <f>SUM(L38:R38)</f>
        <v>5</v>
      </c>
      <c r="L38" s="55">
        <v>0</v>
      </c>
      <c r="M38" s="55">
        <v>0</v>
      </c>
      <c r="N38" s="55">
        <v>3</v>
      </c>
      <c r="O38" s="55">
        <v>2</v>
      </c>
      <c r="P38" s="55">
        <v>0</v>
      </c>
      <c r="Q38" s="55">
        <v>0</v>
      </c>
      <c r="R38" s="55">
        <v>0</v>
      </c>
      <c r="T38" s="61">
        <f t="shared" si="6"/>
        <v>0</v>
      </c>
      <c r="U38" s="61">
        <f t="shared" si="7"/>
        <v>0</v>
      </c>
      <c r="V38" s="61">
        <f t="shared" si="8"/>
        <v>0.51433333333333331</v>
      </c>
      <c r="W38" s="61">
        <f t="shared" si="9"/>
        <v>0.37277777777777776</v>
      </c>
      <c r="X38" s="61">
        <f t="shared" si="10"/>
        <v>0</v>
      </c>
      <c r="Y38" s="61">
        <f t="shared" si="11"/>
        <v>0.11288888888888889</v>
      </c>
      <c r="Z38" s="61">
        <f t="shared" si="12"/>
        <v>0</v>
      </c>
    </row>
    <row r="39" spans="1:26" s="52" customFormat="1">
      <c r="A39" s="53" t="s">
        <v>1560</v>
      </c>
      <c r="B39" s="54">
        <f>SUM(B34:B38)</f>
        <v>41377</v>
      </c>
      <c r="C39" s="54">
        <f t="shared" ref="C39:R39" si="13">SUM(C34:C38)</f>
        <v>6081</v>
      </c>
      <c r="D39" s="54">
        <f t="shared" si="13"/>
        <v>1642</v>
      </c>
      <c r="E39" s="54">
        <f>SUM(E34:E38)</f>
        <v>15805</v>
      </c>
      <c r="F39" s="54">
        <f t="shared" si="13"/>
        <v>14011</v>
      </c>
      <c r="G39" s="54">
        <f t="shared" si="13"/>
        <v>359</v>
      </c>
      <c r="H39" s="54">
        <f>SUM(H34:H38)</f>
        <v>3479</v>
      </c>
      <c r="I39" s="54">
        <f t="shared" si="13"/>
        <v>0</v>
      </c>
      <c r="J39" s="54"/>
      <c r="K39" s="54">
        <f t="shared" si="13"/>
        <v>30</v>
      </c>
      <c r="L39" s="54">
        <f t="shared" si="13"/>
        <v>5</v>
      </c>
      <c r="M39" s="54">
        <f t="shared" si="13"/>
        <v>1</v>
      </c>
      <c r="N39" s="54">
        <f>SUM(N34:N38)</f>
        <v>14</v>
      </c>
      <c r="O39" s="54">
        <f t="shared" si="13"/>
        <v>10</v>
      </c>
      <c r="P39" s="54">
        <f t="shared" si="13"/>
        <v>0</v>
      </c>
      <c r="Q39" s="54">
        <f>SUM(Q34:Q38)</f>
        <v>0</v>
      </c>
      <c r="R39" s="54">
        <f t="shared" si="13"/>
        <v>0</v>
      </c>
      <c r="T39" s="60">
        <f t="shared" si="6"/>
        <v>0.14696570558522851</v>
      </c>
      <c r="U39" s="60">
        <f t="shared" si="7"/>
        <v>3.9683882350097878E-2</v>
      </c>
      <c r="V39" s="60">
        <f t="shared" si="8"/>
        <v>0.38197549363172778</v>
      </c>
      <c r="W39" s="60">
        <f t="shared" si="9"/>
        <v>0.33861807284240036</v>
      </c>
      <c r="X39" s="60">
        <f t="shared" si="10"/>
        <v>8.6763177610749941E-3</v>
      </c>
      <c r="Y39" s="60">
        <f t="shared" si="11"/>
        <v>8.4080527829470481E-2</v>
      </c>
      <c r="Z39" s="60">
        <f t="shared" si="12"/>
        <v>0</v>
      </c>
    </row>
    <row r="40" spans="1:26">
      <c r="A40" s="53"/>
      <c r="B40" s="54"/>
      <c r="C40" s="55"/>
      <c r="D40" s="55"/>
      <c r="E40" s="55"/>
      <c r="F40" s="55"/>
      <c r="G40" s="55"/>
      <c r="H40" s="55"/>
      <c r="I40" s="55"/>
      <c r="K40" s="54"/>
      <c r="L40" s="55"/>
      <c r="M40" s="55"/>
      <c r="N40" s="55"/>
      <c r="O40" s="55"/>
      <c r="P40" s="55"/>
      <c r="Q40" s="55"/>
      <c r="R40" s="55"/>
    </row>
    <row r="41" spans="1:26">
      <c r="A41" s="56" t="s">
        <v>1562</v>
      </c>
      <c r="B41" s="54">
        <f>SUM(C41:I41)</f>
        <v>4751</v>
      </c>
      <c r="C41" s="55">
        <v>1387</v>
      </c>
      <c r="D41" s="55">
        <v>576</v>
      </c>
      <c r="E41" s="55">
        <v>859</v>
      </c>
      <c r="F41" s="55">
        <v>1618</v>
      </c>
      <c r="G41" s="55">
        <v>0</v>
      </c>
      <c r="H41" s="55">
        <v>311</v>
      </c>
      <c r="I41" s="55">
        <v>0</v>
      </c>
      <c r="K41" s="54">
        <f>SUM(L41:R41)</f>
        <v>5</v>
      </c>
      <c r="L41" s="55">
        <v>1</v>
      </c>
      <c r="M41" s="55">
        <v>1</v>
      </c>
      <c r="N41" s="55">
        <v>1</v>
      </c>
      <c r="O41" s="55">
        <v>2</v>
      </c>
      <c r="P41" s="55">
        <v>0</v>
      </c>
      <c r="Q41" s="55">
        <v>0</v>
      </c>
      <c r="R41" s="55">
        <v>0</v>
      </c>
      <c r="T41" s="61">
        <f>SUM(C41/B41)</f>
        <v>0.29193853925489371</v>
      </c>
      <c r="U41" s="61">
        <f>SUM(D41/B41)</f>
        <v>0.12123763418227741</v>
      </c>
      <c r="V41" s="61">
        <f>SUM(E41/B41)</f>
        <v>0.18080404125447275</v>
      </c>
      <c r="W41" s="61">
        <f>SUM(F41/B41)</f>
        <v>0.34055988213007787</v>
      </c>
      <c r="X41" s="61">
        <f>SUM(G41/B41)</f>
        <v>0</v>
      </c>
      <c r="Y41" s="61">
        <f>SUM(H41/B41)</f>
        <v>6.5459903178278253E-2</v>
      </c>
      <c r="Z41" s="61">
        <f>SUM(I41/B41)</f>
        <v>0</v>
      </c>
    </row>
    <row r="42" spans="1:26">
      <c r="A42" s="56" t="s">
        <v>1563</v>
      </c>
      <c r="B42" s="54">
        <f>SUM(C42:I42)</f>
        <v>4353</v>
      </c>
      <c r="C42" s="55">
        <v>556</v>
      </c>
      <c r="D42" s="55">
        <v>0</v>
      </c>
      <c r="E42" s="55">
        <v>567</v>
      </c>
      <c r="F42" s="55">
        <v>2454</v>
      </c>
      <c r="G42" s="55">
        <v>107</v>
      </c>
      <c r="H42" s="55">
        <v>669</v>
      </c>
      <c r="I42" s="55">
        <v>0</v>
      </c>
      <c r="K42" s="54">
        <f>SUM(L42:R42)</f>
        <v>5</v>
      </c>
      <c r="L42" s="55">
        <v>0</v>
      </c>
      <c r="M42" s="55">
        <v>0</v>
      </c>
      <c r="N42" s="55">
        <v>1</v>
      </c>
      <c r="O42" s="55">
        <v>3</v>
      </c>
      <c r="P42" s="55">
        <v>0</v>
      </c>
      <c r="Q42" s="55">
        <v>1</v>
      </c>
      <c r="R42" s="55">
        <v>0</v>
      </c>
      <c r="T42" s="61">
        <f>SUM(C42/B42)</f>
        <v>0.12772800367562601</v>
      </c>
      <c r="U42" s="61">
        <f>SUM(D42/B42)</f>
        <v>0</v>
      </c>
      <c r="V42" s="61">
        <f>SUM(E42/B42)</f>
        <v>0.13025499655410061</v>
      </c>
      <c r="W42" s="61">
        <f>SUM(F42/B42)</f>
        <v>0.56374913852515507</v>
      </c>
      <c r="X42" s="61">
        <f>SUM(G42/B42)</f>
        <v>2.4580748908798529E-2</v>
      </c>
      <c r="Y42" s="61">
        <f>SUM(H42/B42)</f>
        <v>0.15368711233631979</v>
      </c>
      <c r="Z42" s="61">
        <f>SUM(I42/B42)</f>
        <v>0</v>
      </c>
    </row>
    <row r="43" spans="1:26">
      <c r="A43" s="56" t="s">
        <v>1564</v>
      </c>
      <c r="B43" s="54">
        <f>SUM(C43:I43)</f>
        <v>3069</v>
      </c>
      <c r="C43" s="55">
        <v>1248</v>
      </c>
      <c r="D43" s="55">
        <v>593</v>
      </c>
      <c r="E43" s="55">
        <v>344</v>
      </c>
      <c r="F43" s="55">
        <v>554</v>
      </c>
      <c r="G43" s="55">
        <v>133</v>
      </c>
      <c r="H43" s="55">
        <v>197</v>
      </c>
      <c r="I43" s="55">
        <v>0</v>
      </c>
      <c r="K43" s="54">
        <f>SUM(L43:R43)</f>
        <v>5</v>
      </c>
      <c r="L43" s="55">
        <v>2</v>
      </c>
      <c r="M43" s="55">
        <v>1</v>
      </c>
      <c r="N43" s="55">
        <v>1</v>
      </c>
      <c r="O43" s="55">
        <v>1</v>
      </c>
      <c r="P43" s="55">
        <v>0</v>
      </c>
      <c r="Q43" s="55">
        <v>0</v>
      </c>
      <c r="R43" s="55">
        <v>0</v>
      </c>
      <c r="T43" s="61">
        <f>SUM(C43/B43)</f>
        <v>0.40664711632453571</v>
      </c>
      <c r="U43" s="61">
        <f>SUM(D43/B43)</f>
        <v>0.19322254806125774</v>
      </c>
      <c r="V43" s="61">
        <f>SUM(E43/B43)</f>
        <v>0.11208862821766048</v>
      </c>
      <c r="W43" s="61">
        <f>SUM(F43/B43)</f>
        <v>0.18051482567611599</v>
      </c>
      <c r="X43" s="61">
        <f>SUM(G43/B43)</f>
        <v>4.3336591723688499E-2</v>
      </c>
      <c r="Y43" s="61">
        <f>SUM(H43/B43)</f>
        <v>6.4190289996741604E-2</v>
      </c>
      <c r="Z43" s="61">
        <f>SUM(I43/B43)</f>
        <v>0</v>
      </c>
    </row>
    <row r="44" spans="1:26" s="52" customFormat="1">
      <c r="A44" s="53" t="s">
        <v>1561</v>
      </c>
      <c r="B44" s="54">
        <f>SUM(B41:B43)</f>
        <v>12173</v>
      </c>
      <c r="C44" s="54">
        <f t="shared" ref="C44:R44" si="14">SUM(C41:C43)</f>
        <v>3191</v>
      </c>
      <c r="D44" s="54">
        <f t="shared" si="14"/>
        <v>1169</v>
      </c>
      <c r="E44" s="54">
        <f>SUM(E41:E43)</f>
        <v>1770</v>
      </c>
      <c r="F44" s="54">
        <f t="shared" si="14"/>
        <v>4626</v>
      </c>
      <c r="G44" s="54">
        <f t="shared" si="14"/>
        <v>240</v>
      </c>
      <c r="H44" s="54">
        <f>SUM(H41:H43)</f>
        <v>1177</v>
      </c>
      <c r="I44" s="54">
        <f t="shared" si="14"/>
        <v>0</v>
      </c>
      <c r="J44" s="54"/>
      <c r="K44" s="54">
        <f t="shared" si="14"/>
        <v>15</v>
      </c>
      <c r="L44" s="54">
        <f t="shared" si="14"/>
        <v>3</v>
      </c>
      <c r="M44" s="54">
        <f t="shared" si="14"/>
        <v>2</v>
      </c>
      <c r="N44" s="54">
        <f>SUM(N41:N43)</f>
        <v>3</v>
      </c>
      <c r="O44" s="54">
        <f t="shared" si="14"/>
        <v>6</v>
      </c>
      <c r="P44" s="54">
        <f t="shared" si="14"/>
        <v>0</v>
      </c>
      <c r="Q44" s="54">
        <f>SUM(Q41:Q43)</f>
        <v>1</v>
      </c>
      <c r="R44" s="54">
        <f t="shared" si="14"/>
        <v>0</v>
      </c>
      <c r="T44" s="60">
        <f>SUM(C44/B44)</f>
        <v>0.26213751745666641</v>
      </c>
      <c r="U44" s="60">
        <f>SUM(D44/B44)</f>
        <v>9.6032202415181137E-2</v>
      </c>
      <c r="V44" s="60">
        <f>SUM(E44/B44)</f>
        <v>0.14540376242503902</v>
      </c>
      <c r="W44" s="60">
        <f>SUM(F44/B44)</f>
        <v>0.380021358744763</v>
      </c>
      <c r="X44" s="60">
        <f>SUM(G44/B44)</f>
        <v>1.9715764396615459E-2</v>
      </c>
      <c r="Y44" s="60">
        <f>SUM(H44/B44)</f>
        <v>9.668939456173499E-2</v>
      </c>
      <c r="Z44" s="60">
        <f>SUM(I44/B44)</f>
        <v>0</v>
      </c>
    </row>
    <row r="45" spans="1:26">
      <c r="A45" s="53"/>
      <c r="B45" s="54"/>
      <c r="C45" s="55"/>
      <c r="D45" s="55"/>
      <c r="E45" s="55"/>
      <c r="F45" s="55"/>
      <c r="G45" s="55"/>
      <c r="H45" s="55"/>
      <c r="I45" s="55"/>
      <c r="K45" s="54"/>
      <c r="L45" s="55"/>
      <c r="M45" s="55"/>
      <c r="N45" s="55"/>
      <c r="O45" s="55"/>
      <c r="P45" s="55"/>
      <c r="Q45" s="55"/>
      <c r="R45" s="55"/>
    </row>
    <row r="46" spans="1:26">
      <c r="A46" s="56" t="s">
        <v>1565</v>
      </c>
      <c r="B46" s="54">
        <f>SUM(C46:I46)</f>
        <v>5705</v>
      </c>
      <c r="C46" s="55">
        <v>1822</v>
      </c>
      <c r="D46" s="55">
        <v>910</v>
      </c>
      <c r="E46" s="55">
        <v>491</v>
      </c>
      <c r="F46" s="55">
        <v>408</v>
      </c>
      <c r="G46" s="55">
        <v>472</v>
      </c>
      <c r="H46" s="55">
        <v>1602</v>
      </c>
      <c r="I46" s="55">
        <v>0</v>
      </c>
      <c r="K46" s="54">
        <f>SUM(L46:R46)</f>
        <v>6</v>
      </c>
      <c r="L46" s="55">
        <v>3</v>
      </c>
      <c r="M46" s="55">
        <v>1</v>
      </c>
      <c r="N46" s="55">
        <v>1</v>
      </c>
      <c r="O46" s="55">
        <v>0</v>
      </c>
      <c r="P46" s="55">
        <v>0</v>
      </c>
      <c r="Q46" s="55">
        <v>1</v>
      </c>
      <c r="R46" s="55">
        <v>0</v>
      </c>
      <c r="T46" s="61">
        <f>SUM(C46/B46)</f>
        <v>0.31936897458369851</v>
      </c>
      <c r="U46" s="61">
        <f>SUM(D46/B46)</f>
        <v>0.15950920245398773</v>
      </c>
      <c r="V46" s="61">
        <f>SUM(E46/B46)</f>
        <v>8.6064855390008771E-2</v>
      </c>
      <c r="W46" s="61">
        <f>SUM(F46/B46)</f>
        <v>7.1516213847502189E-2</v>
      </c>
      <c r="X46" s="61">
        <f>SUM(G46/B46)</f>
        <v>8.2734443470639796E-2</v>
      </c>
      <c r="Y46" s="61">
        <f>SUM(H46/B46)</f>
        <v>0.28080631025416303</v>
      </c>
      <c r="Z46" s="61">
        <f>SUM(I46/B46)</f>
        <v>0</v>
      </c>
    </row>
    <row r="47" spans="1:26">
      <c r="A47" s="56" t="s">
        <v>1566</v>
      </c>
      <c r="B47" s="54">
        <f>SUM(C47:I47)</f>
        <v>3424</v>
      </c>
      <c r="C47" s="55">
        <v>2050</v>
      </c>
      <c r="D47" s="55">
        <v>792</v>
      </c>
      <c r="E47" s="55">
        <v>232</v>
      </c>
      <c r="F47" s="55">
        <v>0</v>
      </c>
      <c r="G47" s="55">
        <v>350</v>
      </c>
      <c r="H47" s="55">
        <v>0</v>
      </c>
      <c r="I47" s="55">
        <v>0</v>
      </c>
      <c r="K47" s="54">
        <f>SUM(L47:R47)</f>
        <v>5</v>
      </c>
      <c r="L47" s="55">
        <v>3</v>
      </c>
      <c r="M47" s="55">
        <v>1</v>
      </c>
      <c r="N47" s="55">
        <v>0</v>
      </c>
      <c r="O47" s="55">
        <v>0</v>
      </c>
      <c r="P47" s="55">
        <v>1</v>
      </c>
      <c r="Q47" s="55">
        <v>0</v>
      </c>
      <c r="R47" s="55">
        <v>0</v>
      </c>
      <c r="T47" s="61">
        <f>SUM(C47/B47)</f>
        <v>0.59871495327102808</v>
      </c>
      <c r="U47" s="61">
        <f>SUM(D47/B47)</f>
        <v>0.23130841121495327</v>
      </c>
      <c r="V47" s="61">
        <f>SUM(E47/B47)</f>
        <v>6.7757009345794386E-2</v>
      </c>
      <c r="W47" s="61">
        <f>SUM(F47/B47)</f>
        <v>0</v>
      </c>
      <c r="X47" s="61">
        <f>SUM(G47/B47)</f>
        <v>0.1022196261682243</v>
      </c>
      <c r="Y47" s="61">
        <f>SUM(H47/B47)</f>
        <v>0</v>
      </c>
      <c r="Z47" s="61">
        <f>SUM(I47/B47)</f>
        <v>0</v>
      </c>
    </row>
    <row r="48" spans="1:26">
      <c r="A48" s="56" t="s">
        <v>1567</v>
      </c>
      <c r="B48" s="54">
        <f>SUM(C48:I48)</f>
        <v>6535</v>
      </c>
      <c r="C48" s="55">
        <v>2286</v>
      </c>
      <c r="D48" s="55">
        <v>1667</v>
      </c>
      <c r="E48" s="55">
        <v>1001</v>
      </c>
      <c r="F48" s="55">
        <v>1076</v>
      </c>
      <c r="G48" s="55">
        <v>266</v>
      </c>
      <c r="H48" s="55">
        <v>239</v>
      </c>
      <c r="I48" s="55">
        <v>0</v>
      </c>
      <c r="K48" s="54">
        <f>SUM(L48:R48)</f>
        <v>6</v>
      </c>
      <c r="L48" s="55">
        <v>2</v>
      </c>
      <c r="M48" s="55">
        <v>2</v>
      </c>
      <c r="N48" s="55">
        <v>1</v>
      </c>
      <c r="O48" s="55">
        <v>1</v>
      </c>
      <c r="P48" s="55">
        <v>0</v>
      </c>
      <c r="Q48" s="55">
        <v>0</v>
      </c>
      <c r="R48" s="55">
        <v>0</v>
      </c>
      <c r="T48" s="61">
        <f>SUM(C48/B48)</f>
        <v>0.34980872226472837</v>
      </c>
      <c r="U48" s="61">
        <f>SUM(D48/B48)</f>
        <v>0.25508798775822494</v>
      </c>
      <c r="V48" s="61">
        <f>SUM(E48/B48)</f>
        <v>0.1531752104055088</v>
      </c>
      <c r="W48" s="61">
        <f>SUM(F48/B48)</f>
        <v>0.16465187452180566</v>
      </c>
      <c r="X48" s="61">
        <f>SUM(G48/B48)</f>
        <v>4.070390206579954E-2</v>
      </c>
      <c r="Y48" s="61">
        <f>SUM(H48/B48)</f>
        <v>3.6572302983932672E-2</v>
      </c>
      <c r="Z48" s="61">
        <f>SUM(I48/B48)</f>
        <v>0</v>
      </c>
    </row>
    <row r="49" spans="1:26">
      <c r="A49" s="56" t="s">
        <v>1568</v>
      </c>
      <c r="B49" s="54">
        <f>SUM(C49:I49)</f>
        <v>3972</v>
      </c>
      <c r="C49" s="55">
        <v>826</v>
      </c>
      <c r="D49" s="55">
        <v>678</v>
      </c>
      <c r="E49" s="55">
        <v>342</v>
      </c>
      <c r="F49" s="55">
        <v>275</v>
      </c>
      <c r="G49" s="55">
        <v>635</v>
      </c>
      <c r="H49" s="55">
        <v>1216</v>
      </c>
      <c r="I49" s="55">
        <v>0</v>
      </c>
      <c r="K49" s="54">
        <f>SUM(L49:R49)</f>
        <v>5</v>
      </c>
      <c r="L49" s="55">
        <v>1</v>
      </c>
      <c r="M49" s="55">
        <v>1</v>
      </c>
      <c r="N49" s="55">
        <v>1</v>
      </c>
      <c r="O49" s="55">
        <v>0</v>
      </c>
      <c r="P49" s="55">
        <v>1</v>
      </c>
      <c r="Q49" s="55">
        <v>1</v>
      </c>
      <c r="R49" s="55">
        <v>0</v>
      </c>
      <c r="T49" s="61">
        <f>SUM(C49/B49)</f>
        <v>0.20795568982880161</v>
      </c>
      <c r="U49" s="61">
        <f>SUM(D49/B49)</f>
        <v>0.17069486404833836</v>
      </c>
      <c r="V49" s="61">
        <f>SUM(E49/B49)</f>
        <v>8.6102719033232633E-2</v>
      </c>
      <c r="W49" s="61">
        <f>SUM(F49/B49)</f>
        <v>6.9234642497482374E-2</v>
      </c>
      <c r="X49" s="61">
        <f>SUM(G49/B49)</f>
        <v>0.15986908358509566</v>
      </c>
      <c r="Y49" s="61">
        <f>SUM(H49/B49)</f>
        <v>0.30614300100704933</v>
      </c>
      <c r="Z49" s="61">
        <f>SUM(I49/B49)</f>
        <v>0</v>
      </c>
    </row>
    <row r="50" spans="1:26" s="52" customFormat="1">
      <c r="A50" s="53" t="s">
        <v>1569</v>
      </c>
      <c r="B50" s="54">
        <f>SUM(B46:B49)</f>
        <v>19636</v>
      </c>
      <c r="C50" s="54">
        <f t="shared" ref="C50:R50" si="15">SUM(C46:C49)</f>
        <v>6984</v>
      </c>
      <c r="D50" s="54">
        <f t="shared" si="15"/>
        <v>4047</v>
      </c>
      <c r="E50" s="54">
        <f>SUM(E46:E49)</f>
        <v>2066</v>
      </c>
      <c r="F50" s="54">
        <f t="shared" si="15"/>
        <v>1759</v>
      </c>
      <c r="G50" s="54">
        <f t="shared" si="15"/>
        <v>1723</v>
      </c>
      <c r="H50" s="54">
        <f>SUM(H46:H49)</f>
        <v>3057</v>
      </c>
      <c r="I50" s="54">
        <f t="shared" si="15"/>
        <v>0</v>
      </c>
      <c r="J50" s="54"/>
      <c r="K50" s="54">
        <f t="shared" si="15"/>
        <v>22</v>
      </c>
      <c r="L50" s="54">
        <f t="shared" si="15"/>
        <v>9</v>
      </c>
      <c r="M50" s="54">
        <f t="shared" si="15"/>
        <v>5</v>
      </c>
      <c r="N50" s="54">
        <f>SUM(N46:N49)</f>
        <v>3</v>
      </c>
      <c r="O50" s="54">
        <f t="shared" si="15"/>
        <v>1</v>
      </c>
      <c r="P50" s="54">
        <f t="shared" si="15"/>
        <v>2</v>
      </c>
      <c r="Q50" s="54">
        <f>SUM(Q46:Q49)</f>
        <v>2</v>
      </c>
      <c r="R50" s="54">
        <f t="shared" si="15"/>
        <v>0</v>
      </c>
      <c r="T50" s="60">
        <f>SUM(C50/B50)</f>
        <v>0.35567325320839277</v>
      </c>
      <c r="U50" s="60">
        <f>SUM(D50/B50)</f>
        <v>0.20610103890812792</v>
      </c>
      <c r="V50" s="60">
        <f>SUM(E50/B50)</f>
        <v>0.10521491138724791</v>
      </c>
      <c r="W50" s="60">
        <f>SUM(F50/B50)</f>
        <v>8.9580362599307392E-2</v>
      </c>
      <c r="X50" s="60">
        <f>SUM(G50/B50)</f>
        <v>8.7746995314728057E-2</v>
      </c>
      <c r="Y50" s="60">
        <f>SUM(H50/B50)</f>
        <v>0.15568343858219597</v>
      </c>
      <c r="Z50" s="60">
        <f>SUM(I50/B50)</f>
        <v>0</v>
      </c>
    </row>
    <row r="51" spans="1:26">
      <c r="A51" s="53"/>
      <c r="B51" s="54"/>
      <c r="C51" s="55"/>
      <c r="D51" s="55"/>
      <c r="E51" s="55"/>
      <c r="F51" s="55"/>
      <c r="G51" s="55"/>
      <c r="H51" s="55"/>
      <c r="I51" s="55"/>
      <c r="J51" s="55"/>
      <c r="K51" s="54"/>
      <c r="L51" s="55"/>
      <c r="M51" s="55"/>
      <c r="N51" s="55"/>
      <c r="O51" s="55"/>
      <c r="P51" s="55"/>
      <c r="Q51" s="55"/>
      <c r="R51" s="55"/>
    </row>
    <row r="52" spans="1:26">
      <c r="A52" s="56" t="s">
        <v>1570</v>
      </c>
      <c r="B52" s="54">
        <f>SUM(C52:I52)</f>
        <v>5377</v>
      </c>
      <c r="C52" s="55">
        <v>698</v>
      </c>
      <c r="D52" s="55">
        <v>902</v>
      </c>
      <c r="E52" s="55">
        <v>1352</v>
      </c>
      <c r="F52" s="55">
        <v>2425</v>
      </c>
      <c r="G52" s="55">
        <v>0</v>
      </c>
      <c r="H52" s="55">
        <v>0</v>
      </c>
      <c r="I52" s="55">
        <v>0</v>
      </c>
      <c r="K52" s="54">
        <f>SUM(L52:R52)</f>
        <v>6</v>
      </c>
      <c r="L52" s="55">
        <v>1</v>
      </c>
      <c r="M52" s="55">
        <v>1</v>
      </c>
      <c r="N52" s="55">
        <v>1</v>
      </c>
      <c r="O52" s="55">
        <v>3</v>
      </c>
      <c r="P52" s="55">
        <v>0</v>
      </c>
      <c r="Q52" s="55">
        <v>0</v>
      </c>
      <c r="R52" s="55">
        <v>0</v>
      </c>
      <c r="T52" s="61">
        <f>SUM(C52/B52)</f>
        <v>0.12981216291612424</v>
      </c>
      <c r="U52" s="61">
        <f>SUM(D52/B52)</f>
        <v>0.16775153431281384</v>
      </c>
      <c r="V52" s="61">
        <f>SUM(E52/B52)</f>
        <v>0.25144132415845266</v>
      </c>
      <c r="W52" s="61">
        <f>SUM(F52/B52)</f>
        <v>0.45099497861260929</v>
      </c>
      <c r="X52" s="61">
        <f>SUM(G52/B52)</f>
        <v>0</v>
      </c>
      <c r="Y52" s="61">
        <f>SUM(H52/B52)</f>
        <v>0</v>
      </c>
      <c r="Z52" s="61">
        <f>SUM(I52/B52)</f>
        <v>0</v>
      </c>
    </row>
    <row r="53" spans="1:26">
      <c r="A53" s="56" t="s">
        <v>1571</v>
      </c>
      <c r="B53" s="54">
        <f>SUM(C53:I53)</f>
        <v>5881</v>
      </c>
      <c r="C53" s="55">
        <v>744</v>
      </c>
      <c r="D53" s="55">
        <v>844</v>
      </c>
      <c r="E53" s="55">
        <v>2265</v>
      </c>
      <c r="F53" s="55">
        <v>2028</v>
      </c>
      <c r="G53" s="55">
        <v>0</v>
      </c>
      <c r="H53" s="55">
        <v>0</v>
      </c>
      <c r="I53" s="55">
        <v>0</v>
      </c>
      <c r="K53" s="54">
        <f>SUM(L53:R53)</f>
        <v>5</v>
      </c>
      <c r="L53" s="55">
        <v>0</v>
      </c>
      <c r="M53" s="55">
        <v>1</v>
      </c>
      <c r="N53" s="55">
        <v>2</v>
      </c>
      <c r="O53" s="55">
        <v>2</v>
      </c>
      <c r="P53" s="55">
        <v>0</v>
      </c>
      <c r="Q53" s="55">
        <v>0</v>
      </c>
      <c r="R53" s="55">
        <v>0</v>
      </c>
      <c r="T53" s="61">
        <f>SUM(C53/B53)</f>
        <v>0.12650909709233124</v>
      </c>
      <c r="U53" s="61">
        <f>SUM(D53/B53)</f>
        <v>0.14351300799183811</v>
      </c>
      <c r="V53" s="61">
        <f>SUM(E53/B53)</f>
        <v>0.38513858187383099</v>
      </c>
      <c r="W53" s="61">
        <f>SUM(F53/B53)</f>
        <v>0.34483931304199966</v>
      </c>
      <c r="X53" s="61">
        <f>SUM(G53/B53)</f>
        <v>0</v>
      </c>
      <c r="Y53" s="61">
        <f>SUM(H53/B53)</f>
        <v>0</v>
      </c>
      <c r="Z53" s="61">
        <f>SUM(I53/B53)</f>
        <v>0</v>
      </c>
    </row>
    <row r="54" spans="1:26">
      <c r="A54" s="56" t="s">
        <v>1572</v>
      </c>
      <c r="B54" s="54">
        <f>SUM(C54:I54)</f>
        <v>7744</v>
      </c>
      <c r="C54" s="55">
        <v>1899</v>
      </c>
      <c r="D54" s="55">
        <v>3295</v>
      </c>
      <c r="E54" s="55">
        <v>823</v>
      </c>
      <c r="F54" s="55">
        <v>591</v>
      </c>
      <c r="G54" s="55">
        <v>0</v>
      </c>
      <c r="H54" s="55">
        <v>1136</v>
      </c>
      <c r="I54" s="55">
        <v>0</v>
      </c>
      <c r="K54" s="54">
        <f>SUM(L54:R54)</f>
        <v>6</v>
      </c>
      <c r="L54" s="55">
        <v>2</v>
      </c>
      <c r="M54" s="55">
        <v>2</v>
      </c>
      <c r="N54" s="55">
        <v>1</v>
      </c>
      <c r="O54" s="55">
        <v>0</v>
      </c>
      <c r="P54" s="55">
        <v>0</v>
      </c>
      <c r="Q54" s="55">
        <v>1</v>
      </c>
      <c r="R54" s="55">
        <v>0</v>
      </c>
      <c r="T54" s="61">
        <f>SUM(C54/B54)</f>
        <v>0.24522210743801653</v>
      </c>
      <c r="U54" s="61">
        <f>SUM(D54/B54)</f>
        <v>0.42549070247933884</v>
      </c>
      <c r="V54" s="61">
        <f>SUM(E54/B54)</f>
        <v>0.10627582644628099</v>
      </c>
      <c r="W54" s="61">
        <f>SUM(F54/B54)</f>
        <v>7.6317148760330578E-2</v>
      </c>
      <c r="X54" s="61">
        <f>SUM(G54/B54)</f>
        <v>0</v>
      </c>
      <c r="Y54" s="61">
        <f>SUM(H54/B54)</f>
        <v>0.14669421487603307</v>
      </c>
      <c r="Z54" s="61">
        <f>SUM(I54/B54)</f>
        <v>0</v>
      </c>
    </row>
    <row r="55" spans="1:26">
      <c r="A55" s="56" t="s">
        <v>1573</v>
      </c>
      <c r="B55" s="54">
        <f>SUM(C55:I55)</f>
        <v>6214</v>
      </c>
      <c r="C55" s="55">
        <v>1985</v>
      </c>
      <c r="D55" s="55">
        <v>1931</v>
      </c>
      <c r="E55" s="55">
        <v>939</v>
      </c>
      <c r="F55" s="55">
        <v>1215</v>
      </c>
      <c r="G55" s="55">
        <v>0</v>
      </c>
      <c r="H55" s="55">
        <v>144</v>
      </c>
      <c r="I55" s="55">
        <v>0</v>
      </c>
      <c r="K55" s="54">
        <f>SUM(L55:R55)</f>
        <v>5</v>
      </c>
      <c r="L55" s="55">
        <v>1</v>
      </c>
      <c r="M55" s="55">
        <v>2</v>
      </c>
      <c r="N55" s="55">
        <v>1</v>
      </c>
      <c r="O55" s="55">
        <v>1</v>
      </c>
      <c r="P55" s="55">
        <v>0</v>
      </c>
      <c r="Q55" s="55">
        <v>0</v>
      </c>
      <c r="R55" s="55">
        <v>0</v>
      </c>
      <c r="T55" s="61">
        <f>SUM(C55/B55)</f>
        <v>0.31943997425168974</v>
      </c>
      <c r="U55" s="61">
        <f>SUM(D55/B55)</f>
        <v>0.31074991953653042</v>
      </c>
      <c r="V55" s="61">
        <f>SUM(E55/B55)</f>
        <v>0.15111039588027037</v>
      </c>
      <c r="W55" s="61">
        <f>SUM(F55/B55)</f>
        <v>0.19552623109108463</v>
      </c>
      <c r="X55" s="61">
        <f>SUM(G55/B55)</f>
        <v>0</v>
      </c>
      <c r="Y55" s="61">
        <f>SUM(H55/B55)</f>
        <v>2.3173479240424847E-2</v>
      </c>
      <c r="Z55" s="61">
        <f>SUM(I55/B55)</f>
        <v>0</v>
      </c>
    </row>
    <row r="56" spans="1:26" s="52" customFormat="1">
      <c r="A56" s="53" t="s">
        <v>1574</v>
      </c>
      <c r="B56" s="54">
        <f>SUM(B52:B55)</f>
        <v>25216</v>
      </c>
      <c r="C56" s="54">
        <f t="shared" ref="C56:R56" si="16">SUM(C52:C55)</f>
        <v>5326</v>
      </c>
      <c r="D56" s="54">
        <f t="shared" si="16"/>
        <v>6972</v>
      </c>
      <c r="E56" s="54">
        <f>SUM(E52:E55)</f>
        <v>5379</v>
      </c>
      <c r="F56" s="54">
        <f t="shared" si="16"/>
        <v>6259</v>
      </c>
      <c r="G56" s="54">
        <f t="shared" si="16"/>
        <v>0</v>
      </c>
      <c r="H56" s="54">
        <f>SUM(H52:H55)</f>
        <v>1280</v>
      </c>
      <c r="I56" s="54">
        <f t="shared" si="16"/>
        <v>0</v>
      </c>
      <c r="J56" s="54"/>
      <c r="K56" s="54">
        <f t="shared" si="16"/>
        <v>22</v>
      </c>
      <c r="L56" s="54">
        <f t="shared" si="16"/>
        <v>4</v>
      </c>
      <c r="M56" s="54">
        <f t="shared" si="16"/>
        <v>6</v>
      </c>
      <c r="N56" s="54">
        <f>SUM(N52:N55)</f>
        <v>5</v>
      </c>
      <c r="O56" s="54">
        <f t="shared" si="16"/>
        <v>6</v>
      </c>
      <c r="P56" s="54">
        <f t="shared" si="16"/>
        <v>0</v>
      </c>
      <c r="Q56" s="54">
        <f>SUM(Q52:Q55)</f>
        <v>1</v>
      </c>
      <c r="R56" s="54">
        <f t="shared" si="16"/>
        <v>0</v>
      </c>
      <c r="T56" s="60">
        <f>SUM(C56/B56)</f>
        <v>0.21121510152284265</v>
      </c>
      <c r="U56" s="60">
        <f>SUM(D56/B56)</f>
        <v>0.27649111675126903</v>
      </c>
      <c r="V56" s="60">
        <f>SUM(E56/B56)</f>
        <v>0.21331694162436549</v>
      </c>
      <c r="W56" s="60">
        <f>SUM(F56/B56)</f>
        <v>0.2482154187817259</v>
      </c>
      <c r="X56" s="60">
        <f>SUM(G56/B56)</f>
        <v>0</v>
      </c>
      <c r="Y56" s="60">
        <f>SUM(H56/B56)</f>
        <v>5.0761421319796954E-2</v>
      </c>
      <c r="Z56" s="60">
        <f>SUM(I56/B56)</f>
        <v>0</v>
      </c>
    </row>
    <row r="57" spans="1:26">
      <c r="A57" s="53"/>
      <c r="B57" s="54"/>
      <c r="C57" s="55"/>
      <c r="D57" s="55"/>
      <c r="E57" s="55"/>
      <c r="F57" s="55"/>
      <c r="G57" s="55"/>
      <c r="H57" s="55"/>
      <c r="I57" s="55"/>
      <c r="K57" s="54"/>
      <c r="L57" s="55"/>
      <c r="M57" s="55"/>
      <c r="N57" s="55"/>
      <c r="O57" s="55"/>
      <c r="P57" s="55"/>
      <c r="Q57" s="55"/>
      <c r="R57" s="55"/>
    </row>
    <row r="58" spans="1:26">
      <c r="A58" s="56" t="s">
        <v>1575</v>
      </c>
      <c r="B58" s="54">
        <f>SUM(C58:I58)</f>
        <v>6905</v>
      </c>
      <c r="C58" s="55">
        <v>841</v>
      </c>
      <c r="D58" s="55">
        <v>1075</v>
      </c>
      <c r="E58" s="55">
        <v>1430</v>
      </c>
      <c r="F58" s="55">
        <v>1344</v>
      </c>
      <c r="G58" s="55">
        <v>0</v>
      </c>
      <c r="H58" s="55">
        <v>2140</v>
      </c>
      <c r="I58" s="55">
        <v>75</v>
      </c>
      <c r="K58" s="54">
        <f>SUM(L58:R58)</f>
        <v>5</v>
      </c>
      <c r="L58" s="55">
        <v>1</v>
      </c>
      <c r="M58" s="55">
        <v>1</v>
      </c>
      <c r="N58" s="55">
        <v>1</v>
      </c>
      <c r="O58" s="55">
        <v>1</v>
      </c>
      <c r="P58" s="55">
        <v>0</v>
      </c>
      <c r="Q58" s="55">
        <v>1</v>
      </c>
      <c r="R58" s="55">
        <v>0</v>
      </c>
      <c r="T58" s="61">
        <f t="shared" ref="T58:T63" si="17">SUM(C58/B58)</f>
        <v>0.12179580014482259</v>
      </c>
      <c r="U58" s="61">
        <f t="shared" ref="U58:U63" si="18">SUM(D58/B58)</f>
        <v>0.1556842867487328</v>
      </c>
      <c r="V58" s="61">
        <f t="shared" ref="V58:V63" si="19">SUM(E58/B58)</f>
        <v>0.20709630702389573</v>
      </c>
      <c r="W58" s="61">
        <f t="shared" ref="W58:W63" si="20">SUM(F58/B58)</f>
        <v>0.1946415640839971</v>
      </c>
      <c r="X58" s="61">
        <f t="shared" ref="X58:X63" si="21">SUM(G58/B58)</f>
        <v>0</v>
      </c>
      <c r="Y58" s="61">
        <f t="shared" ref="Y58:Y63" si="22">SUM(H58/B58)</f>
        <v>0.3099203475742216</v>
      </c>
      <c r="Z58" s="61">
        <f t="shared" ref="Z58:Z63" si="23">SUM(I58/B58)</f>
        <v>1.0861694424330196E-2</v>
      </c>
    </row>
    <row r="59" spans="1:26">
      <c r="A59" s="56" t="s">
        <v>1576</v>
      </c>
      <c r="B59" s="54">
        <f>SUM(C59:I59)</f>
        <v>7720</v>
      </c>
      <c r="C59" s="55">
        <v>331</v>
      </c>
      <c r="D59" s="55">
        <v>1846</v>
      </c>
      <c r="E59" s="55">
        <v>1797</v>
      </c>
      <c r="F59" s="55">
        <v>3568</v>
      </c>
      <c r="G59" s="55">
        <v>0</v>
      </c>
      <c r="H59" s="55">
        <v>178</v>
      </c>
      <c r="I59" s="55">
        <v>0</v>
      </c>
      <c r="K59" s="54">
        <f>SUM(L59:R59)</f>
        <v>6</v>
      </c>
      <c r="L59" s="55">
        <v>0</v>
      </c>
      <c r="M59" s="55">
        <v>2</v>
      </c>
      <c r="N59" s="55">
        <v>1</v>
      </c>
      <c r="O59" s="55">
        <v>3</v>
      </c>
      <c r="P59" s="55">
        <v>0</v>
      </c>
      <c r="Q59" s="55">
        <v>0</v>
      </c>
      <c r="R59" s="55">
        <v>0</v>
      </c>
      <c r="T59" s="61">
        <f t="shared" si="17"/>
        <v>4.2875647668393781E-2</v>
      </c>
      <c r="U59" s="61">
        <f t="shared" si="18"/>
        <v>0.23911917098445595</v>
      </c>
      <c r="V59" s="61">
        <f t="shared" si="19"/>
        <v>0.23277202072538861</v>
      </c>
      <c r="W59" s="61">
        <f t="shared" si="20"/>
        <v>0.46217616580310883</v>
      </c>
      <c r="X59" s="61">
        <f t="shared" si="21"/>
        <v>0</v>
      </c>
      <c r="Y59" s="61">
        <f t="shared" si="22"/>
        <v>2.3056994818652851E-2</v>
      </c>
      <c r="Z59" s="61">
        <f t="shared" si="23"/>
        <v>0</v>
      </c>
    </row>
    <row r="60" spans="1:26">
      <c r="A60" s="56" t="s">
        <v>1577</v>
      </c>
      <c r="B60" s="54">
        <f>SUM(C60:I60)</f>
        <v>7578</v>
      </c>
      <c r="C60" s="55">
        <v>0</v>
      </c>
      <c r="D60" s="55">
        <v>424</v>
      </c>
      <c r="E60" s="55">
        <v>2065</v>
      </c>
      <c r="F60" s="55">
        <v>3321</v>
      </c>
      <c r="G60" s="55">
        <v>0</v>
      </c>
      <c r="H60" s="55">
        <v>1768</v>
      </c>
      <c r="I60" s="55">
        <v>0</v>
      </c>
      <c r="K60" s="54">
        <f>SUM(L60:R60)</f>
        <v>7</v>
      </c>
      <c r="L60" s="55">
        <v>0</v>
      </c>
      <c r="M60" s="55">
        <v>0</v>
      </c>
      <c r="N60" s="55">
        <v>2</v>
      </c>
      <c r="O60" s="55">
        <v>3</v>
      </c>
      <c r="P60" s="55">
        <v>0</v>
      </c>
      <c r="Q60" s="55">
        <v>2</v>
      </c>
      <c r="R60" s="55">
        <v>0</v>
      </c>
      <c r="T60" s="61">
        <f t="shared" si="17"/>
        <v>0</v>
      </c>
      <c r="U60" s="61">
        <f t="shared" si="18"/>
        <v>5.5951438374241227E-2</v>
      </c>
      <c r="V60" s="61">
        <f t="shared" si="19"/>
        <v>0.2724993401953022</v>
      </c>
      <c r="W60" s="61">
        <f t="shared" si="20"/>
        <v>0.43824228028503565</v>
      </c>
      <c r="X60" s="61">
        <f t="shared" si="21"/>
        <v>0</v>
      </c>
      <c r="Y60" s="61">
        <f t="shared" si="22"/>
        <v>0.23330694114542094</v>
      </c>
      <c r="Z60" s="61">
        <f t="shared" si="23"/>
        <v>0</v>
      </c>
    </row>
    <row r="61" spans="1:26">
      <c r="A61" s="56" t="s">
        <v>1578</v>
      </c>
      <c r="B61" s="54">
        <f>SUM(C61:I61)</f>
        <v>9705</v>
      </c>
      <c r="C61" s="55">
        <v>0</v>
      </c>
      <c r="D61" s="55">
        <v>733</v>
      </c>
      <c r="E61" s="55">
        <v>4470</v>
      </c>
      <c r="F61" s="55">
        <v>3701</v>
      </c>
      <c r="G61" s="55">
        <v>0</v>
      </c>
      <c r="H61" s="55">
        <v>494</v>
      </c>
      <c r="I61" s="55">
        <v>307</v>
      </c>
      <c r="K61" s="54">
        <f>SUM(L61:R61)</f>
        <v>7</v>
      </c>
      <c r="L61" s="55">
        <v>0</v>
      </c>
      <c r="M61" s="55">
        <v>0</v>
      </c>
      <c r="N61" s="55">
        <v>4</v>
      </c>
      <c r="O61" s="55">
        <v>3</v>
      </c>
      <c r="P61" s="55">
        <v>0</v>
      </c>
      <c r="Q61" s="55">
        <v>0</v>
      </c>
      <c r="R61" s="55">
        <v>0</v>
      </c>
      <c r="T61" s="61">
        <f t="shared" si="17"/>
        <v>0</v>
      </c>
      <c r="U61" s="61">
        <f t="shared" si="18"/>
        <v>7.5528078310149405E-2</v>
      </c>
      <c r="V61" s="61">
        <f t="shared" si="19"/>
        <v>0.46058732612055642</v>
      </c>
      <c r="W61" s="61">
        <f t="shared" si="20"/>
        <v>0.38134981968057702</v>
      </c>
      <c r="X61" s="61">
        <f t="shared" si="21"/>
        <v>0</v>
      </c>
      <c r="Y61" s="61">
        <f t="shared" si="22"/>
        <v>5.090159711488923E-2</v>
      </c>
      <c r="Z61" s="61">
        <f t="shared" si="23"/>
        <v>3.1633178773827923E-2</v>
      </c>
    </row>
    <row r="62" spans="1:26">
      <c r="A62" s="56" t="s">
        <v>1579</v>
      </c>
      <c r="B62" s="54">
        <f>SUM(C62:I62)</f>
        <v>7624</v>
      </c>
      <c r="C62" s="55">
        <v>0</v>
      </c>
      <c r="D62" s="55">
        <v>0</v>
      </c>
      <c r="E62" s="55">
        <v>1681</v>
      </c>
      <c r="F62" s="55">
        <v>5943</v>
      </c>
      <c r="G62" s="55">
        <v>0</v>
      </c>
      <c r="H62" s="55">
        <v>0</v>
      </c>
      <c r="I62" s="55">
        <v>0</v>
      </c>
      <c r="K62" s="54">
        <f>SUM(L62:R62)</f>
        <v>5</v>
      </c>
      <c r="L62" s="55">
        <v>0</v>
      </c>
      <c r="M62" s="55">
        <v>0</v>
      </c>
      <c r="N62" s="55">
        <v>1</v>
      </c>
      <c r="O62" s="55">
        <v>4</v>
      </c>
      <c r="P62" s="55">
        <v>0</v>
      </c>
      <c r="Q62" s="55">
        <v>0</v>
      </c>
      <c r="R62" s="55">
        <v>0</v>
      </c>
      <c r="T62" s="61">
        <f t="shared" si="17"/>
        <v>0</v>
      </c>
      <c r="U62" s="61">
        <f t="shared" si="18"/>
        <v>0</v>
      </c>
      <c r="V62" s="61">
        <f t="shared" si="19"/>
        <v>0.22048793284365162</v>
      </c>
      <c r="W62" s="61">
        <f t="shared" si="20"/>
        <v>0.77951206715634835</v>
      </c>
      <c r="X62" s="61">
        <f t="shared" si="21"/>
        <v>0</v>
      </c>
      <c r="Y62" s="61">
        <f t="shared" si="22"/>
        <v>0</v>
      </c>
      <c r="Z62" s="61">
        <f t="shared" si="23"/>
        <v>0</v>
      </c>
    </row>
    <row r="63" spans="1:26" s="52" customFormat="1">
      <c r="A63" s="53" t="s">
        <v>1580</v>
      </c>
      <c r="B63" s="54">
        <f>SUM(B58:B62)</f>
        <v>39532</v>
      </c>
      <c r="C63" s="54">
        <f t="shared" ref="C63:R63" si="24">SUM(C58:C62)</f>
        <v>1172</v>
      </c>
      <c r="D63" s="54">
        <f t="shared" si="24"/>
        <v>4078</v>
      </c>
      <c r="E63" s="54">
        <f>SUM(E58:E62)</f>
        <v>11443</v>
      </c>
      <c r="F63" s="54">
        <f t="shared" si="24"/>
        <v>17877</v>
      </c>
      <c r="G63" s="54">
        <f t="shared" si="24"/>
        <v>0</v>
      </c>
      <c r="H63" s="54">
        <f>SUM(H58:H62)</f>
        <v>4580</v>
      </c>
      <c r="I63" s="54">
        <f t="shared" si="24"/>
        <v>382</v>
      </c>
      <c r="J63" s="54"/>
      <c r="K63" s="54">
        <f t="shared" si="24"/>
        <v>30</v>
      </c>
      <c r="L63" s="54">
        <f t="shared" si="24"/>
        <v>1</v>
      </c>
      <c r="M63" s="54">
        <f t="shared" si="24"/>
        <v>3</v>
      </c>
      <c r="N63" s="54">
        <f>SUM(N58:N62)</f>
        <v>9</v>
      </c>
      <c r="O63" s="54">
        <f t="shared" si="24"/>
        <v>14</v>
      </c>
      <c r="P63" s="54">
        <f t="shared" si="24"/>
        <v>0</v>
      </c>
      <c r="Q63" s="54">
        <f>SUM(Q58:Q62)</f>
        <v>3</v>
      </c>
      <c r="R63" s="54">
        <f t="shared" si="24"/>
        <v>0</v>
      </c>
      <c r="T63" s="60">
        <f t="shared" si="17"/>
        <v>2.9646868359809776E-2</v>
      </c>
      <c r="U63" s="60">
        <f t="shared" si="18"/>
        <v>0.10315693615298999</v>
      </c>
      <c r="V63" s="60">
        <f t="shared" si="19"/>
        <v>0.2894617019123748</v>
      </c>
      <c r="W63" s="60">
        <f t="shared" si="20"/>
        <v>0.45221592633815644</v>
      </c>
      <c r="X63" s="60">
        <f t="shared" si="21"/>
        <v>0</v>
      </c>
      <c r="Y63" s="60">
        <f t="shared" si="22"/>
        <v>0.11585550946069008</v>
      </c>
      <c r="Z63" s="60">
        <f t="shared" si="23"/>
        <v>9.6630577759789539E-3</v>
      </c>
    </row>
    <row r="64" spans="1:26">
      <c r="A64" s="53"/>
      <c r="B64" s="54"/>
      <c r="C64" s="55"/>
      <c r="D64" s="55"/>
      <c r="E64" s="55"/>
      <c r="F64" s="55"/>
      <c r="G64" s="55"/>
      <c r="H64" s="55"/>
      <c r="I64" s="55"/>
      <c r="K64" s="54"/>
      <c r="L64" s="55"/>
      <c r="M64" s="55"/>
      <c r="N64" s="55"/>
      <c r="O64" s="55"/>
      <c r="P64" s="55"/>
      <c r="Q64" s="55"/>
      <c r="R64" s="55"/>
    </row>
    <row r="65" spans="1:26">
      <c r="A65" s="56" t="s">
        <v>1581</v>
      </c>
      <c r="B65" s="54">
        <f>SUM(C65:I65)</f>
        <v>9786</v>
      </c>
      <c r="C65" s="55">
        <v>3661</v>
      </c>
      <c r="D65" s="55">
        <v>3455</v>
      </c>
      <c r="E65" s="55">
        <v>529</v>
      </c>
      <c r="F65" s="55">
        <v>960</v>
      </c>
      <c r="G65" s="55">
        <v>551</v>
      </c>
      <c r="H65" s="55">
        <v>630</v>
      </c>
      <c r="I65" s="55">
        <v>0</v>
      </c>
      <c r="J65" s="55"/>
      <c r="K65" s="54">
        <f>SUM(L65:R65)</f>
        <v>7</v>
      </c>
      <c r="L65" s="55">
        <v>3</v>
      </c>
      <c r="M65" s="55">
        <v>3</v>
      </c>
      <c r="N65" s="55">
        <v>0</v>
      </c>
      <c r="O65" s="55">
        <v>1</v>
      </c>
      <c r="P65" s="55">
        <v>0</v>
      </c>
      <c r="Q65" s="55">
        <v>0</v>
      </c>
      <c r="R65" s="55">
        <v>0</v>
      </c>
      <c r="T65" s="61">
        <f>SUM(C65/B65)</f>
        <v>0.37410586552217451</v>
      </c>
      <c r="U65" s="61">
        <f>SUM(D65/B65)</f>
        <v>0.35305538524422647</v>
      </c>
      <c r="V65" s="61">
        <f>SUM(E65/B65)</f>
        <v>5.4056815859390969E-2</v>
      </c>
      <c r="W65" s="61">
        <f>SUM(F65/B65)</f>
        <v>9.8099325567136728E-2</v>
      </c>
      <c r="X65" s="61">
        <f>SUM(G65/B65)</f>
        <v>5.6304925403637851E-2</v>
      </c>
      <c r="Y65" s="61">
        <f>SUM(H65/B65)</f>
        <v>6.4377682403433473E-2</v>
      </c>
      <c r="Z65" s="61">
        <f>SUM(I65/B65)</f>
        <v>0</v>
      </c>
    </row>
    <row r="66" spans="1:26">
      <c r="A66" s="56" t="s">
        <v>1582</v>
      </c>
      <c r="B66" s="54">
        <f>SUM(C66:I66)</f>
        <v>8807</v>
      </c>
      <c r="C66" s="55">
        <v>2537</v>
      </c>
      <c r="D66" s="55">
        <v>2177</v>
      </c>
      <c r="E66" s="55">
        <v>386</v>
      </c>
      <c r="F66" s="55">
        <v>2178</v>
      </c>
      <c r="G66" s="55">
        <v>586</v>
      </c>
      <c r="H66" s="55">
        <v>943</v>
      </c>
      <c r="I66" s="55">
        <v>0</v>
      </c>
      <c r="K66" s="54">
        <f>SUM(L66:R66)</f>
        <v>7</v>
      </c>
      <c r="L66" s="55">
        <v>2</v>
      </c>
      <c r="M66" s="55">
        <v>2</v>
      </c>
      <c r="N66" s="55">
        <v>0</v>
      </c>
      <c r="O66" s="55">
        <v>2</v>
      </c>
      <c r="P66" s="55">
        <v>1</v>
      </c>
      <c r="Q66" s="55">
        <v>0</v>
      </c>
      <c r="R66" s="55">
        <v>0</v>
      </c>
      <c r="T66" s="61">
        <f>SUM(C66/B66)</f>
        <v>0.28806631088906554</v>
      </c>
      <c r="U66" s="61">
        <f>SUM(D66/B66)</f>
        <v>0.24718973543771999</v>
      </c>
      <c r="V66" s="61">
        <f>SUM(E66/B66)</f>
        <v>4.3828772567276034E-2</v>
      </c>
      <c r="W66" s="61">
        <f>SUM(F66/B66)</f>
        <v>0.2473032814806404</v>
      </c>
      <c r="X66" s="61">
        <f>SUM(G66/B66)</f>
        <v>6.6537981151356881E-2</v>
      </c>
      <c r="Y66" s="61">
        <f>SUM(H66/B66)</f>
        <v>0.10707391847394118</v>
      </c>
      <c r="Z66" s="61">
        <f>SUM(I66/B66)</f>
        <v>0</v>
      </c>
    </row>
    <row r="67" spans="1:26">
      <c r="A67" s="56" t="s">
        <v>1583</v>
      </c>
      <c r="B67" s="54">
        <f>SUM(C67:I67)</f>
        <v>7096</v>
      </c>
      <c r="C67" s="55">
        <v>3279</v>
      </c>
      <c r="D67" s="55">
        <v>1213</v>
      </c>
      <c r="E67" s="55">
        <v>786</v>
      </c>
      <c r="F67" s="55">
        <v>1601</v>
      </c>
      <c r="G67" s="55">
        <v>0</v>
      </c>
      <c r="H67" s="55">
        <v>217</v>
      </c>
      <c r="I67" s="55">
        <v>0</v>
      </c>
      <c r="K67" s="54">
        <f>SUM(L67:R67)</f>
        <v>7</v>
      </c>
      <c r="L67" s="55">
        <v>4</v>
      </c>
      <c r="M67" s="55">
        <v>1</v>
      </c>
      <c r="N67" s="55">
        <v>0</v>
      </c>
      <c r="O67" s="55">
        <v>2</v>
      </c>
      <c r="P67" s="55">
        <v>0</v>
      </c>
      <c r="Q67" s="55">
        <v>0</v>
      </c>
      <c r="R67" s="55">
        <v>0</v>
      </c>
      <c r="T67" s="61">
        <f>SUM(C67/B67)</f>
        <v>0.46209131905298761</v>
      </c>
      <c r="U67" s="61">
        <f>SUM(D67/B67)</f>
        <v>0.17094137542277341</v>
      </c>
      <c r="V67" s="61">
        <f>SUM(E67/B67)</f>
        <v>0.11076662908680947</v>
      </c>
      <c r="W67" s="61">
        <f>SUM(F67/B67)</f>
        <v>0.22562006764374296</v>
      </c>
      <c r="X67" s="61">
        <f>SUM(G67/B67)</f>
        <v>0</v>
      </c>
      <c r="Y67" s="61">
        <f>SUM(H67/B67)</f>
        <v>3.0580608793686584E-2</v>
      </c>
      <c r="Z67" s="61">
        <f>SUM(I67/B67)</f>
        <v>0</v>
      </c>
    </row>
    <row r="68" spans="1:26">
      <c r="A68" s="56" t="s">
        <v>1584</v>
      </c>
      <c r="B68" s="54">
        <f>SUM(C68:I68)</f>
        <v>7612</v>
      </c>
      <c r="C68" s="55">
        <v>497</v>
      </c>
      <c r="D68" s="55">
        <v>0</v>
      </c>
      <c r="E68" s="55">
        <v>2325</v>
      </c>
      <c r="F68" s="55">
        <v>4565</v>
      </c>
      <c r="G68" s="55">
        <v>0</v>
      </c>
      <c r="H68" s="55">
        <v>225</v>
      </c>
      <c r="I68" s="55">
        <v>0</v>
      </c>
      <c r="K68" s="54">
        <f>SUM(L68:R68)</f>
        <v>5</v>
      </c>
      <c r="L68" s="55">
        <v>0</v>
      </c>
      <c r="M68" s="55">
        <v>0</v>
      </c>
      <c r="N68" s="55">
        <v>2</v>
      </c>
      <c r="O68" s="55">
        <v>3</v>
      </c>
      <c r="P68" s="55">
        <v>0</v>
      </c>
      <c r="Q68" s="55">
        <v>0</v>
      </c>
      <c r="R68" s="55">
        <v>0</v>
      </c>
      <c r="T68" s="61">
        <f>SUM(C68/B68)</f>
        <v>6.5291644771413554E-2</v>
      </c>
      <c r="U68" s="61">
        <f>SUM(D68/B68)</f>
        <v>0</v>
      </c>
      <c r="V68" s="61">
        <f>SUM(E68/B68)</f>
        <v>0.30543878087230686</v>
      </c>
      <c r="W68" s="61">
        <f>SUM(F68/B68)</f>
        <v>0.5997109826589595</v>
      </c>
      <c r="X68" s="61">
        <f>SUM(G68/B68)</f>
        <v>0</v>
      </c>
      <c r="Y68" s="61">
        <f>SUM(H68/B68)</f>
        <v>2.955859169732002E-2</v>
      </c>
      <c r="Z68" s="61">
        <f>SUM(I68/B68)</f>
        <v>0</v>
      </c>
    </row>
    <row r="69" spans="1:26" s="52" customFormat="1">
      <c r="A69" s="53" t="s">
        <v>1585</v>
      </c>
      <c r="B69" s="54">
        <f>SUM(B65:B68)</f>
        <v>33301</v>
      </c>
      <c r="C69" s="54">
        <f t="shared" ref="C69:R69" si="25">SUM(C65:C68)</f>
        <v>9974</v>
      </c>
      <c r="D69" s="54">
        <f t="shared" si="25"/>
        <v>6845</v>
      </c>
      <c r="E69" s="54">
        <f>SUM(E65:E68)</f>
        <v>4026</v>
      </c>
      <c r="F69" s="54">
        <f t="shared" si="25"/>
        <v>9304</v>
      </c>
      <c r="G69" s="54">
        <f t="shared" si="25"/>
        <v>1137</v>
      </c>
      <c r="H69" s="54">
        <f>SUM(H65:H68)</f>
        <v>2015</v>
      </c>
      <c r="I69" s="54">
        <f t="shared" si="25"/>
        <v>0</v>
      </c>
      <c r="J69" s="54"/>
      <c r="K69" s="54">
        <f t="shared" si="25"/>
        <v>26</v>
      </c>
      <c r="L69" s="54">
        <f t="shared" si="25"/>
        <v>9</v>
      </c>
      <c r="M69" s="54">
        <f t="shared" si="25"/>
        <v>6</v>
      </c>
      <c r="N69" s="54">
        <f>SUM(N65:N68)</f>
        <v>2</v>
      </c>
      <c r="O69" s="54">
        <f t="shared" si="25"/>
        <v>8</v>
      </c>
      <c r="P69" s="54">
        <f t="shared" si="25"/>
        <v>1</v>
      </c>
      <c r="Q69" s="54">
        <f>SUM(Q65:Q68)</f>
        <v>0</v>
      </c>
      <c r="R69" s="54">
        <f t="shared" si="25"/>
        <v>0</v>
      </c>
      <c r="T69" s="60">
        <f>SUM(C69/B69)</f>
        <v>0.29951052520945315</v>
      </c>
      <c r="U69" s="60">
        <f>SUM(D69/B69)</f>
        <v>0.20554938290141436</v>
      </c>
      <c r="V69" s="60">
        <f>SUM(E69/B69)</f>
        <v>0.12089727035224167</v>
      </c>
      <c r="W69" s="60">
        <f>SUM(F69/B69)</f>
        <v>0.27939100927900062</v>
      </c>
      <c r="X69" s="60">
        <f>SUM(G69/B69)</f>
        <v>3.4143118825260506E-2</v>
      </c>
      <c r="Y69" s="60">
        <f>SUM(H69/B69)</f>
        <v>6.050869343262965E-2</v>
      </c>
      <c r="Z69" s="60">
        <f>SUM(I69/B69)</f>
        <v>0</v>
      </c>
    </row>
    <row r="70" spans="1:26">
      <c r="A70" s="53"/>
      <c r="B70" s="54"/>
      <c r="C70" s="55"/>
      <c r="D70" s="55"/>
      <c r="E70" s="55"/>
      <c r="F70" s="55"/>
      <c r="G70" s="55"/>
      <c r="H70" s="55"/>
      <c r="I70" s="55"/>
      <c r="K70" s="54"/>
      <c r="L70" s="55"/>
      <c r="M70" s="55"/>
      <c r="N70" s="55"/>
      <c r="O70" s="55"/>
      <c r="P70" s="55"/>
      <c r="Q70" s="55"/>
      <c r="R70" s="55"/>
    </row>
    <row r="71" spans="1:26">
      <c r="A71" s="56" t="s">
        <v>1586</v>
      </c>
      <c r="B71" s="54">
        <f>SUM(C71:I71)</f>
        <v>5865</v>
      </c>
      <c r="C71" s="55">
        <v>2595</v>
      </c>
      <c r="D71" s="55">
        <v>1527</v>
      </c>
      <c r="E71" s="55">
        <v>488</v>
      </c>
      <c r="F71" s="55">
        <v>597</v>
      </c>
      <c r="G71" s="55">
        <v>409</v>
      </c>
      <c r="H71" s="55">
        <v>249</v>
      </c>
      <c r="I71" s="55">
        <v>0</v>
      </c>
      <c r="K71" s="54">
        <f>SUM(L71:R71)</f>
        <v>5</v>
      </c>
      <c r="L71" s="55">
        <v>2</v>
      </c>
      <c r="M71" s="55">
        <v>2</v>
      </c>
      <c r="N71" s="55">
        <v>0</v>
      </c>
      <c r="O71" s="55">
        <v>1</v>
      </c>
      <c r="P71" s="55">
        <v>0</v>
      </c>
      <c r="Q71" s="55">
        <v>0</v>
      </c>
      <c r="R71" s="55">
        <v>0</v>
      </c>
      <c r="T71" s="61">
        <f>SUM(C71/B71)</f>
        <v>0.44245524296675193</v>
      </c>
      <c r="U71" s="61">
        <f>SUM(D71/B71)</f>
        <v>0.26035805626598463</v>
      </c>
      <c r="V71" s="61">
        <f>SUM(E71/B71)</f>
        <v>8.3205456095481675E-2</v>
      </c>
      <c r="W71" s="61">
        <f>SUM(F71/B71)</f>
        <v>0.10179028132992328</v>
      </c>
      <c r="X71" s="61">
        <f>SUM(G71/B71)</f>
        <v>6.9735720375106558E-2</v>
      </c>
      <c r="Y71" s="61">
        <f>SUM(H71/B71)</f>
        <v>4.2455242966751919E-2</v>
      </c>
      <c r="Z71" s="61">
        <f>SUM(I71/B71)</f>
        <v>0</v>
      </c>
    </row>
    <row r="72" spans="1:26">
      <c r="A72" s="56" t="s">
        <v>1587</v>
      </c>
      <c r="B72" s="54">
        <f>SUM(C72:I72)</f>
        <v>5897</v>
      </c>
      <c r="C72" s="55">
        <v>1819</v>
      </c>
      <c r="D72" s="55">
        <v>2142</v>
      </c>
      <c r="E72" s="55">
        <v>683</v>
      </c>
      <c r="F72" s="55">
        <v>435</v>
      </c>
      <c r="G72" s="55">
        <v>483</v>
      </c>
      <c r="H72" s="55">
        <v>335</v>
      </c>
      <c r="I72" s="55">
        <v>0</v>
      </c>
      <c r="K72" s="54">
        <f>SUM(L72:R72)</f>
        <v>6</v>
      </c>
      <c r="L72" s="55">
        <v>2</v>
      </c>
      <c r="M72" s="55">
        <v>2</v>
      </c>
      <c r="N72" s="55">
        <v>1</v>
      </c>
      <c r="O72" s="55">
        <v>0</v>
      </c>
      <c r="P72" s="55">
        <v>1</v>
      </c>
      <c r="Q72" s="55">
        <v>0</v>
      </c>
      <c r="R72" s="55">
        <v>0</v>
      </c>
      <c r="T72" s="61">
        <f>SUM(C72/B72)</f>
        <v>0.30846192979481091</v>
      </c>
      <c r="U72" s="61">
        <f>SUM(D72/B72)</f>
        <v>0.36323554349669324</v>
      </c>
      <c r="V72" s="61">
        <f>SUM(E72/B72)</f>
        <v>0.11582160420552823</v>
      </c>
      <c r="W72" s="61">
        <f>SUM(F72/B72)</f>
        <v>7.3766321858572154E-2</v>
      </c>
      <c r="X72" s="61">
        <f>SUM(G72/B72)</f>
        <v>8.1906053925724948E-2</v>
      </c>
      <c r="Y72" s="61">
        <f>SUM(H72/B72)</f>
        <v>5.6808546718670513E-2</v>
      </c>
      <c r="Z72" s="61">
        <f>SUM(I72/B72)</f>
        <v>0</v>
      </c>
    </row>
    <row r="73" spans="1:26">
      <c r="A73" s="56" t="s">
        <v>1588</v>
      </c>
      <c r="B73" s="54">
        <f>SUM(C73:I73)</f>
        <v>6474</v>
      </c>
      <c r="C73" s="55">
        <v>1490</v>
      </c>
      <c r="D73" s="55">
        <v>2498</v>
      </c>
      <c r="E73" s="55">
        <v>1238</v>
      </c>
      <c r="F73" s="55">
        <v>1039</v>
      </c>
      <c r="G73" s="55">
        <v>0</v>
      </c>
      <c r="H73" s="55">
        <v>209</v>
      </c>
      <c r="I73" s="55">
        <v>0</v>
      </c>
      <c r="K73" s="54">
        <f>SUM(L73:R73)</f>
        <v>6</v>
      </c>
      <c r="L73" s="55">
        <v>1</v>
      </c>
      <c r="M73" s="55">
        <v>3</v>
      </c>
      <c r="N73" s="55">
        <v>1</v>
      </c>
      <c r="O73" s="55">
        <v>1</v>
      </c>
      <c r="P73" s="55">
        <v>0</v>
      </c>
      <c r="Q73" s="55">
        <v>0</v>
      </c>
      <c r="R73" s="55">
        <v>0</v>
      </c>
      <c r="T73" s="61">
        <f>SUM(C73/B73)</f>
        <v>0.230151374729688</v>
      </c>
      <c r="U73" s="61">
        <f>SUM(D73/B73)</f>
        <v>0.38585109669447021</v>
      </c>
      <c r="V73" s="61">
        <f>SUM(E73/B73)</f>
        <v>0.19122644423849244</v>
      </c>
      <c r="W73" s="61">
        <f>SUM(F73/B73)</f>
        <v>0.1604881062712388</v>
      </c>
      <c r="X73" s="61">
        <f>SUM(G73/B73)</f>
        <v>0</v>
      </c>
      <c r="Y73" s="61">
        <f>SUM(H73/B73)</f>
        <v>3.2282978066110593E-2</v>
      </c>
      <c r="Z73" s="61">
        <f>SUM(I73/B73)</f>
        <v>0</v>
      </c>
    </row>
    <row r="74" spans="1:26" s="52" customFormat="1">
      <c r="A74" s="53" t="s">
        <v>1589</v>
      </c>
      <c r="B74" s="54">
        <f>SUM(B71:B73)</f>
        <v>18236</v>
      </c>
      <c r="C74" s="54">
        <f t="shared" ref="C74:R74" si="26">SUM(C71:C73)</f>
        <v>5904</v>
      </c>
      <c r="D74" s="54">
        <f t="shared" si="26"/>
        <v>6167</v>
      </c>
      <c r="E74" s="54">
        <f>SUM(E71:E73)</f>
        <v>2409</v>
      </c>
      <c r="F74" s="54">
        <f t="shared" si="26"/>
        <v>2071</v>
      </c>
      <c r="G74" s="54">
        <f t="shared" si="26"/>
        <v>892</v>
      </c>
      <c r="H74" s="54">
        <f>SUM(H71:H73)</f>
        <v>793</v>
      </c>
      <c r="I74" s="54">
        <f t="shared" si="26"/>
        <v>0</v>
      </c>
      <c r="J74" s="54"/>
      <c r="K74" s="54">
        <f t="shared" si="26"/>
        <v>17</v>
      </c>
      <c r="L74" s="54">
        <f t="shared" si="26"/>
        <v>5</v>
      </c>
      <c r="M74" s="54">
        <f t="shared" si="26"/>
        <v>7</v>
      </c>
      <c r="N74" s="54">
        <f>SUM(N71:N73)</f>
        <v>2</v>
      </c>
      <c r="O74" s="54">
        <f t="shared" si="26"/>
        <v>2</v>
      </c>
      <c r="P74" s="54">
        <f t="shared" si="26"/>
        <v>1</v>
      </c>
      <c r="Q74" s="54">
        <f>SUM(Q71:Q73)</f>
        <v>0</v>
      </c>
      <c r="R74" s="54">
        <f t="shared" si="26"/>
        <v>0</v>
      </c>
      <c r="T74" s="60">
        <f>SUM(C74/B74)</f>
        <v>0.32375520947576225</v>
      </c>
      <c r="U74" s="60">
        <f>SUM(D74/B74)</f>
        <v>0.33817723184908971</v>
      </c>
      <c r="V74" s="60">
        <f>SUM(E74/B74)</f>
        <v>0.13210133801272209</v>
      </c>
      <c r="W74" s="60">
        <f>SUM(F74/B74)</f>
        <v>0.11356657161658258</v>
      </c>
      <c r="X74" s="60">
        <f>SUM(G74/B74)</f>
        <v>4.8914235577977624E-2</v>
      </c>
      <c r="Y74" s="60">
        <f>SUM(H74/B74)</f>
        <v>4.3485413467865761E-2</v>
      </c>
      <c r="Z74" s="60">
        <f>SUM(I74/B74)</f>
        <v>0</v>
      </c>
    </row>
    <row r="75" spans="1:26">
      <c r="A75" s="53"/>
      <c r="B75" s="54"/>
      <c r="C75" s="55"/>
      <c r="D75" s="55"/>
      <c r="E75" s="55"/>
      <c r="F75" s="55"/>
      <c r="G75" s="55"/>
      <c r="H75" s="55"/>
      <c r="I75" s="55"/>
      <c r="K75" s="54"/>
      <c r="L75" s="55"/>
      <c r="M75" s="55"/>
      <c r="N75" s="55"/>
      <c r="O75" s="55"/>
      <c r="P75" s="55"/>
      <c r="Q75" s="55"/>
      <c r="R75" s="55"/>
    </row>
    <row r="76" spans="1:26">
      <c r="A76" s="56" t="s">
        <v>1590</v>
      </c>
      <c r="B76" s="54">
        <f>SUM(C76:I76)</f>
        <v>6874</v>
      </c>
      <c r="C76" s="55">
        <v>168</v>
      </c>
      <c r="D76" s="55">
        <v>330</v>
      </c>
      <c r="E76" s="55">
        <v>3945</v>
      </c>
      <c r="F76" s="55">
        <v>1882</v>
      </c>
      <c r="G76" s="55">
        <v>0</v>
      </c>
      <c r="H76" s="55">
        <v>0</v>
      </c>
      <c r="I76" s="55">
        <v>549</v>
      </c>
      <c r="K76" s="54">
        <f>SUM(L76:R76)</f>
        <v>7</v>
      </c>
      <c r="L76" s="55">
        <v>0</v>
      </c>
      <c r="M76" s="55">
        <v>0</v>
      </c>
      <c r="N76" s="55">
        <v>4</v>
      </c>
      <c r="O76" s="55">
        <v>2</v>
      </c>
      <c r="P76" s="55">
        <v>0</v>
      </c>
      <c r="Q76" s="55">
        <v>0</v>
      </c>
      <c r="R76" s="55">
        <v>1</v>
      </c>
      <c r="T76" s="61">
        <f>SUM(C76/B76)</f>
        <v>2.4439918533604887E-2</v>
      </c>
      <c r="U76" s="61">
        <f>SUM(D76/B76)</f>
        <v>4.8006982833866743E-2</v>
      </c>
      <c r="V76" s="61">
        <f>SUM(E76/B76)</f>
        <v>0.5739016584230433</v>
      </c>
      <c r="W76" s="61">
        <f>SUM(F76/B76)</f>
        <v>0.27378527785859763</v>
      </c>
      <c r="X76" s="61">
        <f>SUM(G76/B76)</f>
        <v>0</v>
      </c>
      <c r="Y76" s="61">
        <f>SUM(H76/B76)</f>
        <v>0</v>
      </c>
      <c r="Z76" s="61">
        <f>SUM(I76/B76)</f>
        <v>7.9866162350887407E-2</v>
      </c>
    </row>
    <row r="77" spans="1:26">
      <c r="A77" s="56" t="s">
        <v>1591</v>
      </c>
      <c r="B77" s="54">
        <f>SUM(C77:I77)</f>
        <v>6694</v>
      </c>
      <c r="C77" s="55">
        <v>522</v>
      </c>
      <c r="D77" s="55">
        <v>636</v>
      </c>
      <c r="E77" s="55">
        <v>2229</v>
      </c>
      <c r="F77" s="55">
        <v>2432</v>
      </c>
      <c r="G77" s="55">
        <v>565</v>
      </c>
      <c r="H77" s="55">
        <v>0</v>
      </c>
      <c r="I77" s="55">
        <v>310</v>
      </c>
      <c r="K77" s="54">
        <f>SUM(L77:R77)</f>
        <v>6</v>
      </c>
      <c r="L77" s="55">
        <v>0</v>
      </c>
      <c r="M77" s="55">
        <v>1</v>
      </c>
      <c r="N77" s="55">
        <v>2</v>
      </c>
      <c r="O77" s="55">
        <v>2</v>
      </c>
      <c r="P77" s="55">
        <v>1</v>
      </c>
      <c r="Q77" s="55">
        <v>0</v>
      </c>
      <c r="R77" s="55">
        <v>0</v>
      </c>
      <c r="T77" s="61">
        <f>SUM(C77/B77)</f>
        <v>7.7980280848521058E-2</v>
      </c>
      <c r="U77" s="61">
        <f>SUM(D77/B77)</f>
        <v>9.5010457125784278E-2</v>
      </c>
      <c r="V77" s="61">
        <f>SUM(E77/B77)</f>
        <v>0.33298476247385717</v>
      </c>
      <c r="W77" s="61">
        <f>SUM(F77/B77)</f>
        <v>0.36331042724828205</v>
      </c>
      <c r="X77" s="61">
        <f>SUM(G77/B77)</f>
        <v>8.4403943830295786E-2</v>
      </c>
      <c r="Y77" s="61">
        <f>SUM(H77/B77)</f>
        <v>0</v>
      </c>
      <c r="Z77" s="61">
        <f>SUM(I77/B77)</f>
        <v>4.6310128473259639E-2</v>
      </c>
    </row>
    <row r="78" spans="1:26">
      <c r="A78" s="56" t="s">
        <v>1592</v>
      </c>
      <c r="B78" s="54">
        <f>SUM(C78:I78)</f>
        <v>5852</v>
      </c>
      <c r="C78" s="55">
        <v>1927</v>
      </c>
      <c r="D78" s="55">
        <v>1537</v>
      </c>
      <c r="E78" s="55">
        <v>924</v>
      </c>
      <c r="F78" s="55">
        <v>286</v>
      </c>
      <c r="G78" s="55">
        <v>474</v>
      </c>
      <c r="H78" s="55">
        <v>704</v>
      </c>
      <c r="I78" s="55">
        <v>0</v>
      </c>
      <c r="K78" s="54">
        <f>SUM(L78:R78)</f>
        <v>5</v>
      </c>
      <c r="L78" s="55">
        <v>2</v>
      </c>
      <c r="M78" s="55">
        <v>1</v>
      </c>
      <c r="N78" s="55">
        <v>1</v>
      </c>
      <c r="O78" s="55">
        <v>0</v>
      </c>
      <c r="P78" s="55">
        <v>0</v>
      </c>
      <c r="Q78" s="55">
        <v>1</v>
      </c>
      <c r="R78" s="55">
        <v>0</v>
      </c>
      <c r="T78" s="61">
        <f>SUM(C78/B78)</f>
        <v>0.32928913192071085</v>
      </c>
      <c r="U78" s="61">
        <f>SUM(D78/B78)</f>
        <v>0.26264524948735474</v>
      </c>
      <c r="V78" s="61">
        <f>SUM(E78/B78)</f>
        <v>0.15789473684210525</v>
      </c>
      <c r="W78" s="61">
        <f>SUM(F78/B78)</f>
        <v>4.8872180451127817E-2</v>
      </c>
      <c r="X78" s="61">
        <f>SUM(G78/B78)</f>
        <v>8.0997949419002055E-2</v>
      </c>
      <c r="Y78" s="61">
        <f>SUM(H78/B78)</f>
        <v>0.12030075187969924</v>
      </c>
      <c r="Z78" s="61">
        <f>SUM(I78/B78)</f>
        <v>0</v>
      </c>
    </row>
    <row r="79" spans="1:26">
      <c r="A79" s="56" t="s">
        <v>1593</v>
      </c>
      <c r="B79" s="54">
        <f>SUM(C79:I79)</f>
        <v>5910</v>
      </c>
      <c r="C79" s="55">
        <v>1535</v>
      </c>
      <c r="D79" s="55">
        <v>843</v>
      </c>
      <c r="E79" s="55">
        <v>1568</v>
      </c>
      <c r="F79" s="55">
        <v>1206</v>
      </c>
      <c r="G79" s="55">
        <v>213</v>
      </c>
      <c r="H79" s="55">
        <v>369</v>
      </c>
      <c r="I79" s="55">
        <v>176</v>
      </c>
      <c r="J79" s="55"/>
      <c r="K79" s="54">
        <f>SUM(L79:R79)</f>
        <v>5</v>
      </c>
      <c r="L79" s="55">
        <v>1</v>
      </c>
      <c r="M79" s="55">
        <v>1</v>
      </c>
      <c r="N79" s="55">
        <v>2</v>
      </c>
      <c r="O79" s="55">
        <v>1</v>
      </c>
      <c r="P79" s="55">
        <v>0</v>
      </c>
      <c r="Q79" s="55">
        <v>0</v>
      </c>
      <c r="R79" s="55">
        <v>0</v>
      </c>
      <c r="T79" s="61">
        <f>SUM(C79/B79)</f>
        <v>0.25972927241962773</v>
      </c>
      <c r="U79" s="61">
        <f>SUM(D79/B79)</f>
        <v>0.14263959390862943</v>
      </c>
      <c r="V79" s="61">
        <f>SUM(E79/B79)</f>
        <v>0.26531302876480539</v>
      </c>
      <c r="W79" s="61">
        <f>SUM(F79/B79)</f>
        <v>0.20406091370558377</v>
      </c>
      <c r="X79" s="61">
        <f>SUM(G79/B79)</f>
        <v>3.604060913705584E-2</v>
      </c>
      <c r="Y79" s="61">
        <f>SUM(H79/B79)</f>
        <v>6.2436548223350256E-2</v>
      </c>
      <c r="Z79" s="61">
        <f>SUM(I79/B79)</f>
        <v>2.9780033840947545E-2</v>
      </c>
    </row>
    <row r="80" spans="1:26" s="52" customFormat="1">
      <c r="A80" s="53" t="s">
        <v>1594</v>
      </c>
      <c r="B80" s="54">
        <f>SUM(B76:B79)</f>
        <v>25330</v>
      </c>
      <c r="C80" s="54">
        <f t="shared" ref="C80:R80" si="27">SUM(C76:C79)</f>
        <v>4152</v>
      </c>
      <c r="D80" s="54">
        <f t="shared" si="27"/>
        <v>3346</v>
      </c>
      <c r="E80" s="54">
        <f>SUM(E76:E79)</f>
        <v>8666</v>
      </c>
      <c r="F80" s="54">
        <f t="shared" si="27"/>
        <v>5806</v>
      </c>
      <c r="G80" s="54">
        <f t="shared" si="27"/>
        <v>1252</v>
      </c>
      <c r="H80" s="54">
        <f>SUM(H76:H79)</f>
        <v>1073</v>
      </c>
      <c r="I80" s="54">
        <f t="shared" si="27"/>
        <v>1035</v>
      </c>
      <c r="J80" s="54"/>
      <c r="K80" s="54">
        <f t="shared" si="27"/>
        <v>23</v>
      </c>
      <c r="L80" s="54">
        <f t="shared" si="27"/>
        <v>3</v>
      </c>
      <c r="M80" s="54">
        <f t="shared" si="27"/>
        <v>3</v>
      </c>
      <c r="N80" s="54">
        <f>SUM(N76:N79)</f>
        <v>9</v>
      </c>
      <c r="O80" s="54">
        <f t="shared" si="27"/>
        <v>5</v>
      </c>
      <c r="P80" s="54">
        <f t="shared" si="27"/>
        <v>1</v>
      </c>
      <c r="Q80" s="54">
        <f>SUM(Q76:Q79)</f>
        <v>1</v>
      </c>
      <c r="R80" s="54">
        <f t="shared" si="27"/>
        <v>1</v>
      </c>
      <c r="T80" s="60">
        <f>SUM(C80/B80)</f>
        <v>0.16391630477694433</v>
      </c>
      <c r="U80" s="60">
        <f>SUM(D80/B80)</f>
        <v>0.13209632846427161</v>
      </c>
      <c r="V80" s="60">
        <f>SUM(E80/B80)</f>
        <v>0.34212396367943149</v>
      </c>
      <c r="W80" s="60">
        <f>SUM(F80/B80)</f>
        <v>0.22921437031188313</v>
      </c>
      <c r="X80" s="60">
        <f>SUM(G80/B80)</f>
        <v>4.9427556257402291E-2</v>
      </c>
      <c r="Y80" s="60">
        <f>SUM(H80/B80)</f>
        <v>4.2360836952230557E-2</v>
      </c>
      <c r="Z80" s="60">
        <f>SUM(I80/B80)</f>
        <v>4.0860639557836559E-2</v>
      </c>
    </row>
    <row r="81" spans="1:26">
      <c r="A81" s="53"/>
      <c r="B81" s="54"/>
      <c r="C81" s="55"/>
      <c r="D81" s="55"/>
      <c r="E81" s="55"/>
      <c r="F81" s="55"/>
      <c r="G81" s="55"/>
      <c r="H81" s="55"/>
      <c r="I81" s="55"/>
      <c r="K81" s="54"/>
      <c r="L81" s="55"/>
      <c r="M81" s="55"/>
      <c r="N81" s="55"/>
      <c r="O81" s="55"/>
      <c r="P81" s="55"/>
      <c r="Q81" s="55"/>
      <c r="R81" s="55"/>
    </row>
    <row r="82" spans="1:26">
      <c r="A82" s="56" t="s">
        <v>1595</v>
      </c>
      <c r="B82" s="54">
        <f>SUM(C82:I82)</f>
        <v>7919</v>
      </c>
      <c r="C82" s="55">
        <v>4216</v>
      </c>
      <c r="D82" s="55">
        <v>1902</v>
      </c>
      <c r="E82" s="55">
        <v>269</v>
      </c>
      <c r="F82" s="55">
        <v>107</v>
      </c>
      <c r="G82" s="55">
        <v>1136</v>
      </c>
      <c r="H82" s="55">
        <v>289</v>
      </c>
      <c r="I82" s="55">
        <v>0</v>
      </c>
      <c r="K82" s="54">
        <f>SUM(L82:R82)</f>
        <v>5</v>
      </c>
      <c r="L82" s="55">
        <v>3</v>
      </c>
      <c r="M82" s="55">
        <v>1</v>
      </c>
      <c r="N82" s="55">
        <v>0</v>
      </c>
      <c r="O82" s="55">
        <v>0</v>
      </c>
      <c r="P82" s="55">
        <v>1</v>
      </c>
      <c r="Q82" s="55">
        <v>0</v>
      </c>
      <c r="R82" s="55">
        <v>0</v>
      </c>
      <c r="T82" s="61">
        <f t="shared" ref="T82:T87" si="28">SUM(C82/B82)</f>
        <v>0.53239045334006818</v>
      </c>
      <c r="U82" s="61">
        <f t="shared" ref="U82:U87" si="29">SUM(D82/B82)</f>
        <v>0.24018184114155827</v>
      </c>
      <c r="V82" s="61">
        <f t="shared" ref="V82:V87" si="30">SUM(E82/B82)</f>
        <v>3.396893547165046E-2</v>
      </c>
      <c r="W82" s="61">
        <f t="shared" ref="W82:W87" si="31">SUM(F82/B82)</f>
        <v>1.3511807046344235E-2</v>
      </c>
      <c r="X82" s="61">
        <f t="shared" ref="X82:X87" si="32">SUM(G82/B82)</f>
        <v>0.14345245611819674</v>
      </c>
      <c r="Y82" s="61">
        <f t="shared" ref="Y82:Y87" si="33">SUM(H82/B82)</f>
        <v>3.6494506882182094E-2</v>
      </c>
      <c r="Z82" s="61">
        <f t="shared" ref="Z82:Z87" si="34">SUM(I82/B82)</f>
        <v>0</v>
      </c>
    </row>
    <row r="83" spans="1:26">
      <c r="A83" s="56" t="s">
        <v>1596</v>
      </c>
      <c r="B83" s="54">
        <f>SUM(C83:I83)</f>
        <v>8549</v>
      </c>
      <c r="C83" s="55">
        <v>4079</v>
      </c>
      <c r="D83" s="55">
        <v>1438</v>
      </c>
      <c r="E83" s="55">
        <v>898</v>
      </c>
      <c r="F83" s="55">
        <v>772</v>
      </c>
      <c r="G83" s="55">
        <v>891</v>
      </c>
      <c r="H83" s="55">
        <v>471</v>
      </c>
      <c r="I83" s="55">
        <v>0</v>
      </c>
      <c r="K83" s="54">
        <f>SUM(L83:R83)</f>
        <v>5</v>
      </c>
      <c r="L83" s="55">
        <v>3</v>
      </c>
      <c r="M83" s="55">
        <v>1</v>
      </c>
      <c r="N83" s="55">
        <v>1</v>
      </c>
      <c r="O83" s="55">
        <v>0</v>
      </c>
      <c r="P83" s="55">
        <v>0</v>
      </c>
      <c r="Q83" s="55">
        <v>0</v>
      </c>
      <c r="R83" s="55">
        <v>0</v>
      </c>
      <c r="T83" s="61">
        <f t="shared" si="28"/>
        <v>0.47713182828400985</v>
      </c>
      <c r="U83" s="61">
        <f t="shared" si="29"/>
        <v>0.16820680781377939</v>
      </c>
      <c r="V83" s="61">
        <f t="shared" si="30"/>
        <v>0.10504152532459937</v>
      </c>
      <c r="W83" s="61">
        <f t="shared" si="31"/>
        <v>9.0302959410457365E-2</v>
      </c>
      <c r="X83" s="61">
        <f t="shared" si="32"/>
        <v>0.10422271610714703</v>
      </c>
      <c r="Y83" s="61">
        <f t="shared" si="33"/>
        <v>5.5094163060007022E-2</v>
      </c>
      <c r="Z83" s="61">
        <f t="shared" si="34"/>
        <v>0</v>
      </c>
    </row>
    <row r="84" spans="1:26">
      <c r="A84" s="56" t="s">
        <v>1597</v>
      </c>
      <c r="B84" s="54">
        <f>SUM(C84:I84)</f>
        <v>9158</v>
      </c>
      <c r="C84" s="55">
        <v>4379</v>
      </c>
      <c r="D84" s="55">
        <v>2290</v>
      </c>
      <c r="E84" s="55">
        <v>529</v>
      </c>
      <c r="F84" s="55">
        <v>412</v>
      </c>
      <c r="G84" s="55">
        <v>1285</v>
      </c>
      <c r="H84" s="55">
        <v>0</v>
      </c>
      <c r="I84" s="55">
        <v>263</v>
      </c>
      <c r="K84" s="54">
        <f>SUM(L84:R84)</f>
        <v>7</v>
      </c>
      <c r="L84" s="55">
        <v>3</v>
      </c>
      <c r="M84" s="55">
        <v>2</v>
      </c>
      <c r="N84" s="55">
        <v>1</v>
      </c>
      <c r="O84" s="55">
        <v>0</v>
      </c>
      <c r="P84" s="55">
        <v>1</v>
      </c>
      <c r="Q84" s="55">
        <v>0</v>
      </c>
      <c r="R84" s="55">
        <v>0</v>
      </c>
      <c r="T84" s="61">
        <f t="shared" si="28"/>
        <v>0.4781611705612579</v>
      </c>
      <c r="U84" s="61">
        <f t="shared" si="29"/>
        <v>0.25005459707359684</v>
      </c>
      <c r="V84" s="61">
        <f t="shared" si="30"/>
        <v>5.7763703865472811E-2</v>
      </c>
      <c r="W84" s="61">
        <f t="shared" si="31"/>
        <v>4.4987988643808693E-2</v>
      </c>
      <c r="X84" s="61">
        <f t="shared" si="32"/>
        <v>0.1403144791439179</v>
      </c>
      <c r="Y84" s="61">
        <f t="shared" si="33"/>
        <v>0</v>
      </c>
      <c r="Z84" s="61">
        <f t="shared" si="34"/>
        <v>2.8718060711945839E-2</v>
      </c>
    </row>
    <row r="85" spans="1:26">
      <c r="A85" s="56" t="s">
        <v>1598</v>
      </c>
      <c r="B85" s="54">
        <f>SUM(C85:I85)</f>
        <v>4861</v>
      </c>
      <c r="C85" s="55">
        <v>2961</v>
      </c>
      <c r="D85" s="55">
        <v>827</v>
      </c>
      <c r="E85" s="55">
        <v>255</v>
      </c>
      <c r="F85" s="55">
        <v>177</v>
      </c>
      <c r="G85" s="55">
        <v>473</v>
      </c>
      <c r="H85" s="55">
        <v>59</v>
      </c>
      <c r="I85" s="55">
        <v>109</v>
      </c>
      <c r="K85" s="54">
        <f>SUM(L85:R85)</f>
        <v>6</v>
      </c>
      <c r="L85" s="55">
        <v>4</v>
      </c>
      <c r="M85" s="55">
        <v>1</v>
      </c>
      <c r="N85" s="55">
        <v>0</v>
      </c>
      <c r="O85" s="55">
        <v>0</v>
      </c>
      <c r="P85" s="55">
        <v>1</v>
      </c>
      <c r="Q85" s="55">
        <v>0</v>
      </c>
      <c r="R85" s="55">
        <v>0</v>
      </c>
      <c r="T85" s="61">
        <f t="shared" si="28"/>
        <v>0.60913392306109859</v>
      </c>
      <c r="U85" s="61">
        <f t="shared" si="29"/>
        <v>0.17012960296235344</v>
      </c>
      <c r="V85" s="61">
        <f t="shared" si="30"/>
        <v>5.245834190495783E-2</v>
      </c>
      <c r="W85" s="61">
        <f t="shared" si="31"/>
        <v>3.6412260851676613E-2</v>
      </c>
      <c r="X85" s="61">
        <f t="shared" si="32"/>
        <v>9.7305081259000212E-2</v>
      </c>
      <c r="Y85" s="61">
        <f t="shared" si="33"/>
        <v>1.2137420283892203E-2</v>
      </c>
      <c r="Z85" s="61">
        <f t="shared" si="34"/>
        <v>2.2423369677021188E-2</v>
      </c>
    </row>
    <row r="86" spans="1:26">
      <c r="A86" s="56" t="s">
        <v>1599</v>
      </c>
      <c r="B86" s="54">
        <f>SUM(C86:I86)</f>
        <v>10445</v>
      </c>
      <c r="C86" s="55">
        <v>1132</v>
      </c>
      <c r="D86" s="55">
        <v>346</v>
      </c>
      <c r="E86" s="55">
        <v>1649</v>
      </c>
      <c r="F86" s="55">
        <v>6860</v>
      </c>
      <c r="G86" s="55">
        <v>458</v>
      </c>
      <c r="H86" s="55">
        <v>0</v>
      </c>
      <c r="I86" s="55">
        <v>0</v>
      </c>
      <c r="K86" s="54">
        <f>SUM(L86:R86)</f>
        <v>7</v>
      </c>
      <c r="L86" s="55">
        <v>1</v>
      </c>
      <c r="M86" s="55">
        <v>0</v>
      </c>
      <c r="N86" s="55">
        <v>1</v>
      </c>
      <c r="O86" s="55">
        <v>5</v>
      </c>
      <c r="P86" s="55">
        <v>0</v>
      </c>
      <c r="Q86" s="55">
        <v>0</v>
      </c>
      <c r="R86" s="55">
        <v>0</v>
      </c>
      <c r="T86" s="61">
        <f t="shared" si="28"/>
        <v>0.10837721397797989</v>
      </c>
      <c r="U86" s="61">
        <f t="shared" si="29"/>
        <v>3.3125897558640496E-2</v>
      </c>
      <c r="V86" s="61">
        <f t="shared" si="30"/>
        <v>0.15787458113930111</v>
      </c>
      <c r="W86" s="61">
        <f t="shared" si="31"/>
        <v>0.65677357587362373</v>
      </c>
      <c r="X86" s="61">
        <f t="shared" si="32"/>
        <v>4.3848731450454766E-2</v>
      </c>
      <c r="Y86" s="61">
        <f t="shared" si="33"/>
        <v>0</v>
      </c>
      <c r="Z86" s="61">
        <f t="shared" si="34"/>
        <v>0</v>
      </c>
    </row>
    <row r="87" spans="1:26" s="52" customFormat="1">
      <c r="A87" s="53" t="s">
        <v>1600</v>
      </c>
      <c r="B87" s="54">
        <f>SUM(B82:B86)</f>
        <v>40932</v>
      </c>
      <c r="C87" s="54">
        <f t="shared" ref="C87:R87" si="35">SUM(C82:C86)</f>
        <v>16767</v>
      </c>
      <c r="D87" s="54">
        <f t="shared" si="35"/>
        <v>6803</v>
      </c>
      <c r="E87" s="54">
        <f>SUM(E82:E86)</f>
        <v>3600</v>
      </c>
      <c r="F87" s="54">
        <f t="shared" si="35"/>
        <v>8328</v>
      </c>
      <c r="G87" s="54">
        <f t="shared" si="35"/>
        <v>4243</v>
      </c>
      <c r="H87" s="54">
        <f>SUM(H82:H86)</f>
        <v>819</v>
      </c>
      <c r="I87" s="54">
        <f t="shared" si="35"/>
        <v>372</v>
      </c>
      <c r="J87" s="54"/>
      <c r="K87" s="54">
        <f t="shared" si="35"/>
        <v>30</v>
      </c>
      <c r="L87" s="54">
        <f t="shared" si="35"/>
        <v>14</v>
      </c>
      <c r="M87" s="54">
        <f t="shared" si="35"/>
        <v>5</v>
      </c>
      <c r="N87" s="54">
        <f>SUM(N82:N86)</f>
        <v>3</v>
      </c>
      <c r="O87" s="54">
        <f t="shared" si="35"/>
        <v>5</v>
      </c>
      <c r="P87" s="54">
        <f t="shared" si="35"/>
        <v>3</v>
      </c>
      <c r="Q87" s="54">
        <f>SUM(Q82:Q86)</f>
        <v>0</v>
      </c>
      <c r="R87" s="54">
        <f t="shared" si="35"/>
        <v>0</v>
      </c>
      <c r="T87" s="60">
        <f t="shared" si="28"/>
        <v>0.40963060686015829</v>
      </c>
      <c r="U87" s="60">
        <f t="shared" si="29"/>
        <v>0.16620248216554284</v>
      </c>
      <c r="V87" s="60">
        <f t="shared" si="30"/>
        <v>8.7950747581354446E-2</v>
      </c>
      <c r="W87" s="60">
        <f t="shared" si="31"/>
        <v>0.20345939607153327</v>
      </c>
      <c r="X87" s="60">
        <f t="shared" si="32"/>
        <v>0.10365972832991302</v>
      </c>
      <c r="Y87" s="60">
        <f t="shared" si="33"/>
        <v>2.0008795074758137E-2</v>
      </c>
      <c r="Z87" s="60">
        <f t="shared" si="34"/>
        <v>9.0882439167399593E-3</v>
      </c>
    </row>
    <row r="88" spans="1:26">
      <c r="A88" s="53"/>
      <c r="B88" s="54"/>
      <c r="C88" s="55"/>
      <c r="D88" s="55"/>
      <c r="E88" s="55"/>
      <c r="F88" s="55"/>
      <c r="G88" s="55"/>
      <c r="H88" s="55"/>
      <c r="I88" s="55"/>
      <c r="K88" s="54"/>
      <c r="L88" s="55"/>
      <c r="M88" s="55"/>
      <c r="N88" s="55"/>
      <c r="O88" s="55"/>
      <c r="P88" s="55"/>
      <c r="Q88" s="55"/>
      <c r="R88" s="55"/>
    </row>
    <row r="89" spans="1:26">
      <c r="A89" s="56" t="s">
        <v>1601</v>
      </c>
      <c r="B89" s="54">
        <f>SUM(C89:I89)</f>
        <v>6076</v>
      </c>
      <c r="C89" s="55">
        <v>2213</v>
      </c>
      <c r="D89" s="55">
        <v>719</v>
      </c>
      <c r="E89" s="55">
        <v>1473</v>
      </c>
      <c r="F89" s="55">
        <v>0</v>
      </c>
      <c r="G89" s="55">
        <v>1230</v>
      </c>
      <c r="H89" s="55">
        <v>441</v>
      </c>
      <c r="I89" s="55">
        <v>0</v>
      </c>
      <c r="K89" s="54">
        <f>SUM(L89:R89)</f>
        <v>5</v>
      </c>
      <c r="L89" s="55">
        <v>2</v>
      </c>
      <c r="M89" s="55">
        <v>1</v>
      </c>
      <c r="N89" s="55">
        <v>1</v>
      </c>
      <c r="O89" s="55">
        <v>0</v>
      </c>
      <c r="P89" s="55">
        <v>1</v>
      </c>
      <c r="Q89" s="55">
        <v>0</v>
      </c>
      <c r="R89" s="55">
        <v>0</v>
      </c>
      <c r="T89" s="61">
        <f>SUM(C89/B89)</f>
        <v>0.3642198815009875</v>
      </c>
      <c r="U89" s="61">
        <f>SUM(D89/B89)</f>
        <v>0.11833443054641211</v>
      </c>
      <c r="V89" s="61">
        <f>SUM(E89/B89)</f>
        <v>0.2424292297564187</v>
      </c>
      <c r="W89" s="61">
        <f>SUM(F89/B89)</f>
        <v>0</v>
      </c>
      <c r="X89" s="61">
        <f>SUM(G89/B89)</f>
        <v>0.20243581303489139</v>
      </c>
      <c r="Y89" s="61">
        <f>SUM(H89/B89)</f>
        <v>7.2580645161290328E-2</v>
      </c>
      <c r="Z89" s="61">
        <f>SUM(I89/B89)</f>
        <v>0</v>
      </c>
    </row>
    <row r="90" spans="1:26">
      <c r="A90" s="56" t="s">
        <v>1602</v>
      </c>
      <c r="B90" s="54">
        <f>SUM(C90:I90)</f>
        <v>6747</v>
      </c>
      <c r="C90" s="55">
        <v>3887</v>
      </c>
      <c r="D90" s="55">
        <v>1148</v>
      </c>
      <c r="E90" s="55">
        <v>123</v>
      </c>
      <c r="F90" s="55">
        <v>0</v>
      </c>
      <c r="G90" s="55">
        <v>1094</v>
      </c>
      <c r="H90" s="55">
        <v>304</v>
      </c>
      <c r="I90" s="55">
        <v>191</v>
      </c>
      <c r="K90" s="54">
        <f>SUM(L90:R90)</f>
        <v>6</v>
      </c>
      <c r="L90" s="55">
        <v>4</v>
      </c>
      <c r="M90" s="55">
        <v>1</v>
      </c>
      <c r="N90" s="55">
        <v>0</v>
      </c>
      <c r="O90" s="55">
        <v>0</v>
      </c>
      <c r="P90" s="55">
        <v>1</v>
      </c>
      <c r="Q90" s="55">
        <v>0</v>
      </c>
      <c r="R90" s="55">
        <v>0</v>
      </c>
      <c r="T90" s="61">
        <f>SUM(C90/B90)</f>
        <v>0.5761078998073218</v>
      </c>
      <c r="U90" s="61">
        <f>SUM(D90/B90)</f>
        <v>0.17014969616125686</v>
      </c>
      <c r="V90" s="61">
        <f>SUM(E90/B90)</f>
        <v>1.823032458870609E-2</v>
      </c>
      <c r="W90" s="61">
        <f>SUM(F90/B90)</f>
        <v>0</v>
      </c>
      <c r="X90" s="61">
        <f>SUM(G90/B90)</f>
        <v>0.16214613902475175</v>
      </c>
      <c r="Y90" s="61">
        <f>SUM(H90/B90)</f>
        <v>4.5057062398102858E-2</v>
      </c>
      <c r="Z90" s="61">
        <f>SUM(I90/B90)</f>
        <v>2.8308878019860678E-2</v>
      </c>
    </row>
    <row r="91" spans="1:26">
      <c r="A91" s="56" t="s">
        <v>1603</v>
      </c>
      <c r="B91" s="54">
        <f>SUM(C91:I91)</f>
        <v>6577</v>
      </c>
      <c r="C91" s="55">
        <v>3448</v>
      </c>
      <c r="D91" s="55">
        <v>1352</v>
      </c>
      <c r="E91" s="55">
        <v>0</v>
      </c>
      <c r="F91" s="55">
        <v>0</v>
      </c>
      <c r="G91" s="55">
        <v>1305</v>
      </c>
      <c r="H91" s="55">
        <v>472</v>
      </c>
      <c r="I91" s="55">
        <v>0</v>
      </c>
      <c r="K91" s="54">
        <f>SUM(L91:R91)</f>
        <v>6</v>
      </c>
      <c r="L91" s="55">
        <v>3</v>
      </c>
      <c r="M91" s="55">
        <v>2</v>
      </c>
      <c r="N91" s="55">
        <v>0</v>
      </c>
      <c r="O91" s="55">
        <v>0</v>
      </c>
      <c r="P91" s="55">
        <v>1</v>
      </c>
      <c r="Q91" s="55">
        <v>0</v>
      </c>
      <c r="R91" s="55">
        <v>0</v>
      </c>
      <c r="T91" s="61">
        <f>SUM(C91/B91)</f>
        <v>0.5242511783487912</v>
      </c>
      <c r="U91" s="61">
        <f>SUM(D91/B91)</f>
        <v>0.20556484719476964</v>
      </c>
      <c r="V91" s="61">
        <f>SUM(E91/B91)</f>
        <v>0</v>
      </c>
      <c r="W91" s="61">
        <f>SUM(F91/B91)</f>
        <v>0</v>
      </c>
      <c r="X91" s="61">
        <f>SUM(G91/B91)</f>
        <v>0.19841873194465562</v>
      </c>
      <c r="Y91" s="61">
        <f>SUM(H91/B91)</f>
        <v>7.1765242511783484E-2</v>
      </c>
      <c r="Z91" s="61">
        <f>SUM(I91/B91)</f>
        <v>0</v>
      </c>
    </row>
    <row r="92" spans="1:26">
      <c r="A92" s="56" t="s">
        <v>1604</v>
      </c>
      <c r="B92" s="54">
        <f>SUM(C92:I92)</f>
        <v>5344</v>
      </c>
      <c r="C92" s="55">
        <v>2184</v>
      </c>
      <c r="D92" s="55">
        <v>1118</v>
      </c>
      <c r="E92" s="55">
        <v>89</v>
      </c>
      <c r="F92" s="55">
        <v>0</v>
      </c>
      <c r="G92" s="55">
        <v>883</v>
      </c>
      <c r="H92" s="55">
        <v>1070</v>
      </c>
      <c r="I92" s="55">
        <v>0</v>
      </c>
      <c r="K92" s="54">
        <f>SUM(L92:R92)</f>
        <v>6</v>
      </c>
      <c r="L92" s="55">
        <v>2</v>
      </c>
      <c r="M92" s="55">
        <v>2</v>
      </c>
      <c r="N92" s="55">
        <v>0</v>
      </c>
      <c r="O92" s="55">
        <v>0</v>
      </c>
      <c r="P92" s="55">
        <v>1</v>
      </c>
      <c r="Q92" s="55">
        <v>1</v>
      </c>
      <c r="R92" s="55">
        <v>0</v>
      </c>
      <c r="T92" s="61">
        <f>SUM(C92/B92)</f>
        <v>0.4086826347305389</v>
      </c>
      <c r="U92" s="61">
        <f>SUM(D92/B92)</f>
        <v>0.2092065868263473</v>
      </c>
      <c r="V92" s="61">
        <f>SUM(E92/B92)</f>
        <v>1.6654191616766467E-2</v>
      </c>
      <c r="W92" s="61">
        <f>SUM(F92/B92)</f>
        <v>0</v>
      </c>
      <c r="X92" s="61">
        <f>SUM(G92/B92)</f>
        <v>0.1652320359281437</v>
      </c>
      <c r="Y92" s="61">
        <f>SUM(H92/B92)</f>
        <v>0.2002245508982036</v>
      </c>
      <c r="Z92" s="61">
        <f>SUM(I92/B92)</f>
        <v>0</v>
      </c>
    </row>
    <row r="93" spans="1:26" s="52" customFormat="1">
      <c r="A93" s="53" t="s">
        <v>1605</v>
      </c>
      <c r="B93" s="54">
        <f>SUM(B89:B92)</f>
        <v>24744</v>
      </c>
      <c r="C93" s="54">
        <f t="shared" ref="C93:R93" si="36">SUM(C89:C92)</f>
        <v>11732</v>
      </c>
      <c r="D93" s="54">
        <f t="shared" si="36"/>
        <v>4337</v>
      </c>
      <c r="E93" s="54">
        <f>SUM(E89:E92)</f>
        <v>1685</v>
      </c>
      <c r="F93" s="54">
        <f t="shared" si="36"/>
        <v>0</v>
      </c>
      <c r="G93" s="54">
        <f t="shared" si="36"/>
        <v>4512</v>
      </c>
      <c r="H93" s="54">
        <f>SUM(H89:H92)</f>
        <v>2287</v>
      </c>
      <c r="I93" s="54">
        <f t="shared" si="36"/>
        <v>191</v>
      </c>
      <c r="J93" s="54"/>
      <c r="K93" s="54">
        <f t="shared" si="36"/>
        <v>23</v>
      </c>
      <c r="L93" s="54">
        <f t="shared" si="36"/>
        <v>11</v>
      </c>
      <c r="M93" s="54">
        <f t="shared" si="36"/>
        <v>6</v>
      </c>
      <c r="N93" s="54">
        <f>SUM(N89:N92)</f>
        <v>1</v>
      </c>
      <c r="O93" s="54">
        <f t="shared" si="36"/>
        <v>0</v>
      </c>
      <c r="P93" s="54">
        <f t="shared" si="36"/>
        <v>4</v>
      </c>
      <c r="Q93" s="54">
        <f>SUM(Q89:Q92)</f>
        <v>1</v>
      </c>
      <c r="R93" s="54">
        <f t="shared" si="36"/>
        <v>0</v>
      </c>
      <c r="T93" s="60">
        <f>SUM(C93/B93)</f>
        <v>0.47413514387326222</v>
      </c>
      <c r="U93" s="60">
        <f>SUM(D93/B93)</f>
        <v>0.1752748140963466</v>
      </c>
      <c r="V93" s="60">
        <f>SUM(E93/B93)</f>
        <v>6.8097316521176857E-2</v>
      </c>
      <c r="W93" s="60">
        <f>SUM(F93/B93)</f>
        <v>0</v>
      </c>
      <c r="X93" s="60">
        <f>SUM(G93/B93)</f>
        <v>0.18234723569350145</v>
      </c>
      <c r="Y93" s="60">
        <f>SUM(H93/B93)</f>
        <v>9.2426446815389585E-2</v>
      </c>
      <c r="Z93" s="60">
        <f>SUM(I93/B93)</f>
        <v>7.7190430003233109E-3</v>
      </c>
    </row>
    <row r="94" spans="1:26">
      <c r="A94" s="53"/>
      <c r="B94" s="54"/>
      <c r="C94" s="55"/>
      <c r="D94" s="55"/>
      <c r="E94" s="55"/>
      <c r="F94" s="55"/>
      <c r="G94" s="55"/>
      <c r="H94" s="55"/>
      <c r="I94" s="55"/>
      <c r="J94" s="55"/>
      <c r="K94" s="54"/>
      <c r="L94" s="55"/>
      <c r="M94" s="55"/>
      <c r="N94" s="55"/>
      <c r="O94" s="55"/>
      <c r="P94" s="55"/>
      <c r="Q94" s="55"/>
      <c r="R94" s="55"/>
    </row>
    <row r="95" spans="1:26">
      <c r="A95" s="56" t="s">
        <v>1606</v>
      </c>
      <c r="B95" s="54">
        <f>SUM(C95:I95)</f>
        <v>5367</v>
      </c>
      <c r="C95" s="55">
        <v>2577</v>
      </c>
      <c r="D95" s="55">
        <v>521</v>
      </c>
      <c r="E95" s="55">
        <v>0</v>
      </c>
      <c r="F95" s="55">
        <v>0</v>
      </c>
      <c r="G95" s="55">
        <v>791</v>
      </c>
      <c r="H95" s="55">
        <v>860</v>
      </c>
      <c r="I95" s="55">
        <v>618</v>
      </c>
      <c r="K95" s="54">
        <f>SUM(L95:R95)</f>
        <v>6</v>
      </c>
      <c r="L95" s="55">
        <v>4</v>
      </c>
      <c r="M95" s="55">
        <v>0</v>
      </c>
      <c r="N95" s="55">
        <v>0</v>
      </c>
      <c r="O95" s="55">
        <v>0</v>
      </c>
      <c r="P95" s="55">
        <v>1</v>
      </c>
      <c r="Q95" s="55">
        <v>0</v>
      </c>
      <c r="R95" s="55">
        <v>1</v>
      </c>
      <c r="T95" s="61">
        <f>SUM(C95/B95)</f>
        <v>0.48015651201788706</v>
      </c>
      <c r="U95" s="61">
        <f>SUM(D95/B95)</f>
        <v>9.7074715856157998E-2</v>
      </c>
      <c r="V95" s="61">
        <f>SUM(E95/B95)</f>
        <v>0</v>
      </c>
      <c r="W95" s="61">
        <f>SUM(F95/B95)</f>
        <v>0</v>
      </c>
      <c r="X95" s="61">
        <f>SUM(G95/B95)</f>
        <v>0.14738215017700765</v>
      </c>
      <c r="Y95" s="61">
        <f>SUM(H95/B95)</f>
        <v>0.16023849450344699</v>
      </c>
      <c r="Z95" s="61">
        <f>SUM(I95/B95)</f>
        <v>0.11514812744550028</v>
      </c>
    </row>
    <row r="96" spans="1:26">
      <c r="A96" s="56" t="s">
        <v>1607</v>
      </c>
      <c r="B96" s="54">
        <f>SUM(C96:I96)</f>
        <v>8215</v>
      </c>
      <c r="C96" s="55">
        <v>3103</v>
      </c>
      <c r="D96" s="55">
        <v>1050</v>
      </c>
      <c r="E96" s="55">
        <v>0</v>
      </c>
      <c r="F96" s="55">
        <v>0</v>
      </c>
      <c r="G96" s="55">
        <v>1129</v>
      </c>
      <c r="H96" s="55">
        <v>2543</v>
      </c>
      <c r="I96" s="55">
        <v>390</v>
      </c>
      <c r="K96" s="54">
        <f>SUM(L96:R96)</f>
        <v>7</v>
      </c>
      <c r="L96" s="55">
        <v>3</v>
      </c>
      <c r="M96" s="55">
        <v>1</v>
      </c>
      <c r="N96" s="55">
        <v>0</v>
      </c>
      <c r="O96" s="55">
        <v>0</v>
      </c>
      <c r="P96" s="55">
        <v>1</v>
      </c>
      <c r="Q96" s="55">
        <v>2</v>
      </c>
      <c r="R96" s="55">
        <v>0</v>
      </c>
      <c r="T96" s="61">
        <f>SUM(C96/B96)</f>
        <v>0.37772367620206937</v>
      </c>
      <c r="U96" s="61">
        <f>SUM(D96/B96)</f>
        <v>0.1278149726110773</v>
      </c>
      <c r="V96" s="61">
        <f>SUM(E96/B96)</f>
        <v>0</v>
      </c>
      <c r="W96" s="61">
        <f>SUM(F96/B96)</f>
        <v>0</v>
      </c>
      <c r="X96" s="61">
        <f>SUM(G96/B96)</f>
        <v>0.13743152769324407</v>
      </c>
      <c r="Y96" s="61">
        <f>SUM(H96/B96)</f>
        <v>0.3095556908094948</v>
      </c>
      <c r="Z96" s="61">
        <f>SUM(I96/B96)</f>
        <v>4.7474132684114427E-2</v>
      </c>
    </row>
    <row r="97" spans="1:26">
      <c r="A97" s="56" t="s">
        <v>1608</v>
      </c>
      <c r="B97" s="54">
        <f>SUM(C97:I97)</f>
        <v>6991</v>
      </c>
      <c r="C97" s="55">
        <v>2018</v>
      </c>
      <c r="D97" s="55">
        <v>976</v>
      </c>
      <c r="E97" s="55">
        <v>298</v>
      </c>
      <c r="F97" s="55">
        <v>0</v>
      </c>
      <c r="G97" s="55">
        <v>1249</v>
      </c>
      <c r="H97" s="55">
        <v>2149</v>
      </c>
      <c r="I97" s="55">
        <v>301</v>
      </c>
      <c r="K97" s="54">
        <f>SUM(L97:R97)</f>
        <v>7</v>
      </c>
      <c r="L97" s="55">
        <v>2</v>
      </c>
      <c r="M97" s="55">
        <v>2</v>
      </c>
      <c r="N97" s="55">
        <v>0</v>
      </c>
      <c r="O97" s="55">
        <v>0</v>
      </c>
      <c r="P97" s="55">
        <v>2</v>
      </c>
      <c r="Q97" s="55">
        <v>1</v>
      </c>
      <c r="R97" s="55">
        <v>0</v>
      </c>
      <c r="T97" s="61">
        <f>SUM(C97/B97)</f>
        <v>0.28865684451437562</v>
      </c>
      <c r="U97" s="61">
        <f>SUM(D97/B97)</f>
        <v>0.13960806751537691</v>
      </c>
      <c r="V97" s="61">
        <f>SUM(E97/B97)</f>
        <v>4.2626233729080247E-2</v>
      </c>
      <c r="W97" s="61">
        <f>SUM(F97/B97)</f>
        <v>0</v>
      </c>
      <c r="X97" s="61">
        <f>SUM(G97/B97)</f>
        <v>0.17865827492490344</v>
      </c>
      <c r="Y97" s="61">
        <f>SUM(H97/B97)</f>
        <v>0.3073952224288371</v>
      </c>
      <c r="Z97" s="61">
        <f>SUM(I97/B97)</f>
        <v>4.3055356887426691E-2</v>
      </c>
    </row>
    <row r="98" spans="1:26">
      <c r="A98" s="56" t="s">
        <v>1609</v>
      </c>
      <c r="B98" s="54">
        <f>SUM(C98:I98)</f>
        <v>4360</v>
      </c>
      <c r="C98" s="55">
        <v>1333</v>
      </c>
      <c r="D98" s="55">
        <v>925</v>
      </c>
      <c r="E98" s="55">
        <v>0</v>
      </c>
      <c r="F98" s="55">
        <v>0</v>
      </c>
      <c r="G98" s="55">
        <v>1392</v>
      </c>
      <c r="H98" s="55">
        <v>185</v>
      </c>
      <c r="I98" s="55">
        <v>525</v>
      </c>
      <c r="K98" s="54">
        <f>SUM(L98:R98)</f>
        <v>5</v>
      </c>
      <c r="L98" s="55">
        <v>2</v>
      </c>
      <c r="M98" s="55">
        <v>1</v>
      </c>
      <c r="N98" s="55">
        <v>0</v>
      </c>
      <c r="O98" s="55">
        <v>0</v>
      </c>
      <c r="P98" s="55">
        <v>2</v>
      </c>
      <c r="Q98" s="55">
        <v>0</v>
      </c>
      <c r="R98" s="55">
        <v>0</v>
      </c>
      <c r="T98" s="61">
        <f>SUM(C98/B98)</f>
        <v>0.30573394495412842</v>
      </c>
      <c r="U98" s="61">
        <f>SUM(D98/B98)</f>
        <v>0.2121559633027523</v>
      </c>
      <c r="V98" s="61">
        <f>SUM(E98/B98)</f>
        <v>0</v>
      </c>
      <c r="W98" s="61">
        <f>SUM(F98/B98)</f>
        <v>0</v>
      </c>
      <c r="X98" s="61">
        <f>SUM(G98/B98)</f>
        <v>0.31926605504587158</v>
      </c>
      <c r="Y98" s="61">
        <f>SUM(H98/B98)</f>
        <v>4.2431192660550461E-2</v>
      </c>
      <c r="Z98" s="61">
        <f>SUM(I98/B98)</f>
        <v>0.12041284403669725</v>
      </c>
    </row>
    <row r="99" spans="1:26" s="52" customFormat="1">
      <c r="A99" s="53" t="s">
        <v>1610</v>
      </c>
      <c r="B99" s="54">
        <f>SUM(B95:B98)</f>
        <v>24933</v>
      </c>
      <c r="C99" s="54">
        <f t="shared" ref="C99:R99" si="37">SUM(C95:C98)</f>
        <v>9031</v>
      </c>
      <c r="D99" s="54">
        <f t="shared" si="37"/>
        <v>3472</v>
      </c>
      <c r="E99" s="54">
        <f>SUM(E95:E98)</f>
        <v>298</v>
      </c>
      <c r="F99" s="54">
        <f t="shared" si="37"/>
        <v>0</v>
      </c>
      <c r="G99" s="54">
        <f t="shared" si="37"/>
        <v>4561</v>
      </c>
      <c r="H99" s="54">
        <f>SUM(H95:H98)</f>
        <v>5737</v>
      </c>
      <c r="I99" s="54">
        <f t="shared" si="37"/>
        <v>1834</v>
      </c>
      <c r="J99" s="54"/>
      <c r="K99" s="54">
        <f t="shared" si="37"/>
        <v>25</v>
      </c>
      <c r="L99" s="54">
        <f t="shared" si="37"/>
        <v>11</v>
      </c>
      <c r="M99" s="54">
        <f t="shared" si="37"/>
        <v>4</v>
      </c>
      <c r="N99" s="54">
        <f>SUM(N95:N98)</f>
        <v>0</v>
      </c>
      <c r="O99" s="54">
        <f t="shared" si="37"/>
        <v>0</v>
      </c>
      <c r="P99" s="54">
        <f t="shared" si="37"/>
        <v>6</v>
      </c>
      <c r="Q99" s="54">
        <f>SUM(Q95:Q98)</f>
        <v>3</v>
      </c>
      <c r="R99" s="54">
        <f t="shared" si="37"/>
        <v>1</v>
      </c>
      <c r="T99" s="60">
        <f>SUM(C99/B99)</f>
        <v>0.36221072474230936</v>
      </c>
      <c r="U99" s="60">
        <f>SUM(D99/B99)</f>
        <v>0.13925319857217341</v>
      </c>
      <c r="V99" s="60">
        <f>SUM(E99/B99)</f>
        <v>1.1952031444270645E-2</v>
      </c>
      <c r="W99" s="60">
        <f>SUM(F99/B99)</f>
        <v>0</v>
      </c>
      <c r="X99" s="60">
        <f>SUM(G99/B99)</f>
        <v>0.1829302530782497</v>
      </c>
      <c r="Y99" s="60">
        <f>SUM(H99/B99)</f>
        <v>0.23009665904624393</v>
      </c>
      <c r="Z99" s="60">
        <f>SUM(I99/B99)</f>
        <v>7.3557133116752896E-2</v>
      </c>
    </row>
    <row r="100" spans="1:26">
      <c r="A100" s="53"/>
      <c r="B100" s="54"/>
      <c r="C100" s="55"/>
      <c r="D100" s="55"/>
      <c r="E100" s="55"/>
      <c r="F100" s="55"/>
      <c r="G100" s="55"/>
      <c r="H100" s="55"/>
      <c r="I100" s="55"/>
      <c r="K100" s="54"/>
      <c r="L100" s="55"/>
      <c r="M100" s="55"/>
      <c r="N100" s="55"/>
      <c r="O100" s="55"/>
      <c r="P100" s="55"/>
      <c r="Q100" s="55"/>
      <c r="R100" s="55"/>
    </row>
    <row r="101" spans="1:26">
      <c r="A101" s="56" t="s">
        <v>1611</v>
      </c>
      <c r="B101" s="54">
        <f>SUM(C101:I101)</f>
        <v>5067</v>
      </c>
      <c r="C101" s="55">
        <v>2100</v>
      </c>
      <c r="D101" s="55">
        <v>654</v>
      </c>
      <c r="E101" s="55">
        <v>287</v>
      </c>
      <c r="F101" s="55">
        <v>0</v>
      </c>
      <c r="G101" s="55">
        <v>1458</v>
      </c>
      <c r="H101" s="55">
        <v>568</v>
      </c>
      <c r="I101" s="55">
        <v>0</v>
      </c>
      <c r="K101" s="54">
        <f>SUM(L101:R101)</f>
        <v>6</v>
      </c>
      <c r="L101" s="55">
        <v>3</v>
      </c>
      <c r="M101" s="55">
        <v>1</v>
      </c>
      <c r="N101" s="55">
        <v>0</v>
      </c>
      <c r="O101" s="55">
        <v>0</v>
      </c>
      <c r="P101" s="55">
        <v>2</v>
      </c>
      <c r="Q101" s="55">
        <v>0</v>
      </c>
      <c r="R101" s="55">
        <v>0</v>
      </c>
      <c r="T101" s="61">
        <f>SUM(C101/B101)</f>
        <v>0.41444641799881587</v>
      </c>
      <c r="U101" s="61">
        <f>SUM(D101/B101)</f>
        <v>0.12907045589105981</v>
      </c>
      <c r="V101" s="61">
        <f>SUM(E101/B101)</f>
        <v>5.6641010459838166E-2</v>
      </c>
      <c r="W101" s="61">
        <f>SUM(F101/B101)</f>
        <v>0</v>
      </c>
      <c r="X101" s="61">
        <f>SUM(G101/B101)</f>
        <v>0.28774422735346361</v>
      </c>
      <c r="Y101" s="61">
        <f>SUM(H101/B101)</f>
        <v>0.11209788829682257</v>
      </c>
      <c r="Z101" s="61">
        <f>SUM(I101/B101)</f>
        <v>0</v>
      </c>
    </row>
    <row r="102" spans="1:26">
      <c r="A102" s="56" t="s">
        <v>1612</v>
      </c>
      <c r="B102" s="54">
        <f>SUM(C102:I102)</f>
        <v>7439</v>
      </c>
      <c r="C102" s="55">
        <v>4164</v>
      </c>
      <c r="D102" s="55">
        <v>417</v>
      </c>
      <c r="E102" s="55">
        <v>0</v>
      </c>
      <c r="F102" s="55">
        <v>0</v>
      </c>
      <c r="G102" s="55">
        <v>1959</v>
      </c>
      <c r="H102" s="55">
        <v>325</v>
      </c>
      <c r="I102" s="55">
        <v>574</v>
      </c>
      <c r="K102" s="54">
        <f>SUM(L102:R102)</f>
        <v>7</v>
      </c>
      <c r="L102" s="55">
        <v>4</v>
      </c>
      <c r="M102" s="55">
        <v>0</v>
      </c>
      <c r="N102" s="55">
        <v>0</v>
      </c>
      <c r="O102" s="55">
        <v>0</v>
      </c>
      <c r="P102" s="55">
        <v>2</v>
      </c>
      <c r="Q102" s="55">
        <v>0</v>
      </c>
      <c r="R102" s="55">
        <v>1</v>
      </c>
      <c r="T102" s="61">
        <f>SUM(C102/B102)</f>
        <v>0.55975265492673743</v>
      </c>
      <c r="U102" s="61">
        <f>SUM(D102/B102)</f>
        <v>5.6055921494824572E-2</v>
      </c>
      <c r="V102" s="61">
        <f>SUM(E102/B102)</f>
        <v>0</v>
      </c>
      <c r="W102" s="61">
        <f>SUM(F102/B102)</f>
        <v>0</v>
      </c>
      <c r="X102" s="61">
        <f>SUM(G102/B102)</f>
        <v>0.26334184702244923</v>
      </c>
      <c r="Y102" s="61">
        <f>SUM(H102/B102)</f>
        <v>4.3688667831697808E-2</v>
      </c>
      <c r="Z102" s="61">
        <f>SUM(I102/B102)</f>
        <v>7.7160908724290905E-2</v>
      </c>
    </row>
    <row r="103" spans="1:26">
      <c r="A103" s="56" t="s">
        <v>1613</v>
      </c>
      <c r="B103" s="54">
        <f>SUM(C103:I103)</f>
        <v>6462</v>
      </c>
      <c r="C103" s="55">
        <v>2358</v>
      </c>
      <c r="D103" s="55">
        <v>776</v>
      </c>
      <c r="E103" s="55">
        <v>1458</v>
      </c>
      <c r="F103" s="55">
        <v>459</v>
      </c>
      <c r="G103" s="55">
        <v>1269</v>
      </c>
      <c r="H103" s="55">
        <v>0</v>
      </c>
      <c r="I103" s="55">
        <v>142</v>
      </c>
      <c r="K103" s="54">
        <f>SUM(L103:R103)</f>
        <v>5</v>
      </c>
      <c r="L103" s="55">
        <v>2</v>
      </c>
      <c r="M103" s="55">
        <v>1</v>
      </c>
      <c r="N103" s="55">
        <v>1</v>
      </c>
      <c r="O103" s="55">
        <v>0</v>
      </c>
      <c r="P103" s="55">
        <v>1</v>
      </c>
      <c r="Q103" s="55">
        <v>0</v>
      </c>
      <c r="R103" s="55">
        <v>0</v>
      </c>
      <c r="T103" s="61">
        <f>SUM(C103/B103)</f>
        <v>0.36490250696378829</v>
      </c>
      <c r="U103" s="61">
        <f>SUM(D103/B103)</f>
        <v>0.12008666047663262</v>
      </c>
      <c r="V103" s="61">
        <f>SUM(E103/B103)</f>
        <v>0.22562674094707522</v>
      </c>
      <c r="W103" s="61">
        <f>SUM(F103/B103)</f>
        <v>7.1030640668523673E-2</v>
      </c>
      <c r="X103" s="61">
        <f>SUM(G103/B103)</f>
        <v>0.19637883008356546</v>
      </c>
      <c r="Y103" s="61">
        <f>SUM(H103/B103)</f>
        <v>0</v>
      </c>
      <c r="Z103" s="61">
        <f>SUM(I103/B103)</f>
        <v>2.1974620860414733E-2</v>
      </c>
    </row>
    <row r="104" spans="1:26">
      <c r="A104" s="56" t="s">
        <v>1658</v>
      </c>
      <c r="B104" s="54">
        <f>SUM(C104:I104)</f>
        <v>5399</v>
      </c>
      <c r="C104" s="55">
        <v>1768</v>
      </c>
      <c r="D104" s="55">
        <v>870</v>
      </c>
      <c r="E104" s="55">
        <v>936</v>
      </c>
      <c r="F104" s="55">
        <v>276</v>
      </c>
      <c r="G104" s="55">
        <v>1456</v>
      </c>
      <c r="H104" s="55">
        <v>93</v>
      </c>
      <c r="I104" s="55">
        <v>0</v>
      </c>
      <c r="K104" s="54">
        <f>SUM(L104:R104)</f>
        <v>5</v>
      </c>
      <c r="L104" s="55">
        <v>2</v>
      </c>
      <c r="M104" s="55">
        <v>1</v>
      </c>
      <c r="N104" s="55">
        <v>1</v>
      </c>
      <c r="O104" s="55">
        <v>0</v>
      </c>
      <c r="P104" s="55">
        <v>1</v>
      </c>
      <c r="Q104" s="55">
        <v>0</v>
      </c>
      <c r="R104" s="55">
        <v>0</v>
      </c>
      <c r="T104" s="61">
        <f>SUM(C104/B104)</f>
        <v>0.32746804963882198</v>
      </c>
      <c r="U104" s="61">
        <f>SUM(D104/B104)</f>
        <v>0.16114095202815337</v>
      </c>
      <c r="V104" s="61">
        <f>SUM(E104/B104)</f>
        <v>0.17336543804408225</v>
      </c>
      <c r="W104" s="61">
        <f>SUM(F104/B104)</f>
        <v>5.1120577884793482E-2</v>
      </c>
      <c r="X104" s="61">
        <f>SUM(G104/B104)</f>
        <v>0.26967957029079459</v>
      </c>
      <c r="Y104" s="61">
        <f>SUM(H104/B104)</f>
        <v>1.7225412113354325E-2</v>
      </c>
      <c r="Z104" s="61">
        <f>SUM(I104/B104)</f>
        <v>0</v>
      </c>
    </row>
    <row r="105" spans="1:26" s="52" customFormat="1">
      <c r="A105" s="53" t="s">
        <v>1614</v>
      </c>
      <c r="B105" s="54">
        <f>SUM(B101:B104)</f>
        <v>24367</v>
      </c>
      <c r="C105" s="54">
        <f t="shared" ref="C105:R105" si="38">SUM(C101:C104)</f>
        <v>10390</v>
      </c>
      <c r="D105" s="54">
        <f t="shared" si="38"/>
        <v>2717</v>
      </c>
      <c r="E105" s="54">
        <f>SUM(E101:E104)</f>
        <v>2681</v>
      </c>
      <c r="F105" s="54">
        <f t="shared" si="38"/>
        <v>735</v>
      </c>
      <c r="G105" s="54">
        <f t="shared" si="38"/>
        <v>6142</v>
      </c>
      <c r="H105" s="54">
        <f>SUM(H101:H104)</f>
        <v>986</v>
      </c>
      <c r="I105" s="54">
        <f t="shared" si="38"/>
        <v>716</v>
      </c>
      <c r="J105" s="54"/>
      <c r="K105" s="54">
        <f t="shared" si="38"/>
        <v>23</v>
      </c>
      <c r="L105" s="54">
        <f t="shared" si="38"/>
        <v>11</v>
      </c>
      <c r="M105" s="54">
        <f t="shared" si="38"/>
        <v>3</v>
      </c>
      <c r="N105" s="54">
        <f>SUM(N101:N104)</f>
        <v>2</v>
      </c>
      <c r="O105" s="54">
        <f t="shared" si="38"/>
        <v>0</v>
      </c>
      <c r="P105" s="54">
        <f t="shared" si="38"/>
        <v>6</v>
      </c>
      <c r="Q105" s="54">
        <f>SUM(Q101:Q104)</f>
        <v>0</v>
      </c>
      <c r="R105" s="54">
        <f t="shared" si="38"/>
        <v>1</v>
      </c>
      <c r="T105" s="60">
        <f>SUM(C105/B105)</f>
        <v>0.42639635572700785</v>
      </c>
      <c r="U105" s="60">
        <f>SUM(D105/B105)</f>
        <v>0.11150326260926663</v>
      </c>
      <c r="V105" s="60">
        <f>SUM(E105/B105)</f>
        <v>0.11002585463947141</v>
      </c>
      <c r="W105" s="60">
        <f>SUM(F105/B105)</f>
        <v>3.0163746049985635E-2</v>
      </c>
      <c r="X105" s="60">
        <f>SUM(G105/B105)</f>
        <v>0.25206221529117251</v>
      </c>
      <c r="Y105" s="60">
        <f>SUM(H105/B105)</f>
        <v>4.046456272828005E-2</v>
      </c>
      <c r="Z105" s="60">
        <f>SUM(I105/B105)</f>
        <v>2.9384002954815941E-2</v>
      </c>
    </row>
    <row r="106" spans="1:26">
      <c r="A106" s="53"/>
      <c r="B106" s="54"/>
      <c r="C106" s="55"/>
      <c r="D106" s="55"/>
      <c r="E106" s="55"/>
      <c r="F106" s="55"/>
      <c r="G106" s="55"/>
      <c r="H106" s="55"/>
      <c r="I106" s="55"/>
      <c r="K106" s="54"/>
      <c r="L106" s="55"/>
      <c r="M106" s="55"/>
      <c r="N106" s="55"/>
      <c r="O106" s="55"/>
      <c r="P106" s="55"/>
      <c r="Q106" s="55"/>
      <c r="R106" s="55"/>
    </row>
    <row r="107" spans="1:26">
      <c r="A107" s="56" t="s">
        <v>1617</v>
      </c>
      <c r="B107" s="54">
        <f>SUM(C107:I107)</f>
        <v>7064</v>
      </c>
      <c r="C107" s="55">
        <v>2025</v>
      </c>
      <c r="D107" s="55">
        <v>1532</v>
      </c>
      <c r="E107" s="55">
        <v>1239</v>
      </c>
      <c r="F107" s="55">
        <v>885</v>
      </c>
      <c r="G107" s="55">
        <v>817</v>
      </c>
      <c r="H107" s="55">
        <v>566</v>
      </c>
      <c r="I107" s="55">
        <v>0</v>
      </c>
      <c r="K107" s="54">
        <f>SUM(L107:R107)</f>
        <v>7</v>
      </c>
      <c r="L107" s="55">
        <v>2</v>
      </c>
      <c r="M107" s="55">
        <v>2</v>
      </c>
      <c r="N107" s="55">
        <v>1</v>
      </c>
      <c r="O107" s="55">
        <v>1</v>
      </c>
      <c r="P107" s="55">
        <v>1</v>
      </c>
      <c r="Q107" s="55">
        <v>0</v>
      </c>
      <c r="R107" s="55">
        <v>0</v>
      </c>
      <c r="T107" s="61">
        <f>SUM(C107/B107)</f>
        <v>0.28666477916194788</v>
      </c>
      <c r="U107" s="61">
        <f>SUM(D107/B107)</f>
        <v>0.21687429218573046</v>
      </c>
      <c r="V107" s="61">
        <f>SUM(E107/B107)</f>
        <v>0.17539637599093999</v>
      </c>
      <c r="W107" s="61">
        <f>SUM(F107/B107)</f>
        <v>0.12528312570781427</v>
      </c>
      <c r="X107" s="61">
        <f>SUM(G107/B107)</f>
        <v>0.1156568516421291</v>
      </c>
      <c r="Y107" s="61">
        <f>SUM(H107/B107)</f>
        <v>8.0124575311438281E-2</v>
      </c>
      <c r="Z107" s="61">
        <f>SUM(I107/B107)</f>
        <v>0</v>
      </c>
    </row>
    <row r="108" spans="1:26">
      <c r="A108" s="56" t="s">
        <v>1615</v>
      </c>
      <c r="B108" s="54">
        <f>SUM(C108:I108)</f>
        <v>5126</v>
      </c>
      <c r="C108" s="55">
        <v>1684</v>
      </c>
      <c r="D108" s="55">
        <v>1353</v>
      </c>
      <c r="E108" s="55">
        <v>370</v>
      </c>
      <c r="F108" s="55">
        <v>638</v>
      </c>
      <c r="G108" s="55">
        <v>854</v>
      </c>
      <c r="H108" s="55">
        <v>227</v>
      </c>
      <c r="I108" s="55">
        <v>0</v>
      </c>
      <c r="J108" s="55"/>
      <c r="K108" s="54">
        <f>SUM(L108:R108)</f>
        <v>7</v>
      </c>
      <c r="L108" s="55">
        <v>2</v>
      </c>
      <c r="M108" s="55">
        <v>2</v>
      </c>
      <c r="N108" s="55">
        <v>1</v>
      </c>
      <c r="O108" s="55">
        <v>1</v>
      </c>
      <c r="P108" s="55">
        <v>1</v>
      </c>
      <c r="Q108" s="55">
        <v>0</v>
      </c>
      <c r="R108" s="55">
        <v>0</v>
      </c>
      <c r="T108" s="61">
        <f>SUM(C108/B108)</f>
        <v>0.32852126414358174</v>
      </c>
      <c r="U108" s="61">
        <f>SUM(D108/B108)</f>
        <v>0.26394849785407726</v>
      </c>
      <c r="V108" s="61">
        <f>SUM(E108/B108)</f>
        <v>7.2181037846273902E-2</v>
      </c>
      <c r="W108" s="61">
        <f>SUM(F108/B108)</f>
        <v>0.12446351931330472</v>
      </c>
      <c r="X108" s="61">
        <f>SUM(G108/B108)</f>
        <v>0.16660163870464301</v>
      </c>
      <c r="Y108" s="61">
        <f>SUM(H108/B108)</f>
        <v>4.4284042138119394E-2</v>
      </c>
      <c r="Z108" s="61">
        <f>SUM(I108/B108)</f>
        <v>0</v>
      </c>
    </row>
    <row r="109" spans="1:26">
      <c r="A109" s="56" t="s">
        <v>1616</v>
      </c>
      <c r="B109" s="54">
        <f>SUM(C109:I109)</f>
        <v>4860</v>
      </c>
      <c r="C109" s="55">
        <v>1501</v>
      </c>
      <c r="D109" s="55">
        <v>506</v>
      </c>
      <c r="E109" s="55">
        <v>1197</v>
      </c>
      <c r="F109" s="55">
        <v>1408</v>
      </c>
      <c r="G109" s="55">
        <v>248</v>
      </c>
      <c r="H109" s="55">
        <v>0</v>
      </c>
      <c r="I109" s="55">
        <v>0</v>
      </c>
      <c r="K109" s="54">
        <f>SUM(L109:R109)</f>
        <v>5</v>
      </c>
      <c r="L109" s="55">
        <v>1</v>
      </c>
      <c r="M109" s="55">
        <v>1</v>
      </c>
      <c r="N109" s="55">
        <v>1</v>
      </c>
      <c r="O109" s="55">
        <v>2</v>
      </c>
      <c r="P109" s="55">
        <v>0</v>
      </c>
      <c r="Q109" s="55">
        <v>0</v>
      </c>
      <c r="R109" s="55">
        <v>0</v>
      </c>
      <c r="T109" s="61">
        <f>SUM(C109/B109)</f>
        <v>0.3088477366255144</v>
      </c>
      <c r="U109" s="61">
        <f>SUM(D109/B109)</f>
        <v>0.10411522633744856</v>
      </c>
      <c r="V109" s="61">
        <f>SUM(E109/B109)</f>
        <v>0.24629629629629629</v>
      </c>
      <c r="W109" s="61">
        <f>SUM(F109/B109)</f>
        <v>0.28971193415637858</v>
      </c>
      <c r="X109" s="61">
        <f>SUM(G109/B109)</f>
        <v>5.1028806584362138E-2</v>
      </c>
      <c r="Y109" s="61">
        <f>SUM(H109/B109)</f>
        <v>0</v>
      </c>
      <c r="Z109" s="61">
        <f>SUM(I109/B109)</f>
        <v>0</v>
      </c>
    </row>
    <row r="110" spans="1:26" s="52" customFormat="1">
      <c r="A110" s="53" t="s">
        <v>1618</v>
      </c>
      <c r="B110" s="54">
        <f>SUM(B107:B109)</f>
        <v>17050</v>
      </c>
      <c r="C110" s="54">
        <f t="shared" ref="C110:R110" si="39">SUM(C107:C109)</f>
        <v>5210</v>
      </c>
      <c r="D110" s="54">
        <f t="shared" si="39"/>
        <v>3391</v>
      </c>
      <c r="E110" s="54">
        <f>SUM(E107:E109)</f>
        <v>2806</v>
      </c>
      <c r="F110" s="54">
        <f t="shared" si="39"/>
        <v>2931</v>
      </c>
      <c r="G110" s="54">
        <f t="shared" si="39"/>
        <v>1919</v>
      </c>
      <c r="H110" s="54">
        <f>SUM(H107:H109)</f>
        <v>793</v>
      </c>
      <c r="I110" s="54">
        <f t="shared" si="39"/>
        <v>0</v>
      </c>
      <c r="J110" s="54"/>
      <c r="K110" s="54">
        <f t="shared" si="39"/>
        <v>19</v>
      </c>
      <c r="L110" s="54">
        <f t="shared" si="39"/>
        <v>5</v>
      </c>
      <c r="M110" s="54">
        <f t="shared" si="39"/>
        <v>5</v>
      </c>
      <c r="N110" s="54">
        <f>SUM(N107:N109)</f>
        <v>3</v>
      </c>
      <c r="O110" s="54">
        <f t="shared" si="39"/>
        <v>4</v>
      </c>
      <c r="P110" s="54">
        <f t="shared" si="39"/>
        <v>2</v>
      </c>
      <c r="Q110" s="54">
        <f>SUM(Q107:Q109)</f>
        <v>0</v>
      </c>
      <c r="R110" s="54">
        <f t="shared" si="39"/>
        <v>0</v>
      </c>
      <c r="T110" s="60">
        <f>SUM(C110/B110)</f>
        <v>0.30557184750733135</v>
      </c>
      <c r="U110" s="60">
        <f>SUM(D110/B110)</f>
        <v>0.19888563049853372</v>
      </c>
      <c r="V110" s="60">
        <f>SUM(E110/B110)</f>
        <v>0.16457478005865103</v>
      </c>
      <c r="W110" s="60">
        <f>SUM(F110/B110)</f>
        <v>0.17190615835777126</v>
      </c>
      <c r="X110" s="60">
        <f>SUM(G110/B110)</f>
        <v>0.11255131964809384</v>
      </c>
      <c r="Y110" s="60">
        <f>SUM(H110/B110)</f>
        <v>4.6510263929618767E-2</v>
      </c>
      <c r="Z110" s="60">
        <f>SUM(I110/B110)</f>
        <v>0</v>
      </c>
    </row>
    <row r="111" spans="1:26">
      <c r="A111" s="53"/>
      <c r="B111" s="54"/>
      <c r="C111" s="55"/>
      <c r="D111" s="55"/>
      <c r="E111" s="55"/>
      <c r="F111" s="55"/>
      <c r="G111" s="55"/>
      <c r="H111" s="55"/>
      <c r="I111" s="55"/>
      <c r="K111" s="54"/>
      <c r="L111" s="55"/>
      <c r="M111" s="55"/>
      <c r="N111" s="55"/>
      <c r="O111" s="55"/>
      <c r="P111" s="55"/>
      <c r="Q111" s="55"/>
      <c r="R111" s="55"/>
    </row>
    <row r="112" spans="1:26">
      <c r="A112" s="56" t="s">
        <v>1619</v>
      </c>
      <c r="B112" s="54">
        <f>SUM(C112:I112)</f>
        <v>5991</v>
      </c>
      <c r="C112" s="55">
        <v>2138</v>
      </c>
      <c r="D112" s="55">
        <v>852</v>
      </c>
      <c r="E112" s="55">
        <v>596</v>
      </c>
      <c r="F112" s="55">
        <v>356</v>
      </c>
      <c r="G112" s="55">
        <v>416</v>
      </c>
      <c r="H112" s="55">
        <v>1633</v>
      </c>
      <c r="I112" s="55">
        <v>0</v>
      </c>
      <c r="K112" s="54">
        <f>SUM(L112:R112)</f>
        <v>7</v>
      </c>
      <c r="L112" s="55">
        <v>3</v>
      </c>
      <c r="M112" s="55">
        <v>1</v>
      </c>
      <c r="N112" s="55">
        <v>1</v>
      </c>
      <c r="O112" s="55">
        <v>0</v>
      </c>
      <c r="P112" s="55">
        <v>1</v>
      </c>
      <c r="Q112" s="55">
        <v>1</v>
      </c>
      <c r="R112" s="55">
        <v>0</v>
      </c>
      <c r="T112" s="61">
        <f>SUM(C112/B112)</f>
        <v>0.356868636287765</v>
      </c>
      <c r="U112" s="61">
        <f>SUM(D112/B112)</f>
        <v>0.14221331997996994</v>
      </c>
      <c r="V112" s="61">
        <f>SUM(E112/B112)</f>
        <v>9.9482557169086966E-2</v>
      </c>
      <c r="W112" s="61">
        <f>SUM(F112/B112)</f>
        <v>5.9422467033884159E-2</v>
      </c>
      <c r="X112" s="61">
        <f>SUM(G112/B112)</f>
        <v>6.9437489567684862E-2</v>
      </c>
      <c r="Y112" s="61">
        <f>SUM(H112/B112)</f>
        <v>0.27257552996160905</v>
      </c>
      <c r="Z112" s="61">
        <f>SUM(I112/B112)</f>
        <v>0</v>
      </c>
    </row>
    <row r="113" spans="1:26">
      <c r="A113" s="56" t="s">
        <v>1620</v>
      </c>
      <c r="B113" s="54">
        <f>SUM(C113:I113)</f>
        <v>4980</v>
      </c>
      <c r="C113" s="55">
        <v>2548</v>
      </c>
      <c r="D113" s="55">
        <v>741</v>
      </c>
      <c r="E113" s="55">
        <v>616</v>
      </c>
      <c r="F113" s="55">
        <v>286</v>
      </c>
      <c r="G113" s="55">
        <v>0</v>
      </c>
      <c r="H113" s="55">
        <v>789</v>
      </c>
      <c r="I113" s="55">
        <v>0</v>
      </c>
      <c r="K113" s="54">
        <f>SUM(L113:R113)</f>
        <v>7</v>
      </c>
      <c r="L113" s="55">
        <v>4</v>
      </c>
      <c r="M113" s="55">
        <v>1</v>
      </c>
      <c r="N113" s="55">
        <v>1</v>
      </c>
      <c r="O113" s="55">
        <v>0</v>
      </c>
      <c r="P113" s="55">
        <v>0</v>
      </c>
      <c r="Q113" s="55">
        <v>1</v>
      </c>
      <c r="R113" s="55">
        <v>0</v>
      </c>
      <c r="T113" s="61">
        <f>SUM(C113/B113)</f>
        <v>0.51164658634538152</v>
      </c>
      <c r="U113" s="61">
        <f>SUM(D113/B113)</f>
        <v>0.14879518072289158</v>
      </c>
      <c r="V113" s="61">
        <f>SUM(E113/B113)</f>
        <v>0.12369477911646587</v>
      </c>
      <c r="W113" s="61">
        <f>SUM(F113/B113)</f>
        <v>5.7429718875502009E-2</v>
      </c>
      <c r="X113" s="61">
        <f>SUM(G113/B113)</f>
        <v>0</v>
      </c>
      <c r="Y113" s="61">
        <f>SUM(H113/B113)</f>
        <v>0.15843373493975904</v>
      </c>
      <c r="Z113" s="61">
        <f>SUM(I113/B113)</f>
        <v>0</v>
      </c>
    </row>
    <row r="114" spans="1:26">
      <c r="A114" s="56" t="s">
        <v>1621</v>
      </c>
      <c r="B114" s="54">
        <f>SUM(C114:I114)</f>
        <v>6754</v>
      </c>
      <c r="C114" s="55">
        <v>2996</v>
      </c>
      <c r="D114" s="55">
        <v>1036</v>
      </c>
      <c r="E114" s="55">
        <v>439</v>
      </c>
      <c r="F114" s="55">
        <v>787</v>
      </c>
      <c r="G114" s="55">
        <v>0</v>
      </c>
      <c r="H114" s="55">
        <v>1496</v>
      </c>
      <c r="I114" s="55">
        <v>0</v>
      </c>
      <c r="K114" s="54">
        <f>SUM(L114:R114)</f>
        <v>5</v>
      </c>
      <c r="L114" s="55">
        <v>2</v>
      </c>
      <c r="M114" s="55">
        <v>1</v>
      </c>
      <c r="N114" s="55">
        <v>0</v>
      </c>
      <c r="O114" s="55">
        <v>1</v>
      </c>
      <c r="P114" s="55">
        <v>0</v>
      </c>
      <c r="Q114" s="55">
        <v>1</v>
      </c>
      <c r="R114" s="55">
        <v>0</v>
      </c>
      <c r="T114" s="61">
        <f>SUM(C114/B114)</f>
        <v>0.44358898430559668</v>
      </c>
      <c r="U114" s="61">
        <f>SUM(D114/B114)</f>
        <v>0.15339058335801006</v>
      </c>
      <c r="V114" s="61">
        <f>SUM(E114/B114)</f>
        <v>6.4998519395913529E-2</v>
      </c>
      <c r="W114" s="61">
        <f>SUM(F114/B114)</f>
        <v>0.11652354160497483</v>
      </c>
      <c r="X114" s="61">
        <f>SUM(G114/B114)</f>
        <v>0</v>
      </c>
      <c r="Y114" s="61">
        <f>SUM(H114/B114)</f>
        <v>0.22149837133550487</v>
      </c>
      <c r="Z114" s="61">
        <f>SUM(I114/B114)</f>
        <v>0</v>
      </c>
    </row>
    <row r="115" spans="1:26">
      <c r="A115" s="56" t="s">
        <v>1622</v>
      </c>
      <c r="B115" s="54">
        <f>SUM(C115:I115)</f>
        <v>6320</v>
      </c>
      <c r="C115" s="55">
        <v>3317</v>
      </c>
      <c r="D115" s="55">
        <v>1314</v>
      </c>
      <c r="E115" s="55">
        <v>409</v>
      </c>
      <c r="F115" s="55">
        <v>574</v>
      </c>
      <c r="G115" s="55">
        <v>0</v>
      </c>
      <c r="H115" s="55">
        <v>706</v>
      </c>
      <c r="I115" s="55">
        <v>0</v>
      </c>
      <c r="K115" s="54">
        <f>SUM(L115:R115)</f>
        <v>5</v>
      </c>
      <c r="L115" s="55">
        <v>3</v>
      </c>
      <c r="M115" s="55">
        <v>1</v>
      </c>
      <c r="N115" s="55">
        <v>0</v>
      </c>
      <c r="O115" s="55">
        <v>1</v>
      </c>
      <c r="P115" s="55">
        <v>0</v>
      </c>
      <c r="Q115" s="55">
        <v>0</v>
      </c>
      <c r="R115" s="55">
        <v>0</v>
      </c>
      <c r="T115" s="61">
        <f>SUM(C115/B115)</f>
        <v>0.52484177215189876</v>
      </c>
      <c r="U115" s="61">
        <f>SUM(D115/B115)</f>
        <v>0.20791139240506329</v>
      </c>
      <c r="V115" s="61">
        <f>SUM(E115/B115)</f>
        <v>6.4715189873417719E-2</v>
      </c>
      <c r="W115" s="61">
        <f>SUM(F115/B115)</f>
        <v>9.0822784810126581E-2</v>
      </c>
      <c r="X115" s="61">
        <f>SUM(G115/B115)</f>
        <v>0</v>
      </c>
      <c r="Y115" s="61">
        <f>SUM(H115/B115)</f>
        <v>0.11170886075949367</v>
      </c>
      <c r="Z115" s="61">
        <f>SUM(I115/B115)</f>
        <v>0</v>
      </c>
    </row>
    <row r="116" spans="1:26" s="52" customFormat="1">
      <c r="A116" s="53" t="s">
        <v>1623</v>
      </c>
      <c r="B116" s="54">
        <f>SUM(B112:B115)</f>
        <v>24045</v>
      </c>
      <c r="C116" s="54">
        <f t="shared" ref="C116:R116" si="40">SUM(C112:C115)</f>
        <v>10999</v>
      </c>
      <c r="D116" s="54">
        <f t="shared" si="40"/>
        <v>3943</v>
      </c>
      <c r="E116" s="54">
        <f>SUM(E112:E115)</f>
        <v>2060</v>
      </c>
      <c r="F116" s="54">
        <f t="shared" si="40"/>
        <v>2003</v>
      </c>
      <c r="G116" s="54">
        <f t="shared" si="40"/>
        <v>416</v>
      </c>
      <c r="H116" s="54">
        <f>SUM(H112:H115)</f>
        <v>4624</v>
      </c>
      <c r="I116" s="54">
        <f t="shared" si="40"/>
        <v>0</v>
      </c>
      <c r="J116" s="54"/>
      <c r="K116" s="54">
        <f t="shared" si="40"/>
        <v>24</v>
      </c>
      <c r="L116" s="54">
        <f t="shared" si="40"/>
        <v>12</v>
      </c>
      <c r="M116" s="54">
        <f t="shared" si="40"/>
        <v>4</v>
      </c>
      <c r="N116" s="54">
        <f>SUM(N112:N115)</f>
        <v>2</v>
      </c>
      <c r="O116" s="54">
        <f t="shared" si="40"/>
        <v>2</v>
      </c>
      <c r="P116" s="54">
        <f t="shared" si="40"/>
        <v>1</v>
      </c>
      <c r="Q116" s="54">
        <f>SUM(Q112:Q115)</f>
        <v>3</v>
      </c>
      <c r="R116" s="54">
        <f t="shared" si="40"/>
        <v>0</v>
      </c>
      <c r="T116" s="60">
        <f>SUM(C116/B116)</f>
        <v>0.45743397795799545</v>
      </c>
      <c r="U116" s="60">
        <f>SUM(D116/B116)</f>
        <v>0.16398419629860678</v>
      </c>
      <c r="V116" s="60">
        <f>SUM(E116/B116)</f>
        <v>8.5672697026408812E-2</v>
      </c>
      <c r="W116" s="60">
        <f>SUM(F116/B116)</f>
        <v>8.3302141817425665E-2</v>
      </c>
      <c r="X116" s="60">
        <f>SUM(G116/B116)</f>
        <v>1.7300894156789353E-2</v>
      </c>
      <c r="Y116" s="60">
        <f>SUM(H116/B116)</f>
        <v>0.19230609274277397</v>
      </c>
      <c r="Z116" s="60">
        <f>SUM(I116/B116)</f>
        <v>0</v>
      </c>
    </row>
    <row r="117" spans="1:26">
      <c r="A117" s="53"/>
      <c r="B117" s="54"/>
      <c r="C117" s="55"/>
      <c r="D117" s="55"/>
      <c r="E117" s="55"/>
      <c r="F117" s="55"/>
      <c r="G117" s="55"/>
      <c r="H117" s="55"/>
      <c r="I117" s="55"/>
      <c r="K117" s="54"/>
      <c r="L117" s="55"/>
      <c r="M117" s="55"/>
      <c r="N117" s="55"/>
      <c r="O117" s="55"/>
      <c r="P117" s="55"/>
      <c r="Q117" s="55"/>
      <c r="R117" s="55"/>
    </row>
    <row r="118" spans="1:26">
      <c r="A118" s="56" t="s">
        <v>1624</v>
      </c>
      <c r="B118" s="54">
        <f>SUM(C118:I118)</f>
        <v>4891</v>
      </c>
      <c r="C118" s="55">
        <v>2069</v>
      </c>
      <c r="D118" s="55">
        <v>345</v>
      </c>
      <c r="E118" s="55">
        <v>373</v>
      </c>
      <c r="F118" s="55">
        <v>1664</v>
      </c>
      <c r="G118" s="55">
        <v>0</v>
      </c>
      <c r="H118" s="55">
        <v>440</v>
      </c>
      <c r="I118" s="55">
        <v>0</v>
      </c>
      <c r="K118" s="54">
        <f>SUM(L118:R118)</f>
        <v>6</v>
      </c>
      <c r="L118" s="55">
        <v>3</v>
      </c>
      <c r="M118" s="55">
        <v>0</v>
      </c>
      <c r="N118" s="55">
        <v>0</v>
      </c>
      <c r="O118" s="55">
        <v>2</v>
      </c>
      <c r="P118" s="55">
        <v>0</v>
      </c>
      <c r="Q118" s="55">
        <v>1</v>
      </c>
      <c r="R118" s="55">
        <v>0</v>
      </c>
      <c r="T118" s="61">
        <f>SUM(C118/B118)</f>
        <v>0.42302187691678594</v>
      </c>
      <c r="U118" s="61">
        <f>SUM(D118/B118)</f>
        <v>7.0537722347168264E-2</v>
      </c>
      <c r="V118" s="61">
        <f>SUM(E118/B118)</f>
        <v>7.6262523001431201E-2</v>
      </c>
      <c r="W118" s="61">
        <f>SUM(F118/B118)</f>
        <v>0.34021672459619712</v>
      </c>
      <c r="X118" s="61">
        <f>SUM(G118/B118)</f>
        <v>0</v>
      </c>
      <c r="Y118" s="61">
        <f>SUM(H118/B118)</f>
        <v>8.9961153138417502E-2</v>
      </c>
      <c r="Z118" s="61">
        <f>SUM(I118/B118)</f>
        <v>0</v>
      </c>
    </row>
    <row r="119" spans="1:26">
      <c r="A119" s="56" t="s">
        <v>1625</v>
      </c>
      <c r="B119" s="54">
        <f>SUM(C119:I119)</f>
        <v>3090</v>
      </c>
      <c r="C119" s="55">
        <v>1747</v>
      </c>
      <c r="D119" s="55">
        <v>462</v>
      </c>
      <c r="E119" s="55">
        <v>306</v>
      </c>
      <c r="F119" s="55">
        <v>0</v>
      </c>
      <c r="G119" s="55">
        <v>0</v>
      </c>
      <c r="H119" s="55">
        <v>575</v>
      </c>
      <c r="I119" s="55">
        <v>0</v>
      </c>
      <c r="K119" s="54">
        <f>SUM(L119:R119)</f>
        <v>5</v>
      </c>
      <c r="L119" s="55">
        <v>3</v>
      </c>
      <c r="M119" s="55">
        <v>1</v>
      </c>
      <c r="N119" s="55">
        <v>0</v>
      </c>
      <c r="O119" s="55">
        <v>0</v>
      </c>
      <c r="P119" s="55">
        <v>0</v>
      </c>
      <c r="Q119" s="55">
        <v>1</v>
      </c>
      <c r="R119" s="55">
        <v>0</v>
      </c>
      <c r="T119" s="61">
        <f>SUM(C119/B119)</f>
        <v>0.56537216828478964</v>
      </c>
      <c r="U119" s="61">
        <f>SUM(D119/B119)</f>
        <v>0.14951456310679612</v>
      </c>
      <c r="V119" s="61">
        <f>SUM(E119/B119)</f>
        <v>9.9029126213592236E-2</v>
      </c>
      <c r="W119" s="61">
        <f>SUM(F119/B119)</f>
        <v>0</v>
      </c>
      <c r="X119" s="61">
        <f>SUM(G119/B119)</f>
        <v>0</v>
      </c>
      <c r="Y119" s="61">
        <f>SUM(H119/B119)</f>
        <v>0.18608414239482202</v>
      </c>
      <c r="Z119" s="61">
        <f>SUM(I119/B119)</f>
        <v>0</v>
      </c>
    </row>
    <row r="120" spans="1:26">
      <c r="A120" s="56" t="s">
        <v>1626</v>
      </c>
      <c r="B120" s="54">
        <f>SUM(C120:I120)</f>
        <v>3458</v>
      </c>
      <c r="C120" s="55">
        <v>1366</v>
      </c>
      <c r="D120" s="55">
        <v>756</v>
      </c>
      <c r="E120" s="55">
        <v>454</v>
      </c>
      <c r="F120" s="55">
        <v>680</v>
      </c>
      <c r="G120" s="55">
        <v>0</v>
      </c>
      <c r="H120" s="55">
        <v>202</v>
      </c>
      <c r="I120" s="55">
        <v>0</v>
      </c>
      <c r="K120" s="54">
        <f>SUM(L120:R120)</f>
        <v>5</v>
      </c>
      <c r="L120" s="55">
        <v>2</v>
      </c>
      <c r="M120" s="55">
        <v>1</v>
      </c>
      <c r="N120" s="55">
        <v>1</v>
      </c>
      <c r="O120" s="55">
        <v>1</v>
      </c>
      <c r="P120" s="55">
        <v>0</v>
      </c>
      <c r="Q120" s="55">
        <v>0</v>
      </c>
      <c r="R120" s="55">
        <v>0</v>
      </c>
      <c r="T120" s="61">
        <f>SUM(C120/B120)</f>
        <v>0.39502602660497399</v>
      </c>
      <c r="U120" s="61">
        <f>SUM(D120/B120)</f>
        <v>0.21862348178137653</v>
      </c>
      <c r="V120" s="61">
        <f>SUM(E120/B120)</f>
        <v>0.13128976286871025</v>
      </c>
      <c r="W120" s="61">
        <f>SUM(F120/B120)</f>
        <v>0.19664545980335454</v>
      </c>
      <c r="X120" s="61">
        <f>SUM(G120/B120)</f>
        <v>0</v>
      </c>
      <c r="Y120" s="61">
        <f>SUM(H120/B120)</f>
        <v>5.8415268941584733E-2</v>
      </c>
      <c r="Z120" s="61">
        <f>SUM(I120/B120)</f>
        <v>0</v>
      </c>
    </row>
    <row r="121" spans="1:26" s="52" customFormat="1">
      <c r="A121" s="53" t="s">
        <v>1627</v>
      </c>
      <c r="B121" s="54">
        <f>SUM(B118:B120)</f>
        <v>11439</v>
      </c>
      <c r="C121" s="54">
        <f t="shared" ref="C121:R121" si="41">SUM(C118:C120)</f>
        <v>5182</v>
      </c>
      <c r="D121" s="54">
        <f t="shared" si="41"/>
        <v>1563</v>
      </c>
      <c r="E121" s="54">
        <f>SUM(E118:E120)</f>
        <v>1133</v>
      </c>
      <c r="F121" s="54">
        <f t="shared" si="41"/>
        <v>2344</v>
      </c>
      <c r="G121" s="54">
        <f t="shared" si="41"/>
        <v>0</v>
      </c>
      <c r="H121" s="54">
        <f>SUM(H118:H120)</f>
        <v>1217</v>
      </c>
      <c r="I121" s="54">
        <f t="shared" si="41"/>
        <v>0</v>
      </c>
      <c r="J121" s="54"/>
      <c r="K121" s="54">
        <f t="shared" si="41"/>
        <v>16</v>
      </c>
      <c r="L121" s="54">
        <f t="shared" si="41"/>
        <v>8</v>
      </c>
      <c r="M121" s="54">
        <f t="shared" si="41"/>
        <v>2</v>
      </c>
      <c r="N121" s="54">
        <f>SUM(N118:N120)</f>
        <v>1</v>
      </c>
      <c r="O121" s="54">
        <f t="shared" si="41"/>
        <v>3</v>
      </c>
      <c r="P121" s="54">
        <f t="shared" si="41"/>
        <v>0</v>
      </c>
      <c r="Q121" s="54">
        <f>SUM(Q118:Q120)</f>
        <v>2</v>
      </c>
      <c r="R121" s="54">
        <f t="shared" si="41"/>
        <v>0</v>
      </c>
      <c r="T121" s="60">
        <f>SUM(C121/B121)</f>
        <v>0.45301162689046243</v>
      </c>
      <c r="U121" s="60">
        <f>SUM(D121/B121)</f>
        <v>0.13663781799108313</v>
      </c>
      <c r="V121" s="60">
        <f>SUM(E121/B121)</f>
        <v>9.9047119503453102E-2</v>
      </c>
      <c r="W121" s="60">
        <f>SUM(F121/B121)</f>
        <v>0.2049130168721042</v>
      </c>
      <c r="X121" s="60">
        <f>SUM(G121/B121)</f>
        <v>0</v>
      </c>
      <c r="Y121" s="60">
        <f>SUM(H121/B121)</f>
        <v>0.10639041874289711</v>
      </c>
      <c r="Z121" s="60">
        <f>SUM(I121/B121)</f>
        <v>0</v>
      </c>
    </row>
    <row r="122" spans="1:26">
      <c r="A122" s="53"/>
      <c r="B122" s="54"/>
      <c r="C122" s="55"/>
      <c r="D122" s="55"/>
      <c r="E122" s="55"/>
      <c r="F122" s="55"/>
      <c r="G122" s="55"/>
      <c r="H122" s="55"/>
      <c r="I122" s="55"/>
      <c r="K122" s="54"/>
      <c r="L122" s="55"/>
      <c r="M122" s="55"/>
      <c r="N122" s="55"/>
      <c r="O122" s="55"/>
      <c r="P122" s="55"/>
      <c r="Q122" s="55"/>
      <c r="R122" s="55"/>
    </row>
    <row r="123" spans="1:26">
      <c r="A123" s="56" t="s">
        <v>1628</v>
      </c>
      <c r="B123" s="54">
        <f>SUM(C123:I123)</f>
        <v>2325</v>
      </c>
      <c r="C123" s="55">
        <v>129</v>
      </c>
      <c r="D123" s="55">
        <v>270</v>
      </c>
      <c r="E123" s="55">
        <v>395</v>
      </c>
      <c r="F123" s="55">
        <v>488</v>
      </c>
      <c r="G123" s="55">
        <v>0</v>
      </c>
      <c r="H123" s="55">
        <v>1043</v>
      </c>
      <c r="I123" s="55">
        <v>0</v>
      </c>
      <c r="J123" s="55"/>
      <c r="K123" s="54">
        <f>SUM(L123:R123)</f>
        <v>5</v>
      </c>
      <c r="L123" s="55">
        <v>0</v>
      </c>
      <c r="M123" s="55">
        <v>1</v>
      </c>
      <c r="N123" s="55">
        <v>1</v>
      </c>
      <c r="O123" s="55">
        <v>1</v>
      </c>
      <c r="P123" s="55">
        <v>0</v>
      </c>
      <c r="Q123" s="55">
        <v>2</v>
      </c>
      <c r="R123" s="55">
        <v>0</v>
      </c>
      <c r="T123" s="61">
        <f>SUM(C123/B123)</f>
        <v>5.5483870967741933E-2</v>
      </c>
      <c r="U123" s="61">
        <f>SUM(D123/B123)</f>
        <v>0.11612903225806452</v>
      </c>
      <c r="V123" s="61">
        <f>SUM(E123/B123)</f>
        <v>0.16989247311827957</v>
      </c>
      <c r="W123" s="61">
        <f>SUM(F123/B123)</f>
        <v>0.20989247311827958</v>
      </c>
      <c r="X123" s="61">
        <f>SUM(G123/B123)</f>
        <v>0</v>
      </c>
      <c r="Y123" s="61">
        <f>SUM(H123/B123)</f>
        <v>0.44860215053763441</v>
      </c>
      <c r="Z123" s="61">
        <f>SUM(I123/B123)</f>
        <v>0</v>
      </c>
    </row>
    <row r="124" spans="1:26">
      <c r="A124" s="56" t="s">
        <v>1629</v>
      </c>
      <c r="B124" s="54">
        <f>SUM(C124:I124)</f>
        <v>1614</v>
      </c>
      <c r="C124" s="55">
        <v>641</v>
      </c>
      <c r="D124" s="55">
        <v>639</v>
      </c>
      <c r="E124" s="55">
        <v>0</v>
      </c>
      <c r="F124" s="55">
        <v>0</v>
      </c>
      <c r="G124" s="55">
        <v>0</v>
      </c>
      <c r="H124" s="55">
        <v>334</v>
      </c>
      <c r="I124" s="55">
        <v>0</v>
      </c>
      <c r="K124" s="54">
        <f>SUM(L124:R124)</f>
        <v>5</v>
      </c>
      <c r="L124" s="55">
        <v>2</v>
      </c>
      <c r="M124" s="55">
        <v>2</v>
      </c>
      <c r="N124" s="55">
        <v>0</v>
      </c>
      <c r="O124" s="55">
        <v>0</v>
      </c>
      <c r="P124" s="55">
        <v>0</v>
      </c>
      <c r="Q124" s="55">
        <v>1</v>
      </c>
      <c r="R124" s="55">
        <v>0</v>
      </c>
      <c r="T124" s="61">
        <f>SUM(C124/B124)</f>
        <v>0.39714993804213133</v>
      </c>
      <c r="U124" s="61">
        <f>SUM(D124/B124)</f>
        <v>0.39591078066914498</v>
      </c>
      <c r="V124" s="61">
        <f>SUM(E124/B124)</f>
        <v>0</v>
      </c>
      <c r="W124" s="61">
        <f>SUM(F124/B124)</f>
        <v>0</v>
      </c>
      <c r="X124" s="61">
        <f>SUM(G124/B124)</f>
        <v>0</v>
      </c>
      <c r="Y124" s="61">
        <f>SUM(H124/B124)</f>
        <v>0.20693928128872366</v>
      </c>
      <c r="Z124" s="61">
        <f>SUM(I124/B124)</f>
        <v>0</v>
      </c>
    </row>
    <row r="125" spans="1:26">
      <c r="A125" s="56" t="s">
        <v>1630</v>
      </c>
      <c r="B125" s="54">
        <f>SUM(C125:I125)</f>
        <v>2504</v>
      </c>
      <c r="C125" s="55">
        <v>185</v>
      </c>
      <c r="D125" s="55">
        <v>0</v>
      </c>
      <c r="E125" s="55">
        <v>641</v>
      </c>
      <c r="F125" s="55">
        <v>893</v>
      </c>
      <c r="G125" s="55">
        <v>0</v>
      </c>
      <c r="H125" s="55">
        <v>785</v>
      </c>
      <c r="I125" s="55">
        <v>0</v>
      </c>
      <c r="K125" s="54">
        <f>SUM(L125:R125)</f>
        <v>5</v>
      </c>
      <c r="L125" s="55">
        <v>0</v>
      </c>
      <c r="M125" s="55">
        <v>0</v>
      </c>
      <c r="N125" s="55">
        <v>1</v>
      </c>
      <c r="O125" s="55">
        <v>2</v>
      </c>
      <c r="P125" s="55">
        <v>0</v>
      </c>
      <c r="Q125" s="55">
        <v>2</v>
      </c>
      <c r="R125" s="55">
        <v>0</v>
      </c>
      <c r="T125" s="61">
        <f>SUM(C125/B125)</f>
        <v>7.3881789137380194E-2</v>
      </c>
      <c r="U125" s="61">
        <f>SUM(D125/B125)</f>
        <v>0</v>
      </c>
      <c r="V125" s="61">
        <f>SUM(E125/B125)</f>
        <v>0.25599041533546324</v>
      </c>
      <c r="W125" s="61">
        <f>SUM(F125/B125)</f>
        <v>0.35662939297124602</v>
      </c>
      <c r="X125" s="61">
        <f>SUM(G125/B125)</f>
        <v>0</v>
      </c>
      <c r="Y125" s="61">
        <f>SUM(H125/B125)</f>
        <v>0.31349840255591055</v>
      </c>
      <c r="Z125" s="61">
        <f>SUM(I125/B125)</f>
        <v>0</v>
      </c>
    </row>
    <row r="126" spans="1:26" s="52" customFormat="1">
      <c r="A126" s="53" t="s">
        <v>1631</v>
      </c>
      <c r="B126" s="54">
        <f>SUM(B123:B125)</f>
        <v>6443</v>
      </c>
      <c r="C126" s="54">
        <f t="shared" ref="C126:R126" si="42">SUM(C123:C125)</f>
        <v>955</v>
      </c>
      <c r="D126" s="54">
        <f t="shared" si="42"/>
        <v>909</v>
      </c>
      <c r="E126" s="54">
        <f>SUM(E123:E125)</f>
        <v>1036</v>
      </c>
      <c r="F126" s="54">
        <f t="shared" si="42"/>
        <v>1381</v>
      </c>
      <c r="G126" s="54">
        <f t="shared" si="42"/>
        <v>0</v>
      </c>
      <c r="H126" s="54">
        <f>SUM(H123:H125)</f>
        <v>2162</v>
      </c>
      <c r="I126" s="54">
        <f t="shared" si="42"/>
        <v>0</v>
      </c>
      <c r="J126" s="54"/>
      <c r="K126" s="54">
        <f t="shared" si="42"/>
        <v>15</v>
      </c>
      <c r="L126" s="54">
        <f t="shared" si="42"/>
        <v>2</v>
      </c>
      <c r="M126" s="54">
        <f t="shared" si="42"/>
        <v>3</v>
      </c>
      <c r="N126" s="54">
        <f>SUM(N123:N125)</f>
        <v>2</v>
      </c>
      <c r="O126" s="54">
        <f t="shared" si="42"/>
        <v>3</v>
      </c>
      <c r="P126" s="54">
        <f t="shared" si="42"/>
        <v>0</v>
      </c>
      <c r="Q126" s="54">
        <f>SUM(Q123:Q125)</f>
        <v>5</v>
      </c>
      <c r="R126" s="54">
        <f t="shared" si="42"/>
        <v>0</v>
      </c>
      <c r="T126" s="60">
        <f>SUM(C126/B126)</f>
        <v>0.14822287754151792</v>
      </c>
      <c r="U126" s="60">
        <f>SUM(D126/B126)</f>
        <v>0.14108334626726679</v>
      </c>
      <c r="V126" s="60">
        <f>SUM(E126/B126)</f>
        <v>0.16079466087226446</v>
      </c>
      <c r="W126" s="60">
        <f>SUM(F126/B126)</f>
        <v>0.21434114542914792</v>
      </c>
      <c r="X126" s="60">
        <f>SUM(G126/B126)</f>
        <v>0</v>
      </c>
      <c r="Y126" s="60">
        <f>SUM(H126/B126)</f>
        <v>0.33555796988980291</v>
      </c>
      <c r="Z126" s="60">
        <f>SUM(I126/B126)</f>
        <v>0</v>
      </c>
    </row>
    <row r="127" spans="1:26">
      <c r="A127" s="53"/>
      <c r="B127" s="54"/>
      <c r="C127" s="55"/>
      <c r="D127" s="55"/>
      <c r="E127" s="55"/>
      <c r="F127" s="55"/>
      <c r="G127" s="55"/>
      <c r="H127" s="55"/>
      <c r="I127" s="55"/>
      <c r="K127" s="54"/>
      <c r="L127" s="55"/>
      <c r="M127" s="55"/>
      <c r="N127" s="55"/>
      <c r="O127" s="55"/>
      <c r="P127" s="55"/>
      <c r="Q127" s="55"/>
      <c r="R127" s="55"/>
    </row>
    <row r="128" spans="1:26">
      <c r="A128" s="56" t="s">
        <v>1632</v>
      </c>
      <c r="B128" s="54">
        <f>SUM(C128:I128)</f>
        <v>3308</v>
      </c>
      <c r="C128" s="55">
        <v>802</v>
      </c>
      <c r="D128" s="55">
        <v>570</v>
      </c>
      <c r="E128" s="55">
        <v>328</v>
      </c>
      <c r="F128" s="55">
        <v>613</v>
      </c>
      <c r="G128" s="55">
        <v>340</v>
      </c>
      <c r="H128" s="55">
        <v>655</v>
      </c>
      <c r="I128" s="55">
        <v>0</v>
      </c>
      <c r="K128" s="54">
        <f>SUM(L128:R128)</f>
        <v>5</v>
      </c>
      <c r="L128" s="55">
        <v>1</v>
      </c>
      <c r="M128" s="55">
        <v>1</v>
      </c>
      <c r="N128" s="55">
        <v>0</v>
      </c>
      <c r="O128" s="55">
        <v>1</v>
      </c>
      <c r="P128" s="55">
        <v>1</v>
      </c>
      <c r="Q128" s="55">
        <v>1</v>
      </c>
      <c r="R128" s="55">
        <v>0</v>
      </c>
      <c r="T128" s="61">
        <f>SUM(C128/B128)</f>
        <v>0.24244256348246676</v>
      </c>
      <c r="U128" s="61">
        <f>SUM(D128/B128)</f>
        <v>0.17230955259975816</v>
      </c>
      <c r="V128" s="61">
        <f>SUM(E128/B128)</f>
        <v>9.915356711003627E-2</v>
      </c>
      <c r="W128" s="61">
        <f>SUM(F128/B128)</f>
        <v>0.18530834340991537</v>
      </c>
      <c r="X128" s="61">
        <f>SUM(G128/B128)</f>
        <v>0.10278113663845223</v>
      </c>
      <c r="Y128" s="61">
        <f>SUM(H128/B128)</f>
        <v>0.19800483675937122</v>
      </c>
      <c r="Z128" s="61">
        <f>SUM(I128/B128)</f>
        <v>0</v>
      </c>
    </row>
    <row r="129" spans="1:26">
      <c r="A129" s="56" t="s">
        <v>1633</v>
      </c>
      <c r="B129" s="54">
        <f>SUM(C129:I129)</f>
        <v>4327</v>
      </c>
      <c r="C129" s="55">
        <v>1902</v>
      </c>
      <c r="D129" s="55">
        <v>1245</v>
      </c>
      <c r="E129" s="55">
        <v>0</v>
      </c>
      <c r="F129" s="55">
        <v>0</v>
      </c>
      <c r="G129" s="55">
        <v>894</v>
      </c>
      <c r="H129" s="55">
        <v>286</v>
      </c>
      <c r="I129" s="55">
        <v>0</v>
      </c>
      <c r="K129" s="54">
        <f>SUM(L129:R129)</f>
        <v>5</v>
      </c>
      <c r="L129" s="55">
        <v>2</v>
      </c>
      <c r="M129" s="55">
        <v>2</v>
      </c>
      <c r="N129" s="55">
        <v>0</v>
      </c>
      <c r="O129" s="55">
        <v>0</v>
      </c>
      <c r="P129" s="55">
        <v>1</v>
      </c>
      <c r="Q129" s="55">
        <v>0</v>
      </c>
      <c r="R129" s="55">
        <v>0</v>
      </c>
      <c r="T129" s="61">
        <f>SUM(C129/B129)</f>
        <v>0.43956551883522071</v>
      </c>
      <c r="U129" s="61">
        <f>SUM(D129/B129)</f>
        <v>0.28772821816501037</v>
      </c>
      <c r="V129" s="61">
        <f>SUM(E129/B129)</f>
        <v>0</v>
      </c>
      <c r="W129" s="61">
        <f>SUM(F129/B129)</f>
        <v>0</v>
      </c>
      <c r="X129" s="61">
        <f>SUM(G129/B129)</f>
        <v>0.20660966027270627</v>
      </c>
      <c r="Y129" s="61">
        <f>SUM(H129/B129)</f>
        <v>6.6096602727062637E-2</v>
      </c>
      <c r="Z129" s="61">
        <f>SUM(I129/B129)</f>
        <v>0</v>
      </c>
    </row>
    <row r="130" spans="1:26">
      <c r="A130" s="56" t="s">
        <v>1634</v>
      </c>
      <c r="B130" s="54">
        <f>SUM(C130:I130)</f>
        <v>2899</v>
      </c>
      <c r="C130" s="55">
        <v>670</v>
      </c>
      <c r="D130" s="55">
        <v>146</v>
      </c>
      <c r="E130" s="55">
        <v>324</v>
      </c>
      <c r="F130" s="55">
        <v>153</v>
      </c>
      <c r="G130" s="55">
        <v>342</v>
      </c>
      <c r="H130" s="55">
        <v>1264</v>
      </c>
      <c r="I130" s="55">
        <v>0</v>
      </c>
      <c r="K130" s="54">
        <f>SUM(L130:R130)</f>
        <v>5</v>
      </c>
      <c r="L130" s="55">
        <v>1</v>
      </c>
      <c r="M130" s="55">
        <v>0</v>
      </c>
      <c r="N130" s="55">
        <v>1</v>
      </c>
      <c r="O130" s="55">
        <v>0</v>
      </c>
      <c r="P130" s="55">
        <v>1</v>
      </c>
      <c r="Q130" s="55">
        <v>2</v>
      </c>
      <c r="R130" s="55">
        <v>0</v>
      </c>
      <c r="T130" s="61">
        <f>SUM(C130/B130)</f>
        <v>0.2311141773025181</v>
      </c>
      <c r="U130" s="61">
        <f>SUM(D130/B130)</f>
        <v>5.0362193859951707E-2</v>
      </c>
      <c r="V130" s="61">
        <f>SUM(E130/B130)</f>
        <v>0.11176267678509831</v>
      </c>
      <c r="W130" s="61">
        <f>SUM(F130/B130)</f>
        <v>5.2776819592963091E-2</v>
      </c>
      <c r="X130" s="61">
        <f>SUM(G130/B130)</f>
        <v>0.11797171438427044</v>
      </c>
      <c r="Y130" s="61">
        <f>SUM(H130/B130)</f>
        <v>0.43601241807519836</v>
      </c>
      <c r="Z130" s="61">
        <f>SUM(I130/B130)</f>
        <v>0</v>
      </c>
    </row>
    <row r="131" spans="1:26" s="52" customFormat="1">
      <c r="A131" s="53" t="s">
        <v>1635</v>
      </c>
      <c r="B131" s="54">
        <f>SUM(B128:B130)</f>
        <v>10534</v>
      </c>
      <c r="C131" s="54">
        <f t="shared" ref="C131:R131" si="43">SUM(C128:C130)</f>
        <v>3374</v>
      </c>
      <c r="D131" s="54">
        <f t="shared" si="43"/>
        <v>1961</v>
      </c>
      <c r="E131" s="54">
        <f>SUM(E128:E130)</f>
        <v>652</v>
      </c>
      <c r="F131" s="54">
        <f t="shared" si="43"/>
        <v>766</v>
      </c>
      <c r="G131" s="54">
        <f t="shared" si="43"/>
        <v>1576</v>
      </c>
      <c r="H131" s="54">
        <f>SUM(H128:H130)</f>
        <v>2205</v>
      </c>
      <c r="I131" s="54">
        <f t="shared" si="43"/>
        <v>0</v>
      </c>
      <c r="J131" s="54"/>
      <c r="K131" s="54">
        <f t="shared" si="43"/>
        <v>15</v>
      </c>
      <c r="L131" s="54">
        <f t="shared" si="43"/>
        <v>4</v>
      </c>
      <c r="M131" s="54">
        <f t="shared" si="43"/>
        <v>3</v>
      </c>
      <c r="N131" s="54">
        <f>SUM(N128:N130)</f>
        <v>1</v>
      </c>
      <c r="O131" s="54">
        <f t="shared" si="43"/>
        <v>1</v>
      </c>
      <c r="P131" s="54">
        <f t="shared" si="43"/>
        <v>3</v>
      </c>
      <c r="Q131" s="54">
        <f>SUM(Q128:Q130)</f>
        <v>3</v>
      </c>
      <c r="R131" s="54">
        <f t="shared" si="43"/>
        <v>0</v>
      </c>
      <c r="T131" s="60">
        <f>SUM(C131/B131)</f>
        <v>0.32029618378583635</v>
      </c>
      <c r="U131" s="60">
        <f>SUM(D131/B131)</f>
        <v>0.18615910385418644</v>
      </c>
      <c r="V131" s="60">
        <f>SUM(E131/B131)</f>
        <v>6.1894816783747864E-2</v>
      </c>
      <c r="W131" s="60">
        <f>SUM(F131/B131)</f>
        <v>7.2716916650844884E-2</v>
      </c>
      <c r="X131" s="60">
        <f>SUM(G131/B131)</f>
        <v>0.14961078412758685</v>
      </c>
      <c r="Y131" s="60">
        <f>SUM(H131/B131)</f>
        <v>0.20932219479779759</v>
      </c>
      <c r="Z131" s="60">
        <f>SUM(I131/B131)</f>
        <v>0</v>
      </c>
    </row>
    <row r="132" spans="1:26">
      <c r="A132" s="53"/>
      <c r="B132" s="54"/>
      <c r="C132" s="55"/>
      <c r="D132" s="55"/>
      <c r="E132" s="55"/>
      <c r="F132" s="55"/>
      <c r="G132" s="55"/>
      <c r="H132" s="55"/>
      <c r="I132" s="55"/>
      <c r="K132" s="54"/>
      <c r="L132" s="55"/>
      <c r="M132" s="55"/>
      <c r="N132" s="55"/>
      <c r="O132" s="55"/>
      <c r="P132" s="55"/>
      <c r="Q132" s="55"/>
      <c r="R132" s="55"/>
    </row>
    <row r="133" spans="1:26">
      <c r="A133" s="56" t="s">
        <v>1636</v>
      </c>
      <c r="B133" s="54">
        <f>SUM(C133:I133)</f>
        <v>4622</v>
      </c>
      <c r="C133" s="55">
        <v>2324</v>
      </c>
      <c r="D133" s="55">
        <v>1022</v>
      </c>
      <c r="E133" s="55">
        <v>0</v>
      </c>
      <c r="F133" s="55">
        <v>0</v>
      </c>
      <c r="G133" s="55">
        <v>1151</v>
      </c>
      <c r="H133" s="55">
        <v>0</v>
      </c>
      <c r="I133" s="55">
        <v>125</v>
      </c>
      <c r="K133" s="54">
        <f>SUM(L133:R133)</f>
        <v>6</v>
      </c>
      <c r="L133" s="55">
        <v>3</v>
      </c>
      <c r="M133" s="55">
        <v>2</v>
      </c>
      <c r="N133" s="55">
        <v>0</v>
      </c>
      <c r="O133" s="55">
        <v>0</v>
      </c>
      <c r="P133" s="55">
        <v>1</v>
      </c>
      <c r="Q133" s="55">
        <v>0</v>
      </c>
      <c r="R133" s="55">
        <v>0</v>
      </c>
      <c r="T133" s="61">
        <f>SUM(C133/B133)</f>
        <v>0.50281263522284725</v>
      </c>
      <c r="U133" s="61">
        <f>SUM(D133/B133)</f>
        <v>0.22111639982691475</v>
      </c>
      <c r="V133" s="61">
        <f>SUM(E133/B133)</f>
        <v>0</v>
      </c>
      <c r="W133" s="61">
        <f>SUM(F133/B133)</f>
        <v>0</v>
      </c>
      <c r="X133" s="61">
        <f>SUM(G133/B133)</f>
        <v>0.24902639549978364</v>
      </c>
      <c r="Y133" s="61">
        <f>SUM(H133/B133)</f>
        <v>0</v>
      </c>
      <c r="Z133" s="61">
        <f>SUM(I133/B133)</f>
        <v>2.7044569450454348E-2</v>
      </c>
    </row>
    <row r="134" spans="1:26">
      <c r="A134" s="56" t="s">
        <v>1637</v>
      </c>
      <c r="B134" s="54">
        <f>SUM(C134:I134)</f>
        <v>2462</v>
      </c>
      <c r="C134" s="55">
        <v>953</v>
      </c>
      <c r="D134" s="55">
        <v>243</v>
      </c>
      <c r="E134" s="55">
        <v>0</v>
      </c>
      <c r="F134" s="55">
        <v>0</v>
      </c>
      <c r="G134" s="55">
        <v>775</v>
      </c>
      <c r="H134" s="55">
        <v>491</v>
      </c>
      <c r="I134" s="55">
        <v>0</v>
      </c>
      <c r="K134" s="54">
        <f>SUM(L134:R134)</f>
        <v>5</v>
      </c>
      <c r="L134" s="55">
        <v>2</v>
      </c>
      <c r="M134" s="55">
        <v>1</v>
      </c>
      <c r="N134" s="55">
        <v>0</v>
      </c>
      <c r="O134" s="55">
        <v>0</v>
      </c>
      <c r="P134" s="55">
        <v>1</v>
      </c>
      <c r="Q134" s="55">
        <v>1</v>
      </c>
      <c r="R134" s="55">
        <v>0</v>
      </c>
      <c r="T134" s="61">
        <f>SUM(C134/B134)</f>
        <v>0.38708367181153536</v>
      </c>
      <c r="U134" s="61">
        <f>SUM(D134/B134)</f>
        <v>9.870024370430544E-2</v>
      </c>
      <c r="V134" s="61">
        <f>SUM(E134/B134)</f>
        <v>0</v>
      </c>
      <c r="W134" s="61">
        <f>SUM(F134/B134)</f>
        <v>0</v>
      </c>
      <c r="X134" s="61">
        <f>SUM(G134/B134)</f>
        <v>0.31478472786352557</v>
      </c>
      <c r="Y134" s="61">
        <f>SUM(H134/B134)</f>
        <v>0.19943135662063363</v>
      </c>
      <c r="Z134" s="61">
        <f>SUM(I134/B134)</f>
        <v>0</v>
      </c>
    </row>
    <row r="135" spans="1:26">
      <c r="A135" s="56" t="s">
        <v>1638</v>
      </c>
      <c r="B135" s="54">
        <f>SUM(C135:I135)</f>
        <v>5318</v>
      </c>
      <c r="C135" s="55">
        <v>2079</v>
      </c>
      <c r="D135" s="55">
        <v>707</v>
      </c>
      <c r="E135" s="55">
        <v>0</v>
      </c>
      <c r="F135" s="55">
        <v>0</v>
      </c>
      <c r="G135" s="55">
        <v>1184</v>
      </c>
      <c r="H135" s="55">
        <v>1179</v>
      </c>
      <c r="I135" s="55">
        <v>169</v>
      </c>
      <c r="K135" s="54">
        <f>SUM(L135:R135)</f>
        <v>6</v>
      </c>
      <c r="L135" s="55">
        <v>3</v>
      </c>
      <c r="M135" s="55">
        <v>1</v>
      </c>
      <c r="N135" s="55">
        <v>0</v>
      </c>
      <c r="O135" s="55">
        <v>0</v>
      </c>
      <c r="P135" s="55">
        <v>1</v>
      </c>
      <c r="Q135" s="55">
        <v>1</v>
      </c>
      <c r="R135" s="55">
        <v>0</v>
      </c>
      <c r="T135" s="61">
        <f>SUM(C135/B135)</f>
        <v>0.39093644227153063</v>
      </c>
      <c r="U135" s="61">
        <f>SUM(D135/B135)</f>
        <v>0.13294471605866867</v>
      </c>
      <c r="V135" s="61">
        <f>SUM(E135/B135)</f>
        <v>0</v>
      </c>
      <c r="W135" s="61">
        <f>SUM(F135/B135)</f>
        <v>0</v>
      </c>
      <c r="X135" s="61">
        <f>SUM(G135/B135)</f>
        <v>0.22264009025949605</v>
      </c>
      <c r="Y135" s="61">
        <f>SUM(H135/B135)</f>
        <v>0.22169988717562994</v>
      </c>
      <c r="Z135" s="61">
        <f>SUM(I135/B135)</f>
        <v>3.1778864234674686E-2</v>
      </c>
    </row>
    <row r="136" spans="1:26" s="52" customFormat="1">
      <c r="A136" s="53" t="s">
        <v>1639</v>
      </c>
      <c r="B136" s="54">
        <f>SUM(B133:B135)</f>
        <v>12402</v>
      </c>
      <c r="C136" s="54">
        <f t="shared" ref="C136:R136" si="44">SUM(C133:C135)</f>
        <v>5356</v>
      </c>
      <c r="D136" s="54">
        <f t="shared" si="44"/>
        <v>1972</v>
      </c>
      <c r="E136" s="54">
        <f>SUM(E133:E135)</f>
        <v>0</v>
      </c>
      <c r="F136" s="54">
        <f t="shared" si="44"/>
        <v>0</v>
      </c>
      <c r="G136" s="54">
        <f t="shared" si="44"/>
        <v>3110</v>
      </c>
      <c r="H136" s="54">
        <f>SUM(H133:H135)</f>
        <v>1670</v>
      </c>
      <c r="I136" s="54">
        <f t="shared" si="44"/>
        <v>294</v>
      </c>
      <c r="J136" s="54"/>
      <c r="K136" s="54">
        <f t="shared" si="44"/>
        <v>17</v>
      </c>
      <c r="L136" s="54">
        <f t="shared" si="44"/>
        <v>8</v>
      </c>
      <c r="M136" s="54">
        <f t="shared" si="44"/>
        <v>4</v>
      </c>
      <c r="N136" s="54">
        <f>SUM(N133:N135)</f>
        <v>0</v>
      </c>
      <c r="O136" s="54">
        <f t="shared" si="44"/>
        <v>0</v>
      </c>
      <c r="P136" s="54">
        <f t="shared" si="44"/>
        <v>3</v>
      </c>
      <c r="Q136" s="54">
        <f>SUM(Q133:Q135)</f>
        <v>2</v>
      </c>
      <c r="R136" s="54">
        <f t="shared" si="44"/>
        <v>0</v>
      </c>
      <c r="T136" s="60">
        <f>SUM(C136/B136)</f>
        <v>0.43186582809224316</v>
      </c>
      <c r="U136" s="60">
        <f>SUM(D136/B136)</f>
        <v>0.15900661183680051</v>
      </c>
      <c r="V136" s="60">
        <f>SUM(E136/B136)</f>
        <v>0</v>
      </c>
      <c r="W136" s="60">
        <f>SUM(F136/B136)</f>
        <v>0</v>
      </c>
      <c r="X136" s="60">
        <f>SUM(G136/B136)</f>
        <v>0.25076600548298661</v>
      </c>
      <c r="Y136" s="60">
        <f>SUM(H136/B136)</f>
        <v>0.13465570069343655</v>
      </c>
      <c r="Z136" s="60">
        <f>SUM(I136/B136)</f>
        <v>2.3705853894533141E-2</v>
      </c>
    </row>
    <row r="137" spans="1:26">
      <c r="A137" s="53"/>
      <c r="B137" s="54"/>
      <c r="C137" s="55"/>
      <c r="D137" s="55"/>
      <c r="E137" s="55"/>
      <c r="F137" s="55"/>
      <c r="G137" s="55"/>
      <c r="H137" s="55"/>
      <c r="I137" s="55"/>
      <c r="K137" s="54"/>
      <c r="L137" s="55"/>
      <c r="M137" s="55"/>
      <c r="N137" s="55"/>
      <c r="O137" s="55"/>
      <c r="P137" s="55"/>
      <c r="Q137" s="55"/>
      <c r="R137" s="55"/>
    </row>
    <row r="138" spans="1:26">
      <c r="A138" s="56" t="s">
        <v>1640</v>
      </c>
      <c r="B138" s="54">
        <f>SUM(C138:I138)</f>
        <v>8565</v>
      </c>
      <c r="C138" s="55">
        <v>2848</v>
      </c>
      <c r="D138" s="55">
        <v>1177</v>
      </c>
      <c r="E138" s="55">
        <v>1205</v>
      </c>
      <c r="F138" s="55">
        <v>1968</v>
      </c>
      <c r="G138" s="55">
        <v>1367</v>
      </c>
      <c r="H138" s="55">
        <v>0</v>
      </c>
      <c r="I138" s="55">
        <v>0</v>
      </c>
      <c r="J138" s="55"/>
      <c r="K138" s="54">
        <f>SUM(L138:R138)</f>
        <v>7</v>
      </c>
      <c r="L138" s="55">
        <v>2</v>
      </c>
      <c r="M138" s="55">
        <v>1</v>
      </c>
      <c r="N138" s="55">
        <v>1</v>
      </c>
      <c r="O138" s="55">
        <v>2</v>
      </c>
      <c r="P138" s="55">
        <v>1</v>
      </c>
      <c r="Q138" s="55">
        <v>0</v>
      </c>
      <c r="R138" s="55">
        <v>0</v>
      </c>
      <c r="T138" s="61">
        <f>SUM(C138/B138)</f>
        <v>0.33251605370694687</v>
      </c>
      <c r="U138" s="61">
        <f>SUM(D138/B138)</f>
        <v>0.13741973146526562</v>
      </c>
      <c r="V138" s="61">
        <f>SUM(E138/B138)</f>
        <v>0.14068884997081144</v>
      </c>
      <c r="W138" s="61">
        <f>SUM(F138/B138)</f>
        <v>0.22977232924693519</v>
      </c>
      <c r="X138" s="61">
        <f>SUM(G138/B138)</f>
        <v>0.15960303561004086</v>
      </c>
      <c r="Y138" s="61">
        <f>SUM(H138/B138)</f>
        <v>0</v>
      </c>
      <c r="Z138" s="61">
        <f>SUM(I138/B138)</f>
        <v>0</v>
      </c>
    </row>
    <row r="139" spans="1:26">
      <c r="A139" s="56" t="s">
        <v>1641</v>
      </c>
      <c r="B139" s="54">
        <f>SUM(C139:I139)</f>
        <v>6065</v>
      </c>
      <c r="C139" s="55">
        <v>3348</v>
      </c>
      <c r="D139" s="55">
        <v>1793</v>
      </c>
      <c r="E139" s="55">
        <v>0</v>
      </c>
      <c r="F139" s="55">
        <v>0</v>
      </c>
      <c r="G139" s="55">
        <v>924</v>
      </c>
      <c r="H139" s="55">
        <v>0</v>
      </c>
      <c r="I139" s="55">
        <v>0</v>
      </c>
      <c r="K139" s="54">
        <f>SUM(L139:R139)</f>
        <v>5</v>
      </c>
      <c r="L139" s="55">
        <v>3</v>
      </c>
      <c r="M139" s="55">
        <v>1</v>
      </c>
      <c r="N139" s="55">
        <v>0</v>
      </c>
      <c r="O139" s="55">
        <v>0</v>
      </c>
      <c r="P139" s="55">
        <v>1</v>
      </c>
      <c r="Q139" s="55">
        <v>0</v>
      </c>
      <c r="R139" s="55">
        <v>0</v>
      </c>
      <c r="T139" s="61">
        <f>SUM(C139/B139)</f>
        <v>0.55201978565539989</v>
      </c>
      <c r="U139" s="61">
        <f>SUM(D139/B139)</f>
        <v>0.29563066776586977</v>
      </c>
      <c r="V139" s="61">
        <f>SUM(E139/B139)</f>
        <v>0</v>
      </c>
      <c r="W139" s="61">
        <f>SUM(F139/B139)</f>
        <v>0</v>
      </c>
      <c r="X139" s="61">
        <f>SUM(G139/B139)</f>
        <v>0.15234954657873043</v>
      </c>
      <c r="Y139" s="61">
        <f>SUM(H139/B139)</f>
        <v>0</v>
      </c>
      <c r="Z139" s="61">
        <f>SUM(I139/B139)</f>
        <v>0</v>
      </c>
    </row>
    <row r="140" spans="1:26">
      <c r="A140" s="56" t="s">
        <v>1642</v>
      </c>
      <c r="B140" s="54">
        <f>SUM(C140:I140)</f>
        <v>4794</v>
      </c>
      <c r="C140" s="55">
        <v>2763</v>
      </c>
      <c r="D140" s="55">
        <v>415</v>
      </c>
      <c r="E140" s="55">
        <v>0</v>
      </c>
      <c r="F140" s="55">
        <v>464</v>
      </c>
      <c r="G140" s="55">
        <v>756</v>
      </c>
      <c r="H140" s="55">
        <v>396</v>
      </c>
      <c r="I140" s="55">
        <v>0</v>
      </c>
      <c r="K140" s="54">
        <f>SUM(L140:R140)</f>
        <v>6</v>
      </c>
      <c r="L140" s="55">
        <v>4</v>
      </c>
      <c r="M140" s="55">
        <v>1</v>
      </c>
      <c r="N140" s="55">
        <v>0</v>
      </c>
      <c r="O140" s="55">
        <v>0</v>
      </c>
      <c r="P140" s="55">
        <v>1</v>
      </c>
      <c r="Q140" s="55">
        <v>0</v>
      </c>
      <c r="R140" s="55">
        <v>0</v>
      </c>
      <c r="T140" s="61">
        <f>SUM(C140/B140)</f>
        <v>0.57634543178973718</v>
      </c>
      <c r="U140" s="61">
        <f>SUM(D140/B140)</f>
        <v>8.6566541510221112E-2</v>
      </c>
      <c r="V140" s="61">
        <f>SUM(E140/B140)</f>
        <v>0</v>
      </c>
      <c r="W140" s="61">
        <f>SUM(F140/B140)</f>
        <v>9.6787651230705055E-2</v>
      </c>
      <c r="X140" s="61">
        <f>SUM(G140/B140)</f>
        <v>0.15769712140175218</v>
      </c>
      <c r="Y140" s="61">
        <f>SUM(H140/B140)</f>
        <v>8.2603254067584481E-2</v>
      </c>
      <c r="Z140" s="61">
        <f>SUM(I140/B140)</f>
        <v>0</v>
      </c>
    </row>
    <row r="141" spans="1:26">
      <c r="A141" s="56" t="s">
        <v>1643</v>
      </c>
      <c r="B141" s="54">
        <f>SUM(C141:I141)</f>
        <v>8027</v>
      </c>
      <c r="C141" s="55">
        <v>2988</v>
      </c>
      <c r="D141" s="55">
        <v>2022</v>
      </c>
      <c r="E141" s="55">
        <v>262</v>
      </c>
      <c r="F141" s="55">
        <v>215</v>
      </c>
      <c r="G141" s="55">
        <v>1449</v>
      </c>
      <c r="H141" s="55">
        <v>1091</v>
      </c>
      <c r="I141" s="55">
        <v>0</v>
      </c>
      <c r="K141" s="54">
        <f>SUM(L141:R141)</f>
        <v>7</v>
      </c>
      <c r="L141" s="55">
        <v>3</v>
      </c>
      <c r="M141" s="55">
        <v>2</v>
      </c>
      <c r="N141" s="55">
        <v>0</v>
      </c>
      <c r="O141" s="55">
        <v>0</v>
      </c>
      <c r="P141" s="55">
        <v>2</v>
      </c>
      <c r="Q141" s="55">
        <v>0</v>
      </c>
      <c r="R141" s="55">
        <v>0</v>
      </c>
      <c r="T141" s="61">
        <f>SUM(C141/B141)</f>
        <v>0.37224367758814003</v>
      </c>
      <c r="U141" s="61">
        <f>SUM(D141/B141)</f>
        <v>0.25189983804659277</v>
      </c>
      <c r="V141" s="61">
        <f>SUM(E141/B141)</f>
        <v>3.2639840538183633E-2</v>
      </c>
      <c r="W141" s="61">
        <f>SUM(F141/B141)</f>
        <v>2.6784601968356796E-2</v>
      </c>
      <c r="X141" s="61">
        <f>SUM(G141/B141)</f>
        <v>0.18051575931232092</v>
      </c>
      <c r="Y141" s="61">
        <f>SUM(H141/B141)</f>
        <v>0.13591628254640589</v>
      </c>
      <c r="Z141" s="61">
        <f>SUM(I141/B141)</f>
        <v>0</v>
      </c>
    </row>
    <row r="142" spans="1:26" s="52" customFormat="1">
      <c r="A142" s="53" t="s">
        <v>1644</v>
      </c>
      <c r="B142" s="54">
        <f>SUM(B138:B141)</f>
        <v>27451</v>
      </c>
      <c r="C142" s="54">
        <f t="shared" ref="C142:R142" si="45">SUM(C138:C141)</f>
        <v>11947</v>
      </c>
      <c r="D142" s="54">
        <f t="shared" si="45"/>
        <v>5407</v>
      </c>
      <c r="E142" s="54">
        <f>SUM(E138:E141)</f>
        <v>1467</v>
      </c>
      <c r="F142" s="54">
        <f t="shared" si="45"/>
        <v>2647</v>
      </c>
      <c r="G142" s="54">
        <f t="shared" si="45"/>
        <v>4496</v>
      </c>
      <c r="H142" s="54">
        <f>SUM(H138:H141)</f>
        <v>1487</v>
      </c>
      <c r="I142" s="54">
        <f t="shared" si="45"/>
        <v>0</v>
      </c>
      <c r="J142" s="54"/>
      <c r="K142" s="54">
        <f t="shared" si="45"/>
        <v>25</v>
      </c>
      <c r="L142" s="54">
        <f t="shared" si="45"/>
        <v>12</v>
      </c>
      <c r="M142" s="54">
        <f t="shared" si="45"/>
        <v>5</v>
      </c>
      <c r="N142" s="54">
        <f>SUM(N138:N141)</f>
        <v>1</v>
      </c>
      <c r="O142" s="54">
        <f t="shared" si="45"/>
        <v>2</v>
      </c>
      <c r="P142" s="54">
        <f t="shared" si="45"/>
        <v>5</v>
      </c>
      <c r="Q142" s="54">
        <f>SUM(Q138:Q141)</f>
        <v>0</v>
      </c>
      <c r="R142" s="54">
        <f t="shared" si="45"/>
        <v>0</v>
      </c>
      <c r="T142" s="60">
        <f>SUM(C142/B142)</f>
        <v>0.43521183199154856</v>
      </c>
      <c r="U142" s="60">
        <f>SUM(D142/B142)</f>
        <v>0.19696914502203927</v>
      </c>
      <c r="V142" s="60">
        <f>SUM(E142/B142)</f>
        <v>5.3440676113802779E-2</v>
      </c>
      <c r="W142" s="60">
        <f>SUM(F142/B142)</f>
        <v>9.6426359695457362E-2</v>
      </c>
      <c r="X142" s="60">
        <f>SUM(G142/B142)</f>
        <v>0.1637827401551856</v>
      </c>
      <c r="Y142" s="60">
        <f>SUM(H142/B142)</f>
        <v>5.4169247021966412E-2</v>
      </c>
      <c r="Z142" s="60">
        <f>SUM(I142/B142)</f>
        <v>0</v>
      </c>
    </row>
    <row r="143" spans="1:26">
      <c r="A143" s="53"/>
      <c r="B143" s="54"/>
      <c r="C143" s="55"/>
      <c r="D143" s="55"/>
      <c r="E143" s="55"/>
      <c r="F143" s="55"/>
      <c r="G143" s="55"/>
      <c r="H143" s="55"/>
      <c r="I143" s="55"/>
      <c r="K143" s="54"/>
      <c r="L143" s="55"/>
      <c r="M143" s="55"/>
      <c r="N143" s="55"/>
      <c r="O143" s="55"/>
      <c r="P143" s="55"/>
      <c r="Q143" s="55"/>
      <c r="R143" s="55"/>
    </row>
    <row r="144" spans="1:26">
      <c r="A144" s="56" t="s">
        <v>1645</v>
      </c>
      <c r="B144" s="54">
        <f t="shared" ref="B144:B152" si="46">SUM(C144:I144)</f>
        <v>6600</v>
      </c>
      <c r="C144" s="55">
        <v>4251</v>
      </c>
      <c r="D144" s="55">
        <v>395</v>
      </c>
      <c r="E144" s="55">
        <v>99</v>
      </c>
      <c r="F144" s="55">
        <v>184</v>
      </c>
      <c r="G144" s="55">
        <v>78</v>
      </c>
      <c r="H144" s="55">
        <v>1593</v>
      </c>
      <c r="I144" s="55">
        <v>0</v>
      </c>
      <c r="K144" s="54">
        <f t="shared" ref="K144:K152" si="47">SUM(L144:R144)</f>
        <v>5</v>
      </c>
      <c r="L144" s="55">
        <v>3</v>
      </c>
      <c r="M144" s="55">
        <v>0</v>
      </c>
      <c r="N144" s="55">
        <v>0</v>
      </c>
      <c r="O144" s="55">
        <v>0</v>
      </c>
      <c r="P144" s="55">
        <v>0</v>
      </c>
      <c r="Q144" s="55">
        <v>2</v>
      </c>
      <c r="R144" s="55">
        <v>0</v>
      </c>
      <c r="T144" s="61">
        <f t="shared" ref="T144:T153" si="48">SUM(C144/B144)</f>
        <v>0.64409090909090905</v>
      </c>
      <c r="U144" s="61">
        <f t="shared" ref="U144:U153" si="49">SUM(D144/B144)</f>
        <v>5.9848484848484845E-2</v>
      </c>
      <c r="V144" s="61">
        <f t="shared" ref="V144:V153" si="50">SUM(E144/B144)</f>
        <v>1.4999999999999999E-2</v>
      </c>
      <c r="W144" s="61">
        <f t="shared" ref="W144:W153" si="51">SUM(F144/B144)</f>
        <v>2.7878787878787878E-2</v>
      </c>
      <c r="X144" s="61">
        <f t="shared" ref="X144:X153" si="52">SUM(G144/B144)</f>
        <v>1.1818181818181818E-2</v>
      </c>
      <c r="Y144" s="61">
        <f t="shared" ref="Y144:Y153" si="53">SUM(H144/B144)</f>
        <v>0.24136363636363636</v>
      </c>
      <c r="Z144" s="61">
        <f t="shared" ref="Z144:Z153" si="54">SUM(I144/B144)</f>
        <v>0</v>
      </c>
    </row>
    <row r="145" spans="1:26">
      <c r="A145" s="56" t="s">
        <v>1646</v>
      </c>
      <c r="B145" s="54">
        <f t="shared" si="46"/>
        <v>9526</v>
      </c>
      <c r="C145" s="55">
        <v>3510</v>
      </c>
      <c r="D145" s="55">
        <v>786</v>
      </c>
      <c r="E145" s="55">
        <v>456</v>
      </c>
      <c r="F145" s="55">
        <v>1077</v>
      </c>
      <c r="G145" s="55">
        <v>1895</v>
      </c>
      <c r="H145" s="55">
        <v>1579</v>
      </c>
      <c r="I145" s="55">
        <v>223</v>
      </c>
      <c r="K145" s="54">
        <f t="shared" si="47"/>
        <v>6</v>
      </c>
      <c r="L145" s="55">
        <v>3</v>
      </c>
      <c r="M145" s="55">
        <v>0</v>
      </c>
      <c r="N145" s="55">
        <v>0</v>
      </c>
      <c r="O145" s="55">
        <v>1</v>
      </c>
      <c r="P145" s="55">
        <v>1</v>
      </c>
      <c r="Q145" s="55">
        <v>1</v>
      </c>
      <c r="R145" s="55">
        <v>0</v>
      </c>
      <c r="T145" s="61">
        <f t="shared" si="48"/>
        <v>0.36846525299181188</v>
      </c>
      <c r="U145" s="61">
        <f t="shared" si="49"/>
        <v>8.2511022464833092E-2</v>
      </c>
      <c r="V145" s="61">
        <f t="shared" si="50"/>
        <v>4.7868990132269577E-2</v>
      </c>
      <c r="W145" s="61">
        <f t="shared" si="51"/>
        <v>0.11305899643082092</v>
      </c>
      <c r="X145" s="61">
        <f t="shared" si="52"/>
        <v>0.19892924627335712</v>
      </c>
      <c r="Y145" s="61">
        <f t="shared" si="53"/>
        <v>0.16575687591853874</v>
      </c>
      <c r="Z145" s="61">
        <f t="shared" si="54"/>
        <v>2.3409615788368674E-2</v>
      </c>
    </row>
    <row r="146" spans="1:26">
      <c r="A146" s="56" t="s">
        <v>1647</v>
      </c>
      <c r="B146" s="54">
        <f t="shared" si="46"/>
        <v>14066</v>
      </c>
      <c r="C146" s="55">
        <v>4587</v>
      </c>
      <c r="D146" s="55">
        <v>2513</v>
      </c>
      <c r="E146" s="55">
        <v>207</v>
      </c>
      <c r="F146" s="55">
        <v>0</v>
      </c>
      <c r="G146" s="55">
        <v>5133</v>
      </c>
      <c r="H146" s="55">
        <v>1311</v>
      </c>
      <c r="I146" s="55">
        <v>315</v>
      </c>
      <c r="K146" s="54">
        <f t="shared" si="47"/>
        <v>7</v>
      </c>
      <c r="L146" s="55">
        <v>3</v>
      </c>
      <c r="M146" s="55">
        <v>1</v>
      </c>
      <c r="N146" s="55">
        <v>0</v>
      </c>
      <c r="O146" s="55">
        <v>0</v>
      </c>
      <c r="P146" s="55">
        <v>3</v>
      </c>
      <c r="Q146" s="55">
        <v>0</v>
      </c>
      <c r="R146" s="55">
        <v>0</v>
      </c>
      <c r="T146" s="61">
        <f t="shared" si="48"/>
        <v>0.3261055026304564</v>
      </c>
      <c r="U146" s="61">
        <f t="shared" si="49"/>
        <v>0.17865775629176739</v>
      </c>
      <c r="V146" s="61">
        <f t="shared" si="50"/>
        <v>1.4716337267169061E-2</v>
      </c>
      <c r="W146" s="61">
        <f t="shared" si="51"/>
        <v>0</v>
      </c>
      <c r="X146" s="61">
        <f t="shared" si="52"/>
        <v>0.3649225081757429</v>
      </c>
      <c r="Y146" s="61">
        <f t="shared" si="53"/>
        <v>9.3203469358737384E-2</v>
      </c>
      <c r="Z146" s="61">
        <f t="shared" si="54"/>
        <v>2.2394426276126832E-2</v>
      </c>
    </row>
    <row r="147" spans="1:26">
      <c r="A147" s="56" t="s">
        <v>1648</v>
      </c>
      <c r="B147" s="54">
        <f t="shared" si="46"/>
        <v>9957</v>
      </c>
      <c r="C147" s="55">
        <v>1949</v>
      </c>
      <c r="D147" s="55">
        <v>1500</v>
      </c>
      <c r="E147" s="55">
        <v>2892</v>
      </c>
      <c r="F147" s="55">
        <v>1465</v>
      </c>
      <c r="G147" s="55">
        <v>1762</v>
      </c>
      <c r="H147" s="55">
        <v>107</v>
      </c>
      <c r="I147" s="55">
        <v>282</v>
      </c>
      <c r="K147" s="54">
        <f t="shared" si="47"/>
        <v>6</v>
      </c>
      <c r="L147" s="55">
        <v>1</v>
      </c>
      <c r="M147" s="55">
        <v>1</v>
      </c>
      <c r="N147" s="55">
        <v>2</v>
      </c>
      <c r="O147" s="55">
        <v>1</v>
      </c>
      <c r="P147" s="55">
        <v>1</v>
      </c>
      <c r="Q147" s="55">
        <v>0</v>
      </c>
      <c r="R147" s="55">
        <v>0</v>
      </c>
      <c r="T147" s="61">
        <f t="shared" si="48"/>
        <v>0.19574168926383448</v>
      </c>
      <c r="U147" s="61">
        <f t="shared" si="49"/>
        <v>0.15064778547755348</v>
      </c>
      <c r="V147" s="61">
        <f t="shared" si="50"/>
        <v>0.29044893040072312</v>
      </c>
      <c r="W147" s="61">
        <f t="shared" si="51"/>
        <v>0.14713267048307724</v>
      </c>
      <c r="X147" s="61">
        <f t="shared" si="52"/>
        <v>0.17696093200763283</v>
      </c>
      <c r="Y147" s="61">
        <f t="shared" si="53"/>
        <v>1.0746208697398814E-2</v>
      </c>
      <c r="Z147" s="61">
        <f t="shared" si="54"/>
        <v>2.8321783669780054E-2</v>
      </c>
    </row>
    <row r="148" spans="1:26">
      <c r="A148" s="56" t="s">
        <v>1649</v>
      </c>
      <c r="B148" s="54">
        <f t="shared" si="46"/>
        <v>10024</v>
      </c>
      <c r="C148" s="55">
        <v>3064</v>
      </c>
      <c r="D148" s="55">
        <v>1181</v>
      </c>
      <c r="E148" s="55">
        <v>2250</v>
      </c>
      <c r="F148" s="55">
        <v>2670</v>
      </c>
      <c r="G148" s="55">
        <v>689</v>
      </c>
      <c r="H148" s="55">
        <v>170</v>
      </c>
      <c r="I148" s="55">
        <v>0</v>
      </c>
      <c r="K148" s="54">
        <f t="shared" si="47"/>
        <v>6</v>
      </c>
      <c r="L148" s="55">
        <v>2</v>
      </c>
      <c r="M148" s="55">
        <v>1</v>
      </c>
      <c r="N148" s="55">
        <v>1</v>
      </c>
      <c r="O148" s="55">
        <v>2</v>
      </c>
      <c r="P148" s="55">
        <v>0</v>
      </c>
      <c r="Q148" s="55">
        <v>0</v>
      </c>
      <c r="R148" s="55">
        <v>0</v>
      </c>
      <c r="T148" s="61">
        <f t="shared" si="48"/>
        <v>0.30566640063846767</v>
      </c>
      <c r="U148" s="61">
        <f t="shared" si="49"/>
        <v>0.1178172386272945</v>
      </c>
      <c r="V148" s="61">
        <f t="shared" si="50"/>
        <v>0.22446129289704708</v>
      </c>
      <c r="W148" s="61">
        <f t="shared" si="51"/>
        <v>0.26636073423782919</v>
      </c>
      <c r="X148" s="61">
        <f t="shared" si="52"/>
        <v>6.8735035913806863E-2</v>
      </c>
      <c r="Y148" s="61">
        <f t="shared" si="53"/>
        <v>1.695929768555467E-2</v>
      </c>
      <c r="Z148" s="61">
        <f t="shared" si="54"/>
        <v>0</v>
      </c>
    </row>
    <row r="149" spans="1:26">
      <c r="A149" s="56" t="s">
        <v>1650</v>
      </c>
      <c r="B149" s="54">
        <f t="shared" si="46"/>
        <v>10854</v>
      </c>
      <c r="C149" s="55">
        <v>2687</v>
      </c>
      <c r="D149" s="55">
        <v>540</v>
      </c>
      <c r="E149" s="55">
        <v>1184</v>
      </c>
      <c r="F149" s="55">
        <v>5615</v>
      </c>
      <c r="G149" s="55">
        <v>303</v>
      </c>
      <c r="H149" s="55">
        <v>525</v>
      </c>
      <c r="I149" s="55">
        <v>0</v>
      </c>
      <c r="K149" s="54">
        <f t="shared" si="47"/>
        <v>6</v>
      </c>
      <c r="L149" s="55">
        <v>2</v>
      </c>
      <c r="M149" s="55">
        <v>0</v>
      </c>
      <c r="N149" s="55">
        <v>1</v>
      </c>
      <c r="O149" s="55">
        <v>3</v>
      </c>
      <c r="P149" s="55">
        <v>0</v>
      </c>
      <c r="Q149" s="55">
        <v>0</v>
      </c>
      <c r="R149" s="55">
        <v>0</v>
      </c>
      <c r="T149" s="61">
        <f t="shared" si="48"/>
        <v>0.24755850377740926</v>
      </c>
      <c r="U149" s="61">
        <f t="shared" si="49"/>
        <v>4.975124378109453E-2</v>
      </c>
      <c r="V149" s="61">
        <f t="shared" si="50"/>
        <v>0.10908420858669615</v>
      </c>
      <c r="W149" s="61">
        <f t="shared" si="51"/>
        <v>0.51732080339045516</v>
      </c>
      <c r="X149" s="61">
        <f t="shared" si="52"/>
        <v>2.7915975677169708E-2</v>
      </c>
      <c r="Y149" s="61">
        <f t="shared" si="53"/>
        <v>4.8369264787175237E-2</v>
      </c>
      <c r="Z149" s="61">
        <f t="shared" si="54"/>
        <v>0</v>
      </c>
    </row>
    <row r="150" spans="1:26">
      <c r="A150" s="56" t="s">
        <v>1651</v>
      </c>
      <c r="B150" s="54">
        <f t="shared" si="46"/>
        <v>8010</v>
      </c>
      <c r="C150" s="55">
        <v>1126</v>
      </c>
      <c r="D150" s="55">
        <v>921</v>
      </c>
      <c r="E150" s="55">
        <v>2194</v>
      </c>
      <c r="F150" s="55">
        <v>1383</v>
      </c>
      <c r="G150" s="55">
        <v>1518</v>
      </c>
      <c r="H150" s="55">
        <v>368</v>
      </c>
      <c r="I150" s="55">
        <v>500</v>
      </c>
      <c r="K150" s="54">
        <f t="shared" si="47"/>
        <v>5</v>
      </c>
      <c r="L150" s="55">
        <v>1</v>
      </c>
      <c r="M150" s="55">
        <v>0</v>
      </c>
      <c r="N150" s="55">
        <v>2</v>
      </c>
      <c r="O150" s="55">
        <v>1</v>
      </c>
      <c r="P150" s="55">
        <v>1</v>
      </c>
      <c r="Q150" s="55">
        <v>0</v>
      </c>
      <c r="R150" s="55">
        <v>0</v>
      </c>
      <c r="T150" s="61">
        <f t="shared" si="48"/>
        <v>0.14057428214731585</v>
      </c>
      <c r="U150" s="61">
        <f t="shared" si="49"/>
        <v>0.1149812734082397</v>
      </c>
      <c r="V150" s="61">
        <f t="shared" si="50"/>
        <v>0.27390761548064918</v>
      </c>
      <c r="W150" s="61">
        <f t="shared" si="51"/>
        <v>0.17265917602996256</v>
      </c>
      <c r="X150" s="61">
        <f t="shared" si="52"/>
        <v>0.18951310861423221</v>
      </c>
      <c r="Y150" s="61">
        <f t="shared" si="53"/>
        <v>4.5942571785268414E-2</v>
      </c>
      <c r="Z150" s="61">
        <f t="shared" si="54"/>
        <v>6.2421972534332085E-2</v>
      </c>
    </row>
    <row r="151" spans="1:26">
      <c r="A151" s="56" t="s">
        <v>1652</v>
      </c>
      <c r="B151" s="54">
        <f t="shared" si="46"/>
        <v>12498</v>
      </c>
      <c r="C151" s="55">
        <v>179</v>
      </c>
      <c r="D151" s="55">
        <v>0</v>
      </c>
      <c r="E151" s="55">
        <v>2265</v>
      </c>
      <c r="F151" s="55">
        <v>8477</v>
      </c>
      <c r="G151" s="55">
        <v>162</v>
      </c>
      <c r="H151" s="55">
        <v>1415</v>
      </c>
      <c r="I151" s="55">
        <v>0</v>
      </c>
      <c r="J151" s="55"/>
      <c r="K151" s="54">
        <f t="shared" si="47"/>
        <v>5</v>
      </c>
      <c r="L151" s="55">
        <v>0</v>
      </c>
      <c r="M151" s="55">
        <v>0</v>
      </c>
      <c r="N151" s="55">
        <v>1</v>
      </c>
      <c r="O151" s="55">
        <v>4</v>
      </c>
      <c r="P151" s="55">
        <v>0</v>
      </c>
      <c r="Q151" s="55">
        <v>0</v>
      </c>
      <c r="R151" s="55">
        <v>0</v>
      </c>
      <c r="T151" s="61">
        <f t="shared" si="48"/>
        <v>1.4322291566650665E-2</v>
      </c>
      <c r="U151" s="61">
        <f t="shared" si="49"/>
        <v>0</v>
      </c>
      <c r="V151" s="61">
        <f t="shared" si="50"/>
        <v>0.18122899663946232</v>
      </c>
      <c r="W151" s="61">
        <f t="shared" si="51"/>
        <v>0.67826852296367424</v>
      </c>
      <c r="X151" s="61">
        <f t="shared" si="52"/>
        <v>1.2962073931829092E-2</v>
      </c>
      <c r="Y151" s="61">
        <f t="shared" si="53"/>
        <v>0.11321811489838374</v>
      </c>
      <c r="Z151" s="61">
        <f t="shared" si="54"/>
        <v>0</v>
      </c>
    </row>
    <row r="152" spans="1:26">
      <c r="A152" s="56" t="s">
        <v>1653</v>
      </c>
      <c r="B152" s="54">
        <f t="shared" si="46"/>
        <v>9765</v>
      </c>
      <c r="C152" s="55">
        <v>0</v>
      </c>
      <c r="D152" s="55">
        <v>0</v>
      </c>
      <c r="E152" s="55">
        <v>1000</v>
      </c>
      <c r="F152" s="55">
        <v>7363</v>
      </c>
      <c r="G152" s="55">
        <v>0</v>
      </c>
      <c r="H152" s="55">
        <v>1402</v>
      </c>
      <c r="I152" s="55">
        <v>0</v>
      </c>
      <c r="K152" s="54">
        <f t="shared" si="47"/>
        <v>5</v>
      </c>
      <c r="L152" s="55">
        <v>0</v>
      </c>
      <c r="M152" s="55">
        <v>0</v>
      </c>
      <c r="N152" s="55">
        <v>1</v>
      </c>
      <c r="O152" s="55">
        <v>4</v>
      </c>
      <c r="P152" s="55">
        <v>0</v>
      </c>
      <c r="Q152" s="55">
        <v>0</v>
      </c>
      <c r="R152" s="55">
        <v>0</v>
      </c>
      <c r="T152" s="61">
        <f t="shared" si="48"/>
        <v>0</v>
      </c>
      <c r="U152" s="61">
        <f t="shared" si="49"/>
        <v>0</v>
      </c>
      <c r="V152" s="61">
        <f t="shared" si="50"/>
        <v>0.10240655401945725</v>
      </c>
      <c r="W152" s="61">
        <f t="shared" si="51"/>
        <v>0.75401945724526365</v>
      </c>
      <c r="X152" s="61">
        <f t="shared" si="52"/>
        <v>0</v>
      </c>
      <c r="Y152" s="61">
        <f t="shared" si="53"/>
        <v>0.14357398873527905</v>
      </c>
      <c r="Z152" s="61">
        <f t="shared" si="54"/>
        <v>0</v>
      </c>
    </row>
    <row r="153" spans="1:26" s="52" customFormat="1">
      <c r="A153" s="53" t="s">
        <v>1654</v>
      </c>
      <c r="B153" s="54">
        <f>SUM(B144:B152)</f>
        <v>91300</v>
      </c>
      <c r="C153" s="54">
        <f t="shared" ref="C153:R153" si="55">SUM(C144:C152)</f>
        <v>21353</v>
      </c>
      <c r="D153" s="54">
        <f t="shared" si="55"/>
        <v>7836</v>
      </c>
      <c r="E153" s="54">
        <f>SUM(E144:E152)</f>
        <v>12547</v>
      </c>
      <c r="F153" s="54">
        <f t="shared" si="55"/>
        <v>28234</v>
      </c>
      <c r="G153" s="54">
        <f t="shared" si="55"/>
        <v>11540</v>
      </c>
      <c r="H153" s="54">
        <f>SUM(H144:H152)</f>
        <v>8470</v>
      </c>
      <c r="I153" s="54">
        <f t="shared" si="55"/>
        <v>1320</v>
      </c>
      <c r="J153" s="54"/>
      <c r="K153" s="54">
        <f t="shared" si="55"/>
        <v>51</v>
      </c>
      <c r="L153" s="54">
        <f t="shared" si="55"/>
        <v>15</v>
      </c>
      <c r="M153" s="54">
        <f t="shared" si="55"/>
        <v>3</v>
      </c>
      <c r="N153" s="54">
        <f>SUM(N144:N152)</f>
        <v>8</v>
      </c>
      <c r="O153" s="54">
        <f t="shared" si="55"/>
        <v>16</v>
      </c>
      <c r="P153" s="54">
        <f t="shared" si="55"/>
        <v>6</v>
      </c>
      <c r="Q153" s="54">
        <f>SUM(Q144:Q152)</f>
        <v>3</v>
      </c>
      <c r="R153" s="54">
        <f t="shared" si="55"/>
        <v>0</v>
      </c>
      <c r="T153" s="60">
        <f t="shared" si="48"/>
        <v>0.23387732749178533</v>
      </c>
      <c r="U153" s="60">
        <f t="shared" si="49"/>
        <v>8.5826944140197148E-2</v>
      </c>
      <c r="V153" s="60">
        <f t="shared" si="50"/>
        <v>0.13742606790799561</v>
      </c>
      <c r="W153" s="60">
        <f t="shared" si="51"/>
        <v>0.30924424972617742</v>
      </c>
      <c r="X153" s="60">
        <f t="shared" si="52"/>
        <v>0.12639649507119385</v>
      </c>
      <c r="Y153" s="60">
        <f t="shared" si="53"/>
        <v>9.2771084337349402E-2</v>
      </c>
      <c r="Z153" s="60">
        <f t="shared" si="54"/>
        <v>1.4457831325301205E-2</v>
      </c>
    </row>
    <row r="154" spans="1:26">
      <c r="A154" s="53"/>
      <c r="B154" s="54"/>
      <c r="C154" s="55"/>
      <c r="D154" s="55"/>
      <c r="E154" s="55"/>
      <c r="F154" s="55"/>
      <c r="G154" s="55"/>
      <c r="H154" s="55"/>
      <c r="I154" s="55"/>
      <c r="K154" s="54"/>
      <c r="L154" s="55"/>
      <c r="M154" s="55"/>
      <c r="N154" s="55"/>
      <c r="O154" s="55"/>
      <c r="P154" s="55"/>
      <c r="Q154" s="55"/>
      <c r="R154" s="55"/>
    </row>
    <row r="155" spans="1:26" s="52" customFormat="1">
      <c r="A155" s="53" t="s">
        <v>1255</v>
      </c>
      <c r="B155" s="54">
        <f>SUM(B153+B142+B136+B131+B126+B121+B116+B110+B105+B99+B93+B87+B80+B74+B69+B63+B56+B50+B44+B39+B32+B27+B22+B16+B11+B6)</f>
        <v>660938</v>
      </c>
      <c r="C155" s="54">
        <f t="shared" ref="C155:R155" si="56">SUM(C153+C142+C136+C131+C126+C121+C116+C110+C105+C99+C93+C87+C80+C74+C69+C63+C56+C50+C44+C39+C32+C27+C22+C16+C11+C6)</f>
        <v>179436</v>
      </c>
      <c r="D155" s="54">
        <f t="shared" si="56"/>
        <v>100639</v>
      </c>
      <c r="E155" s="54">
        <f>SUM(E153+E142+E136+E131+E126+E121+E116+E110+E105+E99+E93+E87+E80+E74+E69+E63+E56+E50+E44+E39+E32+E27+E22+E16+E11+E6)</f>
        <v>99325</v>
      </c>
      <c r="F155" s="54">
        <f t="shared" si="56"/>
        <v>164023</v>
      </c>
      <c r="G155" s="54">
        <f t="shared" si="56"/>
        <v>48859</v>
      </c>
      <c r="H155" s="54">
        <f>SUM(H153+H142+H136+H131+H126+H121+H116+H110+H105+H99+H93+H87+H80+H74+H69+H63+H56+H50+H44+H39+H32+H27+H22+H16+H11+H6)</f>
        <v>62512</v>
      </c>
      <c r="I155" s="54">
        <f t="shared" si="56"/>
        <v>6144</v>
      </c>
      <c r="J155" s="54"/>
      <c r="K155" s="54">
        <f t="shared" si="56"/>
        <v>582</v>
      </c>
      <c r="L155" s="54">
        <f t="shared" si="56"/>
        <v>175</v>
      </c>
      <c r="M155" s="54">
        <f t="shared" si="56"/>
        <v>99</v>
      </c>
      <c r="N155" s="54">
        <f>SUM(N153+N142+N136+N131+N126+N121+N116+N110+N105+N99+N93+N87+N80+N74+N69+N63+N56+N50+N44+N39+N32+N27+N22+N16+N11+N6)</f>
        <v>87</v>
      </c>
      <c r="O155" s="54">
        <f t="shared" si="56"/>
        <v>138</v>
      </c>
      <c r="P155" s="54">
        <f t="shared" si="56"/>
        <v>44</v>
      </c>
      <c r="Q155" s="54">
        <f>SUM(Q153+Q142+Q136+Q131+Q126+Q121+Q116+Q110+Q105+Q99+Q93+Q87+Q80+Q74+Q69+Q63+Q56+Q50+Q44+Q39+Q32+Q27+Q22+Q16+Q11+Q6)</f>
        <v>36</v>
      </c>
      <c r="R155" s="54">
        <f t="shared" si="56"/>
        <v>3</v>
      </c>
      <c r="T155" s="60">
        <f>SUM(C155/B155)</f>
        <v>0.27148688681843075</v>
      </c>
      <c r="U155" s="60">
        <f>SUM(D155/B155)</f>
        <v>0.15226692972714537</v>
      </c>
      <c r="V155" s="60">
        <f>SUM(E155/B155)</f>
        <v>0.15027884612474998</v>
      </c>
      <c r="W155" s="60">
        <f>SUM(F155/B155)</f>
        <v>0.24816699902260123</v>
      </c>
      <c r="X155" s="60">
        <f>SUM(G155/B155)</f>
        <v>7.3923726582523622E-2</v>
      </c>
      <c r="Y155" s="60">
        <f>SUM(H155/B155)</f>
        <v>9.4580732232070183E-2</v>
      </c>
      <c r="Z155" s="60">
        <f>SUM(I155/B155)</f>
        <v>9.2958794924788701E-3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 codeName="Sheet4"/>
  <dimension ref="A1:Z155"/>
  <sheetViews>
    <sheetView workbookViewId="0">
      <pane ySplit="1" topLeftCell="A130" activePane="bottomLeft" state="frozen"/>
      <selection pane="bottomLeft" activeCell="J143" sqref="J143"/>
    </sheetView>
  </sheetViews>
  <sheetFormatPr defaultRowHeight="15"/>
  <cols>
    <col min="1" max="1" width="23.85546875" style="47" customWidth="1"/>
    <col min="2" max="2" width="8.7109375" style="47" customWidth="1"/>
    <col min="3" max="6" width="8.7109375" customWidth="1"/>
    <col min="7" max="8" width="7.7109375" customWidth="1"/>
    <col min="9" max="9" width="7.28515625" customWidth="1"/>
    <col min="10" max="10" width="1.28515625" customWidth="1"/>
    <col min="11" max="11" width="6.7109375" style="47" customWidth="1"/>
    <col min="12" max="18" width="5.7109375" customWidth="1"/>
    <col min="19" max="19" width="1.28515625" customWidth="1"/>
    <col min="20" max="26" width="7.7109375" style="61" customWidth="1"/>
  </cols>
  <sheetData>
    <row r="1" spans="1:26">
      <c r="A1" s="47" t="s">
        <v>1528</v>
      </c>
      <c r="B1" s="47" t="s">
        <v>1248</v>
      </c>
      <c r="C1" s="50" t="s">
        <v>1258</v>
      </c>
      <c r="D1" s="49" t="s">
        <v>1257</v>
      </c>
      <c r="E1" s="48" t="s">
        <v>1261</v>
      </c>
      <c r="F1" s="65" t="s">
        <v>1247</v>
      </c>
      <c r="G1" s="66" t="s">
        <v>1529</v>
      </c>
      <c r="H1" s="52" t="s">
        <v>1254</v>
      </c>
      <c r="I1" s="51" t="s">
        <v>1320</v>
      </c>
      <c r="J1" s="47"/>
      <c r="K1" s="47" t="s">
        <v>1250</v>
      </c>
      <c r="L1" s="50" t="s">
        <v>1258</v>
      </c>
      <c r="M1" s="49" t="s">
        <v>1257</v>
      </c>
      <c r="N1" s="48" t="s">
        <v>1261</v>
      </c>
      <c r="O1" s="65" t="s">
        <v>1247</v>
      </c>
      <c r="P1" s="66" t="s">
        <v>1269</v>
      </c>
      <c r="Q1" s="52" t="s">
        <v>1254</v>
      </c>
      <c r="R1" s="51" t="s">
        <v>1320</v>
      </c>
      <c r="T1" s="57" t="s">
        <v>1258</v>
      </c>
      <c r="U1" s="58" t="s">
        <v>1257</v>
      </c>
      <c r="V1" s="48" t="s">
        <v>1261</v>
      </c>
      <c r="W1" s="65" t="s">
        <v>1247</v>
      </c>
      <c r="X1" s="66" t="s">
        <v>1529</v>
      </c>
      <c r="Y1" s="60" t="s">
        <v>1254</v>
      </c>
      <c r="Z1" s="59" t="s">
        <v>1320</v>
      </c>
    </row>
    <row r="2" spans="1:26">
      <c r="A2" s="56" t="s">
        <v>1534</v>
      </c>
      <c r="B2" s="54">
        <f>SUM(C2:I2)</f>
        <v>8793</v>
      </c>
      <c r="C2" s="55">
        <v>1277</v>
      </c>
      <c r="D2" s="55">
        <v>1741</v>
      </c>
      <c r="E2" s="55">
        <v>1157</v>
      </c>
      <c r="F2" s="55">
        <v>4618</v>
      </c>
      <c r="G2" s="55">
        <v>0</v>
      </c>
      <c r="H2" s="55">
        <v>0</v>
      </c>
      <c r="I2" s="55">
        <v>0</v>
      </c>
      <c r="K2" s="54">
        <f>SUM(L2:R2)</f>
        <v>6</v>
      </c>
      <c r="L2" s="55">
        <v>1</v>
      </c>
      <c r="M2" s="55">
        <v>1</v>
      </c>
      <c r="N2" s="55">
        <v>1</v>
      </c>
      <c r="O2" s="55">
        <v>3</v>
      </c>
      <c r="P2" s="55">
        <v>0</v>
      </c>
      <c r="Q2" s="55">
        <v>0</v>
      </c>
      <c r="R2" s="55">
        <v>0</v>
      </c>
      <c r="T2" s="61">
        <f>SUM(C2/B2)</f>
        <v>0.14522915955873991</v>
      </c>
      <c r="U2" s="61">
        <f>SUM(D2/B2)</f>
        <v>0.19799840782440578</v>
      </c>
      <c r="V2" s="61">
        <f>SUM(E2/B2)</f>
        <v>0.13158194017968838</v>
      </c>
      <c r="W2" s="61">
        <f>SUM(F2/B2)</f>
        <v>0.52519049243716598</v>
      </c>
      <c r="X2" s="61">
        <f>SUM(G2/B2)</f>
        <v>0</v>
      </c>
      <c r="Y2" s="61">
        <f>SUM(H2/B2)</f>
        <v>0</v>
      </c>
      <c r="Z2" s="61">
        <f>SUM(I2/B2)</f>
        <v>0</v>
      </c>
    </row>
    <row r="3" spans="1:26">
      <c r="A3" s="56" t="s">
        <v>1535</v>
      </c>
      <c r="B3" s="54">
        <f>SUM(C3:I3)</f>
        <v>6288</v>
      </c>
      <c r="C3" s="55">
        <v>1756</v>
      </c>
      <c r="D3" s="55">
        <v>2100</v>
      </c>
      <c r="E3" s="55">
        <v>1266</v>
      </c>
      <c r="F3" s="55">
        <v>1166</v>
      </c>
      <c r="G3" s="55">
        <v>0</v>
      </c>
      <c r="H3" s="55">
        <v>0</v>
      </c>
      <c r="I3" s="55">
        <v>0</v>
      </c>
      <c r="K3" s="54">
        <f>SUM(L3:R3)</f>
        <v>5</v>
      </c>
      <c r="L3" s="55">
        <v>1</v>
      </c>
      <c r="M3" s="55">
        <v>2</v>
      </c>
      <c r="N3" s="55">
        <v>1</v>
      </c>
      <c r="O3" s="55">
        <v>1</v>
      </c>
      <c r="P3" s="55">
        <v>0</v>
      </c>
      <c r="Q3" s="55">
        <v>0</v>
      </c>
      <c r="R3" s="55">
        <v>0</v>
      </c>
      <c r="T3" s="61">
        <f>SUM(C3/B3)</f>
        <v>0.27926208651399492</v>
      </c>
      <c r="U3" s="61">
        <f>SUM(D3/B3)</f>
        <v>0.33396946564885494</v>
      </c>
      <c r="V3" s="61">
        <f>SUM(E3/B3)</f>
        <v>0.20133587786259541</v>
      </c>
      <c r="W3" s="61">
        <f>SUM(F3/B3)</f>
        <v>0.18543256997455471</v>
      </c>
      <c r="X3" s="61">
        <f>SUM(G3/B3)</f>
        <v>0</v>
      </c>
      <c r="Y3" s="61">
        <f>SUM(H3/B3)</f>
        <v>0</v>
      </c>
      <c r="Z3" s="61">
        <f>SUM(I3/B3)</f>
        <v>0</v>
      </c>
    </row>
    <row r="4" spans="1:26">
      <c r="A4" s="56" t="s">
        <v>1536</v>
      </c>
      <c r="B4" s="54">
        <f>SUM(C4:I4)</f>
        <v>7210</v>
      </c>
      <c r="C4" s="55">
        <v>912</v>
      </c>
      <c r="D4" s="55">
        <v>1204</v>
      </c>
      <c r="E4" s="55">
        <v>1559</v>
      </c>
      <c r="F4" s="55">
        <v>3341</v>
      </c>
      <c r="G4" s="55">
        <v>0</v>
      </c>
      <c r="H4" s="55">
        <v>115</v>
      </c>
      <c r="I4" s="55">
        <v>79</v>
      </c>
      <c r="K4" s="54">
        <f>SUM(L4:R4)</f>
        <v>5</v>
      </c>
      <c r="L4" s="55">
        <v>0</v>
      </c>
      <c r="M4" s="55">
        <v>1</v>
      </c>
      <c r="N4" s="55">
        <v>1</v>
      </c>
      <c r="O4" s="55">
        <v>3</v>
      </c>
      <c r="P4" s="55">
        <v>0</v>
      </c>
      <c r="Q4" s="55">
        <v>0</v>
      </c>
      <c r="R4" s="55">
        <v>0</v>
      </c>
      <c r="T4" s="61">
        <f>SUM(C4/B4)</f>
        <v>0.12649098474341192</v>
      </c>
      <c r="U4" s="61">
        <f>SUM(D4/B4)</f>
        <v>0.16699029126213591</v>
      </c>
      <c r="V4" s="61">
        <f>SUM(E4/B4)</f>
        <v>0.21622746185852981</v>
      </c>
      <c r="W4" s="61">
        <f>SUM(F4/B4)</f>
        <v>0.46338418862690706</v>
      </c>
      <c r="X4" s="61">
        <f>SUM(G4/B4)</f>
        <v>0</v>
      </c>
      <c r="Y4" s="61">
        <f>SUM(H4/B4)</f>
        <v>1.59500693481276E-2</v>
      </c>
      <c r="Z4" s="61">
        <f>SUM(I4/B4)</f>
        <v>1.0957004160887657E-2</v>
      </c>
    </row>
    <row r="5" spans="1:26">
      <c r="A5" s="56" t="s">
        <v>1537</v>
      </c>
      <c r="B5" s="54">
        <f>SUM(C5:I5)</f>
        <v>8715</v>
      </c>
      <c r="C5" s="55">
        <v>2454</v>
      </c>
      <c r="D5" s="55">
        <v>1785</v>
      </c>
      <c r="E5" s="55">
        <v>1584</v>
      </c>
      <c r="F5" s="55">
        <v>2486</v>
      </c>
      <c r="G5" s="55">
        <v>0</v>
      </c>
      <c r="H5" s="55">
        <v>406</v>
      </c>
      <c r="I5" s="55">
        <v>0</v>
      </c>
      <c r="J5" s="55"/>
      <c r="K5" s="54">
        <f>SUM(L5:R5)</f>
        <v>7</v>
      </c>
      <c r="L5" s="55">
        <v>2</v>
      </c>
      <c r="M5" s="55">
        <v>1</v>
      </c>
      <c r="N5" s="55">
        <v>2</v>
      </c>
      <c r="O5" s="55">
        <v>2</v>
      </c>
      <c r="P5" s="55">
        <v>0</v>
      </c>
      <c r="Q5" s="55">
        <v>0</v>
      </c>
      <c r="R5" s="55">
        <v>0</v>
      </c>
      <c r="T5" s="61">
        <f>SUM(C5/B5)</f>
        <v>0.28158347676419965</v>
      </c>
      <c r="U5" s="61">
        <f>SUM(D5/B5)</f>
        <v>0.20481927710843373</v>
      </c>
      <c r="V5" s="61">
        <f>SUM(E5/B5)</f>
        <v>0.18175559380378659</v>
      </c>
      <c r="W5" s="61">
        <f>SUM(F5/B5)</f>
        <v>0.28525530694205392</v>
      </c>
      <c r="X5" s="61">
        <f>SUM(G5/B5)</f>
        <v>0</v>
      </c>
      <c r="Y5" s="61">
        <f>SUM(H5/B5)</f>
        <v>4.6586345381526104E-2</v>
      </c>
      <c r="Z5" s="61">
        <f>SUM(I5/B5)</f>
        <v>0</v>
      </c>
    </row>
    <row r="6" spans="1:26" s="52" customFormat="1">
      <c r="A6" s="53" t="s">
        <v>1532</v>
      </c>
      <c r="B6" s="54">
        <f>SUM(B2:B5)</f>
        <v>31006</v>
      </c>
      <c r="C6" s="54">
        <f t="shared" ref="C6:R6" si="0">SUM(C2:C5)</f>
        <v>6399</v>
      </c>
      <c r="D6" s="54">
        <f t="shared" si="0"/>
        <v>6830</v>
      </c>
      <c r="E6" s="54">
        <f>SUM(E2:E5)</f>
        <v>5566</v>
      </c>
      <c r="F6" s="54">
        <f t="shared" si="0"/>
        <v>11611</v>
      </c>
      <c r="G6" s="54">
        <f t="shared" si="0"/>
        <v>0</v>
      </c>
      <c r="H6" s="54">
        <f>SUM(H2:H5)</f>
        <v>521</v>
      </c>
      <c r="I6" s="54">
        <f t="shared" si="0"/>
        <v>79</v>
      </c>
      <c r="J6" s="54"/>
      <c r="K6" s="54">
        <f t="shared" si="0"/>
        <v>23</v>
      </c>
      <c r="L6" s="54">
        <f t="shared" si="0"/>
        <v>4</v>
      </c>
      <c r="M6" s="54">
        <f t="shared" si="0"/>
        <v>5</v>
      </c>
      <c r="N6" s="54">
        <f>SUM(N2:N5)</f>
        <v>5</v>
      </c>
      <c r="O6" s="54">
        <f t="shared" si="0"/>
        <v>9</v>
      </c>
      <c r="P6" s="54">
        <f t="shared" si="0"/>
        <v>0</v>
      </c>
      <c r="Q6" s="54">
        <f>SUM(Q2:Q5)</f>
        <v>0</v>
      </c>
      <c r="R6" s="54">
        <f t="shared" si="0"/>
        <v>0</v>
      </c>
      <c r="T6" s="60">
        <f>SUM(C6/B6)</f>
        <v>0.20637941043668967</v>
      </c>
      <c r="U6" s="60">
        <f>SUM(D6/B6)</f>
        <v>0.22027994581693866</v>
      </c>
      <c r="V6" s="60">
        <f>SUM(E6/B6)</f>
        <v>0.17951364252080243</v>
      </c>
      <c r="W6" s="60">
        <f>SUM(F6/B6)</f>
        <v>0.3744759078887957</v>
      </c>
      <c r="X6" s="60">
        <f>SUM(G6/B6)</f>
        <v>0</v>
      </c>
      <c r="Y6" s="60">
        <f>SUM(H6/B6)</f>
        <v>1.6803199380765015E-2</v>
      </c>
      <c r="Z6" s="60">
        <f>SUM(I6/B6)</f>
        <v>2.5478939560085144E-3</v>
      </c>
    </row>
    <row r="7" spans="1:26">
      <c r="A7" s="53"/>
      <c r="B7" s="54"/>
      <c r="C7" s="55"/>
      <c r="D7" s="55"/>
      <c r="E7" s="55"/>
      <c r="F7" s="55"/>
      <c r="G7" s="55"/>
      <c r="H7" s="55"/>
      <c r="I7" s="55"/>
      <c r="K7" s="54"/>
      <c r="L7" s="55"/>
      <c r="M7" s="55"/>
      <c r="N7" s="55"/>
      <c r="O7" s="55"/>
      <c r="P7" s="55"/>
      <c r="Q7" s="55"/>
      <c r="R7" s="55"/>
    </row>
    <row r="8" spans="1:26">
      <c r="A8" s="56" t="s">
        <v>1538</v>
      </c>
      <c r="B8" s="54">
        <f>SUM(C8:I8)</f>
        <v>8619</v>
      </c>
      <c r="C8" s="55">
        <v>1810</v>
      </c>
      <c r="D8" s="55">
        <v>1253</v>
      </c>
      <c r="E8" s="55">
        <v>1594</v>
      </c>
      <c r="F8" s="55">
        <v>3962</v>
      </c>
      <c r="G8" s="55">
        <v>0</v>
      </c>
      <c r="H8" s="55">
        <v>0</v>
      </c>
      <c r="I8" s="55">
        <v>0</v>
      </c>
      <c r="K8" s="54">
        <f>SUM(L8:R8)</f>
        <v>7</v>
      </c>
      <c r="L8" s="55">
        <v>1</v>
      </c>
      <c r="M8" s="55">
        <v>1</v>
      </c>
      <c r="N8" s="55">
        <v>1</v>
      </c>
      <c r="O8" s="55">
        <v>4</v>
      </c>
      <c r="P8" s="55">
        <v>0</v>
      </c>
      <c r="Q8" s="55">
        <v>0</v>
      </c>
      <c r="R8" s="55">
        <v>0</v>
      </c>
      <c r="T8" s="61">
        <f>SUM(C8/B8)</f>
        <v>0.21000116022740456</v>
      </c>
      <c r="U8" s="61">
        <f>SUM(D8/B8)</f>
        <v>0.14537649379278339</v>
      </c>
      <c r="V8" s="61">
        <f>SUM(E8/B8)</f>
        <v>0.18494024828866457</v>
      </c>
      <c r="W8" s="61">
        <f>SUM(F8/B8)</f>
        <v>0.45968209769114748</v>
      </c>
      <c r="X8" s="61">
        <f>SUM(G8/B8)</f>
        <v>0</v>
      </c>
      <c r="Y8" s="61">
        <f>SUM(H8/B8)</f>
        <v>0</v>
      </c>
      <c r="Z8" s="61">
        <f>SUM(I8/B8)</f>
        <v>0</v>
      </c>
    </row>
    <row r="9" spans="1:26">
      <c r="A9" s="56" t="s">
        <v>1539</v>
      </c>
      <c r="B9" s="54">
        <f>SUM(C9:I9)</f>
        <v>8963</v>
      </c>
      <c r="C9" s="55">
        <v>1000</v>
      </c>
      <c r="D9" s="55">
        <v>1084</v>
      </c>
      <c r="E9" s="55">
        <v>1700</v>
      </c>
      <c r="F9" s="55">
        <v>5179</v>
      </c>
      <c r="G9" s="55">
        <v>0</v>
      </c>
      <c r="H9" s="55">
        <v>0</v>
      </c>
      <c r="I9" s="55">
        <v>0</v>
      </c>
      <c r="K9" s="54">
        <f>SUM(L9:R9)</f>
        <v>7</v>
      </c>
      <c r="L9" s="55">
        <v>1</v>
      </c>
      <c r="M9" s="55">
        <v>1</v>
      </c>
      <c r="N9" s="55">
        <v>1</v>
      </c>
      <c r="O9" s="55">
        <v>4</v>
      </c>
      <c r="P9" s="55">
        <v>0</v>
      </c>
      <c r="Q9" s="55">
        <v>0</v>
      </c>
      <c r="R9" s="55">
        <v>0</v>
      </c>
      <c r="T9" s="61">
        <f>SUM(C9/B9)</f>
        <v>0.11156978690170702</v>
      </c>
      <c r="U9" s="61">
        <f>SUM(D9/B9)</f>
        <v>0.12094164900145041</v>
      </c>
      <c r="V9" s="61">
        <f>SUM(E9/B9)</f>
        <v>0.18966863773290193</v>
      </c>
      <c r="W9" s="61">
        <f>SUM(F9/B9)</f>
        <v>0.57781992636394064</v>
      </c>
      <c r="X9" s="61">
        <f>SUM(G9/B9)</f>
        <v>0</v>
      </c>
      <c r="Y9" s="61">
        <f>SUM(H9/B9)</f>
        <v>0</v>
      </c>
      <c r="Z9" s="61">
        <f>SUM(I9/B9)</f>
        <v>0</v>
      </c>
    </row>
    <row r="10" spans="1:26">
      <c r="A10" s="56" t="s">
        <v>1657</v>
      </c>
      <c r="B10" s="54">
        <f>SUM(C10:I10)</f>
        <v>6755</v>
      </c>
      <c r="C10" s="55">
        <v>1264</v>
      </c>
      <c r="D10" s="55">
        <v>831</v>
      </c>
      <c r="E10" s="55">
        <v>1413</v>
      </c>
      <c r="F10" s="55">
        <v>1721</v>
      </c>
      <c r="G10" s="55">
        <v>0</v>
      </c>
      <c r="H10" s="55">
        <v>1526</v>
      </c>
      <c r="I10" s="55">
        <v>0</v>
      </c>
      <c r="K10" s="54">
        <f>SUM(L10:R10)</f>
        <v>7</v>
      </c>
      <c r="L10" s="55">
        <v>1</v>
      </c>
      <c r="M10" s="55">
        <v>1</v>
      </c>
      <c r="N10" s="55">
        <v>1</v>
      </c>
      <c r="O10" s="55">
        <v>2</v>
      </c>
      <c r="P10" s="55">
        <v>0</v>
      </c>
      <c r="Q10" s="55">
        <v>2</v>
      </c>
      <c r="R10" s="55">
        <v>0</v>
      </c>
      <c r="T10" s="61">
        <f>SUM(C10/B10)</f>
        <v>0.18712065136935604</v>
      </c>
      <c r="U10" s="61">
        <f>SUM(D10/B10)</f>
        <v>0.123019985196151</v>
      </c>
      <c r="V10" s="61">
        <f>SUM(E10/B10)</f>
        <v>0.20917838638045891</v>
      </c>
      <c r="W10" s="61">
        <f>SUM(F10/B10)</f>
        <v>0.25477424130273874</v>
      </c>
      <c r="X10" s="61">
        <f>SUM(G10/B10)</f>
        <v>0</v>
      </c>
      <c r="Y10" s="61">
        <f>SUM(H10/B10)</f>
        <v>0.22590673575129533</v>
      </c>
      <c r="Z10" s="61">
        <f>SUM(I10/B10)</f>
        <v>0</v>
      </c>
    </row>
    <row r="11" spans="1:26" s="52" customFormat="1">
      <c r="A11" s="53" t="s">
        <v>1531</v>
      </c>
      <c r="B11" s="54">
        <f>SUM(B8:B10)</f>
        <v>24337</v>
      </c>
      <c r="C11" s="54">
        <f t="shared" ref="C11:R11" si="1">SUM(C8:C10)</f>
        <v>4074</v>
      </c>
      <c r="D11" s="54">
        <f t="shared" si="1"/>
        <v>3168</v>
      </c>
      <c r="E11" s="54">
        <f>SUM(E8:E10)</f>
        <v>4707</v>
      </c>
      <c r="F11" s="54">
        <f t="shared" si="1"/>
        <v>10862</v>
      </c>
      <c r="G11" s="54">
        <f t="shared" si="1"/>
        <v>0</v>
      </c>
      <c r="H11" s="54">
        <f>SUM(H8:H10)</f>
        <v>1526</v>
      </c>
      <c r="I11" s="54">
        <f t="shared" si="1"/>
        <v>0</v>
      </c>
      <c r="J11" s="54"/>
      <c r="K11" s="54">
        <f t="shared" si="1"/>
        <v>21</v>
      </c>
      <c r="L11" s="54">
        <f t="shared" si="1"/>
        <v>3</v>
      </c>
      <c r="M11" s="54">
        <f t="shared" si="1"/>
        <v>3</v>
      </c>
      <c r="N11" s="54">
        <f>SUM(N8:N10)</f>
        <v>3</v>
      </c>
      <c r="O11" s="54">
        <f t="shared" si="1"/>
        <v>10</v>
      </c>
      <c r="P11" s="54">
        <f t="shared" si="1"/>
        <v>0</v>
      </c>
      <c r="Q11" s="54">
        <f>SUM(Q8:Q10)</f>
        <v>2</v>
      </c>
      <c r="R11" s="54">
        <f t="shared" si="1"/>
        <v>0</v>
      </c>
      <c r="T11" s="60">
        <f>SUM(C11/B11)</f>
        <v>0.1673994329621564</v>
      </c>
      <c r="U11" s="60">
        <f>SUM(D11/B11)</f>
        <v>0.13017216583802441</v>
      </c>
      <c r="V11" s="60">
        <f>SUM(E11/B11)</f>
        <v>0.19340921231047375</v>
      </c>
      <c r="W11" s="60">
        <f>SUM(F11/B11)</f>
        <v>0.4463163085014587</v>
      </c>
      <c r="X11" s="60">
        <f>SUM(G11/B11)</f>
        <v>0</v>
      </c>
      <c r="Y11" s="60">
        <f>SUM(H11/B11)</f>
        <v>6.2702880387886753E-2</v>
      </c>
      <c r="Z11" s="60">
        <f>SUM(I11/B11)</f>
        <v>0</v>
      </c>
    </row>
    <row r="12" spans="1:26">
      <c r="A12" s="53"/>
      <c r="B12" s="54"/>
      <c r="C12" s="55"/>
      <c r="D12" s="55"/>
      <c r="E12" s="55"/>
      <c r="F12" s="55"/>
      <c r="G12" s="55"/>
      <c r="H12" s="55"/>
      <c r="I12" s="55"/>
      <c r="K12" s="54"/>
      <c r="L12" s="55"/>
      <c r="M12" s="55"/>
      <c r="N12" s="55"/>
      <c r="O12" s="55"/>
      <c r="P12" s="55"/>
      <c r="Q12" s="55"/>
      <c r="R12" s="55"/>
    </row>
    <row r="13" spans="1:26">
      <c r="A13" s="56" t="s">
        <v>1540</v>
      </c>
      <c r="B13" s="54">
        <f>SUM(C13:I13)</f>
        <v>6038</v>
      </c>
      <c r="C13" s="55">
        <v>1713</v>
      </c>
      <c r="D13" s="55">
        <v>1106</v>
      </c>
      <c r="E13" s="55">
        <v>526</v>
      </c>
      <c r="F13" s="55">
        <v>2629</v>
      </c>
      <c r="G13" s="55">
        <v>0</v>
      </c>
      <c r="H13" s="55">
        <v>64</v>
      </c>
      <c r="I13" s="55">
        <v>0</v>
      </c>
      <c r="K13" s="54">
        <f>SUM(L13:R13)</f>
        <v>5</v>
      </c>
      <c r="L13" s="55">
        <v>1</v>
      </c>
      <c r="M13" s="55">
        <v>1</v>
      </c>
      <c r="N13" s="55">
        <v>0</v>
      </c>
      <c r="O13" s="55">
        <v>3</v>
      </c>
      <c r="P13" s="55">
        <v>0</v>
      </c>
      <c r="Q13" s="55">
        <v>0</v>
      </c>
      <c r="R13" s="55">
        <v>0</v>
      </c>
      <c r="T13" s="61">
        <f>SUM(C13/B13)</f>
        <v>0.28370321298443191</v>
      </c>
      <c r="U13" s="61">
        <f>SUM(D13/B13)</f>
        <v>0.18317323617091752</v>
      </c>
      <c r="V13" s="61">
        <f>SUM(E13/B13)</f>
        <v>8.7114938721430932E-2</v>
      </c>
      <c r="W13" s="61">
        <f>SUM(F13/B13)</f>
        <v>0.43540907585293143</v>
      </c>
      <c r="X13" s="61">
        <f>SUM(G13/B13)</f>
        <v>0</v>
      </c>
      <c r="Y13" s="61">
        <f>SUM(H13/B13)</f>
        <v>1.0599536270288175E-2</v>
      </c>
      <c r="Z13" s="61">
        <f>SUM(I13/B13)</f>
        <v>0</v>
      </c>
    </row>
    <row r="14" spans="1:26">
      <c r="A14" s="56" t="s">
        <v>1541</v>
      </c>
      <c r="B14" s="54">
        <f>SUM(C14:I14)</f>
        <v>5793</v>
      </c>
      <c r="C14" s="55">
        <v>2459</v>
      </c>
      <c r="D14" s="55">
        <v>885</v>
      </c>
      <c r="E14" s="55">
        <v>825</v>
      </c>
      <c r="F14" s="55">
        <v>1624</v>
      </c>
      <c r="G14" s="55">
        <v>0</v>
      </c>
      <c r="H14" s="55">
        <v>0</v>
      </c>
      <c r="I14" s="55">
        <v>0</v>
      </c>
      <c r="K14" s="54">
        <f>SUM(L14:R14)</f>
        <v>5</v>
      </c>
      <c r="L14" s="55">
        <v>2</v>
      </c>
      <c r="M14" s="55">
        <v>1</v>
      </c>
      <c r="N14" s="55">
        <v>1</v>
      </c>
      <c r="O14" s="55">
        <v>1</v>
      </c>
      <c r="P14" s="55">
        <v>0</v>
      </c>
      <c r="Q14" s="55">
        <v>0</v>
      </c>
      <c r="R14" s="55">
        <v>0</v>
      </c>
      <c r="T14" s="61">
        <f>SUM(C14/B14)</f>
        <v>0.42447781805627482</v>
      </c>
      <c r="U14" s="61">
        <f>SUM(D14/B14)</f>
        <v>0.15277058518902123</v>
      </c>
      <c r="V14" s="61">
        <f>SUM(E14/B14)</f>
        <v>0.14241325737959606</v>
      </c>
      <c r="W14" s="61">
        <f>SUM(F14/B14)</f>
        <v>0.28033833937510788</v>
      </c>
      <c r="X14" s="61">
        <f>SUM(G14/B14)</f>
        <v>0</v>
      </c>
      <c r="Y14" s="61">
        <f>SUM(H14/B14)</f>
        <v>0</v>
      </c>
      <c r="Z14" s="61">
        <f>SUM(I14/B14)</f>
        <v>0</v>
      </c>
    </row>
    <row r="15" spans="1:26">
      <c r="A15" s="56" t="s">
        <v>1655</v>
      </c>
      <c r="B15" s="54">
        <f>SUM(C15:I15)</f>
        <v>6945</v>
      </c>
      <c r="C15" s="55">
        <v>0</v>
      </c>
      <c r="D15" s="55">
        <v>655</v>
      </c>
      <c r="E15" s="55">
        <v>1640</v>
      </c>
      <c r="F15" s="55">
        <v>3588</v>
      </c>
      <c r="G15" s="55">
        <v>0</v>
      </c>
      <c r="H15" s="55">
        <v>1062</v>
      </c>
      <c r="I15" s="55">
        <v>0</v>
      </c>
      <c r="K15" s="54">
        <f>SUM(L15:R15)</f>
        <v>6</v>
      </c>
      <c r="L15" s="55">
        <v>0</v>
      </c>
      <c r="M15" s="55">
        <v>0</v>
      </c>
      <c r="N15" s="55">
        <v>1</v>
      </c>
      <c r="O15" s="55">
        <v>4</v>
      </c>
      <c r="P15" s="55">
        <v>0</v>
      </c>
      <c r="Q15" s="55">
        <v>1</v>
      </c>
      <c r="R15" s="55">
        <v>0</v>
      </c>
      <c r="T15" s="61">
        <f>SUM(C15/B15)</f>
        <v>0</v>
      </c>
      <c r="U15" s="61">
        <f>SUM(D15/B15)</f>
        <v>9.4312455003599707E-2</v>
      </c>
      <c r="V15" s="61">
        <f>SUM(E15/B15)</f>
        <v>0.23614110871130309</v>
      </c>
      <c r="W15" s="61">
        <f>SUM(F15/B15)</f>
        <v>0.51663066954643633</v>
      </c>
      <c r="X15" s="61">
        <f>SUM(G15/B15)</f>
        <v>0</v>
      </c>
      <c r="Y15" s="61">
        <f>SUM(H15/B15)</f>
        <v>0.15291576673866092</v>
      </c>
      <c r="Z15" s="61">
        <f>SUM(I15/B15)</f>
        <v>0</v>
      </c>
    </row>
    <row r="16" spans="1:26" s="52" customFormat="1">
      <c r="A16" s="53" t="s">
        <v>1533</v>
      </c>
      <c r="B16" s="54">
        <f>SUM(B13:B15)</f>
        <v>18776</v>
      </c>
      <c r="C16" s="54">
        <f t="shared" ref="C16:R16" si="2">SUM(C13:C15)</f>
        <v>4172</v>
      </c>
      <c r="D16" s="54">
        <f t="shared" si="2"/>
        <v>2646</v>
      </c>
      <c r="E16" s="54">
        <f>SUM(E13:E15)</f>
        <v>2991</v>
      </c>
      <c r="F16" s="54">
        <f t="shared" si="2"/>
        <v>7841</v>
      </c>
      <c r="G16" s="54">
        <f t="shared" si="2"/>
        <v>0</v>
      </c>
      <c r="H16" s="54">
        <f>SUM(H13:H15)</f>
        <v>1126</v>
      </c>
      <c r="I16" s="54">
        <f t="shared" si="2"/>
        <v>0</v>
      </c>
      <c r="J16" s="54"/>
      <c r="K16" s="54">
        <f t="shared" si="2"/>
        <v>16</v>
      </c>
      <c r="L16" s="54">
        <f t="shared" si="2"/>
        <v>3</v>
      </c>
      <c r="M16" s="54">
        <f t="shared" si="2"/>
        <v>2</v>
      </c>
      <c r="N16" s="54">
        <f>SUM(N13:N15)</f>
        <v>2</v>
      </c>
      <c r="O16" s="54">
        <f t="shared" si="2"/>
        <v>8</v>
      </c>
      <c r="P16" s="54">
        <f t="shared" si="2"/>
        <v>0</v>
      </c>
      <c r="Q16" s="54">
        <f>SUM(Q13:Q15)</f>
        <v>1</v>
      </c>
      <c r="R16" s="54">
        <f t="shared" si="2"/>
        <v>0</v>
      </c>
      <c r="T16" s="60">
        <f>SUM(C16/B16)</f>
        <v>0.22219855134213889</v>
      </c>
      <c r="U16" s="60">
        <f>SUM(D16/B16)</f>
        <v>0.14092458457605453</v>
      </c>
      <c r="V16" s="60">
        <f>SUM(E16/B16)</f>
        <v>0.15929910524073285</v>
      </c>
      <c r="W16" s="60">
        <f>SUM(F16/B16)</f>
        <v>0.41760758414997867</v>
      </c>
      <c r="X16" s="60">
        <f>SUM(G16/B16)</f>
        <v>0</v>
      </c>
      <c r="Y16" s="60">
        <f>SUM(H16/B16)</f>
        <v>5.9970174691095016E-2</v>
      </c>
      <c r="Z16" s="60">
        <f>SUM(I16/B16)</f>
        <v>0</v>
      </c>
    </row>
    <row r="17" spans="1:26">
      <c r="A17" s="53"/>
      <c r="B17" s="54"/>
      <c r="C17" s="55"/>
      <c r="D17" s="55"/>
      <c r="E17" s="55"/>
      <c r="F17" s="55"/>
      <c r="G17" s="55"/>
      <c r="H17" s="55"/>
      <c r="I17" s="55"/>
      <c r="K17" s="54"/>
      <c r="L17" s="55"/>
      <c r="M17" s="55"/>
      <c r="N17" s="55"/>
      <c r="O17" s="55"/>
      <c r="P17" s="55"/>
      <c r="Q17" s="55"/>
      <c r="R17" s="55"/>
    </row>
    <row r="18" spans="1:26">
      <c r="A18" s="56" t="s">
        <v>1543</v>
      </c>
      <c r="B18" s="54">
        <f>SUM(C18:I18)</f>
        <v>6169</v>
      </c>
      <c r="C18" s="55">
        <v>2564</v>
      </c>
      <c r="D18" s="55">
        <v>1334</v>
      </c>
      <c r="E18" s="55">
        <v>765</v>
      </c>
      <c r="F18" s="55">
        <v>1506</v>
      </c>
      <c r="G18" s="55">
        <v>0</v>
      </c>
      <c r="H18" s="55">
        <v>0</v>
      </c>
      <c r="I18" s="55">
        <v>0</v>
      </c>
      <c r="K18" s="54">
        <f>SUM(L18:R18)</f>
        <v>5</v>
      </c>
      <c r="L18" s="55">
        <v>2</v>
      </c>
      <c r="M18" s="55">
        <v>1</v>
      </c>
      <c r="N18" s="55">
        <v>1</v>
      </c>
      <c r="O18" s="55">
        <v>1</v>
      </c>
      <c r="P18" s="55">
        <v>0</v>
      </c>
      <c r="Q18" s="55">
        <v>0</v>
      </c>
      <c r="R18" s="55">
        <v>0</v>
      </c>
      <c r="T18" s="61">
        <f>SUM(C18/B18)</f>
        <v>0.41562651969525044</v>
      </c>
      <c r="U18" s="61">
        <f>SUM(D18/B18)</f>
        <v>0.21624250283676447</v>
      </c>
      <c r="V18" s="61">
        <f>SUM(E18/B18)</f>
        <v>0.12400713243637543</v>
      </c>
      <c r="W18" s="61">
        <f>SUM(F18/B18)</f>
        <v>0.24412384503160967</v>
      </c>
      <c r="X18" s="61">
        <f>SUM(G18/B18)</f>
        <v>0</v>
      </c>
      <c r="Y18" s="61">
        <f>SUM(H18/B18)</f>
        <v>0</v>
      </c>
      <c r="Z18" s="61">
        <f>SUM(I18/B18)</f>
        <v>0</v>
      </c>
    </row>
    <row r="19" spans="1:26">
      <c r="A19" s="56" t="s">
        <v>1542</v>
      </c>
      <c r="B19" s="54">
        <f>SUM(C19:I19)</f>
        <v>5989</v>
      </c>
      <c r="C19" s="55">
        <v>1673</v>
      </c>
      <c r="D19" s="55">
        <v>1252</v>
      </c>
      <c r="E19" s="55">
        <v>1134</v>
      </c>
      <c r="F19" s="55">
        <v>1930</v>
      </c>
      <c r="G19" s="55">
        <v>0</v>
      </c>
      <c r="H19" s="55">
        <v>0</v>
      </c>
      <c r="I19" s="55">
        <v>0</v>
      </c>
      <c r="K19" s="54">
        <f>SUM(L19:R19)</f>
        <v>5</v>
      </c>
      <c r="L19" s="55">
        <v>1</v>
      </c>
      <c r="M19" s="55">
        <v>1</v>
      </c>
      <c r="N19" s="55">
        <v>1</v>
      </c>
      <c r="O19" s="55">
        <v>2</v>
      </c>
      <c r="P19" s="55">
        <v>0</v>
      </c>
      <c r="Q19" s="55">
        <v>0</v>
      </c>
      <c r="R19" s="55">
        <v>0</v>
      </c>
      <c r="T19" s="61">
        <f>SUM(C19/B19)</f>
        <v>0.27934546668892968</v>
      </c>
      <c r="U19" s="61">
        <f>SUM(D19/B19)</f>
        <v>0.20904992486224747</v>
      </c>
      <c r="V19" s="61">
        <f>SUM(E19/B19)</f>
        <v>0.18934713641676407</v>
      </c>
      <c r="W19" s="61">
        <f>SUM(F19/B19)</f>
        <v>0.32225747203205879</v>
      </c>
      <c r="X19" s="61">
        <f>SUM(G19/B19)</f>
        <v>0</v>
      </c>
      <c r="Y19" s="61">
        <f>SUM(H19/B19)</f>
        <v>0</v>
      </c>
      <c r="Z19" s="61">
        <f>SUM(I19/B19)</f>
        <v>0</v>
      </c>
    </row>
    <row r="20" spans="1:26">
      <c r="A20" s="56" t="s">
        <v>1656</v>
      </c>
      <c r="B20" s="54">
        <f>SUM(C20:I20)</f>
        <v>5422</v>
      </c>
      <c r="C20" s="55">
        <v>1526</v>
      </c>
      <c r="D20" s="55">
        <v>1118</v>
      </c>
      <c r="E20" s="55">
        <v>871</v>
      </c>
      <c r="F20" s="55">
        <v>1907</v>
      </c>
      <c r="G20" s="55">
        <v>0</v>
      </c>
      <c r="H20" s="55">
        <v>0</v>
      </c>
      <c r="I20" s="55">
        <v>0</v>
      </c>
      <c r="K20" s="54">
        <f>SUM(L20:R20)</f>
        <v>6</v>
      </c>
      <c r="L20" s="55">
        <v>2</v>
      </c>
      <c r="M20" s="55">
        <v>1</v>
      </c>
      <c r="N20" s="55">
        <v>1</v>
      </c>
      <c r="O20" s="55">
        <v>2</v>
      </c>
      <c r="P20" s="55">
        <v>0</v>
      </c>
      <c r="Q20" s="55">
        <v>0</v>
      </c>
      <c r="R20" s="55">
        <v>0</v>
      </c>
      <c r="T20" s="61">
        <f>SUM(C20/B20)</f>
        <v>0.28144596090003687</v>
      </c>
      <c r="U20" s="61">
        <f>SUM(D20/B20)</f>
        <v>0.20619697528587236</v>
      </c>
      <c r="V20" s="61">
        <f>SUM(E20/B20)</f>
        <v>0.16064182958317963</v>
      </c>
      <c r="W20" s="61">
        <f>SUM(F20/B20)</f>
        <v>0.35171523423091111</v>
      </c>
      <c r="X20" s="61">
        <f>SUM(G20/B20)</f>
        <v>0</v>
      </c>
      <c r="Y20" s="61">
        <f>SUM(H20/B20)</f>
        <v>0</v>
      </c>
      <c r="Z20" s="61">
        <f>SUM(I20/B20)</f>
        <v>0</v>
      </c>
    </row>
    <row r="21" spans="1:26">
      <c r="A21" s="56" t="s">
        <v>1545</v>
      </c>
      <c r="B21" s="54">
        <f>SUM(C21:I21)</f>
        <v>7630</v>
      </c>
      <c r="C21" s="55">
        <v>369</v>
      </c>
      <c r="D21" s="55">
        <v>732</v>
      </c>
      <c r="E21" s="55">
        <v>956</v>
      </c>
      <c r="F21" s="55">
        <v>4650</v>
      </c>
      <c r="G21" s="55">
        <v>0</v>
      </c>
      <c r="H21" s="55">
        <v>923</v>
      </c>
      <c r="I21" s="55">
        <v>0</v>
      </c>
      <c r="K21" s="54">
        <f>SUM(L21:R21)</f>
        <v>6</v>
      </c>
      <c r="L21" s="55">
        <v>0</v>
      </c>
      <c r="M21" s="55">
        <v>1</v>
      </c>
      <c r="N21" s="55">
        <v>1</v>
      </c>
      <c r="O21" s="55">
        <v>4</v>
      </c>
      <c r="P21" s="55">
        <v>0</v>
      </c>
      <c r="Q21" s="55">
        <v>0</v>
      </c>
      <c r="R21" s="55">
        <v>0</v>
      </c>
      <c r="T21" s="61">
        <f>SUM(C21/B21)</f>
        <v>4.8361730013106161E-2</v>
      </c>
      <c r="U21" s="61">
        <f>SUM(D21/B21)</f>
        <v>9.5937090432503272E-2</v>
      </c>
      <c r="V21" s="61">
        <f>SUM(E21/B21)</f>
        <v>0.1252948885976409</v>
      </c>
      <c r="W21" s="61">
        <f>SUM(F21/B21)</f>
        <v>0.60943643512450851</v>
      </c>
      <c r="X21" s="61">
        <f>SUM(G21/B21)</f>
        <v>0</v>
      </c>
      <c r="Y21" s="61">
        <f>SUM(H21/B21)</f>
        <v>0.12096985583224115</v>
      </c>
      <c r="Z21" s="61">
        <f>SUM(I21/B21)</f>
        <v>0</v>
      </c>
    </row>
    <row r="22" spans="1:26" s="52" customFormat="1">
      <c r="A22" s="53" t="s">
        <v>1546</v>
      </c>
      <c r="B22" s="54">
        <f>SUM(B18:B21)</f>
        <v>25210</v>
      </c>
      <c r="C22" s="54">
        <f t="shared" ref="C22:R22" si="3">SUM(C18:C21)</f>
        <v>6132</v>
      </c>
      <c r="D22" s="54">
        <f t="shared" si="3"/>
        <v>4436</v>
      </c>
      <c r="E22" s="54">
        <f>SUM(E18:E21)</f>
        <v>3726</v>
      </c>
      <c r="F22" s="54">
        <f t="shared" si="3"/>
        <v>9993</v>
      </c>
      <c r="G22" s="54">
        <f t="shared" si="3"/>
        <v>0</v>
      </c>
      <c r="H22" s="54">
        <f>SUM(H18:H21)</f>
        <v>923</v>
      </c>
      <c r="I22" s="54">
        <f t="shared" si="3"/>
        <v>0</v>
      </c>
      <c r="J22" s="54"/>
      <c r="K22" s="54">
        <f t="shared" si="3"/>
        <v>22</v>
      </c>
      <c r="L22" s="54">
        <f t="shared" si="3"/>
        <v>5</v>
      </c>
      <c r="M22" s="54">
        <f t="shared" si="3"/>
        <v>4</v>
      </c>
      <c r="N22" s="54">
        <f>SUM(N18:N21)</f>
        <v>4</v>
      </c>
      <c r="O22" s="54">
        <f t="shared" si="3"/>
        <v>9</v>
      </c>
      <c r="P22" s="54">
        <f t="shared" si="3"/>
        <v>0</v>
      </c>
      <c r="Q22" s="54">
        <f>SUM(Q18:Q21)</f>
        <v>0</v>
      </c>
      <c r="R22" s="54">
        <f t="shared" si="3"/>
        <v>0</v>
      </c>
      <c r="T22" s="60">
        <f>SUM(C22/B22)</f>
        <v>0.24323681078936929</v>
      </c>
      <c r="U22" s="60">
        <f>SUM(D22/B22)</f>
        <v>0.17596191987306625</v>
      </c>
      <c r="V22" s="60">
        <f>SUM(E22/B22)</f>
        <v>0.14779849266164222</v>
      </c>
      <c r="W22" s="60">
        <f>SUM(F22/B22)</f>
        <v>0.39639032130107099</v>
      </c>
      <c r="X22" s="60">
        <f>SUM(G22/B22)</f>
        <v>0</v>
      </c>
      <c r="Y22" s="60">
        <f>SUM(H22/B22)</f>
        <v>3.6612455374851249E-2</v>
      </c>
      <c r="Z22" s="60">
        <f>SUM(I22/B22)</f>
        <v>0</v>
      </c>
    </row>
    <row r="23" spans="1:26">
      <c r="A23" s="53"/>
      <c r="B23" s="54"/>
      <c r="C23" s="55"/>
      <c r="D23" s="55"/>
      <c r="E23" s="55"/>
      <c r="F23" s="55"/>
      <c r="G23" s="55"/>
      <c r="H23" s="55"/>
      <c r="I23" s="55"/>
      <c r="K23" s="54"/>
      <c r="L23" s="55"/>
      <c r="M23" s="55"/>
      <c r="N23" s="55"/>
      <c r="O23" s="55"/>
      <c r="P23" s="55"/>
      <c r="Q23" s="55"/>
      <c r="R23" s="55"/>
    </row>
    <row r="24" spans="1:26">
      <c r="A24" s="56" t="s">
        <v>1547</v>
      </c>
      <c r="B24" s="54">
        <f>SUM(C24:I24)</f>
        <v>0</v>
      </c>
      <c r="C24" s="55">
        <v>0</v>
      </c>
      <c r="D24" s="55">
        <v>0</v>
      </c>
      <c r="E24" s="55">
        <v>0</v>
      </c>
      <c r="F24" s="55">
        <v>0</v>
      </c>
      <c r="G24" s="55">
        <v>0</v>
      </c>
      <c r="H24" s="55">
        <v>0</v>
      </c>
      <c r="I24" s="55">
        <v>0</v>
      </c>
      <c r="K24" s="54">
        <f>SUM(L24:R24)</f>
        <v>6</v>
      </c>
      <c r="L24" s="55">
        <v>1</v>
      </c>
      <c r="M24" s="55">
        <v>1</v>
      </c>
      <c r="N24" s="55">
        <v>2</v>
      </c>
      <c r="O24" s="55">
        <v>2</v>
      </c>
      <c r="P24" s="55">
        <v>0</v>
      </c>
      <c r="Q24" s="55">
        <v>0</v>
      </c>
      <c r="R24" s="55">
        <v>0</v>
      </c>
      <c r="T24" s="61" t="e">
        <f>SUM(C24/B24)</f>
        <v>#DIV/0!</v>
      </c>
      <c r="U24" s="61" t="e">
        <f>SUM(D24/B24)</f>
        <v>#DIV/0!</v>
      </c>
      <c r="V24" s="61" t="e">
        <f>SUM(E24/B24)</f>
        <v>#DIV/0!</v>
      </c>
      <c r="W24" s="61" t="e">
        <f>SUM(F24/B24)</f>
        <v>#DIV/0!</v>
      </c>
      <c r="X24" s="61" t="e">
        <f>SUM(G24/B24)</f>
        <v>#DIV/0!</v>
      </c>
      <c r="Y24" s="61" t="e">
        <f>SUM(H24/B24)</f>
        <v>#DIV/0!</v>
      </c>
      <c r="Z24" s="61" t="e">
        <f>SUM(I24/B24)</f>
        <v>#DIV/0!</v>
      </c>
    </row>
    <row r="25" spans="1:26">
      <c r="A25" s="56" t="s">
        <v>1549</v>
      </c>
      <c r="B25" s="54">
        <f>SUM(C25:I25)</f>
        <v>4782</v>
      </c>
      <c r="C25" s="55">
        <v>1246</v>
      </c>
      <c r="D25" s="55">
        <v>1110</v>
      </c>
      <c r="E25" s="55">
        <v>1007</v>
      </c>
      <c r="F25" s="55">
        <v>1335</v>
      </c>
      <c r="G25" s="55">
        <v>0</v>
      </c>
      <c r="H25" s="55">
        <v>84</v>
      </c>
      <c r="I25" s="55">
        <v>0</v>
      </c>
      <c r="K25" s="54">
        <f>SUM(L25:R25)</f>
        <v>5</v>
      </c>
      <c r="L25" s="55">
        <v>1</v>
      </c>
      <c r="M25" s="55">
        <v>1</v>
      </c>
      <c r="N25" s="55">
        <v>2</v>
      </c>
      <c r="O25" s="55">
        <v>1</v>
      </c>
      <c r="P25" s="55">
        <v>0</v>
      </c>
      <c r="Q25" s="55">
        <v>0</v>
      </c>
      <c r="R25" s="55">
        <v>0</v>
      </c>
      <c r="T25" s="61">
        <f>SUM(C25/B25)</f>
        <v>0.26056043496445003</v>
      </c>
      <c r="U25" s="61">
        <f>SUM(D25/B25)</f>
        <v>0.23212045169385195</v>
      </c>
      <c r="V25" s="61">
        <f>SUM(E25/B25)</f>
        <v>0.21058134671685488</v>
      </c>
      <c r="W25" s="61">
        <f>SUM(F25/B25)</f>
        <v>0.27917189460476788</v>
      </c>
      <c r="X25" s="61">
        <f>SUM(G25/B25)</f>
        <v>0</v>
      </c>
      <c r="Y25" s="61">
        <f>SUM(H25/B25)</f>
        <v>1.7565872020075281E-2</v>
      </c>
      <c r="Z25" s="61">
        <f>SUM(I25/B25)</f>
        <v>0</v>
      </c>
    </row>
    <row r="26" spans="1:26">
      <c r="A26" s="56" t="s">
        <v>1548</v>
      </c>
      <c r="B26" s="54">
        <f>SUM(C26:I26)</f>
        <v>7217</v>
      </c>
      <c r="C26" s="55">
        <v>1184</v>
      </c>
      <c r="D26" s="55">
        <v>1561</v>
      </c>
      <c r="E26" s="55">
        <v>1561</v>
      </c>
      <c r="F26" s="55">
        <v>1791</v>
      </c>
      <c r="G26" s="55">
        <v>0</v>
      </c>
      <c r="H26" s="55">
        <v>1120</v>
      </c>
      <c r="I26" s="55">
        <v>0</v>
      </c>
      <c r="K26" s="54">
        <f>SUM(L26:R26)</f>
        <v>5</v>
      </c>
      <c r="L26" s="55">
        <v>1</v>
      </c>
      <c r="M26" s="55">
        <v>1</v>
      </c>
      <c r="N26" s="55">
        <v>1</v>
      </c>
      <c r="O26" s="55">
        <v>2</v>
      </c>
      <c r="P26" s="55">
        <v>0</v>
      </c>
      <c r="Q26" s="55">
        <v>0</v>
      </c>
      <c r="R26" s="55">
        <v>0</v>
      </c>
      <c r="T26" s="61">
        <f>SUM(C26/B26)</f>
        <v>0.16405708743245115</v>
      </c>
      <c r="U26" s="61">
        <f>SUM(D26/B26)</f>
        <v>0.2162948593598448</v>
      </c>
      <c r="V26" s="61">
        <f>SUM(E26/B26)</f>
        <v>0.2162948593598448</v>
      </c>
      <c r="W26" s="61">
        <f>SUM(F26/B26)</f>
        <v>0.24816405708743244</v>
      </c>
      <c r="X26" s="61">
        <f>SUM(G26/B26)</f>
        <v>0</v>
      </c>
      <c r="Y26" s="61">
        <f>SUM(H26/B26)</f>
        <v>0.15518913676042678</v>
      </c>
      <c r="Z26" s="61">
        <f>SUM(I26/B26)</f>
        <v>0</v>
      </c>
    </row>
    <row r="27" spans="1:26" s="52" customFormat="1">
      <c r="A27" s="53" t="s">
        <v>1550</v>
      </c>
      <c r="B27" s="54">
        <f>SUM(B24:B26)</f>
        <v>11999</v>
      </c>
      <c r="C27" s="54">
        <f t="shared" ref="C27:R27" si="4">SUM(C24:C26)</f>
        <v>2430</v>
      </c>
      <c r="D27" s="54">
        <f t="shared" si="4"/>
        <v>2671</v>
      </c>
      <c r="E27" s="54">
        <f>SUM(E24:E26)</f>
        <v>2568</v>
      </c>
      <c r="F27" s="54">
        <f t="shared" si="4"/>
        <v>3126</v>
      </c>
      <c r="G27" s="54">
        <f t="shared" si="4"/>
        <v>0</v>
      </c>
      <c r="H27" s="54">
        <f>SUM(H24:H26)</f>
        <v>1204</v>
      </c>
      <c r="I27" s="54">
        <f t="shared" si="4"/>
        <v>0</v>
      </c>
      <c r="J27" s="54"/>
      <c r="K27" s="54">
        <f t="shared" si="4"/>
        <v>16</v>
      </c>
      <c r="L27" s="54">
        <f t="shared" si="4"/>
        <v>3</v>
      </c>
      <c r="M27" s="54">
        <f t="shared" si="4"/>
        <v>3</v>
      </c>
      <c r="N27" s="54">
        <f>SUM(N24:N26)</f>
        <v>5</v>
      </c>
      <c r="O27" s="54">
        <f t="shared" si="4"/>
        <v>5</v>
      </c>
      <c r="P27" s="54">
        <f t="shared" si="4"/>
        <v>0</v>
      </c>
      <c r="Q27" s="54">
        <f>SUM(Q24:Q26)</f>
        <v>0</v>
      </c>
      <c r="R27" s="54">
        <f t="shared" si="4"/>
        <v>0</v>
      </c>
      <c r="T27" s="60">
        <f>SUM(C27/B27)</f>
        <v>0.2025168764063672</v>
      </c>
      <c r="U27" s="60">
        <f>SUM(D27/B27)</f>
        <v>0.22260188349029086</v>
      </c>
      <c r="V27" s="60">
        <f>SUM(E27/B27)</f>
        <v>0.21401783481956829</v>
      </c>
      <c r="W27" s="60">
        <f>SUM(F27/B27)</f>
        <v>0.26052171014251185</v>
      </c>
      <c r="X27" s="60">
        <f>SUM(G27/B27)</f>
        <v>0</v>
      </c>
      <c r="Y27" s="60">
        <f>SUM(H27/B27)</f>
        <v>0.10034169514126177</v>
      </c>
      <c r="Z27" s="60">
        <f>SUM(I27/B27)</f>
        <v>0</v>
      </c>
    </row>
    <row r="28" spans="1:26">
      <c r="A28" s="53"/>
      <c r="B28" s="54"/>
      <c r="C28" s="55"/>
      <c r="D28" s="55"/>
      <c r="E28" s="55"/>
      <c r="F28" s="55"/>
      <c r="G28" s="55"/>
      <c r="H28" s="55"/>
      <c r="I28" s="55"/>
      <c r="K28" s="54"/>
      <c r="L28" s="55"/>
      <c r="M28" s="55"/>
      <c r="N28" s="55"/>
      <c r="O28" s="55"/>
      <c r="P28" s="55"/>
      <c r="Q28" s="55"/>
      <c r="R28" s="55"/>
    </row>
    <row r="29" spans="1:26">
      <c r="A29" s="56" t="s">
        <v>1551</v>
      </c>
      <c r="B29" s="54">
        <f>SUM(C29:I29)</f>
        <v>7213</v>
      </c>
      <c r="C29" s="55">
        <v>2536</v>
      </c>
      <c r="D29" s="55">
        <v>691</v>
      </c>
      <c r="E29" s="55">
        <v>1461</v>
      </c>
      <c r="F29" s="55">
        <v>2525</v>
      </c>
      <c r="G29" s="55">
        <v>0</v>
      </c>
      <c r="H29" s="55">
        <v>0</v>
      </c>
      <c r="I29" s="55">
        <v>0</v>
      </c>
      <c r="K29" s="54">
        <f>SUM(L29:R29)</f>
        <v>6</v>
      </c>
      <c r="L29" s="55">
        <v>2</v>
      </c>
      <c r="M29" s="55">
        <v>1</v>
      </c>
      <c r="N29" s="55">
        <v>1</v>
      </c>
      <c r="O29" s="55">
        <v>2</v>
      </c>
      <c r="P29" s="55">
        <v>0</v>
      </c>
      <c r="Q29" s="55">
        <v>0</v>
      </c>
      <c r="R29" s="55">
        <v>0</v>
      </c>
      <c r="T29" s="61">
        <f>SUM(C29/B29)</f>
        <v>0.35158741161791213</v>
      </c>
      <c r="U29" s="61">
        <f>SUM(D29/B29)</f>
        <v>9.5799251351726053E-2</v>
      </c>
      <c r="V29" s="61">
        <f>SUM(E29/B29)</f>
        <v>0.20255094967419937</v>
      </c>
      <c r="W29" s="61">
        <f>SUM(F29/B29)</f>
        <v>0.35006238735616246</v>
      </c>
      <c r="X29" s="61">
        <f>SUM(G29/B29)</f>
        <v>0</v>
      </c>
      <c r="Y29" s="61">
        <f>SUM(H29/B29)</f>
        <v>0</v>
      </c>
      <c r="Z29" s="61">
        <f>SUM(I29/B29)</f>
        <v>0</v>
      </c>
    </row>
    <row r="30" spans="1:26">
      <c r="A30" s="56" t="s">
        <v>1552</v>
      </c>
      <c r="B30" s="54">
        <f>SUM(C30:I30)</f>
        <v>6106</v>
      </c>
      <c r="C30" s="55">
        <v>1557</v>
      </c>
      <c r="D30" s="55">
        <v>617</v>
      </c>
      <c r="E30" s="55">
        <v>760</v>
      </c>
      <c r="F30" s="55">
        <v>3172</v>
      </c>
      <c r="G30" s="55">
        <v>0</v>
      </c>
      <c r="H30" s="55">
        <v>0</v>
      </c>
      <c r="I30" s="55">
        <v>0</v>
      </c>
      <c r="K30" s="54">
        <f>SUM(L30:R30)</f>
        <v>5</v>
      </c>
      <c r="L30" s="55">
        <v>1</v>
      </c>
      <c r="M30" s="55">
        <v>1</v>
      </c>
      <c r="N30" s="55">
        <v>0</v>
      </c>
      <c r="O30" s="55">
        <v>3</v>
      </c>
      <c r="P30" s="55">
        <v>0</v>
      </c>
      <c r="Q30" s="55">
        <v>0</v>
      </c>
      <c r="R30" s="55">
        <v>0</v>
      </c>
      <c r="T30" s="61">
        <f>SUM(C30/B30)</f>
        <v>0.25499508679986899</v>
      </c>
      <c r="U30" s="61">
        <f>SUM(D30/B30)</f>
        <v>0.10104814936128398</v>
      </c>
      <c r="V30" s="61">
        <f>SUM(E30/B30)</f>
        <v>0.12446773665247297</v>
      </c>
      <c r="W30" s="61">
        <f>SUM(F30/B30)</f>
        <v>0.51948902718637402</v>
      </c>
      <c r="X30" s="61">
        <f>SUM(G30/B30)</f>
        <v>0</v>
      </c>
      <c r="Y30" s="61">
        <f>SUM(H30/B30)</f>
        <v>0</v>
      </c>
      <c r="Z30" s="61">
        <f>SUM(I30/B30)</f>
        <v>0</v>
      </c>
    </row>
    <row r="31" spans="1:26">
      <c r="A31" s="56" t="s">
        <v>1553</v>
      </c>
      <c r="B31" s="54">
        <f>SUM(C31:I31)</f>
        <v>7314</v>
      </c>
      <c r="C31" s="55">
        <v>790</v>
      </c>
      <c r="D31" s="55">
        <v>0</v>
      </c>
      <c r="E31" s="55">
        <v>1674</v>
      </c>
      <c r="F31" s="55">
        <v>4139</v>
      </c>
      <c r="G31" s="55">
        <v>0</v>
      </c>
      <c r="H31" s="55">
        <v>711</v>
      </c>
      <c r="I31" s="55">
        <v>0</v>
      </c>
      <c r="K31" s="54">
        <f>SUM(L31:R31)</f>
        <v>5</v>
      </c>
      <c r="L31" s="55">
        <v>1</v>
      </c>
      <c r="M31" s="55">
        <v>0</v>
      </c>
      <c r="N31" s="55">
        <v>1</v>
      </c>
      <c r="O31" s="55">
        <v>3</v>
      </c>
      <c r="P31" s="55">
        <v>0</v>
      </c>
      <c r="Q31" s="55">
        <v>0</v>
      </c>
      <c r="R31" s="55">
        <v>0</v>
      </c>
      <c r="T31" s="61">
        <f>SUM(C31/B31)</f>
        <v>0.10801203171998906</v>
      </c>
      <c r="U31" s="61">
        <f>SUM(D31/B31)</f>
        <v>0</v>
      </c>
      <c r="V31" s="61">
        <f>SUM(E31/B31)</f>
        <v>0.22887612797374898</v>
      </c>
      <c r="W31" s="61">
        <f>SUM(F31/B31)</f>
        <v>0.56590101175827179</v>
      </c>
      <c r="X31" s="61">
        <f>SUM(G31/B31)</f>
        <v>0</v>
      </c>
      <c r="Y31" s="61">
        <f>SUM(H31/B31)</f>
        <v>9.7210828547990152E-2</v>
      </c>
      <c r="Z31" s="61">
        <f>SUM(I31/B31)</f>
        <v>0</v>
      </c>
    </row>
    <row r="32" spans="1:26" s="52" customFormat="1">
      <c r="A32" s="53" t="s">
        <v>1554</v>
      </c>
      <c r="B32" s="54">
        <f>SUM(B29:B31)</f>
        <v>20633</v>
      </c>
      <c r="C32" s="54">
        <f t="shared" ref="C32:R32" si="5">SUM(C29:C31)</f>
        <v>4883</v>
      </c>
      <c r="D32" s="54">
        <f t="shared" si="5"/>
        <v>1308</v>
      </c>
      <c r="E32" s="54">
        <f>SUM(E29:E31)</f>
        <v>3895</v>
      </c>
      <c r="F32" s="54">
        <f t="shared" si="5"/>
        <v>9836</v>
      </c>
      <c r="G32" s="54">
        <f t="shared" si="5"/>
        <v>0</v>
      </c>
      <c r="H32" s="54">
        <f>SUM(H29:H31)</f>
        <v>711</v>
      </c>
      <c r="I32" s="54">
        <f t="shared" si="5"/>
        <v>0</v>
      </c>
      <c r="J32" s="54"/>
      <c r="K32" s="54">
        <f t="shared" si="5"/>
        <v>16</v>
      </c>
      <c r="L32" s="54">
        <f t="shared" si="5"/>
        <v>4</v>
      </c>
      <c r="M32" s="54">
        <f t="shared" si="5"/>
        <v>2</v>
      </c>
      <c r="N32" s="54">
        <f>SUM(N29:N31)</f>
        <v>2</v>
      </c>
      <c r="O32" s="54">
        <f t="shared" si="5"/>
        <v>8</v>
      </c>
      <c r="P32" s="54">
        <f t="shared" si="5"/>
        <v>0</v>
      </c>
      <c r="Q32" s="54">
        <f>SUM(Q29:Q31)</f>
        <v>0</v>
      </c>
      <c r="R32" s="54">
        <f t="shared" si="5"/>
        <v>0</v>
      </c>
      <c r="T32" s="60">
        <f>SUM(C32/B32)</f>
        <v>0.23665971986623371</v>
      </c>
      <c r="U32" s="60">
        <f>SUM(D32/B32)</f>
        <v>6.3393592788251824E-2</v>
      </c>
      <c r="V32" s="60">
        <f>SUM(E32/B32)</f>
        <v>0.1887752629283187</v>
      </c>
      <c r="W32" s="60">
        <f>SUM(F32/B32)</f>
        <v>0.47671206319972859</v>
      </c>
      <c r="X32" s="60">
        <f>SUM(G32/B32)</f>
        <v>0</v>
      </c>
      <c r="Y32" s="60">
        <f>SUM(H32/B32)</f>
        <v>3.4459361217467163E-2</v>
      </c>
      <c r="Z32" s="60">
        <f>SUM(I32/B32)</f>
        <v>0</v>
      </c>
    </row>
    <row r="33" spans="1:26">
      <c r="A33" s="53"/>
      <c r="B33" s="54"/>
      <c r="C33" s="55"/>
      <c r="D33" s="55"/>
      <c r="E33" s="55"/>
      <c r="F33" s="55"/>
      <c r="G33" s="55"/>
      <c r="H33" s="55"/>
      <c r="I33" s="55"/>
      <c r="K33" s="54"/>
      <c r="L33" s="55"/>
      <c r="M33" s="55"/>
      <c r="N33" s="55"/>
      <c r="O33" s="55"/>
      <c r="P33" s="55"/>
      <c r="Q33" s="55"/>
      <c r="R33" s="55"/>
    </row>
    <row r="34" spans="1:26">
      <c r="A34" s="56" t="s">
        <v>1555</v>
      </c>
      <c r="B34" s="54">
        <f>SUM(C34:I34)</f>
        <v>9610</v>
      </c>
      <c r="C34" s="55">
        <v>2688</v>
      </c>
      <c r="D34" s="55">
        <v>983</v>
      </c>
      <c r="E34" s="55">
        <v>3439</v>
      </c>
      <c r="F34" s="55">
        <v>1760</v>
      </c>
      <c r="G34" s="55">
        <v>0</v>
      </c>
      <c r="H34" s="55">
        <v>740</v>
      </c>
      <c r="I34" s="55">
        <v>0</v>
      </c>
      <c r="K34" s="54">
        <f>SUM(L34:R34)</f>
        <v>6</v>
      </c>
      <c r="L34" s="55">
        <v>2</v>
      </c>
      <c r="M34" s="55">
        <v>0</v>
      </c>
      <c r="N34" s="55">
        <v>3</v>
      </c>
      <c r="O34" s="55">
        <v>1</v>
      </c>
      <c r="P34" s="55">
        <v>0</v>
      </c>
      <c r="Q34" s="55">
        <v>0</v>
      </c>
      <c r="R34" s="55">
        <v>0</v>
      </c>
      <c r="T34" s="61">
        <f t="shared" ref="T34:T39" si="6">SUM(C34/B34)</f>
        <v>0.2797086368366285</v>
      </c>
      <c r="U34" s="61">
        <f t="shared" ref="U34:U39" si="7">SUM(D34/B34)</f>
        <v>0.10228928199791884</v>
      </c>
      <c r="V34" s="61">
        <f t="shared" ref="V34:V39" si="8">SUM(E34/B34)</f>
        <v>0.35785639958376692</v>
      </c>
      <c r="W34" s="61">
        <f t="shared" ref="W34:W39" si="9">SUM(F34/B34)</f>
        <v>0.18314255983350677</v>
      </c>
      <c r="X34" s="61">
        <f t="shared" ref="X34:X39" si="10">SUM(G34/B34)</f>
        <v>0</v>
      </c>
      <c r="Y34" s="61">
        <f t="shared" ref="Y34:Y39" si="11">SUM(H34/B34)</f>
        <v>7.7003121748178985E-2</v>
      </c>
      <c r="Z34" s="61">
        <f t="shared" ref="Z34:Z39" si="12">SUM(I34/B34)</f>
        <v>0</v>
      </c>
    </row>
    <row r="35" spans="1:26">
      <c r="A35" s="56" t="s">
        <v>1556</v>
      </c>
      <c r="B35" s="54">
        <f>SUM(C35:I35)</f>
        <v>9394</v>
      </c>
      <c r="C35" s="55">
        <v>4577</v>
      </c>
      <c r="D35" s="55">
        <v>1017</v>
      </c>
      <c r="E35" s="55">
        <v>2075</v>
      </c>
      <c r="F35" s="55">
        <v>1531</v>
      </c>
      <c r="G35" s="55">
        <v>0</v>
      </c>
      <c r="H35" s="55">
        <v>194</v>
      </c>
      <c r="I35" s="55">
        <v>0</v>
      </c>
      <c r="K35" s="54">
        <f>SUM(L35:R35)</f>
        <v>7</v>
      </c>
      <c r="L35" s="55">
        <v>3</v>
      </c>
      <c r="M35" s="55">
        <v>1</v>
      </c>
      <c r="N35" s="55">
        <v>2</v>
      </c>
      <c r="O35" s="55">
        <v>1</v>
      </c>
      <c r="P35" s="55">
        <v>0</v>
      </c>
      <c r="Q35" s="55">
        <v>0</v>
      </c>
      <c r="R35" s="55">
        <v>0</v>
      </c>
      <c r="T35" s="61">
        <f t="shared" si="6"/>
        <v>0.4872258888652331</v>
      </c>
      <c r="U35" s="61">
        <f t="shared" si="7"/>
        <v>0.10826059186714924</v>
      </c>
      <c r="V35" s="61">
        <f t="shared" si="8"/>
        <v>0.22088567170534384</v>
      </c>
      <c r="W35" s="61">
        <f t="shared" si="9"/>
        <v>0.16297636789440068</v>
      </c>
      <c r="X35" s="61">
        <f t="shared" si="10"/>
        <v>0</v>
      </c>
      <c r="Y35" s="61">
        <f t="shared" si="11"/>
        <v>2.0651479667873111E-2</v>
      </c>
      <c r="Z35" s="61">
        <f t="shared" si="12"/>
        <v>0</v>
      </c>
    </row>
    <row r="36" spans="1:26">
      <c r="A36" s="56" t="s">
        <v>1557</v>
      </c>
      <c r="B36" s="54">
        <f>SUM(C36:I36)</f>
        <v>10190</v>
      </c>
      <c r="C36" s="55">
        <v>0</v>
      </c>
      <c r="D36" s="55">
        <v>0</v>
      </c>
      <c r="E36" s="55">
        <v>5526</v>
      </c>
      <c r="F36" s="55">
        <v>4090</v>
      </c>
      <c r="G36" s="55">
        <v>0</v>
      </c>
      <c r="H36" s="55">
        <v>574</v>
      </c>
      <c r="I36" s="55">
        <v>0</v>
      </c>
      <c r="J36" s="55"/>
      <c r="K36" s="54">
        <f>SUM(L36:R36)</f>
        <v>7</v>
      </c>
      <c r="L36" s="55">
        <v>0</v>
      </c>
      <c r="M36" s="55">
        <v>0</v>
      </c>
      <c r="N36" s="55">
        <v>4</v>
      </c>
      <c r="O36" s="55">
        <v>3</v>
      </c>
      <c r="P36" s="55">
        <v>0</v>
      </c>
      <c r="Q36" s="55">
        <v>0</v>
      </c>
      <c r="R36" s="55">
        <v>0</v>
      </c>
      <c r="T36" s="61">
        <f t="shared" si="6"/>
        <v>0</v>
      </c>
      <c r="U36" s="61">
        <f t="shared" si="7"/>
        <v>0</v>
      </c>
      <c r="V36" s="61">
        <f t="shared" si="8"/>
        <v>0.54229636898920508</v>
      </c>
      <c r="W36" s="61">
        <f t="shared" si="9"/>
        <v>0.40137389597644751</v>
      </c>
      <c r="X36" s="61">
        <f t="shared" si="10"/>
        <v>0</v>
      </c>
      <c r="Y36" s="61">
        <f t="shared" si="11"/>
        <v>5.6329735034347399E-2</v>
      </c>
      <c r="Z36" s="61">
        <f t="shared" si="12"/>
        <v>0</v>
      </c>
    </row>
    <row r="37" spans="1:26">
      <c r="A37" s="56" t="s">
        <v>1558</v>
      </c>
      <c r="B37" s="54">
        <f>SUM(C37:I37)</f>
        <v>6122</v>
      </c>
      <c r="C37" s="55">
        <v>0</v>
      </c>
      <c r="D37" s="55">
        <v>0</v>
      </c>
      <c r="E37" s="55">
        <v>2190</v>
      </c>
      <c r="F37" s="55">
        <v>3257</v>
      </c>
      <c r="G37" s="55">
        <v>0</v>
      </c>
      <c r="H37" s="55">
        <v>675</v>
      </c>
      <c r="I37" s="55">
        <v>0</v>
      </c>
      <c r="K37" s="54">
        <f>SUM(L37:R37)</f>
        <v>5</v>
      </c>
      <c r="L37" s="55">
        <v>0</v>
      </c>
      <c r="M37" s="55">
        <v>0</v>
      </c>
      <c r="N37" s="55">
        <v>2</v>
      </c>
      <c r="O37" s="55">
        <v>3</v>
      </c>
      <c r="P37" s="55">
        <v>0</v>
      </c>
      <c r="Q37" s="55">
        <v>0</v>
      </c>
      <c r="R37" s="55">
        <v>0</v>
      </c>
      <c r="T37" s="61">
        <f t="shared" si="6"/>
        <v>0</v>
      </c>
      <c r="U37" s="61">
        <f t="shared" si="7"/>
        <v>0</v>
      </c>
      <c r="V37" s="61">
        <f t="shared" si="8"/>
        <v>0.35772623325710551</v>
      </c>
      <c r="W37" s="61">
        <f t="shared" si="9"/>
        <v>0.53201568114995101</v>
      </c>
      <c r="X37" s="61">
        <f t="shared" si="10"/>
        <v>0</v>
      </c>
      <c r="Y37" s="61">
        <f t="shared" si="11"/>
        <v>0.11025808559294348</v>
      </c>
      <c r="Z37" s="61">
        <f t="shared" si="12"/>
        <v>0</v>
      </c>
    </row>
    <row r="38" spans="1:26">
      <c r="A38" s="56" t="s">
        <v>1559</v>
      </c>
      <c r="B38" s="54">
        <f>SUM(C38:I38)</f>
        <v>9683</v>
      </c>
      <c r="C38" s="55">
        <v>0</v>
      </c>
      <c r="D38" s="55">
        <v>0</v>
      </c>
      <c r="E38" s="55">
        <v>5237</v>
      </c>
      <c r="F38" s="55">
        <v>4106</v>
      </c>
      <c r="G38" s="55">
        <v>0</v>
      </c>
      <c r="H38" s="55">
        <v>340</v>
      </c>
      <c r="I38" s="55">
        <v>0</v>
      </c>
      <c r="K38" s="54">
        <f>SUM(L38:R38)</f>
        <v>5</v>
      </c>
      <c r="L38" s="55">
        <v>0</v>
      </c>
      <c r="M38" s="55">
        <v>0</v>
      </c>
      <c r="N38" s="55">
        <v>3</v>
      </c>
      <c r="O38" s="55">
        <v>2</v>
      </c>
      <c r="P38" s="55">
        <v>0</v>
      </c>
      <c r="Q38" s="55">
        <v>0</v>
      </c>
      <c r="R38" s="55">
        <v>0</v>
      </c>
      <c r="T38" s="61">
        <f t="shared" si="6"/>
        <v>0</v>
      </c>
      <c r="U38" s="61">
        <f t="shared" si="7"/>
        <v>0</v>
      </c>
      <c r="V38" s="61">
        <f t="shared" si="8"/>
        <v>0.54084477951048227</v>
      </c>
      <c r="W38" s="61">
        <f t="shared" si="9"/>
        <v>0.42404213570174532</v>
      </c>
      <c r="X38" s="61">
        <f t="shared" si="10"/>
        <v>0</v>
      </c>
      <c r="Y38" s="61">
        <f t="shared" si="11"/>
        <v>3.5113084787772385E-2</v>
      </c>
      <c r="Z38" s="61">
        <f t="shared" si="12"/>
        <v>0</v>
      </c>
    </row>
    <row r="39" spans="1:26" s="52" customFormat="1">
      <c r="A39" s="53" t="s">
        <v>1560</v>
      </c>
      <c r="B39" s="54">
        <f>SUM(B34:B38)</f>
        <v>44999</v>
      </c>
      <c r="C39" s="54">
        <f t="shared" ref="C39:R39" si="13">SUM(C34:C38)</f>
        <v>7265</v>
      </c>
      <c r="D39" s="54">
        <f t="shared" si="13"/>
        <v>2000</v>
      </c>
      <c r="E39" s="54">
        <f>SUM(E34:E38)</f>
        <v>18467</v>
      </c>
      <c r="F39" s="54">
        <f t="shared" si="13"/>
        <v>14744</v>
      </c>
      <c r="G39" s="54">
        <f t="shared" si="13"/>
        <v>0</v>
      </c>
      <c r="H39" s="54">
        <f>SUM(H34:H38)</f>
        <v>2523</v>
      </c>
      <c r="I39" s="54">
        <f t="shared" si="13"/>
        <v>0</v>
      </c>
      <c r="J39" s="54"/>
      <c r="K39" s="54">
        <f t="shared" si="13"/>
        <v>30</v>
      </c>
      <c r="L39" s="54">
        <f t="shared" si="13"/>
        <v>5</v>
      </c>
      <c r="M39" s="54">
        <f t="shared" si="13"/>
        <v>1</v>
      </c>
      <c r="N39" s="54">
        <f>SUM(N34:N38)</f>
        <v>14</v>
      </c>
      <c r="O39" s="54">
        <f t="shared" si="13"/>
        <v>10</v>
      </c>
      <c r="P39" s="54">
        <f t="shared" si="13"/>
        <v>0</v>
      </c>
      <c r="Q39" s="54">
        <f>SUM(Q34:Q38)</f>
        <v>0</v>
      </c>
      <c r="R39" s="54">
        <f t="shared" si="13"/>
        <v>0</v>
      </c>
      <c r="T39" s="60">
        <f t="shared" si="6"/>
        <v>0.16144803217849285</v>
      </c>
      <c r="U39" s="60">
        <f t="shared" si="7"/>
        <v>4.4445432120713793E-2</v>
      </c>
      <c r="V39" s="60">
        <f t="shared" si="8"/>
        <v>0.41038689748661084</v>
      </c>
      <c r="W39" s="60">
        <f t="shared" si="9"/>
        <v>0.3276517255939021</v>
      </c>
      <c r="X39" s="60">
        <f t="shared" si="10"/>
        <v>0</v>
      </c>
      <c r="Y39" s="60">
        <f t="shared" si="11"/>
        <v>5.606791262028045E-2</v>
      </c>
      <c r="Z39" s="60">
        <f t="shared" si="12"/>
        <v>0</v>
      </c>
    </row>
    <row r="40" spans="1:26">
      <c r="A40" s="53"/>
      <c r="B40" s="54"/>
      <c r="C40" s="55"/>
      <c r="D40" s="55"/>
      <c r="E40" s="55"/>
      <c r="F40" s="55"/>
      <c r="G40" s="55"/>
      <c r="H40" s="55"/>
      <c r="I40" s="55"/>
      <c r="K40" s="54"/>
      <c r="L40" s="55"/>
      <c r="M40" s="55"/>
      <c r="N40" s="55"/>
      <c r="O40" s="55"/>
      <c r="P40" s="55"/>
      <c r="Q40" s="55"/>
      <c r="R40" s="55"/>
    </row>
    <row r="41" spans="1:26">
      <c r="A41" s="56" t="s">
        <v>1562</v>
      </c>
      <c r="B41" s="54">
        <f>SUM(C41:I41)</f>
        <v>5028</v>
      </c>
      <c r="C41" s="55">
        <v>1509</v>
      </c>
      <c r="D41" s="55">
        <v>759</v>
      </c>
      <c r="E41" s="55">
        <v>1490</v>
      </c>
      <c r="F41" s="55">
        <v>1270</v>
      </c>
      <c r="G41" s="55">
        <v>0</v>
      </c>
      <c r="H41" s="55">
        <v>0</v>
      </c>
      <c r="I41" s="55">
        <v>0</v>
      </c>
      <c r="K41" s="54">
        <f>SUM(L41:R41)</f>
        <v>5</v>
      </c>
      <c r="L41" s="55">
        <v>1</v>
      </c>
      <c r="M41" s="55">
        <v>1</v>
      </c>
      <c r="N41" s="55">
        <v>1</v>
      </c>
      <c r="O41" s="55">
        <v>2</v>
      </c>
      <c r="P41" s="55">
        <v>0</v>
      </c>
      <c r="Q41" s="55">
        <v>0</v>
      </c>
      <c r="R41" s="55">
        <v>0</v>
      </c>
      <c r="T41" s="61">
        <f>SUM(C41/B41)</f>
        <v>0.30011933174224342</v>
      </c>
      <c r="U41" s="61">
        <f>SUM(D41/B41)</f>
        <v>0.15095465393794749</v>
      </c>
      <c r="V41" s="61">
        <f>SUM(E41/B41)</f>
        <v>0.29634049323786793</v>
      </c>
      <c r="W41" s="61">
        <f>SUM(F41/B41)</f>
        <v>0.25258552108194116</v>
      </c>
      <c r="X41" s="61">
        <f>SUM(G41/B41)</f>
        <v>0</v>
      </c>
      <c r="Y41" s="61">
        <f>SUM(H41/B41)</f>
        <v>0</v>
      </c>
      <c r="Z41" s="61">
        <f>SUM(I41/B41)</f>
        <v>0</v>
      </c>
    </row>
    <row r="42" spans="1:26">
      <c r="A42" s="56" t="s">
        <v>1563</v>
      </c>
      <c r="B42" s="54">
        <f>SUM(C42:I42)</f>
        <v>4422</v>
      </c>
      <c r="C42" s="55">
        <v>0</v>
      </c>
      <c r="D42" s="55">
        <v>0</v>
      </c>
      <c r="E42" s="55">
        <v>891</v>
      </c>
      <c r="F42" s="55">
        <v>2203</v>
      </c>
      <c r="G42" s="55">
        <v>0</v>
      </c>
      <c r="H42" s="55">
        <v>1328</v>
      </c>
      <c r="I42" s="55">
        <v>0</v>
      </c>
      <c r="K42" s="54">
        <f>SUM(L42:R42)</f>
        <v>5</v>
      </c>
      <c r="L42" s="55">
        <v>0</v>
      </c>
      <c r="M42" s="55">
        <v>0</v>
      </c>
      <c r="N42" s="55">
        <v>1</v>
      </c>
      <c r="O42" s="55">
        <v>3</v>
      </c>
      <c r="P42" s="55">
        <v>0</v>
      </c>
      <c r="Q42" s="55">
        <v>1</v>
      </c>
      <c r="R42" s="55">
        <v>0</v>
      </c>
      <c r="T42" s="61">
        <f>SUM(C42/B42)</f>
        <v>0</v>
      </c>
      <c r="U42" s="61">
        <f>SUM(D42/B42)</f>
        <v>0</v>
      </c>
      <c r="V42" s="61">
        <f>SUM(E42/B42)</f>
        <v>0.20149253731343283</v>
      </c>
      <c r="W42" s="61">
        <f>SUM(F42/B42)</f>
        <v>0.49819086386250566</v>
      </c>
      <c r="X42" s="61">
        <f>SUM(G42/B42)</f>
        <v>0</v>
      </c>
      <c r="Y42" s="61">
        <f>SUM(H42/B42)</f>
        <v>0.30031659882406153</v>
      </c>
      <c r="Z42" s="61">
        <f>SUM(I42/B42)</f>
        <v>0</v>
      </c>
    </row>
    <row r="43" spans="1:26">
      <c r="A43" s="56" t="s">
        <v>1564</v>
      </c>
      <c r="B43" s="54">
        <f>SUM(C43:I43)</f>
        <v>3727</v>
      </c>
      <c r="C43" s="55">
        <v>1644</v>
      </c>
      <c r="D43" s="55">
        <v>753</v>
      </c>
      <c r="E43" s="55">
        <v>673</v>
      </c>
      <c r="F43" s="55">
        <v>657</v>
      </c>
      <c r="G43" s="55">
        <v>0</v>
      </c>
      <c r="H43" s="55">
        <v>0</v>
      </c>
      <c r="I43" s="55">
        <v>0</v>
      </c>
      <c r="K43" s="54">
        <f>SUM(L43:R43)</f>
        <v>5</v>
      </c>
      <c r="L43" s="55">
        <v>2</v>
      </c>
      <c r="M43" s="55">
        <v>1</v>
      </c>
      <c r="N43" s="55">
        <v>1</v>
      </c>
      <c r="O43" s="55">
        <v>1</v>
      </c>
      <c r="P43" s="55">
        <v>0</v>
      </c>
      <c r="Q43" s="55">
        <v>0</v>
      </c>
      <c r="R43" s="55">
        <v>0</v>
      </c>
      <c r="T43" s="61">
        <f>SUM(C43/B43)</f>
        <v>0.44110544674000535</v>
      </c>
      <c r="U43" s="61">
        <f>SUM(D43/B43)</f>
        <v>0.20203917359806814</v>
      </c>
      <c r="V43" s="61">
        <f>SUM(E43/B43)</f>
        <v>0.1805741883552455</v>
      </c>
      <c r="W43" s="61">
        <f>SUM(F43/B43)</f>
        <v>0.17628119130668099</v>
      </c>
      <c r="X43" s="61">
        <f>SUM(G43/B43)</f>
        <v>0</v>
      </c>
      <c r="Y43" s="61">
        <f>SUM(H43/B43)</f>
        <v>0</v>
      </c>
      <c r="Z43" s="61">
        <f>SUM(I43/B43)</f>
        <v>0</v>
      </c>
    </row>
    <row r="44" spans="1:26" s="52" customFormat="1">
      <c r="A44" s="53" t="s">
        <v>1561</v>
      </c>
      <c r="B44" s="54">
        <f>SUM(B41:B43)</f>
        <v>13177</v>
      </c>
      <c r="C44" s="54">
        <f t="shared" ref="C44:R44" si="14">SUM(C41:C43)</f>
        <v>3153</v>
      </c>
      <c r="D44" s="54">
        <f t="shared" si="14"/>
        <v>1512</v>
      </c>
      <c r="E44" s="54">
        <f>SUM(E41:E43)</f>
        <v>3054</v>
      </c>
      <c r="F44" s="54">
        <f t="shared" si="14"/>
        <v>4130</v>
      </c>
      <c r="G44" s="54">
        <f t="shared" si="14"/>
        <v>0</v>
      </c>
      <c r="H44" s="54">
        <f>SUM(H41:H43)</f>
        <v>1328</v>
      </c>
      <c r="I44" s="54">
        <f t="shared" si="14"/>
        <v>0</v>
      </c>
      <c r="J44" s="54"/>
      <c r="K44" s="54">
        <f t="shared" si="14"/>
        <v>15</v>
      </c>
      <c r="L44" s="54">
        <f t="shared" si="14"/>
        <v>3</v>
      </c>
      <c r="M44" s="54">
        <f t="shared" si="14"/>
        <v>2</v>
      </c>
      <c r="N44" s="54">
        <f>SUM(N41:N43)</f>
        <v>3</v>
      </c>
      <c r="O44" s="54">
        <f t="shared" si="14"/>
        <v>6</v>
      </c>
      <c r="P44" s="54">
        <f t="shared" si="14"/>
        <v>0</v>
      </c>
      <c r="Q44" s="54">
        <f>SUM(Q41:Q43)</f>
        <v>1</v>
      </c>
      <c r="R44" s="54">
        <f t="shared" si="14"/>
        <v>0</v>
      </c>
      <c r="T44" s="60">
        <f>SUM(C44/B44)</f>
        <v>0.2392805646201715</v>
      </c>
      <c r="U44" s="60">
        <f>SUM(D44/B44)</f>
        <v>0.11474538969416408</v>
      </c>
      <c r="V44" s="60">
        <f>SUM(E44/B44)</f>
        <v>0.23176747362829173</v>
      </c>
      <c r="W44" s="60">
        <f>SUM(F44/B44)</f>
        <v>0.31342490703498521</v>
      </c>
      <c r="X44" s="60">
        <f>SUM(G44/B44)</f>
        <v>0</v>
      </c>
      <c r="Y44" s="60">
        <f>SUM(H44/B44)</f>
        <v>0.10078166502238749</v>
      </c>
      <c r="Z44" s="60">
        <f>SUM(I44/B44)</f>
        <v>0</v>
      </c>
    </row>
    <row r="45" spans="1:26">
      <c r="A45" s="53"/>
      <c r="B45" s="54"/>
      <c r="C45" s="55"/>
      <c r="D45" s="55"/>
      <c r="E45" s="55"/>
      <c r="F45" s="55"/>
      <c r="G45" s="55"/>
      <c r="H45" s="55"/>
      <c r="I45" s="55"/>
      <c r="K45" s="54"/>
      <c r="L45" s="55"/>
      <c r="M45" s="55"/>
      <c r="N45" s="55"/>
      <c r="O45" s="55"/>
      <c r="P45" s="55"/>
      <c r="Q45" s="55"/>
      <c r="R45" s="55"/>
    </row>
    <row r="46" spans="1:26">
      <c r="A46" s="56" t="s">
        <v>1565</v>
      </c>
      <c r="B46" s="54">
        <f>SUM(C46:I46)</f>
        <v>6377</v>
      </c>
      <c r="C46" s="55">
        <v>2153</v>
      </c>
      <c r="D46" s="55">
        <v>2398</v>
      </c>
      <c r="E46" s="55">
        <v>694</v>
      </c>
      <c r="F46" s="55">
        <v>366</v>
      </c>
      <c r="G46" s="55">
        <v>386</v>
      </c>
      <c r="H46" s="55">
        <v>380</v>
      </c>
      <c r="I46" s="55">
        <v>0</v>
      </c>
      <c r="K46" s="54">
        <f>SUM(L46:R46)</f>
        <v>6</v>
      </c>
      <c r="L46" s="55">
        <v>2</v>
      </c>
      <c r="M46" s="55">
        <v>3</v>
      </c>
      <c r="N46" s="55">
        <v>1</v>
      </c>
      <c r="O46" s="55">
        <v>0</v>
      </c>
      <c r="P46" s="55">
        <v>0</v>
      </c>
      <c r="Q46" s="55">
        <v>0</v>
      </c>
      <c r="R46" s="55">
        <v>0</v>
      </c>
      <c r="T46" s="61">
        <f>SUM(C46/B46)</f>
        <v>0.33761957033087658</v>
      </c>
      <c r="U46" s="61">
        <f>SUM(D46/B46)</f>
        <v>0.37603888976007527</v>
      </c>
      <c r="V46" s="61">
        <f>SUM(E46/B46)</f>
        <v>0.10882860279128116</v>
      </c>
      <c r="W46" s="61">
        <f>SUM(F46/B46)</f>
        <v>5.7393758820762114E-2</v>
      </c>
      <c r="X46" s="61">
        <f>SUM(G46/B46)</f>
        <v>6.0530029794574253E-2</v>
      </c>
      <c r="Y46" s="61">
        <f>SUM(H46/B46)</f>
        <v>5.9589148502430613E-2</v>
      </c>
      <c r="Z46" s="61">
        <f>SUM(I46/B46)</f>
        <v>0</v>
      </c>
    </row>
    <row r="47" spans="1:26">
      <c r="A47" s="56" t="s">
        <v>1566</v>
      </c>
      <c r="B47" s="54">
        <f>SUM(C47:I47)</f>
        <v>3987</v>
      </c>
      <c r="C47" s="55">
        <v>2291</v>
      </c>
      <c r="D47" s="55">
        <v>1163</v>
      </c>
      <c r="E47" s="55">
        <v>227</v>
      </c>
      <c r="F47" s="55">
        <v>121</v>
      </c>
      <c r="G47" s="55">
        <v>185</v>
      </c>
      <c r="H47" s="55">
        <v>0</v>
      </c>
      <c r="I47" s="55">
        <v>0</v>
      </c>
      <c r="K47" s="54">
        <f>SUM(L47:R47)</f>
        <v>5</v>
      </c>
      <c r="L47" s="55">
        <v>3</v>
      </c>
      <c r="M47" s="55">
        <v>2</v>
      </c>
      <c r="N47" s="55">
        <v>0</v>
      </c>
      <c r="O47" s="55">
        <v>0</v>
      </c>
      <c r="P47" s="55">
        <v>0</v>
      </c>
      <c r="Q47" s="55">
        <v>0</v>
      </c>
      <c r="R47" s="55">
        <v>0</v>
      </c>
      <c r="T47" s="61">
        <f>SUM(C47/B47)</f>
        <v>0.57461750689741664</v>
      </c>
      <c r="U47" s="61">
        <f>SUM(D47/B47)</f>
        <v>0.29169801856032107</v>
      </c>
      <c r="V47" s="61">
        <f>SUM(E47/B47)</f>
        <v>5.6935038876348133E-2</v>
      </c>
      <c r="W47" s="61">
        <f>SUM(F47/B47)</f>
        <v>3.034863305743667E-2</v>
      </c>
      <c r="X47" s="61">
        <f>SUM(G47/B47)</f>
        <v>4.6400802608477551E-2</v>
      </c>
      <c r="Y47" s="61">
        <f>SUM(H47/B47)</f>
        <v>0</v>
      </c>
      <c r="Z47" s="61">
        <f>SUM(I47/B47)</f>
        <v>0</v>
      </c>
    </row>
    <row r="48" spans="1:26">
      <c r="A48" s="56" t="s">
        <v>1567</v>
      </c>
      <c r="B48" s="54">
        <f>SUM(C48:I48)</f>
        <v>6995</v>
      </c>
      <c r="C48" s="55">
        <v>2376</v>
      </c>
      <c r="D48" s="55">
        <v>2353</v>
      </c>
      <c r="E48" s="55">
        <v>1371</v>
      </c>
      <c r="F48" s="55">
        <v>895</v>
      </c>
      <c r="G48" s="55">
        <v>0</v>
      </c>
      <c r="H48" s="55">
        <v>0</v>
      </c>
      <c r="I48" s="55">
        <v>0</v>
      </c>
      <c r="K48" s="54">
        <f>SUM(L48:R48)</f>
        <v>6</v>
      </c>
      <c r="L48" s="55">
        <v>2</v>
      </c>
      <c r="M48" s="55">
        <v>2</v>
      </c>
      <c r="N48" s="55">
        <v>1</v>
      </c>
      <c r="O48" s="55">
        <v>1</v>
      </c>
      <c r="P48" s="55">
        <v>0</v>
      </c>
      <c r="Q48" s="55">
        <v>0</v>
      </c>
      <c r="R48" s="55">
        <v>0</v>
      </c>
      <c r="T48" s="61">
        <f>SUM(C48/B48)</f>
        <v>0.33967119370979271</v>
      </c>
      <c r="U48" s="61">
        <f>SUM(D48/B48)</f>
        <v>0.33638313080771981</v>
      </c>
      <c r="V48" s="61">
        <f>SUM(E48/B48)</f>
        <v>0.19599714081486777</v>
      </c>
      <c r="W48" s="61">
        <f>SUM(F48/B48)</f>
        <v>0.12794853466761974</v>
      </c>
      <c r="X48" s="61">
        <f>SUM(G48/B48)</f>
        <v>0</v>
      </c>
      <c r="Y48" s="61">
        <f>SUM(H48/B48)</f>
        <v>0</v>
      </c>
      <c r="Z48" s="61">
        <f>SUM(I48/B48)</f>
        <v>0</v>
      </c>
    </row>
    <row r="49" spans="1:26">
      <c r="A49" s="56" t="s">
        <v>1568</v>
      </c>
      <c r="B49" s="54">
        <f>SUM(C49:I49)</f>
        <v>4702</v>
      </c>
      <c r="C49" s="55">
        <v>1322</v>
      </c>
      <c r="D49" s="55">
        <v>1147</v>
      </c>
      <c r="E49" s="55">
        <v>418</v>
      </c>
      <c r="F49" s="55">
        <v>352</v>
      </c>
      <c r="G49" s="55">
        <v>455</v>
      </c>
      <c r="H49" s="55">
        <v>1008</v>
      </c>
      <c r="I49" s="55">
        <v>0</v>
      </c>
      <c r="K49" s="54">
        <f>SUM(L49:R49)</f>
        <v>5</v>
      </c>
      <c r="L49" s="55">
        <v>2</v>
      </c>
      <c r="M49" s="55">
        <v>1</v>
      </c>
      <c r="N49" s="55">
        <v>1</v>
      </c>
      <c r="O49" s="55">
        <v>0</v>
      </c>
      <c r="P49" s="55">
        <v>0</v>
      </c>
      <c r="Q49" s="55">
        <v>1</v>
      </c>
      <c r="R49" s="55">
        <v>0</v>
      </c>
      <c r="T49" s="61">
        <f>SUM(C49/B49)</f>
        <v>0.28115695448745215</v>
      </c>
      <c r="U49" s="61">
        <f>SUM(D49/B49)</f>
        <v>0.24393874946831134</v>
      </c>
      <c r="V49" s="61">
        <f>SUM(E49/B49)</f>
        <v>8.8898341131433439E-2</v>
      </c>
      <c r="W49" s="61">
        <f>SUM(F49/B49)</f>
        <v>7.4861760952786044E-2</v>
      </c>
      <c r="X49" s="61">
        <f>SUM(G49/B49)</f>
        <v>9.6767333049766063E-2</v>
      </c>
      <c r="Y49" s="61">
        <f>SUM(H49/B49)</f>
        <v>0.21437686091025096</v>
      </c>
      <c r="Z49" s="61">
        <f>SUM(I49/B49)</f>
        <v>0</v>
      </c>
    </row>
    <row r="50" spans="1:26" s="52" customFormat="1">
      <c r="A50" s="53" t="s">
        <v>1569</v>
      </c>
      <c r="B50" s="54">
        <f>SUM(B46:B49)</f>
        <v>22061</v>
      </c>
      <c r="C50" s="54">
        <f t="shared" ref="C50:R50" si="15">SUM(C46:C49)</f>
        <v>8142</v>
      </c>
      <c r="D50" s="54">
        <f t="shared" si="15"/>
        <v>7061</v>
      </c>
      <c r="E50" s="54">
        <f>SUM(E46:E49)</f>
        <v>2710</v>
      </c>
      <c r="F50" s="54">
        <f t="shared" si="15"/>
        <v>1734</v>
      </c>
      <c r="G50" s="54">
        <f t="shared" si="15"/>
        <v>1026</v>
      </c>
      <c r="H50" s="54">
        <f>SUM(H46:H49)</f>
        <v>1388</v>
      </c>
      <c r="I50" s="54">
        <f t="shared" si="15"/>
        <v>0</v>
      </c>
      <c r="J50" s="54"/>
      <c r="K50" s="54">
        <f t="shared" si="15"/>
        <v>22</v>
      </c>
      <c r="L50" s="54">
        <f t="shared" si="15"/>
        <v>9</v>
      </c>
      <c r="M50" s="54">
        <f t="shared" si="15"/>
        <v>8</v>
      </c>
      <c r="N50" s="54">
        <f>SUM(N46:N49)</f>
        <v>3</v>
      </c>
      <c r="O50" s="54">
        <f t="shared" si="15"/>
        <v>1</v>
      </c>
      <c r="P50" s="54">
        <f t="shared" si="15"/>
        <v>0</v>
      </c>
      <c r="Q50" s="54">
        <f>SUM(Q46:Q49)</f>
        <v>1</v>
      </c>
      <c r="R50" s="54">
        <f t="shared" si="15"/>
        <v>0</v>
      </c>
      <c r="T50" s="60">
        <f>SUM(C50/B50)</f>
        <v>0.36906758533158063</v>
      </c>
      <c r="U50" s="60">
        <f>SUM(D50/B50)</f>
        <v>0.32006708671411088</v>
      </c>
      <c r="V50" s="60">
        <f>SUM(E50/B50)</f>
        <v>0.12284121300031731</v>
      </c>
      <c r="W50" s="60">
        <f>SUM(F50/B50)</f>
        <v>7.8600244775848788E-2</v>
      </c>
      <c r="X50" s="60">
        <f>SUM(G50/B50)</f>
        <v>4.6507411268754816E-2</v>
      </c>
      <c r="Y50" s="60">
        <f>SUM(H50/B50)</f>
        <v>6.2916458909387601E-2</v>
      </c>
      <c r="Z50" s="60">
        <f>SUM(I50/B50)</f>
        <v>0</v>
      </c>
    </row>
    <row r="51" spans="1:26">
      <c r="A51" s="53"/>
      <c r="B51" s="54"/>
      <c r="C51" s="55"/>
      <c r="D51" s="55"/>
      <c r="E51" s="55"/>
      <c r="F51" s="55"/>
      <c r="G51" s="55"/>
      <c r="H51" s="55"/>
      <c r="I51" s="55"/>
      <c r="J51" s="55"/>
      <c r="K51" s="54"/>
      <c r="L51" s="55"/>
      <c r="M51" s="55"/>
      <c r="N51" s="55"/>
      <c r="O51" s="55"/>
      <c r="P51" s="55"/>
      <c r="Q51" s="55"/>
      <c r="R51" s="55"/>
    </row>
    <row r="52" spans="1:26">
      <c r="A52" s="56" t="s">
        <v>1570</v>
      </c>
      <c r="B52" s="54">
        <f>SUM(C52:I52)</f>
        <v>6288</v>
      </c>
      <c r="C52" s="55">
        <v>1004</v>
      </c>
      <c r="D52" s="55">
        <v>931</v>
      </c>
      <c r="E52" s="55">
        <v>1734</v>
      </c>
      <c r="F52" s="55">
        <v>2028</v>
      </c>
      <c r="G52" s="55">
        <v>0</v>
      </c>
      <c r="H52" s="55">
        <v>591</v>
      </c>
      <c r="I52" s="55">
        <v>0</v>
      </c>
      <c r="K52" s="54">
        <f>SUM(L52:R52)</f>
        <v>6</v>
      </c>
      <c r="L52" s="55">
        <v>1</v>
      </c>
      <c r="M52" s="55">
        <v>1</v>
      </c>
      <c r="N52" s="55">
        <v>2</v>
      </c>
      <c r="O52" s="55">
        <v>2</v>
      </c>
      <c r="P52" s="55">
        <v>0</v>
      </c>
      <c r="Q52" s="55">
        <v>0</v>
      </c>
      <c r="R52" s="55">
        <v>0</v>
      </c>
      <c r="T52" s="61">
        <f>SUM(C52/B52)</f>
        <v>0.15966921119592875</v>
      </c>
      <c r="U52" s="61">
        <f>SUM(D52/B52)</f>
        <v>0.14805979643765904</v>
      </c>
      <c r="V52" s="61">
        <f>SUM(E52/B52)</f>
        <v>0.27576335877862596</v>
      </c>
      <c r="W52" s="61">
        <f>SUM(F52/B52)</f>
        <v>0.32251908396946566</v>
      </c>
      <c r="X52" s="61">
        <f>SUM(G52/B52)</f>
        <v>0</v>
      </c>
      <c r="Y52" s="61">
        <f>SUM(H52/B52)</f>
        <v>9.3988549618320608E-2</v>
      </c>
      <c r="Z52" s="61">
        <f>SUM(I52/B52)</f>
        <v>0</v>
      </c>
    </row>
    <row r="53" spans="1:26">
      <c r="A53" s="56" t="s">
        <v>1571</v>
      </c>
      <c r="B53" s="54">
        <f>SUM(C53:I53)</f>
        <v>6130</v>
      </c>
      <c r="C53" s="55">
        <v>922</v>
      </c>
      <c r="D53" s="55">
        <v>810</v>
      </c>
      <c r="E53" s="55">
        <v>2041</v>
      </c>
      <c r="F53" s="55">
        <v>2357</v>
      </c>
      <c r="G53" s="55">
        <v>0</v>
      </c>
      <c r="H53" s="55">
        <v>0</v>
      </c>
      <c r="I53" s="55">
        <v>0</v>
      </c>
      <c r="K53" s="54">
        <f>SUM(L53:R53)</f>
        <v>5</v>
      </c>
      <c r="L53" s="55">
        <v>1</v>
      </c>
      <c r="M53" s="55">
        <v>0</v>
      </c>
      <c r="N53" s="55">
        <v>2</v>
      </c>
      <c r="O53" s="55">
        <v>2</v>
      </c>
      <c r="P53" s="55">
        <v>0</v>
      </c>
      <c r="Q53" s="55">
        <v>0</v>
      </c>
      <c r="R53" s="55">
        <v>0</v>
      </c>
      <c r="T53" s="61">
        <f>SUM(C53/B53)</f>
        <v>0.15040783034257749</v>
      </c>
      <c r="U53" s="61">
        <f>SUM(D53/B53)</f>
        <v>0.13213703099510604</v>
      </c>
      <c r="V53" s="61">
        <f>SUM(E53/B53)</f>
        <v>0.33295269168026104</v>
      </c>
      <c r="W53" s="61">
        <f>SUM(F53/B53)</f>
        <v>0.38450244698205549</v>
      </c>
      <c r="X53" s="61">
        <f>SUM(G53/B53)</f>
        <v>0</v>
      </c>
      <c r="Y53" s="61">
        <f>SUM(H53/B53)</f>
        <v>0</v>
      </c>
      <c r="Z53" s="61">
        <f>SUM(I53/B53)</f>
        <v>0</v>
      </c>
    </row>
    <row r="54" spans="1:26">
      <c r="A54" s="56" t="s">
        <v>1572</v>
      </c>
      <c r="B54" s="54">
        <f>SUM(C54:I54)</f>
        <v>8061</v>
      </c>
      <c r="C54" s="55">
        <v>3844</v>
      </c>
      <c r="D54" s="55">
        <v>2444</v>
      </c>
      <c r="E54" s="55">
        <v>794</v>
      </c>
      <c r="F54" s="55">
        <v>655</v>
      </c>
      <c r="G54" s="55">
        <v>0</v>
      </c>
      <c r="H54" s="55">
        <v>324</v>
      </c>
      <c r="I54" s="55">
        <v>0</v>
      </c>
      <c r="K54" s="54">
        <f>SUM(L54:R54)</f>
        <v>6</v>
      </c>
      <c r="L54" s="55">
        <v>3</v>
      </c>
      <c r="M54" s="55">
        <v>2</v>
      </c>
      <c r="N54" s="55">
        <v>1</v>
      </c>
      <c r="O54" s="55">
        <v>0</v>
      </c>
      <c r="P54" s="55">
        <v>0</v>
      </c>
      <c r="Q54" s="55">
        <v>0</v>
      </c>
      <c r="R54" s="55">
        <v>0</v>
      </c>
      <c r="T54" s="61">
        <f>SUM(C54/B54)</f>
        <v>0.47686391266592232</v>
      </c>
      <c r="U54" s="61">
        <f>SUM(D54/B54)</f>
        <v>0.30318819005086217</v>
      </c>
      <c r="V54" s="61">
        <f>SUM(E54/B54)</f>
        <v>9.8498945540255553E-2</v>
      </c>
      <c r="W54" s="61">
        <f>SUM(F54/B54)</f>
        <v>8.125542736633172E-2</v>
      </c>
      <c r="X54" s="61">
        <f>SUM(G54/B54)</f>
        <v>0</v>
      </c>
      <c r="Y54" s="61">
        <f>SUM(H54/B54)</f>
        <v>4.0193524376628209E-2</v>
      </c>
      <c r="Z54" s="61">
        <f>SUM(I54/B54)</f>
        <v>0</v>
      </c>
    </row>
    <row r="55" spans="1:26">
      <c r="A55" s="56" t="s">
        <v>1573</v>
      </c>
      <c r="B55" s="54">
        <f>SUM(C55:I55)</f>
        <v>7457</v>
      </c>
      <c r="C55" s="55">
        <v>2190</v>
      </c>
      <c r="D55" s="55">
        <v>2937</v>
      </c>
      <c r="E55" s="55">
        <v>1136</v>
      </c>
      <c r="F55" s="55">
        <v>1194</v>
      </c>
      <c r="G55" s="55">
        <v>0</v>
      </c>
      <c r="H55" s="55">
        <v>0</v>
      </c>
      <c r="I55" s="55">
        <v>0</v>
      </c>
      <c r="K55" s="54">
        <f>SUM(L55:R55)</f>
        <v>5</v>
      </c>
      <c r="L55" s="55">
        <v>1</v>
      </c>
      <c r="M55" s="55">
        <v>2</v>
      </c>
      <c r="N55" s="55">
        <v>1</v>
      </c>
      <c r="O55" s="55">
        <v>1</v>
      </c>
      <c r="P55" s="55">
        <v>0</v>
      </c>
      <c r="Q55" s="55">
        <v>0</v>
      </c>
      <c r="R55" s="55">
        <v>0</v>
      </c>
      <c r="T55" s="61">
        <f>SUM(C55/B55)</f>
        <v>0.29368378704572884</v>
      </c>
      <c r="U55" s="61">
        <f>SUM(D55/B55)</f>
        <v>0.39385811988735414</v>
      </c>
      <c r="V55" s="61">
        <f>SUM(E55/B55)</f>
        <v>0.15234008314335523</v>
      </c>
      <c r="W55" s="61">
        <f>SUM(F55/B55)</f>
        <v>0.16011800992356176</v>
      </c>
      <c r="X55" s="61">
        <f>SUM(G55/B55)</f>
        <v>0</v>
      </c>
      <c r="Y55" s="61">
        <f>SUM(H55/B55)</f>
        <v>0</v>
      </c>
      <c r="Z55" s="61">
        <f>SUM(I55/B55)</f>
        <v>0</v>
      </c>
    </row>
    <row r="56" spans="1:26" s="52" customFormat="1">
      <c r="A56" s="53" t="s">
        <v>1574</v>
      </c>
      <c r="B56" s="54">
        <f>SUM(B52:B55)</f>
        <v>27936</v>
      </c>
      <c r="C56" s="54">
        <f t="shared" ref="C56:R56" si="16">SUM(C52:C55)</f>
        <v>7960</v>
      </c>
      <c r="D56" s="54">
        <f t="shared" si="16"/>
        <v>7122</v>
      </c>
      <c r="E56" s="54">
        <f>SUM(E52:E55)</f>
        <v>5705</v>
      </c>
      <c r="F56" s="54">
        <f t="shared" si="16"/>
        <v>6234</v>
      </c>
      <c r="G56" s="54">
        <f t="shared" si="16"/>
        <v>0</v>
      </c>
      <c r="H56" s="54">
        <f>SUM(H52:H55)</f>
        <v>915</v>
      </c>
      <c r="I56" s="54">
        <f t="shared" si="16"/>
        <v>0</v>
      </c>
      <c r="J56" s="54"/>
      <c r="K56" s="54">
        <f t="shared" si="16"/>
        <v>22</v>
      </c>
      <c r="L56" s="54">
        <f t="shared" si="16"/>
        <v>6</v>
      </c>
      <c r="M56" s="54">
        <f t="shared" si="16"/>
        <v>5</v>
      </c>
      <c r="N56" s="54">
        <f>SUM(N52:N55)</f>
        <v>6</v>
      </c>
      <c r="O56" s="54">
        <f t="shared" si="16"/>
        <v>5</v>
      </c>
      <c r="P56" s="54">
        <f t="shared" si="16"/>
        <v>0</v>
      </c>
      <c r="Q56" s="54">
        <f>SUM(Q52:Q55)</f>
        <v>0</v>
      </c>
      <c r="R56" s="54">
        <f t="shared" si="16"/>
        <v>0</v>
      </c>
      <c r="T56" s="60">
        <f>SUM(C56/B56)</f>
        <v>0.28493699885452461</v>
      </c>
      <c r="U56" s="60">
        <f>SUM(D56/B56)</f>
        <v>0.25493986254295531</v>
      </c>
      <c r="V56" s="60">
        <f>SUM(E56/B56)</f>
        <v>0.20421678121420389</v>
      </c>
      <c r="W56" s="60">
        <f>SUM(F56/B56)</f>
        <v>0.22315292096219932</v>
      </c>
      <c r="X56" s="60">
        <f>SUM(G56/B56)</f>
        <v>0</v>
      </c>
      <c r="Y56" s="60">
        <f>SUM(H56/B56)</f>
        <v>3.275343642611684E-2</v>
      </c>
      <c r="Z56" s="60">
        <f>SUM(I56/B56)</f>
        <v>0</v>
      </c>
    </row>
    <row r="57" spans="1:26">
      <c r="A57" s="53"/>
      <c r="B57" s="54"/>
      <c r="C57" s="55"/>
      <c r="D57" s="55"/>
      <c r="E57" s="55"/>
      <c r="F57" s="55"/>
      <c r="G57" s="55"/>
      <c r="H57" s="55"/>
      <c r="I57" s="55"/>
      <c r="K57" s="54"/>
      <c r="L57" s="55"/>
      <c r="M57" s="55"/>
      <c r="N57" s="55"/>
      <c r="O57" s="55"/>
      <c r="P57" s="55"/>
      <c r="Q57" s="55"/>
      <c r="R57" s="55"/>
    </row>
    <row r="58" spans="1:26">
      <c r="A58" s="56" t="s">
        <v>1575</v>
      </c>
      <c r="B58" s="54">
        <f>SUM(C58:I58)</f>
        <v>7086</v>
      </c>
      <c r="C58" s="55">
        <v>1868</v>
      </c>
      <c r="D58" s="55">
        <v>1787</v>
      </c>
      <c r="E58" s="55">
        <v>1643</v>
      </c>
      <c r="F58" s="55">
        <v>867</v>
      </c>
      <c r="G58" s="55">
        <v>0</v>
      </c>
      <c r="H58" s="55">
        <v>921</v>
      </c>
      <c r="I58" s="55">
        <v>0</v>
      </c>
      <c r="K58" s="54">
        <f>SUM(L58:R58)</f>
        <v>5</v>
      </c>
      <c r="L58" s="55">
        <v>1</v>
      </c>
      <c r="M58" s="55">
        <v>2</v>
      </c>
      <c r="N58" s="55">
        <v>1</v>
      </c>
      <c r="O58" s="55">
        <v>1</v>
      </c>
      <c r="P58" s="55">
        <v>0</v>
      </c>
      <c r="Q58" s="55">
        <v>0</v>
      </c>
      <c r="R58" s="55">
        <v>0</v>
      </c>
      <c r="T58" s="61">
        <f t="shared" ref="T58:T63" si="17">SUM(C58/B58)</f>
        <v>0.26361840248377083</v>
      </c>
      <c r="U58" s="61">
        <f t="shared" ref="U58:U63" si="18">SUM(D58/B58)</f>
        <v>0.25218741179791138</v>
      </c>
      <c r="V58" s="61">
        <f t="shared" ref="V58:V63" si="19">SUM(E58/B58)</f>
        <v>0.2318656505786057</v>
      </c>
      <c r="W58" s="61">
        <f t="shared" ref="W58:W63" si="20">SUM(F58/B58)</f>
        <v>0.12235393734123624</v>
      </c>
      <c r="X58" s="61">
        <f t="shared" ref="X58:X63" si="21">SUM(G58/B58)</f>
        <v>0</v>
      </c>
      <c r="Y58" s="61">
        <f t="shared" ref="Y58:Y63" si="22">SUM(H58/B58)</f>
        <v>0.12997459779847587</v>
      </c>
      <c r="Z58" s="61">
        <f t="shared" ref="Z58:Z63" si="23">SUM(I58/B58)</f>
        <v>0</v>
      </c>
    </row>
    <row r="59" spans="1:26">
      <c r="A59" s="56" t="s">
        <v>1576</v>
      </c>
      <c r="B59" s="54">
        <f>SUM(C59:I59)</f>
        <v>8226</v>
      </c>
      <c r="C59" s="55">
        <v>681</v>
      </c>
      <c r="D59" s="55">
        <v>1765</v>
      </c>
      <c r="E59" s="55">
        <v>2209</v>
      </c>
      <c r="F59" s="55">
        <v>3571</v>
      </c>
      <c r="G59" s="55">
        <v>0</v>
      </c>
      <c r="H59" s="55">
        <v>0</v>
      </c>
      <c r="I59" s="55">
        <v>0</v>
      </c>
      <c r="K59" s="54">
        <f>SUM(L59:R59)</f>
        <v>6</v>
      </c>
      <c r="L59" s="55">
        <v>1</v>
      </c>
      <c r="M59" s="55">
        <v>1</v>
      </c>
      <c r="N59" s="55">
        <v>1</v>
      </c>
      <c r="O59" s="55">
        <v>3</v>
      </c>
      <c r="P59" s="55">
        <v>0</v>
      </c>
      <c r="Q59" s="55">
        <v>0</v>
      </c>
      <c r="R59" s="55">
        <v>0</v>
      </c>
      <c r="T59" s="61">
        <f t="shared" si="17"/>
        <v>8.2786287381473381E-2</v>
      </c>
      <c r="U59" s="61">
        <f t="shared" si="18"/>
        <v>0.21456357889618283</v>
      </c>
      <c r="V59" s="61">
        <f t="shared" si="19"/>
        <v>0.26853877947969851</v>
      </c>
      <c r="W59" s="61">
        <f t="shared" si="20"/>
        <v>0.4341113542426453</v>
      </c>
      <c r="X59" s="61">
        <f t="shared" si="21"/>
        <v>0</v>
      </c>
      <c r="Y59" s="61">
        <f t="shared" si="22"/>
        <v>0</v>
      </c>
      <c r="Z59" s="61">
        <f t="shared" si="23"/>
        <v>0</v>
      </c>
    </row>
    <row r="60" spans="1:26">
      <c r="A60" s="56" t="s">
        <v>1577</v>
      </c>
      <c r="B60" s="54">
        <f>SUM(C60:I60)</f>
        <v>8554</v>
      </c>
      <c r="C60" s="55">
        <v>0</v>
      </c>
      <c r="D60" s="55">
        <v>550</v>
      </c>
      <c r="E60" s="55">
        <v>2606</v>
      </c>
      <c r="F60" s="55">
        <v>3975</v>
      </c>
      <c r="G60" s="55">
        <v>0</v>
      </c>
      <c r="H60" s="55">
        <v>1423</v>
      </c>
      <c r="I60" s="55">
        <v>0</v>
      </c>
      <c r="K60" s="54">
        <f>SUM(L60:R60)</f>
        <v>7</v>
      </c>
      <c r="L60" s="55">
        <v>0</v>
      </c>
      <c r="M60" s="55">
        <v>0</v>
      </c>
      <c r="N60" s="55">
        <v>3</v>
      </c>
      <c r="O60" s="55">
        <v>3</v>
      </c>
      <c r="P60" s="55">
        <v>0</v>
      </c>
      <c r="Q60" s="55">
        <v>1</v>
      </c>
      <c r="R60" s="55">
        <v>0</v>
      </c>
      <c r="T60" s="61">
        <f t="shared" si="17"/>
        <v>0</v>
      </c>
      <c r="U60" s="61">
        <f t="shared" si="18"/>
        <v>6.4297404722936644E-2</v>
      </c>
      <c r="V60" s="61">
        <f t="shared" si="19"/>
        <v>0.30465279401449613</v>
      </c>
      <c r="W60" s="61">
        <f t="shared" si="20"/>
        <v>0.46469487958849659</v>
      </c>
      <c r="X60" s="61">
        <f t="shared" si="21"/>
        <v>0</v>
      </c>
      <c r="Y60" s="61">
        <f t="shared" si="22"/>
        <v>0.16635492167407062</v>
      </c>
      <c r="Z60" s="61">
        <f t="shared" si="23"/>
        <v>0</v>
      </c>
    </row>
    <row r="61" spans="1:26">
      <c r="A61" s="56" t="s">
        <v>1578</v>
      </c>
      <c r="B61" s="54">
        <f>SUM(C61:I61)</f>
        <v>10630</v>
      </c>
      <c r="C61" s="55">
        <v>300</v>
      </c>
      <c r="D61" s="55">
        <v>510</v>
      </c>
      <c r="E61" s="55">
        <v>4184</v>
      </c>
      <c r="F61" s="55">
        <v>3321</v>
      </c>
      <c r="G61" s="55">
        <v>0</v>
      </c>
      <c r="H61" s="55">
        <v>1452</v>
      </c>
      <c r="I61" s="55">
        <v>863</v>
      </c>
      <c r="K61" s="54">
        <f>SUM(L61:R61)</f>
        <v>7</v>
      </c>
      <c r="L61" s="55">
        <v>0</v>
      </c>
      <c r="M61" s="55">
        <v>0</v>
      </c>
      <c r="N61" s="55">
        <v>3</v>
      </c>
      <c r="O61" s="55">
        <v>2</v>
      </c>
      <c r="P61" s="55">
        <v>0</v>
      </c>
      <c r="Q61" s="55">
        <v>1</v>
      </c>
      <c r="R61" s="55">
        <v>1</v>
      </c>
      <c r="T61" s="61">
        <f t="shared" si="17"/>
        <v>2.8222013170272814E-2</v>
      </c>
      <c r="U61" s="61">
        <f t="shared" si="18"/>
        <v>4.7977422389463779E-2</v>
      </c>
      <c r="V61" s="61">
        <f t="shared" si="19"/>
        <v>0.39360301034807149</v>
      </c>
      <c r="W61" s="61">
        <f t="shared" si="20"/>
        <v>0.31241768579492002</v>
      </c>
      <c r="X61" s="61">
        <f t="shared" si="21"/>
        <v>0</v>
      </c>
      <c r="Y61" s="61">
        <f t="shared" si="22"/>
        <v>0.13659454374412042</v>
      </c>
      <c r="Z61" s="61">
        <f t="shared" si="23"/>
        <v>8.1185324553151458E-2</v>
      </c>
    </row>
    <row r="62" spans="1:26">
      <c r="A62" s="56" t="s">
        <v>1579</v>
      </c>
      <c r="B62" s="54">
        <f>SUM(C62:I62)</f>
        <v>8238</v>
      </c>
      <c r="C62" s="55">
        <v>0</v>
      </c>
      <c r="D62" s="55">
        <v>0</v>
      </c>
      <c r="E62" s="55">
        <v>1973</v>
      </c>
      <c r="F62" s="55">
        <v>6265</v>
      </c>
      <c r="G62" s="55">
        <v>0</v>
      </c>
      <c r="H62" s="55">
        <v>0</v>
      </c>
      <c r="I62" s="55">
        <v>0</v>
      </c>
      <c r="K62" s="54">
        <f>SUM(L62:R62)</f>
        <v>5</v>
      </c>
      <c r="L62" s="55">
        <v>0</v>
      </c>
      <c r="M62" s="55">
        <v>0</v>
      </c>
      <c r="N62" s="55">
        <v>1</v>
      </c>
      <c r="O62" s="55">
        <v>4</v>
      </c>
      <c r="P62" s="55">
        <v>0</v>
      </c>
      <c r="Q62" s="55">
        <v>0</v>
      </c>
      <c r="R62" s="55">
        <v>0</v>
      </c>
      <c r="T62" s="61">
        <f t="shared" si="17"/>
        <v>0</v>
      </c>
      <c r="U62" s="61">
        <f t="shared" si="18"/>
        <v>0</v>
      </c>
      <c r="V62" s="61">
        <f t="shared" si="19"/>
        <v>0.23949987861131342</v>
      </c>
      <c r="W62" s="61">
        <f t="shared" si="20"/>
        <v>0.76050012138868661</v>
      </c>
      <c r="X62" s="61">
        <f t="shared" si="21"/>
        <v>0</v>
      </c>
      <c r="Y62" s="61">
        <f t="shared" si="22"/>
        <v>0</v>
      </c>
      <c r="Z62" s="61">
        <f t="shared" si="23"/>
        <v>0</v>
      </c>
    </row>
    <row r="63" spans="1:26" s="52" customFormat="1">
      <c r="A63" s="53" t="s">
        <v>1580</v>
      </c>
      <c r="B63" s="54">
        <f>SUM(B58:B62)</f>
        <v>42734</v>
      </c>
      <c r="C63" s="54">
        <f t="shared" ref="C63:R63" si="24">SUM(C58:C62)</f>
        <v>2849</v>
      </c>
      <c r="D63" s="54">
        <f t="shared" si="24"/>
        <v>4612</v>
      </c>
      <c r="E63" s="54">
        <f>SUM(E58:E62)</f>
        <v>12615</v>
      </c>
      <c r="F63" s="54">
        <f t="shared" si="24"/>
        <v>17999</v>
      </c>
      <c r="G63" s="54">
        <f t="shared" si="24"/>
        <v>0</v>
      </c>
      <c r="H63" s="54">
        <f>SUM(H58:H62)</f>
        <v>3796</v>
      </c>
      <c r="I63" s="54">
        <f t="shared" si="24"/>
        <v>863</v>
      </c>
      <c r="J63" s="54"/>
      <c r="K63" s="54">
        <f t="shared" si="24"/>
        <v>30</v>
      </c>
      <c r="L63" s="54">
        <f t="shared" si="24"/>
        <v>2</v>
      </c>
      <c r="M63" s="54">
        <f t="shared" si="24"/>
        <v>3</v>
      </c>
      <c r="N63" s="54">
        <f>SUM(N58:N62)</f>
        <v>9</v>
      </c>
      <c r="O63" s="54">
        <f t="shared" si="24"/>
        <v>13</v>
      </c>
      <c r="P63" s="54">
        <f t="shared" si="24"/>
        <v>0</v>
      </c>
      <c r="Q63" s="54">
        <f>SUM(Q58:Q62)</f>
        <v>2</v>
      </c>
      <c r="R63" s="54">
        <f t="shared" si="24"/>
        <v>1</v>
      </c>
      <c r="T63" s="60">
        <f t="shared" si="17"/>
        <v>6.666822670473159E-2</v>
      </c>
      <c r="U63" s="60">
        <f t="shared" si="18"/>
        <v>0.10792343333177329</v>
      </c>
      <c r="V63" s="60">
        <f t="shared" si="19"/>
        <v>0.29519820283614923</v>
      </c>
      <c r="W63" s="60">
        <f t="shared" si="20"/>
        <v>0.42118687695979784</v>
      </c>
      <c r="X63" s="60">
        <f t="shared" si="21"/>
        <v>0</v>
      </c>
      <c r="Y63" s="60">
        <f t="shared" si="22"/>
        <v>8.8828567417044979E-2</v>
      </c>
      <c r="Z63" s="60">
        <f t="shared" si="23"/>
        <v>2.0194692750503111E-2</v>
      </c>
    </row>
    <row r="64" spans="1:26">
      <c r="A64" s="53"/>
      <c r="B64" s="54"/>
      <c r="C64" s="55"/>
      <c r="D64" s="55"/>
      <c r="E64" s="55"/>
      <c r="F64" s="55"/>
      <c r="G64" s="55"/>
      <c r="H64" s="55"/>
      <c r="I64" s="55"/>
      <c r="K64" s="54"/>
      <c r="L64" s="55"/>
      <c r="M64" s="55"/>
      <c r="N64" s="55"/>
      <c r="O64" s="55"/>
      <c r="P64" s="55"/>
      <c r="Q64" s="55"/>
      <c r="R64" s="55"/>
    </row>
    <row r="65" spans="1:26">
      <c r="A65" s="56" t="s">
        <v>1581</v>
      </c>
      <c r="B65" s="54">
        <f>SUM(C65:I65)</f>
        <v>9768</v>
      </c>
      <c r="C65" s="55">
        <v>3847</v>
      </c>
      <c r="D65" s="55">
        <v>3928</v>
      </c>
      <c r="E65" s="55">
        <v>633</v>
      </c>
      <c r="F65" s="55">
        <v>734</v>
      </c>
      <c r="G65" s="55">
        <v>0</v>
      </c>
      <c r="H65" s="55">
        <v>626</v>
      </c>
      <c r="I65" s="55">
        <v>0</v>
      </c>
      <c r="J65" s="55"/>
      <c r="K65" s="54">
        <f>SUM(L65:R65)</f>
        <v>7</v>
      </c>
      <c r="L65" s="55">
        <v>3</v>
      </c>
      <c r="M65" s="55">
        <v>3</v>
      </c>
      <c r="N65" s="55">
        <v>0</v>
      </c>
      <c r="O65" s="55">
        <v>1</v>
      </c>
      <c r="P65" s="55">
        <v>0</v>
      </c>
      <c r="Q65" s="55">
        <v>0</v>
      </c>
      <c r="R65" s="55">
        <v>0</v>
      </c>
      <c r="T65" s="61">
        <f>SUM(C65/B65)</f>
        <v>0.39383701883701883</v>
      </c>
      <c r="U65" s="61">
        <f>SUM(D65/B65)</f>
        <v>0.40212940212940212</v>
      </c>
      <c r="V65" s="61">
        <f>SUM(E65/B65)</f>
        <v>6.4803439803439805E-2</v>
      </c>
      <c r="W65" s="61">
        <f>SUM(F65/B65)</f>
        <v>7.514332514332514E-2</v>
      </c>
      <c r="X65" s="61">
        <f>SUM(G65/B65)</f>
        <v>0</v>
      </c>
      <c r="Y65" s="61">
        <f>SUM(H65/B65)</f>
        <v>6.408681408681409E-2</v>
      </c>
      <c r="Z65" s="61">
        <f>SUM(I65/B65)</f>
        <v>0</v>
      </c>
    </row>
    <row r="66" spans="1:26">
      <c r="A66" s="56" t="s">
        <v>1582</v>
      </c>
      <c r="B66" s="54">
        <f>SUM(C66:I66)</f>
        <v>9403</v>
      </c>
      <c r="C66" s="55">
        <v>3137</v>
      </c>
      <c r="D66" s="55">
        <v>2508</v>
      </c>
      <c r="E66" s="55">
        <v>1238</v>
      </c>
      <c r="F66" s="55">
        <v>1922</v>
      </c>
      <c r="G66" s="55">
        <v>598</v>
      </c>
      <c r="H66" s="55">
        <v>0</v>
      </c>
      <c r="I66" s="55">
        <v>0</v>
      </c>
      <c r="K66" s="54">
        <f>SUM(L66:R66)</f>
        <v>7</v>
      </c>
      <c r="L66" s="55">
        <v>3</v>
      </c>
      <c r="M66" s="55">
        <v>2</v>
      </c>
      <c r="N66" s="55">
        <v>1</v>
      </c>
      <c r="O66" s="55">
        <v>1</v>
      </c>
      <c r="P66" s="55">
        <v>0</v>
      </c>
      <c r="Q66" s="55">
        <v>0</v>
      </c>
      <c r="R66" s="55">
        <v>0</v>
      </c>
      <c r="T66" s="61">
        <f>SUM(C66/B66)</f>
        <v>0.33361693076677656</v>
      </c>
      <c r="U66" s="61">
        <f>SUM(D66/B66)</f>
        <v>0.26672338615335534</v>
      </c>
      <c r="V66" s="61">
        <f>SUM(E66/B66)</f>
        <v>0.13166010847601828</v>
      </c>
      <c r="W66" s="61">
        <f>SUM(F66/B66)</f>
        <v>0.20440285015420612</v>
      </c>
      <c r="X66" s="61">
        <f>SUM(G66/B66)</f>
        <v>6.3596724449643732E-2</v>
      </c>
      <c r="Y66" s="61">
        <f>SUM(H66/B66)</f>
        <v>0</v>
      </c>
      <c r="Z66" s="61">
        <f>SUM(I66/B66)</f>
        <v>0</v>
      </c>
    </row>
    <row r="67" spans="1:26">
      <c r="A67" s="56" t="s">
        <v>1583</v>
      </c>
      <c r="B67" s="54">
        <f>SUM(C67:I67)</f>
        <v>7867</v>
      </c>
      <c r="C67" s="55">
        <v>3345</v>
      </c>
      <c r="D67" s="55">
        <v>1140</v>
      </c>
      <c r="E67" s="55">
        <v>1037</v>
      </c>
      <c r="F67" s="55">
        <v>1296</v>
      </c>
      <c r="G67" s="55">
        <v>216</v>
      </c>
      <c r="H67" s="55">
        <v>833</v>
      </c>
      <c r="I67" s="55">
        <v>0</v>
      </c>
      <c r="K67" s="54">
        <f>SUM(L67:R67)</f>
        <v>7</v>
      </c>
      <c r="L67" s="55">
        <v>3</v>
      </c>
      <c r="M67" s="55">
        <v>1</v>
      </c>
      <c r="N67" s="55">
        <v>1</v>
      </c>
      <c r="O67" s="55">
        <v>1</v>
      </c>
      <c r="P67" s="55">
        <v>0</v>
      </c>
      <c r="Q67" s="55">
        <v>1</v>
      </c>
      <c r="R67" s="55">
        <v>0</v>
      </c>
      <c r="T67" s="61">
        <f>SUM(C67/B67)</f>
        <v>0.42519384771831703</v>
      </c>
      <c r="U67" s="61">
        <f>SUM(D67/B67)</f>
        <v>0.14490911402059234</v>
      </c>
      <c r="V67" s="61">
        <f>SUM(E67/B67)</f>
        <v>0.13181644845557391</v>
      </c>
      <c r="W67" s="61">
        <f>SUM(F67/B67)</f>
        <v>0.1647387822549892</v>
      </c>
      <c r="X67" s="61">
        <f>SUM(G67/B67)</f>
        <v>2.7456463709164866E-2</v>
      </c>
      <c r="Y67" s="61">
        <f>SUM(H67/B67)</f>
        <v>0.10588534384136265</v>
      </c>
      <c r="Z67" s="61">
        <f>SUM(I67/B67)</f>
        <v>0</v>
      </c>
    </row>
    <row r="68" spans="1:26">
      <c r="A68" s="56" t="s">
        <v>1584</v>
      </c>
      <c r="B68" s="54">
        <f>SUM(C68:I68)</f>
        <v>7484</v>
      </c>
      <c r="C68" s="55">
        <v>302</v>
      </c>
      <c r="D68" s="55">
        <v>306</v>
      </c>
      <c r="E68" s="55">
        <v>2941</v>
      </c>
      <c r="F68" s="55">
        <v>3780</v>
      </c>
      <c r="G68" s="55">
        <v>0</v>
      </c>
      <c r="H68" s="55">
        <v>155</v>
      </c>
      <c r="I68" s="55">
        <v>0</v>
      </c>
      <c r="K68" s="54">
        <f>SUM(L68:R68)</f>
        <v>5</v>
      </c>
      <c r="L68" s="55">
        <v>0</v>
      </c>
      <c r="M68" s="55">
        <v>0</v>
      </c>
      <c r="N68" s="55">
        <v>2</v>
      </c>
      <c r="O68" s="55">
        <v>3</v>
      </c>
      <c r="P68" s="55">
        <v>0</v>
      </c>
      <c r="Q68" s="55">
        <v>0</v>
      </c>
      <c r="R68" s="55">
        <v>0</v>
      </c>
      <c r="T68" s="61">
        <f>SUM(C68/B68)</f>
        <v>4.0352752538749329E-2</v>
      </c>
      <c r="U68" s="61">
        <f>SUM(D68/B68)</f>
        <v>4.0887226082308922E-2</v>
      </c>
      <c r="V68" s="61">
        <f>SUM(E68/B68)</f>
        <v>0.39297167290219132</v>
      </c>
      <c r="W68" s="61">
        <f>SUM(F68/B68)</f>
        <v>0.50507749866381613</v>
      </c>
      <c r="X68" s="61">
        <f>SUM(G68/B68)</f>
        <v>0</v>
      </c>
      <c r="Y68" s="61">
        <f>SUM(H68/B68)</f>
        <v>2.0710849812934258E-2</v>
      </c>
      <c r="Z68" s="61">
        <f>SUM(I68/B68)</f>
        <v>0</v>
      </c>
    </row>
    <row r="69" spans="1:26" s="52" customFormat="1">
      <c r="A69" s="53" t="s">
        <v>1585</v>
      </c>
      <c r="B69" s="54">
        <f>SUM(B65:B68)</f>
        <v>34522</v>
      </c>
      <c r="C69" s="54">
        <f t="shared" ref="C69:R69" si="25">SUM(C65:C68)</f>
        <v>10631</v>
      </c>
      <c r="D69" s="54">
        <f t="shared" si="25"/>
        <v>7882</v>
      </c>
      <c r="E69" s="54">
        <f>SUM(E65:E68)</f>
        <v>5849</v>
      </c>
      <c r="F69" s="54">
        <f t="shared" si="25"/>
        <v>7732</v>
      </c>
      <c r="G69" s="54">
        <f t="shared" si="25"/>
        <v>814</v>
      </c>
      <c r="H69" s="54">
        <f>SUM(H65:H68)</f>
        <v>1614</v>
      </c>
      <c r="I69" s="54">
        <f t="shared" si="25"/>
        <v>0</v>
      </c>
      <c r="J69" s="54"/>
      <c r="K69" s="54">
        <f t="shared" si="25"/>
        <v>26</v>
      </c>
      <c r="L69" s="54">
        <f t="shared" si="25"/>
        <v>9</v>
      </c>
      <c r="M69" s="54">
        <f t="shared" si="25"/>
        <v>6</v>
      </c>
      <c r="N69" s="54">
        <f>SUM(N65:N68)</f>
        <v>4</v>
      </c>
      <c r="O69" s="54">
        <f t="shared" si="25"/>
        <v>6</v>
      </c>
      <c r="P69" s="54">
        <f t="shared" si="25"/>
        <v>0</v>
      </c>
      <c r="Q69" s="54">
        <f>SUM(Q65:Q68)</f>
        <v>1</v>
      </c>
      <c r="R69" s="54">
        <f t="shared" si="25"/>
        <v>0</v>
      </c>
      <c r="T69" s="60">
        <f>SUM(C69/B69)</f>
        <v>0.30794855454492787</v>
      </c>
      <c r="U69" s="60">
        <f>SUM(D69/B69)</f>
        <v>0.22831817391808124</v>
      </c>
      <c r="V69" s="60">
        <f>SUM(E69/B69)</f>
        <v>0.16942819071896181</v>
      </c>
      <c r="W69" s="60">
        <f>SUM(F69/B69)</f>
        <v>0.22397311859104338</v>
      </c>
      <c r="X69" s="60">
        <f>SUM(G69/B69)</f>
        <v>2.357916690805863E-2</v>
      </c>
      <c r="Y69" s="60">
        <f>SUM(H69/B69)</f>
        <v>4.6752795318927058E-2</v>
      </c>
      <c r="Z69" s="60">
        <f>SUM(I69/B69)</f>
        <v>0</v>
      </c>
    </row>
    <row r="70" spans="1:26">
      <c r="A70" s="53"/>
      <c r="B70" s="54"/>
      <c r="C70" s="55"/>
      <c r="D70" s="55"/>
      <c r="E70" s="55"/>
      <c r="F70" s="55"/>
      <c r="G70" s="55"/>
      <c r="H70" s="55"/>
      <c r="I70" s="55"/>
      <c r="K70" s="54"/>
      <c r="L70" s="55"/>
      <c r="M70" s="55"/>
      <c r="N70" s="55"/>
      <c r="O70" s="55"/>
      <c r="P70" s="55"/>
      <c r="Q70" s="55"/>
      <c r="R70" s="55"/>
    </row>
    <row r="71" spans="1:26">
      <c r="A71" s="56" t="s">
        <v>1586</v>
      </c>
      <c r="B71" s="54">
        <f>SUM(C71:I71)</f>
        <v>5325</v>
      </c>
      <c r="C71" s="55">
        <v>3000</v>
      </c>
      <c r="D71" s="55">
        <v>1184</v>
      </c>
      <c r="E71" s="55">
        <v>712</v>
      </c>
      <c r="F71" s="55">
        <v>429</v>
      </c>
      <c r="G71" s="55">
        <v>0</v>
      </c>
      <c r="H71" s="55">
        <v>0</v>
      </c>
      <c r="I71" s="55">
        <v>0</v>
      </c>
      <c r="K71" s="54">
        <f>SUM(L71:R71)</f>
        <v>5</v>
      </c>
      <c r="L71" s="55">
        <v>3</v>
      </c>
      <c r="M71" s="55">
        <v>1</v>
      </c>
      <c r="N71" s="55">
        <v>1</v>
      </c>
      <c r="O71" s="55">
        <v>0</v>
      </c>
      <c r="P71" s="55">
        <v>0</v>
      </c>
      <c r="Q71" s="55">
        <v>0</v>
      </c>
      <c r="R71" s="55">
        <v>0</v>
      </c>
      <c r="T71" s="61">
        <f>SUM(C71/B71)</f>
        <v>0.56338028169014087</v>
      </c>
      <c r="U71" s="61">
        <f>SUM(D71/B71)</f>
        <v>0.22234741784037559</v>
      </c>
      <c r="V71" s="61">
        <f>SUM(E71/B71)</f>
        <v>0.13370892018779343</v>
      </c>
      <c r="W71" s="61">
        <f>SUM(F71/B71)</f>
        <v>8.0563380281690147E-2</v>
      </c>
      <c r="X71" s="61">
        <f>SUM(G71/B71)</f>
        <v>0</v>
      </c>
      <c r="Y71" s="61">
        <f>SUM(H71/B71)</f>
        <v>0</v>
      </c>
      <c r="Z71" s="61">
        <f>SUM(I71/B71)</f>
        <v>0</v>
      </c>
    </row>
    <row r="72" spans="1:26">
      <c r="A72" s="56" t="s">
        <v>1587</v>
      </c>
      <c r="B72" s="54">
        <f>SUM(C72:I72)</f>
        <v>6209</v>
      </c>
      <c r="C72" s="55">
        <v>2036</v>
      </c>
      <c r="D72" s="55">
        <v>2381</v>
      </c>
      <c r="E72" s="55">
        <v>1236</v>
      </c>
      <c r="F72" s="55">
        <v>0</v>
      </c>
      <c r="G72" s="55">
        <v>556</v>
      </c>
      <c r="H72" s="55">
        <v>0</v>
      </c>
      <c r="I72" s="55">
        <v>0</v>
      </c>
      <c r="K72" s="54">
        <f>SUM(L72:R72)</f>
        <v>6</v>
      </c>
      <c r="L72" s="55">
        <v>2</v>
      </c>
      <c r="M72" s="55">
        <v>2</v>
      </c>
      <c r="N72" s="55">
        <v>1</v>
      </c>
      <c r="O72" s="55">
        <v>0</v>
      </c>
      <c r="P72" s="55">
        <v>1</v>
      </c>
      <c r="Q72" s="55">
        <v>0</v>
      </c>
      <c r="R72" s="55">
        <v>0</v>
      </c>
      <c r="T72" s="61">
        <f>SUM(C72/B72)</f>
        <v>0.32791109679497504</v>
      </c>
      <c r="U72" s="61">
        <f>SUM(D72/B72)</f>
        <v>0.38347559993557739</v>
      </c>
      <c r="V72" s="61">
        <f>SUM(E72/B72)</f>
        <v>0.19906587212111451</v>
      </c>
      <c r="W72" s="61">
        <f>SUM(F72/B72)</f>
        <v>0</v>
      </c>
      <c r="X72" s="61">
        <f>SUM(G72/B72)</f>
        <v>8.9547431148333065E-2</v>
      </c>
      <c r="Y72" s="61">
        <f>SUM(H72/B72)</f>
        <v>0</v>
      </c>
      <c r="Z72" s="61">
        <f>SUM(I72/B72)</f>
        <v>0</v>
      </c>
    </row>
    <row r="73" spans="1:26">
      <c r="A73" s="56" t="s">
        <v>1588</v>
      </c>
      <c r="B73" s="54">
        <f>SUM(C73:I73)</f>
        <v>6679</v>
      </c>
      <c r="C73" s="55">
        <v>2215</v>
      </c>
      <c r="D73" s="55">
        <v>1857</v>
      </c>
      <c r="E73" s="55">
        <v>1051</v>
      </c>
      <c r="F73" s="55">
        <v>758</v>
      </c>
      <c r="G73" s="55">
        <v>300</v>
      </c>
      <c r="H73" s="55">
        <v>498</v>
      </c>
      <c r="I73" s="55">
        <v>0</v>
      </c>
      <c r="K73" s="54">
        <f>SUM(L73:R73)</f>
        <v>6</v>
      </c>
      <c r="L73" s="55">
        <v>2</v>
      </c>
      <c r="M73" s="55">
        <v>2</v>
      </c>
      <c r="N73" s="55">
        <v>1</v>
      </c>
      <c r="O73" s="55">
        <v>1</v>
      </c>
      <c r="P73" s="55">
        <v>0</v>
      </c>
      <c r="Q73" s="55">
        <v>0</v>
      </c>
      <c r="R73" s="55">
        <v>0</v>
      </c>
      <c r="T73" s="61">
        <f>SUM(C73/B73)</f>
        <v>0.33163647252582723</v>
      </c>
      <c r="U73" s="61">
        <f>SUM(D73/B73)</f>
        <v>0.27803563407695764</v>
      </c>
      <c r="V73" s="61">
        <f>SUM(E73/B73)</f>
        <v>0.15735888606078755</v>
      </c>
      <c r="W73" s="61">
        <f>SUM(F73/B73)</f>
        <v>0.1134900434196736</v>
      </c>
      <c r="X73" s="61">
        <f>SUM(G73/B73)</f>
        <v>4.491690372810301E-2</v>
      </c>
      <c r="Y73" s="61">
        <f>SUM(H73/B73)</f>
        <v>7.4562060188650997E-2</v>
      </c>
      <c r="Z73" s="61">
        <f>SUM(I73/B73)</f>
        <v>0</v>
      </c>
    </row>
    <row r="74" spans="1:26" s="52" customFormat="1">
      <c r="A74" s="53" t="s">
        <v>1589</v>
      </c>
      <c r="B74" s="54">
        <f>SUM(B71:B73)</f>
        <v>18213</v>
      </c>
      <c r="C74" s="54">
        <f t="shared" ref="C74:R74" si="26">SUM(C71:C73)</f>
        <v>7251</v>
      </c>
      <c r="D74" s="54">
        <f t="shared" si="26"/>
        <v>5422</v>
      </c>
      <c r="E74" s="54">
        <f>SUM(E71:E73)</f>
        <v>2999</v>
      </c>
      <c r="F74" s="54">
        <f t="shared" si="26"/>
        <v>1187</v>
      </c>
      <c r="G74" s="54">
        <f t="shared" si="26"/>
        <v>856</v>
      </c>
      <c r="H74" s="54">
        <f>SUM(H71:H73)</f>
        <v>498</v>
      </c>
      <c r="I74" s="54">
        <f t="shared" si="26"/>
        <v>0</v>
      </c>
      <c r="J74" s="54"/>
      <c r="K74" s="54">
        <f t="shared" si="26"/>
        <v>17</v>
      </c>
      <c r="L74" s="54">
        <f t="shared" si="26"/>
        <v>7</v>
      </c>
      <c r="M74" s="54">
        <f t="shared" si="26"/>
        <v>5</v>
      </c>
      <c r="N74" s="54">
        <f>SUM(N71:N73)</f>
        <v>3</v>
      </c>
      <c r="O74" s="54">
        <f t="shared" si="26"/>
        <v>1</v>
      </c>
      <c r="P74" s="54">
        <f t="shared" si="26"/>
        <v>1</v>
      </c>
      <c r="Q74" s="54">
        <f>SUM(Q71:Q73)</f>
        <v>0</v>
      </c>
      <c r="R74" s="54">
        <f t="shared" si="26"/>
        <v>0</v>
      </c>
      <c r="T74" s="60">
        <f>SUM(C74/B74)</f>
        <v>0.39812222039202766</v>
      </c>
      <c r="U74" s="60">
        <f>SUM(D74/B74)</f>
        <v>0.29769944545105143</v>
      </c>
      <c r="V74" s="60">
        <f>SUM(E74/B74)</f>
        <v>0.16466260363476637</v>
      </c>
      <c r="W74" s="60">
        <f>SUM(F74/B74)</f>
        <v>6.5173227914127274E-2</v>
      </c>
      <c r="X74" s="60">
        <f>SUM(G74/B74)</f>
        <v>4.6999396035798606E-2</v>
      </c>
      <c r="Y74" s="60">
        <f>SUM(H74/B74)</f>
        <v>2.7343106572228628E-2</v>
      </c>
      <c r="Z74" s="60">
        <f>SUM(I74/B74)</f>
        <v>0</v>
      </c>
    </row>
    <row r="75" spans="1:26">
      <c r="A75" s="53"/>
      <c r="B75" s="54"/>
      <c r="C75" s="55"/>
      <c r="D75" s="55"/>
      <c r="E75" s="55"/>
      <c r="F75" s="55"/>
      <c r="G75" s="55"/>
      <c r="H75" s="55"/>
      <c r="I75" s="55"/>
      <c r="K75" s="54"/>
      <c r="L75" s="55"/>
      <c r="M75" s="55"/>
      <c r="N75" s="55"/>
      <c r="O75" s="55"/>
      <c r="P75" s="55"/>
      <c r="Q75" s="55"/>
      <c r="R75" s="55"/>
    </row>
    <row r="76" spans="1:26">
      <c r="A76" s="56" t="s">
        <v>1590</v>
      </c>
      <c r="B76" s="54">
        <f>SUM(C76:I76)</f>
        <v>7664</v>
      </c>
      <c r="C76" s="55">
        <v>0</v>
      </c>
      <c r="D76" s="55">
        <v>650</v>
      </c>
      <c r="E76" s="55">
        <v>3888</v>
      </c>
      <c r="F76" s="55">
        <v>2464</v>
      </c>
      <c r="G76" s="55">
        <v>0</v>
      </c>
      <c r="H76" s="55">
        <v>97</v>
      </c>
      <c r="I76" s="55">
        <v>565</v>
      </c>
      <c r="K76" s="54">
        <f>SUM(L76:R76)</f>
        <v>7</v>
      </c>
      <c r="L76" s="55">
        <v>0</v>
      </c>
      <c r="M76" s="55">
        <v>0</v>
      </c>
      <c r="N76" s="55">
        <v>4</v>
      </c>
      <c r="O76" s="55">
        <v>2</v>
      </c>
      <c r="P76" s="55">
        <v>0</v>
      </c>
      <c r="Q76" s="55">
        <v>0</v>
      </c>
      <c r="R76" s="55">
        <v>1</v>
      </c>
      <c r="T76" s="61">
        <f>SUM(C76/B76)</f>
        <v>0</v>
      </c>
      <c r="U76" s="61">
        <f>SUM(D76/B76)</f>
        <v>8.4812108559498958E-2</v>
      </c>
      <c r="V76" s="61">
        <f>SUM(E76/B76)</f>
        <v>0.50730688935281842</v>
      </c>
      <c r="W76" s="61">
        <f>SUM(F76/B76)</f>
        <v>0.32150313152400833</v>
      </c>
      <c r="X76" s="61">
        <f>SUM(G76/B76)</f>
        <v>0</v>
      </c>
      <c r="Y76" s="61">
        <f>SUM(H76/B76)</f>
        <v>1.2656576200417536E-2</v>
      </c>
      <c r="Z76" s="61">
        <f>SUM(I76/B76)</f>
        <v>7.3721294363256779E-2</v>
      </c>
    </row>
    <row r="77" spans="1:26">
      <c r="A77" s="56" t="s">
        <v>1591</v>
      </c>
      <c r="B77" s="54">
        <f>SUM(C77:I77)</f>
        <v>7151</v>
      </c>
      <c r="C77" s="55">
        <v>744</v>
      </c>
      <c r="D77" s="55">
        <v>808</v>
      </c>
      <c r="E77" s="55">
        <v>2311</v>
      </c>
      <c r="F77" s="55">
        <v>2888</v>
      </c>
      <c r="G77" s="55">
        <v>252</v>
      </c>
      <c r="H77" s="55">
        <v>0</v>
      </c>
      <c r="I77" s="55">
        <v>148</v>
      </c>
      <c r="K77" s="54">
        <f>SUM(L77:R77)</f>
        <v>6</v>
      </c>
      <c r="L77" s="55">
        <v>0</v>
      </c>
      <c r="M77" s="55">
        <v>1</v>
      </c>
      <c r="N77" s="55">
        <v>3</v>
      </c>
      <c r="O77" s="55">
        <v>2</v>
      </c>
      <c r="P77" s="55">
        <v>0</v>
      </c>
      <c r="Q77" s="55">
        <v>0</v>
      </c>
      <c r="R77" s="55">
        <v>0</v>
      </c>
      <c r="T77" s="61">
        <f>SUM(C77/B77)</f>
        <v>0.1040413928121941</v>
      </c>
      <c r="U77" s="61">
        <f>SUM(D77/B77)</f>
        <v>0.11299119004335058</v>
      </c>
      <c r="V77" s="61">
        <f>SUM(E77/B77)</f>
        <v>0.32317158439379107</v>
      </c>
      <c r="W77" s="61">
        <f>SUM(F77/B77)</f>
        <v>0.40385960005593624</v>
      </c>
      <c r="X77" s="61">
        <f>SUM(G77/B77)</f>
        <v>3.5239826597678645E-2</v>
      </c>
      <c r="Y77" s="61">
        <f>SUM(H77/B77)</f>
        <v>0</v>
      </c>
      <c r="Z77" s="61">
        <f>SUM(I77/B77)</f>
        <v>2.0696406097049362E-2</v>
      </c>
    </row>
    <row r="78" spans="1:26">
      <c r="A78" s="56" t="s">
        <v>1592</v>
      </c>
      <c r="B78" s="54">
        <f>SUM(C78:I78)</f>
        <v>6340</v>
      </c>
      <c r="C78" s="55">
        <v>2047</v>
      </c>
      <c r="D78" s="55">
        <v>2045</v>
      </c>
      <c r="E78" s="55">
        <v>1415</v>
      </c>
      <c r="F78" s="55">
        <v>313</v>
      </c>
      <c r="G78" s="55">
        <v>333</v>
      </c>
      <c r="H78" s="55">
        <v>0</v>
      </c>
      <c r="I78" s="55">
        <v>187</v>
      </c>
      <c r="K78" s="54">
        <f>SUM(L78:R78)</f>
        <v>5</v>
      </c>
      <c r="L78" s="55">
        <v>2</v>
      </c>
      <c r="M78" s="55">
        <v>2</v>
      </c>
      <c r="N78" s="55">
        <v>1</v>
      </c>
      <c r="O78" s="55">
        <v>0</v>
      </c>
      <c r="P78" s="55">
        <v>0</v>
      </c>
      <c r="Q78" s="55">
        <v>0</v>
      </c>
      <c r="R78" s="55">
        <v>0</v>
      </c>
      <c r="T78" s="61">
        <f>SUM(C78/B78)</f>
        <v>0.32287066246056784</v>
      </c>
      <c r="U78" s="61">
        <f>SUM(D78/B78)</f>
        <v>0.3225552050473186</v>
      </c>
      <c r="V78" s="61">
        <f>SUM(E78/B78)</f>
        <v>0.22318611987381703</v>
      </c>
      <c r="W78" s="61">
        <f>SUM(F78/B78)</f>
        <v>4.9369085173501574E-2</v>
      </c>
      <c r="X78" s="61">
        <f>SUM(G78/B78)</f>
        <v>5.2523659305993689E-2</v>
      </c>
      <c r="Y78" s="61">
        <f>SUM(H78/B78)</f>
        <v>0</v>
      </c>
      <c r="Z78" s="61">
        <f>SUM(I78/B78)</f>
        <v>2.949526813880126E-2</v>
      </c>
    </row>
    <row r="79" spans="1:26">
      <c r="A79" s="56" t="s">
        <v>1593</v>
      </c>
      <c r="B79" s="54">
        <f>SUM(C79:I79)</f>
        <v>6258</v>
      </c>
      <c r="C79" s="55">
        <v>1680</v>
      </c>
      <c r="D79" s="55">
        <v>1245</v>
      </c>
      <c r="E79" s="55">
        <v>2085</v>
      </c>
      <c r="F79" s="55">
        <v>1248</v>
      </c>
      <c r="G79" s="55">
        <v>0</v>
      </c>
      <c r="H79" s="55">
        <v>0</v>
      </c>
      <c r="I79" s="55">
        <v>0</v>
      </c>
      <c r="J79" s="55"/>
      <c r="K79" s="54">
        <f>SUM(L79:R79)</f>
        <v>5</v>
      </c>
      <c r="L79" s="55">
        <v>1</v>
      </c>
      <c r="M79" s="55">
        <v>1</v>
      </c>
      <c r="N79" s="55">
        <v>2</v>
      </c>
      <c r="O79" s="55">
        <v>1</v>
      </c>
      <c r="P79" s="55">
        <v>0</v>
      </c>
      <c r="Q79" s="55">
        <v>0</v>
      </c>
      <c r="R79" s="55">
        <v>0</v>
      </c>
      <c r="T79" s="61">
        <f>SUM(C79/B79)</f>
        <v>0.26845637583892618</v>
      </c>
      <c r="U79" s="61">
        <f>SUM(D79/B79)</f>
        <v>0.19894534995206137</v>
      </c>
      <c r="V79" s="61">
        <f>SUM(E79/B79)</f>
        <v>0.33317353787152443</v>
      </c>
      <c r="W79" s="61">
        <f>SUM(F79/B79)</f>
        <v>0.19942473633748803</v>
      </c>
      <c r="X79" s="61">
        <f>SUM(G79/B79)</f>
        <v>0</v>
      </c>
      <c r="Y79" s="61">
        <f>SUM(H79/B79)</f>
        <v>0</v>
      </c>
      <c r="Z79" s="61">
        <f>SUM(I79/B79)</f>
        <v>0</v>
      </c>
    </row>
    <row r="80" spans="1:26" s="52" customFormat="1">
      <c r="A80" s="53" t="s">
        <v>1594</v>
      </c>
      <c r="B80" s="54">
        <f>SUM(B76:B79)</f>
        <v>27413</v>
      </c>
      <c r="C80" s="54">
        <f t="shared" ref="C80:R80" si="27">SUM(C76:C79)</f>
        <v>4471</v>
      </c>
      <c r="D80" s="54">
        <f t="shared" si="27"/>
        <v>4748</v>
      </c>
      <c r="E80" s="54">
        <f>SUM(E76:E79)</f>
        <v>9699</v>
      </c>
      <c r="F80" s="54">
        <f t="shared" si="27"/>
        <v>6913</v>
      </c>
      <c r="G80" s="54">
        <f t="shared" si="27"/>
        <v>585</v>
      </c>
      <c r="H80" s="54">
        <f>SUM(H76:H79)</f>
        <v>97</v>
      </c>
      <c r="I80" s="54">
        <f t="shared" si="27"/>
        <v>900</v>
      </c>
      <c r="J80" s="54"/>
      <c r="K80" s="54">
        <f t="shared" si="27"/>
        <v>23</v>
      </c>
      <c r="L80" s="54">
        <f t="shared" si="27"/>
        <v>3</v>
      </c>
      <c r="M80" s="54">
        <f t="shared" si="27"/>
        <v>4</v>
      </c>
      <c r="N80" s="54">
        <f>SUM(N76:N79)</f>
        <v>10</v>
      </c>
      <c r="O80" s="54">
        <f t="shared" si="27"/>
        <v>5</v>
      </c>
      <c r="P80" s="54">
        <f t="shared" si="27"/>
        <v>0</v>
      </c>
      <c r="Q80" s="54">
        <f>SUM(Q76:Q79)</f>
        <v>0</v>
      </c>
      <c r="R80" s="54">
        <f t="shared" si="27"/>
        <v>1</v>
      </c>
      <c r="T80" s="60">
        <f>SUM(C80/B80)</f>
        <v>0.16309780031371976</v>
      </c>
      <c r="U80" s="60">
        <f>SUM(D80/B80)</f>
        <v>0.17320249516652683</v>
      </c>
      <c r="V80" s="60">
        <f>SUM(E80/B80)</f>
        <v>0.35381023601940687</v>
      </c>
      <c r="W80" s="60">
        <f>SUM(F80/B80)</f>
        <v>0.25217962280669753</v>
      </c>
      <c r="X80" s="60">
        <f>SUM(G80/B80)</f>
        <v>2.1340240032101557E-2</v>
      </c>
      <c r="Y80" s="60">
        <f>SUM(H80/B80)</f>
        <v>3.5384671506219676E-3</v>
      </c>
      <c r="Z80" s="60">
        <f>SUM(I80/B80)</f>
        <v>3.2831138510925471E-2</v>
      </c>
    </row>
    <row r="81" spans="1:26">
      <c r="A81" s="53"/>
      <c r="B81" s="54"/>
      <c r="C81" s="55"/>
      <c r="D81" s="55"/>
      <c r="E81" s="55"/>
      <c r="F81" s="55"/>
      <c r="G81" s="55"/>
      <c r="H81" s="55"/>
      <c r="I81" s="55"/>
      <c r="K81" s="54"/>
      <c r="L81" s="55"/>
      <c r="M81" s="55"/>
      <c r="N81" s="55"/>
      <c r="O81" s="55"/>
      <c r="P81" s="55"/>
      <c r="Q81" s="55"/>
      <c r="R81" s="55"/>
    </row>
    <row r="82" spans="1:26">
      <c r="A82" s="56" t="s">
        <v>1595</v>
      </c>
      <c r="B82" s="54">
        <f>SUM(C82:I82)</f>
        <v>8232</v>
      </c>
      <c r="C82" s="55">
        <v>4008</v>
      </c>
      <c r="D82" s="55">
        <v>3033</v>
      </c>
      <c r="E82" s="55">
        <v>0</v>
      </c>
      <c r="F82" s="55">
        <v>104</v>
      </c>
      <c r="G82" s="55">
        <v>1087</v>
      </c>
      <c r="H82" s="55">
        <v>0</v>
      </c>
      <c r="I82" s="55">
        <v>0</v>
      </c>
      <c r="K82" s="54">
        <f>SUM(L82:R82)</f>
        <v>5</v>
      </c>
      <c r="L82" s="55">
        <v>2</v>
      </c>
      <c r="M82" s="55">
        <v>2</v>
      </c>
      <c r="N82" s="55">
        <v>0</v>
      </c>
      <c r="O82" s="55">
        <v>0</v>
      </c>
      <c r="P82" s="55">
        <v>1</v>
      </c>
      <c r="Q82" s="55">
        <v>0</v>
      </c>
      <c r="R82" s="55">
        <v>0</v>
      </c>
      <c r="T82" s="61">
        <f t="shared" ref="T82:T87" si="28">SUM(C82/B82)</f>
        <v>0.48688046647230321</v>
      </c>
      <c r="U82" s="61">
        <f t="shared" ref="U82:U87" si="29">SUM(D82/B82)</f>
        <v>0.3684402332361516</v>
      </c>
      <c r="V82" s="61">
        <f t="shared" ref="V82:V87" si="30">SUM(E82/B82)</f>
        <v>0</v>
      </c>
      <c r="W82" s="61">
        <f t="shared" ref="W82:W87" si="31">SUM(F82/B82)</f>
        <v>1.2633624878522837E-2</v>
      </c>
      <c r="X82" s="61">
        <f t="shared" ref="X82:X87" si="32">SUM(G82/B82)</f>
        <v>0.13204567541302234</v>
      </c>
      <c r="Y82" s="61">
        <f t="shared" ref="Y82:Y87" si="33">SUM(H82/B82)</f>
        <v>0</v>
      </c>
      <c r="Z82" s="61">
        <f t="shared" ref="Z82:Z87" si="34">SUM(I82/B82)</f>
        <v>0</v>
      </c>
    </row>
    <row r="83" spans="1:26">
      <c r="A83" s="56" t="s">
        <v>1596</v>
      </c>
      <c r="B83" s="54">
        <f>SUM(C83:I83)</f>
        <v>8431</v>
      </c>
      <c r="C83" s="55">
        <v>4079</v>
      </c>
      <c r="D83" s="55">
        <v>1812</v>
      </c>
      <c r="E83" s="55">
        <v>977</v>
      </c>
      <c r="F83" s="55">
        <v>652</v>
      </c>
      <c r="G83" s="55">
        <v>578</v>
      </c>
      <c r="H83" s="55">
        <v>333</v>
      </c>
      <c r="I83" s="55">
        <v>0</v>
      </c>
      <c r="K83" s="54">
        <f>SUM(L83:R83)</f>
        <v>5</v>
      </c>
      <c r="L83" s="55">
        <v>3</v>
      </c>
      <c r="M83" s="55">
        <v>1</v>
      </c>
      <c r="N83" s="55">
        <v>1</v>
      </c>
      <c r="O83" s="55">
        <v>0</v>
      </c>
      <c r="P83" s="55">
        <v>0</v>
      </c>
      <c r="Q83" s="55">
        <v>0</v>
      </c>
      <c r="R83" s="55">
        <v>0</v>
      </c>
      <c r="T83" s="61">
        <f t="shared" si="28"/>
        <v>0.48380974973312774</v>
      </c>
      <c r="U83" s="61">
        <f t="shared" si="29"/>
        <v>0.21492112442177677</v>
      </c>
      <c r="V83" s="61">
        <f t="shared" si="30"/>
        <v>0.11588186454750327</v>
      </c>
      <c r="W83" s="61">
        <f t="shared" si="31"/>
        <v>7.7333649626378842E-2</v>
      </c>
      <c r="X83" s="61">
        <f t="shared" si="32"/>
        <v>6.8556517613568971E-2</v>
      </c>
      <c r="Y83" s="61">
        <f t="shared" si="33"/>
        <v>3.9497094057644407E-2</v>
      </c>
      <c r="Z83" s="61">
        <f t="shared" si="34"/>
        <v>0</v>
      </c>
    </row>
    <row r="84" spans="1:26">
      <c r="A84" s="56" t="s">
        <v>1597</v>
      </c>
      <c r="B84" s="54">
        <f>SUM(C84:I84)</f>
        <v>9785</v>
      </c>
      <c r="C84" s="55">
        <v>4364</v>
      </c>
      <c r="D84" s="55">
        <v>3107</v>
      </c>
      <c r="E84" s="55">
        <v>568</v>
      </c>
      <c r="F84" s="55">
        <v>222</v>
      </c>
      <c r="G84" s="55">
        <v>1240</v>
      </c>
      <c r="H84" s="55">
        <v>0</v>
      </c>
      <c r="I84" s="55">
        <v>284</v>
      </c>
      <c r="K84" s="54">
        <f>SUM(L84:R84)</f>
        <v>7</v>
      </c>
      <c r="L84" s="55">
        <v>3</v>
      </c>
      <c r="M84" s="55">
        <v>3</v>
      </c>
      <c r="N84" s="55">
        <v>0</v>
      </c>
      <c r="O84" s="55">
        <v>0</v>
      </c>
      <c r="P84" s="55">
        <v>1</v>
      </c>
      <c r="Q84" s="55">
        <v>0</v>
      </c>
      <c r="R84" s="55">
        <v>0</v>
      </c>
      <c r="T84" s="61">
        <f t="shared" si="28"/>
        <v>0.4459887583035258</v>
      </c>
      <c r="U84" s="61">
        <f t="shared" si="29"/>
        <v>0.31752682677567706</v>
      </c>
      <c r="V84" s="61">
        <f t="shared" si="30"/>
        <v>5.8048032703117015E-2</v>
      </c>
      <c r="W84" s="61">
        <f t="shared" si="31"/>
        <v>2.2687787429739398E-2</v>
      </c>
      <c r="X84" s="61">
        <f t="shared" si="32"/>
        <v>0.12672457843638221</v>
      </c>
      <c r="Y84" s="61">
        <f t="shared" si="33"/>
        <v>0</v>
      </c>
      <c r="Z84" s="61">
        <f t="shared" si="34"/>
        <v>2.9024016351558508E-2</v>
      </c>
    </row>
    <row r="85" spans="1:26">
      <c r="A85" s="56" t="s">
        <v>1598</v>
      </c>
      <c r="B85" s="54">
        <f>SUM(C85:I85)</f>
        <v>5676</v>
      </c>
      <c r="C85" s="55">
        <v>3394</v>
      </c>
      <c r="D85" s="55">
        <v>982</v>
      </c>
      <c r="E85" s="55">
        <v>146</v>
      </c>
      <c r="F85" s="55">
        <v>152</v>
      </c>
      <c r="G85" s="55">
        <v>1002</v>
      </c>
      <c r="H85" s="55">
        <v>0</v>
      </c>
      <c r="I85" s="55">
        <v>0</v>
      </c>
      <c r="K85" s="54">
        <f>SUM(L85:R85)</f>
        <v>6</v>
      </c>
      <c r="L85" s="55">
        <v>4</v>
      </c>
      <c r="M85" s="55">
        <v>1</v>
      </c>
      <c r="N85" s="55">
        <v>0</v>
      </c>
      <c r="O85" s="55">
        <v>0</v>
      </c>
      <c r="P85" s="55">
        <v>1</v>
      </c>
      <c r="Q85" s="55">
        <v>0</v>
      </c>
      <c r="R85" s="55">
        <v>0</v>
      </c>
      <c r="T85" s="61">
        <f t="shared" si="28"/>
        <v>0.5979563072586328</v>
      </c>
      <c r="U85" s="61">
        <f t="shared" si="29"/>
        <v>0.17300916138125441</v>
      </c>
      <c r="V85" s="61">
        <f t="shared" si="30"/>
        <v>2.5722339675828047E-2</v>
      </c>
      <c r="W85" s="61">
        <f t="shared" si="31"/>
        <v>2.6779422128259338E-2</v>
      </c>
      <c r="X85" s="61">
        <f t="shared" si="32"/>
        <v>0.17653276955602537</v>
      </c>
      <c r="Y85" s="61">
        <f t="shared" si="33"/>
        <v>0</v>
      </c>
      <c r="Z85" s="61">
        <f t="shared" si="34"/>
        <v>0</v>
      </c>
    </row>
    <row r="86" spans="1:26">
      <c r="A86" s="56" t="s">
        <v>1599</v>
      </c>
      <c r="B86" s="54">
        <f>SUM(C86:I86)</f>
        <v>10997</v>
      </c>
      <c r="C86" s="55">
        <v>1393</v>
      </c>
      <c r="D86" s="55">
        <v>691</v>
      </c>
      <c r="E86" s="55">
        <v>2669</v>
      </c>
      <c r="F86" s="55">
        <v>6244</v>
      </c>
      <c r="G86" s="55">
        <v>0</v>
      </c>
      <c r="H86" s="55">
        <v>0</v>
      </c>
      <c r="I86" s="55">
        <v>0</v>
      </c>
      <c r="K86" s="54">
        <f>SUM(L86:R86)</f>
        <v>7</v>
      </c>
      <c r="L86" s="55">
        <v>1</v>
      </c>
      <c r="M86" s="55">
        <v>0</v>
      </c>
      <c r="N86" s="55">
        <v>2</v>
      </c>
      <c r="O86" s="55">
        <v>4</v>
      </c>
      <c r="P86" s="55">
        <v>0</v>
      </c>
      <c r="Q86" s="55">
        <v>0</v>
      </c>
      <c r="R86" s="55">
        <v>0</v>
      </c>
      <c r="T86" s="61">
        <f t="shared" si="28"/>
        <v>0.12667091024824953</v>
      </c>
      <c r="U86" s="61">
        <f t="shared" si="29"/>
        <v>6.2835318723288167E-2</v>
      </c>
      <c r="V86" s="61">
        <f t="shared" si="30"/>
        <v>0.24270255524233883</v>
      </c>
      <c r="W86" s="61">
        <f t="shared" si="31"/>
        <v>0.56779121578612346</v>
      </c>
      <c r="X86" s="61">
        <f t="shared" si="32"/>
        <v>0</v>
      </c>
      <c r="Y86" s="61">
        <f t="shared" si="33"/>
        <v>0</v>
      </c>
      <c r="Z86" s="61">
        <f t="shared" si="34"/>
        <v>0</v>
      </c>
    </row>
    <row r="87" spans="1:26" s="52" customFormat="1">
      <c r="A87" s="53" t="s">
        <v>1600</v>
      </c>
      <c r="B87" s="54">
        <f>SUM(B82:B86)</f>
        <v>43121</v>
      </c>
      <c r="C87" s="54">
        <f t="shared" ref="C87:R87" si="35">SUM(C82:C86)</f>
        <v>17238</v>
      </c>
      <c r="D87" s="54">
        <f t="shared" si="35"/>
        <v>9625</v>
      </c>
      <c r="E87" s="54">
        <f>SUM(E82:E86)</f>
        <v>4360</v>
      </c>
      <c r="F87" s="54">
        <f t="shared" si="35"/>
        <v>7374</v>
      </c>
      <c r="G87" s="54">
        <f t="shared" si="35"/>
        <v>3907</v>
      </c>
      <c r="H87" s="54">
        <f>SUM(H82:H86)</f>
        <v>333</v>
      </c>
      <c r="I87" s="54">
        <f t="shared" si="35"/>
        <v>284</v>
      </c>
      <c r="J87" s="54"/>
      <c r="K87" s="54">
        <f t="shared" si="35"/>
        <v>30</v>
      </c>
      <c r="L87" s="54">
        <f t="shared" si="35"/>
        <v>13</v>
      </c>
      <c r="M87" s="54">
        <f t="shared" si="35"/>
        <v>7</v>
      </c>
      <c r="N87" s="54">
        <f>SUM(N82:N86)</f>
        <v>3</v>
      </c>
      <c r="O87" s="54">
        <f t="shared" si="35"/>
        <v>4</v>
      </c>
      <c r="P87" s="54">
        <f t="shared" si="35"/>
        <v>3</v>
      </c>
      <c r="Q87" s="54">
        <f>SUM(Q82:Q86)</f>
        <v>0</v>
      </c>
      <c r="R87" s="54">
        <f t="shared" si="35"/>
        <v>0</v>
      </c>
      <c r="T87" s="60">
        <f t="shared" si="28"/>
        <v>0.39975881820922521</v>
      </c>
      <c r="U87" s="60">
        <f t="shared" si="29"/>
        <v>0.22320910925071311</v>
      </c>
      <c r="V87" s="60">
        <f t="shared" si="30"/>
        <v>0.10111082767097238</v>
      </c>
      <c r="W87" s="60">
        <f t="shared" si="31"/>
        <v>0.17100716588205284</v>
      </c>
      <c r="X87" s="60">
        <f t="shared" si="32"/>
        <v>9.0605505438185574E-2</v>
      </c>
      <c r="Y87" s="60">
        <f t="shared" si="33"/>
        <v>7.7224554161545418E-3</v>
      </c>
      <c r="Z87" s="60">
        <f t="shared" si="34"/>
        <v>6.5861181326963662E-3</v>
      </c>
    </row>
    <row r="88" spans="1:26">
      <c r="A88" s="53"/>
      <c r="B88" s="54"/>
      <c r="C88" s="55"/>
      <c r="D88" s="55"/>
      <c r="E88" s="55"/>
      <c r="F88" s="55"/>
      <c r="G88" s="55"/>
      <c r="H88" s="55"/>
      <c r="I88" s="55"/>
      <c r="K88" s="54"/>
      <c r="L88" s="55"/>
      <c r="M88" s="55"/>
      <c r="N88" s="55"/>
      <c r="O88" s="55"/>
      <c r="P88" s="55"/>
      <c r="Q88" s="55"/>
      <c r="R88" s="55"/>
    </row>
    <row r="89" spans="1:26">
      <c r="A89" s="56" t="s">
        <v>1601</v>
      </c>
      <c r="B89" s="54">
        <f>SUM(C89:I89)</f>
        <v>6183</v>
      </c>
      <c r="C89" s="55">
        <v>3015</v>
      </c>
      <c r="D89" s="55">
        <v>703</v>
      </c>
      <c r="E89" s="55">
        <v>913</v>
      </c>
      <c r="F89" s="55">
        <v>292</v>
      </c>
      <c r="G89" s="55">
        <v>990</v>
      </c>
      <c r="H89" s="55">
        <v>270</v>
      </c>
      <c r="I89" s="55">
        <v>0</v>
      </c>
      <c r="K89" s="54">
        <f>SUM(L89:R89)</f>
        <v>5</v>
      </c>
      <c r="L89" s="55">
        <v>2</v>
      </c>
      <c r="M89" s="55">
        <v>1</v>
      </c>
      <c r="N89" s="55">
        <v>1</v>
      </c>
      <c r="O89" s="55">
        <v>0</v>
      </c>
      <c r="P89" s="55">
        <v>1</v>
      </c>
      <c r="Q89" s="55">
        <v>0</v>
      </c>
      <c r="R89" s="55">
        <v>0</v>
      </c>
      <c r="T89" s="61">
        <f>SUM(C89/B89)</f>
        <v>0.48762736535662299</v>
      </c>
      <c r="U89" s="61">
        <f>SUM(D89/B89)</f>
        <v>0.11369885169011806</v>
      </c>
      <c r="V89" s="61">
        <f>SUM(E89/B89)</f>
        <v>0.14766294678958433</v>
      </c>
      <c r="W89" s="61">
        <f>SUM(F89/B89)</f>
        <v>4.7226265566876924E-2</v>
      </c>
      <c r="X89" s="61">
        <f>SUM(G89/B89)</f>
        <v>0.16011644832605532</v>
      </c>
      <c r="Y89" s="61">
        <f>SUM(H89/B89)</f>
        <v>4.3668122270742356E-2</v>
      </c>
      <c r="Z89" s="61">
        <f>SUM(I89/B89)</f>
        <v>0</v>
      </c>
    </row>
    <row r="90" spans="1:26">
      <c r="A90" s="56" t="s">
        <v>1602</v>
      </c>
      <c r="B90" s="54">
        <f>SUM(C90:I90)</f>
        <v>7607</v>
      </c>
      <c r="C90" s="55">
        <v>4266</v>
      </c>
      <c r="D90" s="55">
        <v>2177</v>
      </c>
      <c r="E90" s="55">
        <v>0</v>
      </c>
      <c r="F90" s="55">
        <v>0</v>
      </c>
      <c r="G90" s="55">
        <v>850</v>
      </c>
      <c r="H90" s="55">
        <v>132</v>
      </c>
      <c r="I90" s="55">
        <v>182</v>
      </c>
      <c r="K90" s="54">
        <f>SUM(L90:R90)</f>
        <v>6</v>
      </c>
      <c r="L90" s="55">
        <v>4</v>
      </c>
      <c r="M90" s="55">
        <v>2</v>
      </c>
      <c r="N90" s="55">
        <v>0</v>
      </c>
      <c r="O90" s="55">
        <v>0</v>
      </c>
      <c r="P90" s="55">
        <v>0</v>
      </c>
      <c r="Q90" s="55">
        <v>0</v>
      </c>
      <c r="R90" s="55">
        <v>0</v>
      </c>
      <c r="T90" s="61">
        <f>SUM(C90/B90)</f>
        <v>0.56079926383594059</v>
      </c>
      <c r="U90" s="61">
        <f>SUM(D90/B90)</f>
        <v>0.28618377809911921</v>
      </c>
      <c r="V90" s="61">
        <f>SUM(E90/B90)</f>
        <v>0</v>
      </c>
      <c r="W90" s="61">
        <f>SUM(F90/B90)</f>
        <v>0</v>
      </c>
      <c r="X90" s="61">
        <f>SUM(G90/B90)</f>
        <v>0.11173918759037728</v>
      </c>
      <c r="Y90" s="61">
        <f>SUM(H90/B90)</f>
        <v>1.7352438543446827E-2</v>
      </c>
      <c r="Z90" s="61">
        <f>SUM(I90/B90)</f>
        <v>2.3925331931116078E-2</v>
      </c>
    </row>
    <row r="91" spans="1:26">
      <c r="A91" s="56" t="s">
        <v>1603</v>
      </c>
      <c r="B91" s="54">
        <f>SUM(C91:I91)</f>
        <v>7007</v>
      </c>
      <c r="C91" s="55">
        <v>3711</v>
      </c>
      <c r="D91" s="55">
        <v>2226</v>
      </c>
      <c r="E91" s="55">
        <v>0</v>
      </c>
      <c r="F91" s="55">
        <v>0</v>
      </c>
      <c r="G91" s="55">
        <v>1070</v>
      </c>
      <c r="H91" s="55">
        <v>0</v>
      </c>
      <c r="I91" s="55">
        <v>0</v>
      </c>
      <c r="K91" s="54">
        <f>SUM(L91:R91)</f>
        <v>6</v>
      </c>
      <c r="L91" s="55">
        <v>3</v>
      </c>
      <c r="M91" s="55">
        <v>2</v>
      </c>
      <c r="N91" s="55">
        <v>0</v>
      </c>
      <c r="O91" s="55">
        <v>0</v>
      </c>
      <c r="P91" s="55">
        <v>1</v>
      </c>
      <c r="Q91" s="55">
        <v>0</v>
      </c>
      <c r="R91" s="55">
        <v>0</v>
      </c>
      <c r="T91" s="61">
        <f>SUM(C91/B91)</f>
        <v>0.52961324389895814</v>
      </c>
      <c r="U91" s="61">
        <f>SUM(D91/B91)</f>
        <v>0.31768231768231769</v>
      </c>
      <c r="V91" s="61">
        <f>SUM(E91/B91)</f>
        <v>0</v>
      </c>
      <c r="W91" s="61">
        <f>SUM(F91/B91)</f>
        <v>0</v>
      </c>
      <c r="X91" s="61">
        <f>SUM(G91/B91)</f>
        <v>0.15270443841872414</v>
      </c>
      <c r="Y91" s="61">
        <f>SUM(H91/B91)</f>
        <v>0</v>
      </c>
      <c r="Z91" s="61">
        <f>SUM(I91/B91)</f>
        <v>0</v>
      </c>
    </row>
    <row r="92" spans="1:26">
      <c r="A92" s="56" t="s">
        <v>1604</v>
      </c>
      <c r="B92" s="54">
        <f>SUM(C92:I92)</f>
        <v>5719</v>
      </c>
      <c r="C92" s="55">
        <v>2905</v>
      </c>
      <c r="D92" s="55">
        <v>1387</v>
      </c>
      <c r="E92" s="55">
        <v>0</v>
      </c>
      <c r="F92" s="55">
        <v>0</v>
      </c>
      <c r="G92" s="55">
        <v>823</v>
      </c>
      <c r="H92" s="55">
        <v>604</v>
      </c>
      <c r="I92" s="55">
        <v>0</v>
      </c>
      <c r="K92" s="54">
        <f>SUM(L92:R92)</f>
        <v>6</v>
      </c>
      <c r="L92" s="55">
        <v>3</v>
      </c>
      <c r="M92" s="55">
        <v>2</v>
      </c>
      <c r="N92" s="55">
        <v>0</v>
      </c>
      <c r="O92" s="55">
        <v>0</v>
      </c>
      <c r="P92" s="55">
        <v>1</v>
      </c>
      <c r="Q92" s="55">
        <v>0</v>
      </c>
      <c r="R92" s="55">
        <v>0</v>
      </c>
      <c r="T92" s="61">
        <f>SUM(C92/B92)</f>
        <v>0.50795593635250913</v>
      </c>
      <c r="U92" s="61">
        <f>SUM(D92/B92)</f>
        <v>0.2425249169435216</v>
      </c>
      <c r="V92" s="61">
        <f>SUM(E92/B92)</f>
        <v>0</v>
      </c>
      <c r="W92" s="61">
        <f>SUM(F92/B92)</f>
        <v>0</v>
      </c>
      <c r="X92" s="61">
        <f>SUM(G92/B92)</f>
        <v>0.14390627732121</v>
      </c>
      <c r="Y92" s="61">
        <f>SUM(H92/B92)</f>
        <v>0.10561286938275923</v>
      </c>
      <c r="Z92" s="61">
        <f>SUM(I92/B92)</f>
        <v>0</v>
      </c>
    </row>
    <row r="93" spans="1:26" s="52" customFormat="1">
      <c r="A93" s="53" t="s">
        <v>1605</v>
      </c>
      <c r="B93" s="54">
        <f>SUM(B89:B92)</f>
        <v>26516</v>
      </c>
      <c r="C93" s="54">
        <f t="shared" ref="C93:R93" si="36">SUM(C89:C92)</f>
        <v>13897</v>
      </c>
      <c r="D93" s="54">
        <f t="shared" si="36"/>
        <v>6493</v>
      </c>
      <c r="E93" s="54">
        <f>SUM(E89:E92)</f>
        <v>913</v>
      </c>
      <c r="F93" s="54">
        <f t="shared" si="36"/>
        <v>292</v>
      </c>
      <c r="G93" s="54">
        <f t="shared" si="36"/>
        <v>3733</v>
      </c>
      <c r="H93" s="54">
        <f>SUM(H89:H92)</f>
        <v>1006</v>
      </c>
      <c r="I93" s="54">
        <f t="shared" si="36"/>
        <v>182</v>
      </c>
      <c r="J93" s="54"/>
      <c r="K93" s="54">
        <f t="shared" si="36"/>
        <v>23</v>
      </c>
      <c r="L93" s="54">
        <f t="shared" si="36"/>
        <v>12</v>
      </c>
      <c r="M93" s="54">
        <f t="shared" si="36"/>
        <v>7</v>
      </c>
      <c r="N93" s="54">
        <f>SUM(N89:N92)</f>
        <v>1</v>
      </c>
      <c r="O93" s="54">
        <f t="shared" si="36"/>
        <v>0</v>
      </c>
      <c r="P93" s="54">
        <f t="shared" si="36"/>
        <v>3</v>
      </c>
      <c r="Q93" s="54">
        <f>SUM(Q89:Q92)</f>
        <v>0</v>
      </c>
      <c r="R93" s="54">
        <f t="shared" si="36"/>
        <v>0</v>
      </c>
      <c r="T93" s="60">
        <f>SUM(C93/B93)</f>
        <v>0.52409865741439132</v>
      </c>
      <c r="U93" s="60">
        <f>SUM(D93/B93)</f>
        <v>0.24487102127017649</v>
      </c>
      <c r="V93" s="60">
        <f>SUM(E93/B93)</f>
        <v>3.4432041031829841E-2</v>
      </c>
      <c r="W93" s="60">
        <f>SUM(F93/B93)</f>
        <v>1.1012219037562226E-2</v>
      </c>
      <c r="X93" s="60">
        <f>SUM(G93/B93)</f>
        <v>0.140782923517876</v>
      </c>
      <c r="Y93" s="60">
        <f>SUM(H93/B93)</f>
        <v>3.7939357369135618E-2</v>
      </c>
      <c r="Z93" s="60">
        <f>SUM(I93/B93)</f>
        <v>6.8637803590285108E-3</v>
      </c>
    </row>
    <row r="94" spans="1:26">
      <c r="A94" s="53"/>
      <c r="B94" s="54"/>
      <c r="C94" s="55"/>
      <c r="D94" s="55"/>
      <c r="E94" s="55"/>
      <c r="F94" s="55"/>
      <c r="G94" s="55"/>
      <c r="H94" s="55"/>
      <c r="I94" s="55"/>
      <c r="J94" s="55"/>
      <c r="K94" s="54"/>
      <c r="L94" s="55"/>
      <c r="M94" s="55"/>
      <c r="N94" s="55"/>
      <c r="O94" s="55"/>
      <c r="P94" s="55"/>
      <c r="Q94" s="55"/>
      <c r="R94" s="55"/>
    </row>
    <row r="95" spans="1:26">
      <c r="A95" s="56" t="s">
        <v>1606</v>
      </c>
      <c r="B95" s="54">
        <f>SUM(C95:I95)</f>
        <v>5951</v>
      </c>
      <c r="C95" s="55">
        <v>2508</v>
      </c>
      <c r="D95" s="55">
        <v>1103</v>
      </c>
      <c r="E95" s="55">
        <v>0</v>
      </c>
      <c r="F95" s="55">
        <v>0</v>
      </c>
      <c r="G95" s="55">
        <v>713</v>
      </c>
      <c r="H95" s="55">
        <v>1249</v>
      </c>
      <c r="I95" s="55">
        <v>378</v>
      </c>
      <c r="K95" s="54">
        <f>SUM(L95:R95)</f>
        <v>6</v>
      </c>
      <c r="L95" s="55">
        <v>3</v>
      </c>
      <c r="M95" s="55">
        <v>2</v>
      </c>
      <c r="N95" s="55">
        <v>0</v>
      </c>
      <c r="O95" s="55">
        <v>0</v>
      </c>
      <c r="P95" s="55">
        <v>1</v>
      </c>
      <c r="Q95" s="55">
        <v>0</v>
      </c>
      <c r="R95" s="55">
        <v>0</v>
      </c>
      <c r="T95" s="61">
        <f>SUM(C95/B95)</f>
        <v>0.42144177449168208</v>
      </c>
      <c r="U95" s="61">
        <f>SUM(D95/B95)</f>
        <v>0.18534700050411695</v>
      </c>
      <c r="V95" s="61">
        <f>SUM(E95/B95)</f>
        <v>0</v>
      </c>
      <c r="W95" s="61">
        <f>SUM(F95/B95)</f>
        <v>0</v>
      </c>
      <c r="X95" s="61">
        <f>SUM(G95/B95)</f>
        <v>0.11981179633675013</v>
      </c>
      <c r="Y95" s="61">
        <f>SUM(H95/B95)</f>
        <v>0.20988069232061837</v>
      </c>
      <c r="Z95" s="61">
        <f>SUM(I95/B95)</f>
        <v>6.3518736346832472E-2</v>
      </c>
    </row>
    <row r="96" spans="1:26">
      <c r="A96" s="56" t="s">
        <v>1607</v>
      </c>
      <c r="B96" s="54">
        <f>SUM(C96:I96)</f>
        <v>9323</v>
      </c>
      <c r="C96" s="55">
        <v>3031</v>
      </c>
      <c r="D96" s="55">
        <v>2094</v>
      </c>
      <c r="E96" s="55">
        <v>0</v>
      </c>
      <c r="F96" s="55">
        <v>0</v>
      </c>
      <c r="G96" s="55">
        <v>1039</v>
      </c>
      <c r="H96" s="55">
        <v>3159</v>
      </c>
      <c r="I96" s="55">
        <v>0</v>
      </c>
      <c r="K96" s="54">
        <f>SUM(L96:R96)</f>
        <v>7</v>
      </c>
      <c r="L96" s="55">
        <v>2</v>
      </c>
      <c r="M96" s="55">
        <v>2</v>
      </c>
      <c r="N96" s="55">
        <v>0</v>
      </c>
      <c r="O96" s="55">
        <v>0</v>
      </c>
      <c r="P96" s="55">
        <v>1</v>
      </c>
      <c r="Q96" s="55">
        <v>2</v>
      </c>
      <c r="R96" s="55">
        <v>0</v>
      </c>
      <c r="T96" s="61">
        <f>SUM(C96/B96)</f>
        <v>0.32510994315134611</v>
      </c>
      <c r="U96" s="61">
        <f>SUM(D96/B96)</f>
        <v>0.22460581357931997</v>
      </c>
      <c r="V96" s="61">
        <f>SUM(E96/B96)</f>
        <v>0</v>
      </c>
      <c r="W96" s="61">
        <f>SUM(F96/B96)</f>
        <v>0</v>
      </c>
      <c r="X96" s="61">
        <f>SUM(G96/B96)</f>
        <v>0.11144481390110479</v>
      </c>
      <c r="Y96" s="61">
        <f>SUM(H96/B96)</f>
        <v>0.33883942936822908</v>
      </c>
      <c r="Z96" s="61">
        <f>SUM(I96/B96)</f>
        <v>0</v>
      </c>
    </row>
    <row r="97" spans="1:26">
      <c r="A97" s="56" t="s">
        <v>1608</v>
      </c>
      <c r="B97" s="54">
        <f>SUM(C97:I97)</f>
        <v>5044</v>
      </c>
      <c r="C97" s="55">
        <v>1282</v>
      </c>
      <c r="D97" s="55">
        <v>1602</v>
      </c>
      <c r="E97" s="55">
        <v>0</v>
      </c>
      <c r="F97" s="55">
        <v>0</v>
      </c>
      <c r="G97" s="55">
        <v>1583</v>
      </c>
      <c r="H97" s="55">
        <v>0</v>
      </c>
      <c r="I97" s="55">
        <v>577</v>
      </c>
      <c r="K97" s="54">
        <f>SUM(L97:R97)</f>
        <v>5</v>
      </c>
      <c r="L97" s="55">
        <v>2</v>
      </c>
      <c r="M97" s="55">
        <v>1</v>
      </c>
      <c r="N97" s="55">
        <v>0</v>
      </c>
      <c r="O97" s="55">
        <v>0</v>
      </c>
      <c r="P97" s="55">
        <v>2</v>
      </c>
      <c r="Q97" s="55">
        <v>0</v>
      </c>
      <c r="R97" s="55">
        <v>0</v>
      </c>
      <c r="T97" s="61">
        <f>SUM(C97/B97)</f>
        <v>0.25416336241078508</v>
      </c>
      <c r="U97" s="61">
        <f>SUM(D97/B97)</f>
        <v>0.31760507533703408</v>
      </c>
      <c r="V97" s="61">
        <f>SUM(E97/B97)</f>
        <v>0</v>
      </c>
      <c r="W97" s="61">
        <f>SUM(F97/B97)</f>
        <v>0</v>
      </c>
      <c r="X97" s="61">
        <f>SUM(G97/B97)</f>
        <v>0.31383822363203806</v>
      </c>
      <c r="Y97" s="61">
        <f>SUM(H97/B97)</f>
        <v>0</v>
      </c>
      <c r="Z97" s="61">
        <f>SUM(I97/B97)</f>
        <v>0.11439333862014274</v>
      </c>
    </row>
    <row r="98" spans="1:26">
      <c r="A98" s="56" t="s">
        <v>1609</v>
      </c>
      <c r="B98" s="54">
        <f>SUM(C98:I98)</f>
        <v>8035</v>
      </c>
      <c r="C98" s="55">
        <v>2080</v>
      </c>
      <c r="D98" s="55">
        <v>1456</v>
      </c>
      <c r="E98" s="55">
        <v>526</v>
      </c>
      <c r="F98" s="55">
        <v>0</v>
      </c>
      <c r="G98" s="55">
        <v>1198</v>
      </c>
      <c r="H98" s="55">
        <v>1182</v>
      </c>
      <c r="I98" s="55">
        <v>1593</v>
      </c>
      <c r="K98" s="54">
        <f>SUM(L98:R98)</f>
        <v>7</v>
      </c>
      <c r="L98" s="55">
        <v>2</v>
      </c>
      <c r="M98" s="55">
        <v>2</v>
      </c>
      <c r="N98" s="55">
        <v>0</v>
      </c>
      <c r="O98" s="55">
        <v>0</v>
      </c>
      <c r="P98" s="55">
        <v>2</v>
      </c>
      <c r="Q98" s="55">
        <v>0</v>
      </c>
      <c r="R98" s="55">
        <v>1</v>
      </c>
      <c r="T98" s="61">
        <f>SUM(C98/B98)</f>
        <v>0.25886745488487867</v>
      </c>
      <c r="U98" s="61">
        <f>SUM(D98/B98)</f>
        <v>0.18120721841941506</v>
      </c>
      <c r="V98" s="61">
        <f>SUM(E98/B98)</f>
        <v>6.546359676415682E-2</v>
      </c>
      <c r="W98" s="61">
        <f>SUM(F98/B98)</f>
        <v>0</v>
      </c>
      <c r="X98" s="61">
        <f>SUM(G98/B98)</f>
        <v>0.14909769757311761</v>
      </c>
      <c r="Y98" s="61">
        <f>SUM(H98/B98)</f>
        <v>0.14710640945861855</v>
      </c>
      <c r="Z98" s="61">
        <f>SUM(I98/B98)</f>
        <v>0.19825762289981333</v>
      </c>
    </row>
    <row r="99" spans="1:26" s="52" customFormat="1">
      <c r="A99" s="53" t="s">
        <v>1610</v>
      </c>
      <c r="B99" s="54">
        <f>SUM(B95:B98)</f>
        <v>28353</v>
      </c>
      <c r="C99" s="54">
        <f t="shared" ref="C99:R99" si="37">SUM(C95:C98)</f>
        <v>8901</v>
      </c>
      <c r="D99" s="54">
        <f t="shared" si="37"/>
        <v>6255</v>
      </c>
      <c r="E99" s="54">
        <f>SUM(E95:E98)</f>
        <v>526</v>
      </c>
      <c r="F99" s="54">
        <f t="shared" si="37"/>
        <v>0</v>
      </c>
      <c r="G99" s="54">
        <f t="shared" si="37"/>
        <v>4533</v>
      </c>
      <c r="H99" s="54">
        <f>SUM(H95:H98)</f>
        <v>5590</v>
      </c>
      <c r="I99" s="54">
        <f t="shared" si="37"/>
        <v>2548</v>
      </c>
      <c r="J99" s="54"/>
      <c r="K99" s="54">
        <f t="shared" si="37"/>
        <v>25</v>
      </c>
      <c r="L99" s="54">
        <f t="shared" si="37"/>
        <v>9</v>
      </c>
      <c r="M99" s="54">
        <f t="shared" si="37"/>
        <v>7</v>
      </c>
      <c r="N99" s="54">
        <f>SUM(N95:N98)</f>
        <v>0</v>
      </c>
      <c r="O99" s="54">
        <f t="shared" si="37"/>
        <v>0</v>
      </c>
      <c r="P99" s="54">
        <f t="shared" si="37"/>
        <v>6</v>
      </c>
      <c r="Q99" s="54">
        <f>SUM(Q95:Q98)</f>
        <v>2</v>
      </c>
      <c r="R99" s="54">
        <f t="shared" si="37"/>
        <v>1</v>
      </c>
      <c r="T99" s="60">
        <f>SUM(C99/B99)</f>
        <v>0.31393503332980638</v>
      </c>
      <c r="U99" s="60">
        <f>SUM(D99/B99)</f>
        <v>0.22061157549465665</v>
      </c>
      <c r="V99" s="60">
        <f>SUM(E99/B99)</f>
        <v>1.8551828730645786E-2</v>
      </c>
      <c r="W99" s="60">
        <f>SUM(F99/B99)</f>
        <v>0</v>
      </c>
      <c r="X99" s="60">
        <f>SUM(G99/B99)</f>
        <v>0.15987726166543223</v>
      </c>
      <c r="Y99" s="60">
        <f>SUM(H99/B99)</f>
        <v>0.19715726730857405</v>
      </c>
      <c r="Z99" s="60">
        <f>SUM(I99/B99)</f>
        <v>8.9867033470884913E-2</v>
      </c>
    </row>
    <row r="100" spans="1:26">
      <c r="A100" s="53"/>
      <c r="B100" s="54"/>
      <c r="C100" s="55"/>
      <c r="D100" s="55"/>
      <c r="E100" s="55"/>
      <c r="F100" s="55"/>
      <c r="G100" s="55"/>
      <c r="H100" s="55"/>
      <c r="I100" s="55"/>
      <c r="K100" s="54"/>
      <c r="L100" s="55"/>
      <c r="M100" s="55"/>
      <c r="N100" s="55"/>
      <c r="O100" s="55"/>
      <c r="P100" s="55"/>
      <c r="Q100" s="55"/>
      <c r="R100" s="55"/>
    </row>
    <row r="101" spans="1:26">
      <c r="A101" s="56" t="s">
        <v>1611</v>
      </c>
      <c r="B101" s="54">
        <f>SUM(C101:I101)</f>
        <v>5545</v>
      </c>
      <c r="C101" s="55">
        <v>3019</v>
      </c>
      <c r="D101" s="55">
        <v>693</v>
      </c>
      <c r="E101" s="55">
        <v>363</v>
      </c>
      <c r="F101" s="55">
        <v>0</v>
      </c>
      <c r="G101" s="55">
        <v>905</v>
      </c>
      <c r="H101" s="55">
        <v>565</v>
      </c>
      <c r="I101" s="55">
        <v>0</v>
      </c>
      <c r="K101" s="54">
        <f>SUM(L101:R101)</f>
        <v>6</v>
      </c>
      <c r="L101" s="55">
        <v>4</v>
      </c>
      <c r="M101" s="55">
        <v>1</v>
      </c>
      <c r="N101" s="55">
        <v>0</v>
      </c>
      <c r="O101" s="55">
        <v>0</v>
      </c>
      <c r="P101" s="55">
        <v>1</v>
      </c>
      <c r="Q101" s="55">
        <v>0</v>
      </c>
      <c r="R101" s="55">
        <v>0</v>
      </c>
      <c r="T101" s="61">
        <f>SUM(C101/B101)</f>
        <v>0.54445446348061322</v>
      </c>
      <c r="U101" s="61">
        <f>SUM(D101/B101)</f>
        <v>0.12497745716862038</v>
      </c>
      <c r="V101" s="61">
        <f>SUM(E101/B101)</f>
        <v>6.5464382326420198E-2</v>
      </c>
      <c r="W101" s="61">
        <f>SUM(F101/B101)</f>
        <v>0</v>
      </c>
      <c r="X101" s="61">
        <f>SUM(G101/B101)</f>
        <v>0.16321009918845808</v>
      </c>
      <c r="Y101" s="61">
        <f>SUM(H101/B101)</f>
        <v>0.10189359783588819</v>
      </c>
      <c r="Z101" s="61">
        <f>SUM(I101/B101)</f>
        <v>0</v>
      </c>
    </row>
    <row r="102" spans="1:26">
      <c r="A102" s="56" t="s">
        <v>1612</v>
      </c>
      <c r="B102" s="54">
        <f>SUM(C102:I102)</f>
        <v>7718</v>
      </c>
      <c r="C102" s="55">
        <v>4568</v>
      </c>
      <c r="D102" s="55">
        <v>1461</v>
      </c>
      <c r="E102" s="55">
        <v>0</v>
      </c>
      <c r="F102" s="55">
        <v>0</v>
      </c>
      <c r="G102" s="55">
        <v>957</v>
      </c>
      <c r="H102" s="55">
        <v>732</v>
      </c>
      <c r="I102" s="55">
        <v>0</v>
      </c>
      <c r="K102" s="54">
        <f>SUM(L102:R102)</f>
        <v>7</v>
      </c>
      <c r="L102" s="55">
        <v>5</v>
      </c>
      <c r="M102" s="55">
        <v>1</v>
      </c>
      <c r="N102" s="55">
        <v>0</v>
      </c>
      <c r="O102" s="55">
        <v>0</v>
      </c>
      <c r="P102" s="55">
        <v>1</v>
      </c>
      <c r="Q102" s="55">
        <v>0</v>
      </c>
      <c r="R102" s="55">
        <v>0</v>
      </c>
      <c r="T102" s="61">
        <f>SUM(C102/B102)</f>
        <v>0.59186317698885726</v>
      </c>
      <c r="U102" s="61">
        <f>SUM(D102/B102)</f>
        <v>0.18929774552993003</v>
      </c>
      <c r="V102" s="61">
        <f>SUM(E102/B102)</f>
        <v>0</v>
      </c>
      <c r="W102" s="61">
        <f>SUM(F102/B102)</f>
        <v>0</v>
      </c>
      <c r="X102" s="61">
        <f>SUM(G102/B102)</f>
        <v>0.12399585384814719</v>
      </c>
      <c r="Y102" s="61">
        <f>SUM(H102/B102)</f>
        <v>9.4843223633065563E-2</v>
      </c>
      <c r="Z102" s="61">
        <f>SUM(I102/B102)</f>
        <v>0</v>
      </c>
    </row>
    <row r="103" spans="1:26">
      <c r="A103" s="56" t="s">
        <v>1613</v>
      </c>
      <c r="B103" s="54">
        <f>SUM(C103:I103)</f>
        <v>6909</v>
      </c>
      <c r="C103" s="55">
        <v>2536</v>
      </c>
      <c r="D103" s="55">
        <v>1265</v>
      </c>
      <c r="E103" s="55">
        <v>1533</v>
      </c>
      <c r="F103" s="55">
        <v>395</v>
      </c>
      <c r="G103" s="55">
        <v>1180</v>
      </c>
      <c r="H103" s="55">
        <v>0</v>
      </c>
      <c r="I103" s="55">
        <v>0</v>
      </c>
      <c r="K103" s="54">
        <f>SUM(L103:R103)</f>
        <v>5</v>
      </c>
      <c r="L103" s="55">
        <v>2</v>
      </c>
      <c r="M103" s="55">
        <v>1</v>
      </c>
      <c r="N103" s="55">
        <v>1</v>
      </c>
      <c r="O103" s="55">
        <v>0</v>
      </c>
      <c r="P103" s="55">
        <v>1</v>
      </c>
      <c r="Q103" s="55">
        <v>0</v>
      </c>
      <c r="R103" s="55">
        <v>0</v>
      </c>
      <c r="T103" s="61">
        <f>SUM(C103/B103)</f>
        <v>0.36705746128238531</v>
      </c>
      <c r="U103" s="61">
        <f>SUM(D103/B103)</f>
        <v>0.18309451440150529</v>
      </c>
      <c r="V103" s="61">
        <f>SUM(E103/B103)</f>
        <v>0.22188449848024316</v>
      </c>
      <c r="W103" s="61">
        <f>SUM(F103/B103)</f>
        <v>5.7171804892169636E-2</v>
      </c>
      <c r="X103" s="61">
        <f>SUM(G103/B103)</f>
        <v>0.17079172094369663</v>
      </c>
      <c r="Y103" s="61">
        <f>SUM(H103/B103)</f>
        <v>0</v>
      </c>
      <c r="Z103" s="61">
        <f>SUM(I103/B103)</f>
        <v>0</v>
      </c>
    </row>
    <row r="104" spans="1:26">
      <c r="A104" s="56" t="s">
        <v>1658</v>
      </c>
      <c r="B104" s="54">
        <f>SUM(C104:I104)</f>
        <v>5905</v>
      </c>
      <c r="C104" s="55">
        <v>2013</v>
      </c>
      <c r="D104" s="55">
        <v>1214</v>
      </c>
      <c r="E104" s="55">
        <v>1235</v>
      </c>
      <c r="F104" s="55">
        <v>0</v>
      </c>
      <c r="G104" s="55">
        <v>1177</v>
      </c>
      <c r="H104" s="55">
        <v>266</v>
      </c>
      <c r="I104" s="55">
        <v>0</v>
      </c>
      <c r="K104" s="54">
        <f>SUM(L104:R104)</f>
        <v>5</v>
      </c>
      <c r="L104" s="55">
        <v>2</v>
      </c>
      <c r="M104" s="55">
        <v>1</v>
      </c>
      <c r="N104" s="55">
        <v>1</v>
      </c>
      <c r="O104" s="55">
        <v>0</v>
      </c>
      <c r="P104" s="55">
        <v>1</v>
      </c>
      <c r="Q104" s="55">
        <v>0</v>
      </c>
      <c r="R104" s="55">
        <v>0</v>
      </c>
      <c r="T104" s="61">
        <f>SUM(C104/B104)</f>
        <v>0.34089754445385267</v>
      </c>
      <c r="U104" s="61">
        <f>SUM(D104/B104)</f>
        <v>0.20558848433530905</v>
      </c>
      <c r="V104" s="61">
        <f>SUM(E104/B104)</f>
        <v>0.20914479254868756</v>
      </c>
      <c r="W104" s="61">
        <f>SUM(F104/B104)</f>
        <v>0</v>
      </c>
      <c r="X104" s="61">
        <f>SUM(G104/B104)</f>
        <v>0.19932260795935647</v>
      </c>
      <c r="Y104" s="61">
        <f>SUM(H104/B104)</f>
        <v>4.5046570702794241E-2</v>
      </c>
      <c r="Z104" s="61">
        <f>SUM(I104/B104)</f>
        <v>0</v>
      </c>
    </row>
    <row r="105" spans="1:26" s="52" customFormat="1">
      <c r="A105" s="53" t="s">
        <v>1614</v>
      </c>
      <c r="B105" s="54">
        <f>SUM(B101:B104)</f>
        <v>26077</v>
      </c>
      <c r="C105" s="54">
        <f t="shared" ref="C105:R105" si="38">SUM(C101:C104)</f>
        <v>12136</v>
      </c>
      <c r="D105" s="54">
        <f t="shared" si="38"/>
        <v>4633</v>
      </c>
      <c r="E105" s="54">
        <f>SUM(E101:E104)</f>
        <v>3131</v>
      </c>
      <c r="F105" s="54">
        <f t="shared" si="38"/>
        <v>395</v>
      </c>
      <c r="G105" s="54">
        <f t="shared" si="38"/>
        <v>4219</v>
      </c>
      <c r="H105" s="54">
        <f>SUM(H101:H104)</f>
        <v>1563</v>
      </c>
      <c r="I105" s="54">
        <f t="shared" si="38"/>
        <v>0</v>
      </c>
      <c r="J105" s="54"/>
      <c r="K105" s="54">
        <f t="shared" si="38"/>
        <v>23</v>
      </c>
      <c r="L105" s="54">
        <f t="shared" si="38"/>
        <v>13</v>
      </c>
      <c r="M105" s="54">
        <f t="shared" si="38"/>
        <v>4</v>
      </c>
      <c r="N105" s="54">
        <f>SUM(N101:N104)</f>
        <v>2</v>
      </c>
      <c r="O105" s="54">
        <f t="shared" si="38"/>
        <v>0</v>
      </c>
      <c r="P105" s="54">
        <f t="shared" si="38"/>
        <v>4</v>
      </c>
      <c r="Q105" s="54">
        <f>SUM(Q101:Q104)</f>
        <v>0</v>
      </c>
      <c r="R105" s="54">
        <f t="shared" si="38"/>
        <v>0</v>
      </c>
      <c r="T105" s="60">
        <f>SUM(C105/B105)</f>
        <v>0.46539095754879778</v>
      </c>
      <c r="U105" s="60">
        <f>SUM(D105/B105)</f>
        <v>0.17766614257775051</v>
      </c>
      <c r="V105" s="60">
        <f>SUM(E105/B105)</f>
        <v>0.12006749242627603</v>
      </c>
      <c r="W105" s="60">
        <f>SUM(F105/B105)</f>
        <v>1.5147447942631438E-2</v>
      </c>
      <c r="X105" s="60">
        <f>SUM(G105/B105)</f>
        <v>0.16179008321509375</v>
      </c>
      <c r="Y105" s="60">
        <f>SUM(H105/B105)</f>
        <v>5.9937876289450472E-2</v>
      </c>
      <c r="Z105" s="60">
        <f>SUM(I105/B105)</f>
        <v>0</v>
      </c>
    </row>
    <row r="106" spans="1:26">
      <c r="A106" s="53"/>
      <c r="B106" s="54"/>
      <c r="C106" s="55"/>
      <c r="D106" s="55"/>
      <c r="E106" s="55"/>
      <c r="F106" s="55"/>
      <c r="G106" s="55"/>
      <c r="H106" s="55"/>
      <c r="I106" s="55"/>
      <c r="K106" s="54"/>
      <c r="L106" s="55"/>
      <c r="M106" s="55"/>
      <c r="N106" s="55"/>
      <c r="O106" s="55"/>
      <c r="P106" s="55"/>
      <c r="Q106" s="55"/>
      <c r="R106" s="55"/>
    </row>
    <row r="107" spans="1:26">
      <c r="A107" s="56" t="s">
        <v>1617</v>
      </c>
      <c r="B107" s="54">
        <f>SUM(C107:I107)</f>
        <v>7190</v>
      </c>
      <c r="C107" s="55">
        <v>2491</v>
      </c>
      <c r="D107" s="55">
        <v>1968</v>
      </c>
      <c r="E107" s="55">
        <v>1435</v>
      </c>
      <c r="F107" s="55">
        <v>649</v>
      </c>
      <c r="G107" s="55">
        <v>598</v>
      </c>
      <c r="H107" s="55">
        <v>49</v>
      </c>
      <c r="I107" s="55">
        <v>0</v>
      </c>
      <c r="K107" s="54">
        <f>SUM(L107:R107)</f>
        <v>7</v>
      </c>
      <c r="L107" s="55">
        <v>2</v>
      </c>
      <c r="M107" s="55">
        <v>2</v>
      </c>
      <c r="N107" s="55">
        <v>1</v>
      </c>
      <c r="O107" s="55">
        <v>1</v>
      </c>
      <c r="P107" s="55">
        <v>1</v>
      </c>
      <c r="Q107" s="55">
        <v>0</v>
      </c>
      <c r="R107" s="55">
        <v>0</v>
      </c>
      <c r="T107" s="61">
        <f>SUM(C107/B107)</f>
        <v>0.34645340751043113</v>
      </c>
      <c r="U107" s="61">
        <f>SUM(D107/B107)</f>
        <v>0.27371349095966618</v>
      </c>
      <c r="V107" s="61">
        <f>SUM(E107/B107)</f>
        <v>0.1995827538247566</v>
      </c>
      <c r="W107" s="61">
        <f>SUM(F107/B107)</f>
        <v>9.0264255910987481E-2</v>
      </c>
      <c r="X107" s="61">
        <f>SUM(G107/B107)</f>
        <v>8.3171070931849791E-2</v>
      </c>
      <c r="Y107" s="61">
        <f>SUM(H107/B107)</f>
        <v>6.8150208623087623E-3</v>
      </c>
      <c r="Z107" s="61">
        <f>SUM(I107/B107)</f>
        <v>0</v>
      </c>
    </row>
    <row r="108" spans="1:26">
      <c r="A108" s="56" t="s">
        <v>1615</v>
      </c>
      <c r="B108" s="54">
        <f>SUM(C108:I108)</f>
        <v>5287</v>
      </c>
      <c r="C108" s="55">
        <v>1649</v>
      </c>
      <c r="D108" s="55">
        <v>1501</v>
      </c>
      <c r="E108" s="55">
        <v>772</v>
      </c>
      <c r="F108" s="55">
        <v>475</v>
      </c>
      <c r="G108" s="55">
        <v>616</v>
      </c>
      <c r="H108" s="55">
        <v>274</v>
      </c>
      <c r="I108" s="55">
        <v>0</v>
      </c>
      <c r="J108" s="55"/>
      <c r="K108" s="54">
        <f>SUM(L108:R108)</f>
        <v>7</v>
      </c>
      <c r="L108" s="55">
        <v>3</v>
      </c>
      <c r="M108" s="55">
        <v>2</v>
      </c>
      <c r="N108" s="55">
        <v>1</v>
      </c>
      <c r="O108" s="55">
        <v>0</v>
      </c>
      <c r="P108" s="55">
        <v>1</v>
      </c>
      <c r="Q108" s="55">
        <v>0</v>
      </c>
      <c r="R108" s="55">
        <v>0</v>
      </c>
      <c r="T108" s="61">
        <f>SUM(C108/B108)</f>
        <v>0.31189710610932475</v>
      </c>
      <c r="U108" s="61">
        <f>SUM(D108/B108)</f>
        <v>0.28390391526385472</v>
      </c>
      <c r="V108" s="61">
        <f>SUM(E108/B108)</f>
        <v>0.14601853603177606</v>
      </c>
      <c r="W108" s="61">
        <f>SUM(F108/B108)</f>
        <v>8.9843011159447705E-2</v>
      </c>
      <c r="X108" s="61">
        <f>SUM(G108/B108)</f>
        <v>0.11651219973519955</v>
      </c>
      <c r="Y108" s="61">
        <f>SUM(H108/B108)</f>
        <v>5.1825231700397198E-2</v>
      </c>
      <c r="Z108" s="61">
        <f>SUM(I108/B108)</f>
        <v>0</v>
      </c>
    </row>
    <row r="109" spans="1:26">
      <c r="A109" s="56" t="s">
        <v>1616</v>
      </c>
      <c r="B109" s="54">
        <f>SUM(C109:I109)</f>
        <v>5205</v>
      </c>
      <c r="C109" s="55">
        <v>1294</v>
      </c>
      <c r="D109" s="55">
        <v>734</v>
      </c>
      <c r="E109" s="55">
        <v>1426</v>
      </c>
      <c r="F109" s="55">
        <v>1496</v>
      </c>
      <c r="G109" s="55">
        <v>255</v>
      </c>
      <c r="H109" s="55">
        <v>0</v>
      </c>
      <c r="I109" s="55">
        <v>0</v>
      </c>
      <c r="K109" s="54">
        <f>SUM(L109:R109)</f>
        <v>5</v>
      </c>
      <c r="L109" s="55">
        <v>1</v>
      </c>
      <c r="M109" s="55">
        <v>1</v>
      </c>
      <c r="N109" s="55">
        <v>1</v>
      </c>
      <c r="O109" s="55">
        <v>2</v>
      </c>
      <c r="P109" s="55">
        <v>0</v>
      </c>
      <c r="Q109" s="55">
        <v>0</v>
      </c>
      <c r="R109" s="55">
        <v>0</v>
      </c>
      <c r="T109" s="61">
        <f>SUM(C109/B109)</f>
        <v>0.24860710854947166</v>
      </c>
      <c r="U109" s="61">
        <f>SUM(D109/B109)</f>
        <v>0.1410182516810759</v>
      </c>
      <c r="V109" s="61">
        <f>SUM(E109/B109)</f>
        <v>0.27396733909702209</v>
      </c>
      <c r="W109" s="61">
        <f>SUM(F109/B109)</f>
        <v>0.28741594620557159</v>
      </c>
      <c r="X109" s="61">
        <f>SUM(G109/B109)</f>
        <v>4.8991354466858789E-2</v>
      </c>
      <c r="Y109" s="61">
        <f>SUM(H109/B109)</f>
        <v>0</v>
      </c>
      <c r="Z109" s="61">
        <f>SUM(I109/B109)</f>
        <v>0</v>
      </c>
    </row>
    <row r="110" spans="1:26" s="52" customFormat="1">
      <c r="A110" s="53" t="s">
        <v>1618</v>
      </c>
      <c r="B110" s="54">
        <f>SUM(B107:B109)</f>
        <v>17682</v>
      </c>
      <c r="C110" s="54">
        <f t="shared" ref="C110:R110" si="39">SUM(C107:C109)</f>
        <v>5434</v>
      </c>
      <c r="D110" s="54">
        <f t="shared" si="39"/>
        <v>4203</v>
      </c>
      <c r="E110" s="54">
        <f>SUM(E107:E109)</f>
        <v>3633</v>
      </c>
      <c r="F110" s="54">
        <f t="shared" si="39"/>
        <v>2620</v>
      </c>
      <c r="G110" s="54">
        <f t="shared" si="39"/>
        <v>1469</v>
      </c>
      <c r="H110" s="54">
        <f>SUM(H107:H109)</f>
        <v>323</v>
      </c>
      <c r="I110" s="54">
        <f t="shared" si="39"/>
        <v>0</v>
      </c>
      <c r="J110" s="54"/>
      <c r="K110" s="54">
        <f t="shared" si="39"/>
        <v>19</v>
      </c>
      <c r="L110" s="54">
        <f t="shared" si="39"/>
        <v>6</v>
      </c>
      <c r="M110" s="54">
        <f t="shared" si="39"/>
        <v>5</v>
      </c>
      <c r="N110" s="54">
        <f>SUM(N107:N109)</f>
        <v>3</v>
      </c>
      <c r="O110" s="54">
        <f t="shared" si="39"/>
        <v>3</v>
      </c>
      <c r="P110" s="54">
        <f t="shared" si="39"/>
        <v>2</v>
      </c>
      <c r="Q110" s="54">
        <f>SUM(Q107:Q109)</f>
        <v>0</v>
      </c>
      <c r="R110" s="54">
        <f t="shared" si="39"/>
        <v>0</v>
      </c>
      <c r="T110" s="60">
        <f>SUM(C110/B110)</f>
        <v>0.30731817667684652</v>
      </c>
      <c r="U110" s="60">
        <f>SUM(D110/B110)</f>
        <v>0.23769935527655242</v>
      </c>
      <c r="V110" s="60">
        <f>SUM(E110/B110)</f>
        <v>0.20546318289786222</v>
      </c>
      <c r="W110" s="60">
        <f>SUM(F110/B110)</f>
        <v>0.14817328356520756</v>
      </c>
      <c r="X110" s="60">
        <f>SUM(G110/B110)</f>
        <v>8.3078837235606828E-2</v>
      </c>
      <c r="Y110" s="60">
        <f>SUM(H110/B110)</f>
        <v>1.8267164347924442E-2</v>
      </c>
      <c r="Z110" s="60">
        <f>SUM(I110/B110)</f>
        <v>0</v>
      </c>
    </row>
    <row r="111" spans="1:26">
      <c r="A111" s="53"/>
      <c r="B111" s="54"/>
      <c r="C111" s="55"/>
      <c r="D111" s="55"/>
      <c r="E111" s="55"/>
      <c r="F111" s="55"/>
      <c r="G111" s="55"/>
      <c r="H111" s="55"/>
      <c r="I111" s="55"/>
      <c r="K111" s="54"/>
      <c r="L111" s="55"/>
      <c r="M111" s="55"/>
      <c r="N111" s="55"/>
      <c r="O111" s="55"/>
      <c r="P111" s="55"/>
      <c r="Q111" s="55"/>
      <c r="R111" s="55"/>
    </row>
    <row r="112" spans="1:26">
      <c r="A112" s="56" t="s">
        <v>1619</v>
      </c>
      <c r="B112" s="54">
        <f>SUM(C112:I112)</f>
        <v>6862</v>
      </c>
      <c r="C112" s="55">
        <v>2999</v>
      </c>
      <c r="D112" s="55">
        <v>1457</v>
      </c>
      <c r="E112" s="55">
        <v>755</v>
      </c>
      <c r="F112" s="55">
        <v>341</v>
      </c>
      <c r="G112" s="55">
        <v>404</v>
      </c>
      <c r="H112" s="55">
        <v>906</v>
      </c>
      <c r="I112" s="55">
        <v>0</v>
      </c>
      <c r="K112" s="54">
        <f>SUM(L112:R112)</f>
        <v>7</v>
      </c>
      <c r="L112" s="55">
        <v>3</v>
      </c>
      <c r="M112" s="55">
        <v>2</v>
      </c>
      <c r="N112" s="55">
        <v>1</v>
      </c>
      <c r="O112" s="55">
        <v>0</v>
      </c>
      <c r="P112" s="55">
        <v>0</v>
      </c>
      <c r="Q112" s="55">
        <v>1</v>
      </c>
      <c r="R112" s="55">
        <v>0</v>
      </c>
      <c r="T112" s="61">
        <f>SUM(C112/B112)</f>
        <v>0.43704459341299912</v>
      </c>
      <c r="U112" s="61">
        <f>SUM(D112/B112)</f>
        <v>0.21232876712328766</v>
      </c>
      <c r="V112" s="61">
        <f>SUM(E112/B112)</f>
        <v>0.11002623141941124</v>
      </c>
      <c r="W112" s="61">
        <f>SUM(F112/B112)</f>
        <v>4.9693966773535415E-2</v>
      </c>
      <c r="X112" s="61">
        <f>SUM(G112/B112)</f>
        <v>5.8874963567473043E-2</v>
      </c>
      <c r="Y112" s="61">
        <f>SUM(H112/B112)</f>
        <v>0.13203147770329349</v>
      </c>
      <c r="Z112" s="61">
        <f>SUM(I112/B112)</f>
        <v>0</v>
      </c>
    </row>
    <row r="113" spans="1:26">
      <c r="A113" s="56" t="s">
        <v>1620</v>
      </c>
      <c r="B113" s="54">
        <f>SUM(C113:I113)</f>
        <v>5907</v>
      </c>
      <c r="C113" s="55">
        <v>3620</v>
      </c>
      <c r="D113" s="55">
        <v>1129</v>
      </c>
      <c r="E113" s="55">
        <v>718</v>
      </c>
      <c r="F113" s="55">
        <v>346</v>
      </c>
      <c r="G113" s="55">
        <v>0</v>
      </c>
      <c r="H113" s="55">
        <v>94</v>
      </c>
      <c r="I113" s="55">
        <v>0</v>
      </c>
      <c r="K113" s="54">
        <f>SUM(L113:R113)</f>
        <v>7</v>
      </c>
      <c r="L113" s="55">
        <v>5</v>
      </c>
      <c r="M113" s="55">
        <v>1</v>
      </c>
      <c r="N113" s="55">
        <v>1</v>
      </c>
      <c r="O113" s="55">
        <v>0</v>
      </c>
      <c r="P113" s="55">
        <v>0</v>
      </c>
      <c r="Q113" s="55">
        <v>0</v>
      </c>
      <c r="R113" s="55">
        <v>0</v>
      </c>
      <c r="T113" s="61">
        <f>SUM(C113/B113)</f>
        <v>0.61283223294396483</v>
      </c>
      <c r="U113" s="61">
        <f>SUM(D113/B113)</f>
        <v>0.19112916878280006</v>
      </c>
      <c r="V113" s="61">
        <f>SUM(E113/B113)</f>
        <v>0.12155070255628915</v>
      </c>
      <c r="W113" s="61">
        <f>SUM(F113/B113)</f>
        <v>5.8574572541052985E-2</v>
      </c>
      <c r="X113" s="61">
        <f>SUM(G113/B113)</f>
        <v>0</v>
      </c>
      <c r="Y113" s="61">
        <f>SUM(H113/B113)</f>
        <v>1.5913323175893009E-2</v>
      </c>
      <c r="Z113" s="61">
        <f>SUM(I113/B113)</f>
        <v>0</v>
      </c>
    </row>
    <row r="114" spans="1:26">
      <c r="A114" s="56" t="s">
        <v>1621</v>
      </c>
      <c r="B114" s="54">
        <f>SUM(C114:I114)</f>
        <v>7252</v>
      </c>
      <c r="C114" s="55">
        <v>4520</v>
      </c>
      <c r="D114" s="55">
        <v>1373</v>
      </c>
      <c r="E114" s="55">
        <v>626</v>
      </c>
      <c r="F114" s="55">
        <v>733</v>
      </c>
      <c r="G114" s="55">
        <v>0</v>
      </c>
      <c r="H114" s="55">
        <v>0</v>
      </c>
      <c r="I114" s="55">
        <v>0</v>
      </c>
      <c r="K114" s="54">
        <f>SUM(L114:R114)</f>
        <v>5</v>
      </c>
      <c r="L114" s="55">
        <v>3</v>
      </c>
      <c r="M114" s="55">
        <v>1</v>
      </c>
      <c r="N114" s="55">
        <v>0</v>
      </c>
      <c r="O114" s="55">
        <v>1</v>
      </c>
      <c r="P114" s="55">
        <v>0</v>
      </c>
      <c r="Q114" s="55">
        <v>0</v>
      </c>
      <c r="R114" s="55">
        <v>0</v>
      </c>
      <c r="T114" s="61">
        <f>SUM(C114/B114)</f>
        <v>0.62327633756205181</v>
      </c>
      <c r="U114" s="61">
        <f>SUM(D114/B114)</f>
        <v>0.18932708218422503</v>
      </c>
      <c r="V114" s="61">
        <f>SUM(E114/B114)</f>
        <v>8.6321014892443468E-2</v>
      </c>
      <c r="W114" s="61">
        <f>SUM(F114/B114)</f>
        <v>0.10107556536127965</v>
      </c>
      <c r="X114" s="61">
        <f>SUM(G114/B114)</f>
        <v>0</v>
      </c>
      <c r="Y114" s="61">
        <f>SUM(H114/B114)</f>
        <v>0</v>
      </c>
      <c r="Z114" s="61">
        <f>SUM(I114/B114)</f>
        <v>0</v>
      </c>
    </row>
    <row r="115" spans="1:26">
      <c r="A115" s="56" t="s">
        <v>1622</v>
      </c>
      <c r="B115" s="54">
        <f>SUM(C115:I115)</f>
        <v>6454</v>
      </c>
      <c r="C115" s="55">
        <v>3472</v>
      </c>
      <c r="D115" s="55">
        <v>1748</v>
      </c>
      <c r="E115" s="55">
        <v>645</v>
      </c>
      <c r="F115" s="55">
        <v>589</v>
      </c>
      <c r="G115" s="55">
        <v>0</v>
      </c>
      <c r="H115" s="55">
        <v>0</v>
      </c>
      <c r="I115" s="55">
        <v>0</v>
      </c>
      <c r="K115" s="54">
        <f>SUM(L115:R115)</f>
        <v>5</v>
      </c>
      <c r="L115" s="55">
        <v>3</v>
      </c>
      <c r="M115" s="55">
        <v>1</v>
      </c>
      <c r="N115" s="55">
        <v>1</v>
      </c>
      <c r="O115" s="55">
        <v>0</v>
      </c>
      <c r="P115" s="55">
        <v>0</v>
      </c>
      <c r="Q115" s="55">
        <v>0</v>
      </c>
      <c r="R115" s="55">
        <v>0</v>
      </c>
      <c r="T115" s="61">
        <f>SUM(C115/B115)</f>
        <v>0.53796095444685466</v>
      </c>
      <c r="U115" s="61">
        <f>SUM(D115/B115)</f>
        <v>0.27083978927796715</v>
      </c>
      <c r="V115" s="61">
        <f>SUM(E115/B115)</f>
        <v>9.9938022931515338E-2</v>
      </c>
      <c r="W115" s="61">
        <f>SUM(F115/B115)</f>
        <v>9.1261233343662845E-2</v>
      </c>
      <c r="X115" s="61">
        <f>SUM(G115/B115)</f>
        <v>0</v>
      </c>
      <c r="Y115" s="61">
        <f>SUM(H115/B115)</f>
        <v>0</v>
      </c>
      <c r="Z115" s="61">
        <f>SUM(I115/B115)</f>
        <v>0</v>
      </c>
    </row>
    <row r="116" spans="1:26" s="52" customFormat="1">
      <c r="A116" s="53" t="s">
        <v>1623</v>
      </c>
      <c r="B116" s="54">
        <f>SUM(B112:B115)</f>
        <v>26475</v>
      </c>
      <c r="C116" s="54">
        <f t="shared" ref="C116:R116" si="40">SUM(C112:C115)</f>
        <v>14611</v>
      </c>
      <c r="D116" s="54">
        <f t="shared" si="40"/>
        <v>5707</v>
      </c>
      <c r="E116" s="54">
        <f>SUM(E112:E115)</f>
        <v>2744</v>
      </c>
      <c r="F116" s="54">
        <f t="shared" si="40"/>
        <v>2009</v>
      </c>
      <c r="G116" s="54">
        <f t="shared" si="40"/>
        <v>404</v>
      </c>
      <c r="H116" s="54">
        <f>SUM(H112:H115)</f>
        <v>1000</v>
      </c>
      <c r="I116" s="54">
        <f t="shared" si="40"/>
        <v>0</v>
      </c>
      <c r="J116" s="54"/>
      <c r="K116" s="54">
        <f t="shared" si="40"/>
        <v>24</v>
      </c>
      <c r="L116" s="54">
        <f t="shared" si="40"/>
        <v>14</v>
      </c>
      <c r="M116" s="54">
        <f t="shared" si="40"/>
        <v>5</v>
      </c>
      <c r="N116" s="54">
        <f>SUM(N112:N115)</f>
        <v>3</v>
      </c>
      <c r="O116" s="54">
        <f t="shared" si="40"/>
        <v>1</v>
      </c>
      <c r="P116" s="54">
        <f t="shared" si="40"/>
        <v>0</v>
      </c>
      <c r="Q116" s="54">
        <f>SUM(Q112:Q115)</f>
        <v>1</v>
      </c>
      <c r="R116" s="54">
        <f t="shared" si="40"/>
        <v>0</v>
      </c>
      <c r="T116" s="60">
        <f>SUM(C116/B116)</f>
        <v>0.55187913125590182</v>
      </c>
      <c r="U116" s="60">
        <f>SUM(D116/B116)</f>
        <v>0.21556185080264401</v>
      </c>
      <c r="V116" s="60">
        <f>SUM(E116/B116)</f>
        <v>0.10364494806421153</v>
      </c>
      <c r="W116" s="60">
        <f>SUM(F116/B116)</f>
        <v>7.5882908404154861E-2</v>
      </c>
      <c r="X116" s="60">
        <f>SUM(G116/B116)</f>
        <v>1.525967894239849E-2</v>
      </c>
      <c r="Y116" s="60">
        <f>SUM(H116/B116)</f>
        <v>3.7771482530689328E-2</v>
      </c>
      <c r="Z116" s="60">
        <f>SUM(I116/B116)</f>
        <v>0</v>
      </c>
    </row>
    <row r="117" spans="1:26">
      <c r="A117" s="53"/>
      <c r="B117" s="54"/>
      <c r="C117" s="55"/>
      <c r="D117" s="55"/>
      <c r="E117" s="55"/>
      <c r="F117" s="55"/>
      <c r="G117" s="55"/>
      <c r="H117" s="55"/>
      <c r="I117" s="55"/>
      <c r="K117" s="54"/>
      <c r="L117" s="55"/>
      <c r="M117" s="55"/>
      <c r="N117" s="55"/>
      <c r="O117" s="55"/>
      <c r="P117" s="55"/>
      <c r="Q117" s="55"/>
      <c r="R117" s="55"/>
    </row>
    <row r="118" spans="1:26">
      <c r="A118" s="56" t="s">
        <v>1624</v>
      </c>
      <c r="B118" s="54">
        <f>SUM(C118:I118)</f>
        <v>5197</v>
      </c>
      <c r="C118" s="55">
        <v>2250</v>
      </c>
      <c r="D118" s="55">
        <v>646</v>
      </c>
      <c r="E118" s="55">
        <v>550</v>
      </c>
      <c r="F118" s="55">
        <v>1751</v>
      </c>
      <c r="G118" s="55">
        <v>0</v>
      </c>
      <c r="H118" s="55">
        <v>0</v>
      </c>
      <c r="I118" s="55">
        <v>0</v>
      </c>
      <c r="K118" s="54">
        <f>SUM(L118:R118)</f>
        <v>6</v>
      </c>
      <c r="L118" s="55">
        <v>3</v>
      </c>
      <c r="M118" s="55">
        <v>0</v>
      </c>
      <c r="N118" s="55">
        <v>1</v>
      </c>
      <c r="O118" s="55">
        <v>2</v>
      </c>
      <c r="P118" s="55">
        <v>0</v>
      </c>
      <c r="Q118" s="55">
        <v>0</v>
      </c>
      <c r="R118" s="55">
        <v>0</v>
      </c>
      <c r="T118" s="61">
        <f>SUM(C118/B118)</f>
        <v>0.43294208197036754</v>
      </c>
      <c r="U118" s="61">
        <f>SUM(D118/B118)</f>
        <v>0.12430248220126996</v>
      </c>
      <c r="V118" s="61">
        <f>SUM(E118/B118)</f>
        <v>0.10583028670386761</v>
      </c>
      <c r="W118" s="61">
        <f>SUM(F118/B118)</f>
        <v>0.33692514912449489</v>
      </c>
      <c r="X118" s="61">
        <f>SUM(G118/B118)</f>
        <v>0</v>
      </c>
      <c r="Y118" s="61">
        <f>SUM(H118/B118)</f>
        <v>0</v>
      </c>
      <c r="Z118" s="61">
        <f>SUM(I118/B118)</f>
        <v>0</v>
      </c>
    </row>
    <row r="119" spans="1:26">
      <c r="A119" s="56" t="s">
        <v>1625</v>
      </c>
      <c r="B119" s="54">
        <f>SUM(C119:I119)</f>
        <v>3501</v>
      </c>
      <c r="C119" s="55">
        <v>2374</v>
      </c>
      <c r="D119" s="55">
        <v>671</v>
      </c>
      <c r="E119" s="55">
        <v>456</v>
      </c>
      <c r="F119" s="55">
        <v>0</v>
      </c>
      <c r="G119" s="55">
        <v>0</v>
      </c>
      <c r="H119" s="55">
        <v>0</v>
      </c>
      <c r="I119" s="55">
        <v>0</v>
      </c>
      <c r="K119" s="54">
        <f>SUM(L119:R119)</f>
        <v>5</v>
      </c>
      <c r="L119" s="55">
        <v>3</v>
      </c>
      <c r="M119" s="55">
        <v>2</v>
      </c>
      <c r="N119" s="55">
        <v>0</v>
      </c>
      <c r="O119" s="55">
        <v>0</v>
      </c>
      <c r="P119" s="55">
        <v>0</v>
      </c>
      <c r="Q119" s="55">
        <v>0</v>
      </c>
      <c r="R119" s="55">
        <v>0</v>
      </c>
      <c r="T119" s="61">
        <f>SUM(C119/B119)</f>
        <v>0.67809197372179375</v>
      </c>
      <c r="U119" s="61">
        <f>SUM(D119/B119)</f>
        <v>0.19165952584975721</v>
      </c>
      <c r="V119" s="61">
        <f>SUM(E119/B119)</f>
        <v>0.13024850042844902</v>
      </c>
      <c r="W119" s="61">
        <f>SUM(F119/B119)</f>
        <v>0</v>
      </c>
      <c r="X119" s="61">
        <f>SUM(G119/B119)</f>
        <v>0</v>
      </c>
      <c r="Y119" s="61">
        <f>SUM(H119/B119)</f>
        <v>0</v>
      </c>
      <c r="Z119" s="61">
        <f>SUM(I119/B119)</f>
        <v>0</v>
      </c>
    </row>
    <row r="120" spans="1:26">
      <c r="A120" s="56" t="s">
        <v>1626</v>
      </c>
      <c r="B120" s="54">
        <f>SUM(C120:I120)</f>
        <v>3636</v>
      </c>
      <c r="C120" s="55">
        <v>1403</v>
      </c>
      <c r="D120" s="55">
        <v>543</v>
      </c>
      <c r="E120" s="55">
        <v>506</v>
      </c>
      <c r="F120" s="55">
        <v>711</v>
      </c>
      <c r="G120" s="55">
        <v>0</v>
      </c>
      <c r="H120" s="55">
        <v>473</v>
      </c>
      <c r="I120" s="55">
        <v>0</v>
      </c>
      <c r="K120" s="54">
        <f>SUM(L120:R120)</f>
        <v>5</v>
      </c>
      <c r="L120" s="55">
        <v>2</v>
      </c>
      <c r="M120" s="55">
        <v>0</v>
      </c>
      <c r="N120" s="55">
        <v>1</v>
      </c>
      <c r="O120" s="55">
        <v>1</v>
      </c>
      <c r="P120" s="55">
        <v>0</v>
      </c>
      <c r="Q120" s="55">
        <v>1</v>
      </c>
      <c r="R120" s="55">
        <v>0</v>
      </c>
      <c r="T120" s="61">
        <f>SUM(C120/B120)</f>
        <v>0.38586358635863588</v>
      </c>
      <c r="U120" s="61">
        <f>SUM(D120/B120)</f>
        <v>0.14933993399339934</v>
      </c>
      <c r="V120" s="61">
        <f>SUM(E120/B120)</f>
        <v>0.13916391639163916</v>
      </c>
      <c r="W120" s="61">
        <f>SUM(F120/B120)</f>
        <v>0.19554455445544555</v>
      </c>
      <c r="X120" s="61">
        <f>SUM(G120/B120)</f>
        <v>0</v>
      </c>
      <c r="Y120" s="61">
        <f>SUM(H120/B120)</f>
        <v>0.13008800880088009</v>
      </c>
      <c r="Z120" s="61">
        <f>SUM(I120/B120)</f>
        <v>0</v>
      </c>
    </row>
    <row r="121" spans="1:26" s="52" customFormat="1">
      <c r="A121" s="53" t="s">
        <v>1627</v>
      </c>
      <c r="B121" s="54">
        <f>SUM(B118:B120)</f>
        <v>12334</v>
      </c>
      <c r="C121" s="54">
        <f t="shared" ref="C121:R121" si="41">SUM(C118:C120)</f>
        <v>6027</v>
      </c>
      <c r="D121" s="54">
        <f t="shared" si="41"/>
        <v>1860</v>
      </c>
      <c r="E121" s="54">
        <f>SUM(E118:E120)</f>
        <v>1512</v>
      </c>
      <c r="F121" s="54">
        <f t="shared" si="41"/>
        <v>2462</v>
      </c>
      <c r="G121" s="54">
        <f t="shared" si="41"/>
        <v>0</v>
      </c>
      <c r="H121" s="54">
        <f>SUM(H118:H120)</f>
        <v>473</v>
      </c>
      <c r="I121" s="54">
        <f t="shared" si="41"/>
        <v>0</v>
      </c>
      <c r="J121" s="54"/>
      <c r="K121" s="54">
        <f t="shared" si="41"/>
        <v>16</v>
      </c>
      <c r="L121" s="54">
        <f t="shared" si="41"/>
        <v>8</v>
      </c>
      <c r="M121" s="54">
        <f t="shared" si="41"/>
        <v>2</v>
      </c>
      <c r="N121" s="54">
        <f>SUM(N118:N120)</f>
        <v>2</v>
      </c>
      <c r="O121" s="54">
        <f t="shared" si="41"/>
        <v>3</v>
      </c>
      <c r="P121" s="54">
        <f t="shared" si="41"/>
        <v>0</v>
      </c>
      <c r="Q121" s="54">
        <f>SUM(Q118:Q120)</f>
        <v>1</v>
      </c>
      <c r="R121" s="54">
        <f t="shared" si="41"/>
        <v>0</v>
      </c>
      <c r="T121" s="60">
        <f>SUM(C121/B121)</f>
        <v>0.48864926220204313</v>
      </c>
      <c r="U121" s="60">
        <f>SUM(D121/B121)</f>
        <v>0.15080265931571266</v>
      </c>
      <c r="V121" s="60">
        <f>SUM(E121/B121)</f>
        <v>0.12258796821793416</v>
      </c>
      <c r="W121" s="60">
        <f>SUM(F121/B121)</f>
        <v>0.19961083184692718</v>
      </c>
      <c r="X121" s="60">
        <f>SUM(G121/B121)</f>
        <v>0</v>
      </c>
      <c r="Y121" s="60">
        <f>SUM(H121/B121)</f>
        <v>3.8349278417382844E-2</v>
      </c>
      <c r="Z121" s="60">
        <f>SUM(I121/B121)</f>
        <v>0</v>
      </c>
    </row>
    <row r="122" spans="1:26">
      <c r="A122" s="53"/>
      <c r="B122" s="54"/>
      <c r="C122" s="55"/>
      <c r="D122" s="55"/>
      <c r="E122" s="55"/>
      <c r="F122" s="55"/>
      <c r="G122" s="55"/>
      <c r="H122" s="55"/>
      <c r="I122" s="55"/>
      <c r="K122" s="54"/>
      <c r="L122" s="55"/>
      <c r="M122" s="55"/>
      <c r="N122" s="55"/>
      <c r="O122" s="55"/>
      <c r="P122" s="55"/>
      <c r="Q122" s="55"/>
      <c r="R122" s="55"/>
    </row>
    <row r="123" spans="1:26">
      <c r="A123" s="56" t="s">
        <v>1628</v>
      </c>
      <c r="B123" s="54">
        <f>SUM(C123:I123)</f>
        <v>2395</v>
      </c>
      <c r="C123" s="55">
        <v>296</v>
      </c>
      <c r="D123" s="55">
        <v>323</v>
      </c>
      <c r="E123" s="55">
        <v>636</v>
      </c>
      <c r="F123" s="55">
        <v>838</v>
      </c>
      <c r="G123" s="55">
        <v>0</v>
      </c>
      <c r="H123" s="55">
        <v>302</v>
      </c>
      <c r="I123" s="55">
        <v>0</v>
      </c>
      <c r="J123" s="55"/>
      <c r="K123" s="54">
        <f>SUM(L123:R123)</f>
        <v>5</v>
      </c>
      <c r="L123" s="55">
        <v>0</v>
      </c>
      <c r="M123" s="55">
        <v>1</v>
      </c>
      <c r="N123" s="55">
        <v>1</v>
      </c>
      <c r="O123" s="55">
        <v>2</v>
      </c>
      <c r="P123" s="55">
        <v>0</v>
      </c>
      <c r="Q123" s="55">
        <v>1</v>
      </c>
      <c r="R123" s="55">
        <v>0</v>
      </c>
      <c r="T123" s="61">
        <f>SUM(C123/B123)</f>
        <v>0.12359081419624217</v>
      </c>
      <c r="U123" s="61">
        <f>SUM(D123/B123)</f>
        <v>0.13486430062630481</v>
      </c>
      <c r="V123" s="61">
        <f>SUM(E123/B123)</f>
        <v>0.26555323590814195</v>
      </c>
      <c r="W123" s="61">
        <f>SUM(F123/B123)</f>
        <v>0.34989561586638829</v>
      </c>
      <c r="X123" s="61">
        <f>SUM(G123/B123)</f>
        <v>0</v>
      </c>
      <c r="Y123" s="61">
        <f>SUM(H123/B123)</f>
        <v>0.12609603340292275</v>
      </c>
      <c r="Z123" s="61">
        <f>SUM(I123/B123)</f>
        <v>0</v>
      </c>
    </row>
    <row r="124" spans="1:26">
      <c r="A124" s="56" t="s">
        <v>1629</v>
      </c>
      <c r="B124" s="54">
        <f>SUM(C124:I124)</f>
        <v>1694</v>
      </c>
      <c r="C124" s="55">
        <v>951</v>
      </c>
      <c r="D124" s="55">
        <v>498</v>
      </c>
      <c r="E124" s="55">
        <v>0</v>
      </c>
      <c r="F124" s="55">
        <v>0</v>
      </c>
      <c r="G124" s="55">
        <v>0</v>
      </c>
      <c r="H124" s="55">
        <v>245</v>
      </c>
      <c r="I124" s="55">
        <v>0</v>
      </c>
      <c r="K124" s="54">
        <f>SUM(L124:R124)</f>
        <v>5</v>
      </c>
      <c r="L124" s="55">
        <v>2</v>
      </c>
      <c r="M124" s="55">
        <v>2</v>
      </c>
      <c r="N124" s="55">
        <v>0</v>
      </c>
      <c r="O124" s="55">
        <v>0</v>
      </c>
      <c r="P124" s="55">
        <v>0</v>
      </c>
      <c r="Q124" s="55">
        <v>1</v>
      </c>
      <c r="R124" s="55">
        <v>0</v>
      </c>
      <c r="T124" s="61">
        <f>SUM(C124/B124)</f>
        <v>0.56139315230224318</v>
      </c>
      <c r="U124" s="61">
        <f>SUM(D124/B124)</f>
        <v>0.29397874852420308</v>
      </c>
      <c r="V124" s="61">
        <f>SUM(E124/B124)</f>
        <v>0</v>
      </c>
      <c r="W124" s="61">
        <f>SUM(F124/B124)</f>
        <v>0</v>
      </c>
      <c r="X124" s="61">
        <f>SUM(G124/B124)</f>
        <v>0</v>
      </c>
      <c r="Y124" s="61">
        <f>SUM(H124/B124)</f>
        <v>0.14462809917355371</v>
      </c>
      <c r="Z124" s="61">
        <f>SUM(I124/B124)</f>
        <v>0</v>
      </c>
    </row>
    <row r="125" spans="1:26">
      <c r="A125" s="56" t="s">
        <v>1630</v>
      </c>
      <c r="B125" s="54">
        <f>SUM(C125:I125)</f>
        <v>2580</v>
      </c>
      <c r="C125" s="55">
        <v>201</v>
      </c>
      <c r="D125" s="55">
        <v>0</v>
      </c>
      <c r="E125" s="55">
        <v>758</v>
      </c>
      <c r="F125" s="55">
        <v>1218</v>
      </c>
      <c r="G125" s="55">
        <v>0</v>
      </c>
      <c r="H125" s="55">
        <v>403</v>
      </c>
      <c r="I125" s="55">
        <v>0</v>
      </c>
      <c r="K125" s="54">
        <f>SUM(L125:R125)</f>
        <v>5</v>
      </c>
      <c r="L125" s="55">
        <v>0</v>
      </c>
      <c r="M125" s="55">
        <v>0</v>
      </c>
      <c r="N125" s="55">
        <v>2</v>
      </c>
      <c r="O125" s="55">
        <v>2</v>
      </c>
      <c r="P125" s="55">
        <v>0</v>
      </c>
      <c r="Q125" s="55">
        <v>1</v>
      </c>
      <c r="R125" s="55">
        <v>0</v>
      </c>
      <c r="T125" s="61">
        <f>SUM(C125/B125)</f>
        <v>7.7906976744186049E-2</v>
      </c>
      <c r="U125" s="61">
        <f>SUM(D125/B125)</f>
        <v>0</v>
      </c>
      <c r="V125" s="61">
        <f>SUM(E125/B125)</f>
        <v>0.29379844961240309</v>
      </c>
      <c r="W125" s="61">
        <f>SUM(F125/B125)</f>
        <v>0.47209302325581393</v>
      </c>
      <c r="X125" s="61">
        <f>SUM(G125/B125)</f>
        <v>0</v>
      </c>
      <c r="Y125" s="61">
        <f>SUM(H125/B125)</f>
        <v>0.15620155038759689</v>
      </c>
      <c r="Z125" s="61">
        <f>SUM(I125/B125)</f>
        <v>0</v>
      </c>
    </row>
    <row r="126" spans="1:26" s="52" customFormat="1">
      <c r="A126" s="53" t="s">
        <v>1631</v>
      </c>
      <c r="B126" s="54">
        <f>SUM(B123:B125)</f>
        <v>6669</v>
      </c>
      <c r="C126" s="54">
        <f t="shared" ref="C126:R126" si="42">SUM(C123:C125)</f>
        <v>1448</v>
      </c>
      <c r="D126" s="54">
        <f t="shared" si="42"/>
        <v>821</v>
      </c>
      <c r="E126" s="54">
        <f>SUM(E123:E125)</f>
        <v>1394</v>
      </c>
      <c r="F126" s="54">
        <f t="shared" si="42"/>
        <v>2056</v>
      </c>
      <c r="G126" s="54">
        <f t="shared" si="42"/>
        <v>0</v>
      </c>
      <c r="H126" s="54">
        <f>SUM(H123:H125)</f>
        <v>950</v>
      </c>
      <c r="I126" s="54">
        <f t="shared" si="42"/>
        <v>0</v>
      </c>
      <c r="J126" s="54"/>
      <c r="K126" s="54">
        <f t="shared" si="42"/>
        <v>15</v>
      </c>
      <c r="L126" s="54">
        <f t="shared" si="42"/>
        <v>2</v>
      </c>
      <c r="M126" s="54">
        <f t="shared" si="42"/>
        <v>3</v>
      </c>
      <c r="N126" s="54">
        <f>SUM(N123:N125)</f>
        <v>3</v>
      </c>
      <c r="O126" s="54">
        <f t="shared" si="42"/>
        <v>4</v>
      </c>
      <c r="P126" s="54">
        <f t="shared" si="42"/>
        <v>0</v>
      </c>
      <c r="Q126" s="54">
        <f>SUM(Q123:Q125)</f>
        <v>3</v>
      </c>
      <c r="R126" s="54">
        <f t="shared" si="42"/>
        <v>0</v>
      </c>
      <c r="T126" s="60">
        <f>SUM(C126/B126)</f>
        <v>0.21712400659769082</v>
      </c>
      <c r="U126" s="60">
        <f>SUM(D126/B126)</f>
        <v>0.12310691258059679</v>
      </c>
      <c r="V126" s="60">
        <f>SUM(E126/B126)</f>
        <v>0.20902684060578797</v>
      </c>
      <c r="W126" s="60">
        <f>SUM(F126/B126)</f>
        <v>0.30829209776578198</v>
      </c>
      <c r="X126" s="60">
        <f>SUM(G126/B126)</f>
        <v>0</v>
      </c>
      <c r="Y126" s="60">
        <f>SUM(H126/B126)</f>
        <v>0.14245014245014245</v>
      </c>
      <c r="Z126" s="60">
        <f>SUM(I126/B126)</f>
        <v>0</v>
      </c>
    </row>
    <row r="127" spans="1:26">
      <c r="A127" s="53"/>
      <c r="B127" s="54"/>
      <c r="C127" s="55"/>
      <c r="D127" s="55"/>
      <c r="E127" s="55"/>
      <c r="F127" s="55"/>
      <c r="G127" s="55"/>
      <c r="H127" s="55"/>
      <c r="I127" s="55"/>
      <c r="K127" s="54"/>
      <c r="L127" s="55"/>
      <c r="M127" s="55"/>
      <c r="N127" s="55"/>
      <c r="O127" s="55"/>
      <c r="P127" s="55"/>
      <c r="Q127" s="55"/>
      <c r="R127" s="55"/>
    </row>
    <row r="128" spans="1:26">
      <c r="A128" s="56" t="s">
        <v>1632</v>
      </c>
      <c r="B128" s="54">
        <f>SUM(C128:I128)</f>
        <v>3665</v>
      </c>
      <c r="C128" s="55">
        <v>1277</v>
      </c>
      <c r="D128" s="55">
        <v>760</v>
      </c>
      <c r="E128" s="55">
        <v>564</v>
      </c>
      <c r="F128" s="55">
        <v>441</v>
      </c>
      <c r="G128" s="55">
        <v>411</v>
      </c>
      <c r="H128" s="55">
        <v>212</v>
      </c>
      <c r="I128" s="55">
        <v>0</v>
      </c>
      <c r="K128" s="54">
        <f>SUM(L128:R128)</f>
        <v>5</v>
      </c>
      <c r="L128" s="55">
        <v>2</v>
      </c>
      <c r="M128" s="55">
        <v>1</v>
      </c>
      <c r="N128" s="55">
        <v>1</v>
      </c>
      <c r="O128" s="55">
        <v>0</v>
      </c>
      <c r="P128" s="55">
        <v>1</v>
      </c>
      <c r="Q128" s="55">
        <v>0</v>
      </c>
      <c r="R128" s="55">
        <v>0</v>
      </c>
      <c r="T128" s="61">
        <f>SUM(C128/B128)</f>
        <v>0.34843110504774899</v>
      </c>
      <c r="U128" s="61">
        <f>SUM(D128/B128)</f>
        <v>0.20736698499317871</v>
      </c>
      <c r="V128" s="61">
        <f>SUM(E128/B128)</f>
        <v>0.15388813096862211</v>
      </c>
      <c r="W128" s="61">
        <f>SUM(F128/B128)</f>
        <v>0.12032742155525239</v>
      </c>
      <c r="X128" s="61">
        <f>SUM(G128/B128)</f>
        <v>0.11214188267394271</v>
      </c>
      <c r="Y128" s="61">
        <f>SUM(H128/B128)</f>
        <v>5.7844474761255114E-2</v>
      </c>
      <c r="Z128" s="61">
        <f>SUM(I128/B128)</f>
        <v>0</v>
      </c>
    </row>
    <row r="129" spans="1:26">
      <c r="A129" s="56" t="s">
        <v>1633</v>
      </c>
      <c r="B129" s="54">
        <f>SUM(C129:I129)</f>
        <v>4567</v>
      </c>
      <c r="C129" s="55">
        <v>1771</v>
      </c>
      <c r="D129" s="55">
        <v>1934</v>
      </c>
      <c r="E129" s="55">
        <v>0</v>
      </c>
      <c r="F129" s="55">
        <v>0</v>
      </c>
      <c r="G129" s="55">
        <v>862</v>
      </c>
      <c r="H129" s="55">
        <v>0</v>
      </c>
      <c r="I129" s="55">
        <v>0</v>
      </c>
      <c r="K129" s="54">
        <f>SUM(L129:R129)</f>
        <v>5</v>
      </c>
      <c r="L129" s="55">
        <v>2</v>
      </c>
      <c r="M129" s="55">
        <v>2</v>
      </c>
      <c r="N129" s="55">
        <v>0</v>
      </c>
      <c r="O129" s="55">
        <v>0</v>
      </c>
      <c r="P129" s="55">
        <v>1</v>
      </c>
      <c r="Q129" s="55">
        <v>0</v>
      </c>
      <c r="R129" s="55">
        <v>0</v>
      </c>
      <c r="T129" s="61">
        <f>SUM(C129/B129)</f>
        <v>0.3877819137289249</v>
      </c>
      <c r="U129" s="61">
        <f>SUM(D129/B129)</f>
        <v>0.42347273921611561</v>
      </c>
      <c r="V129" s="61">
        <f>SUM(E129/B129)</f>
        <v>0</v>
      </c>
      <c r="W129" s="61">
        <f>SUM(F129/B129)</f>
        <v>0</v>
      </c>
      <c r="X129" s="61">
        <f>SUM(G129/B129)</f>
        <v>0.18874534705495949</v>
      </c>
      <c r="Y129" s="61">
        <f>SUM(H129/B129)</f>
        <v>0</v>
      </c>
      <c r="Z129" s="61">
        <f>SUM(I129/B129)</f>
        <v>0</v>
      </c>
    </row>
    <row r="130" spans="1:26">
      <c r="A130" s="56" t="s">
        <v>1634</v>
      </c>
      <c r="B130" s="54">
        <f>SUM(C130:I130)</f>
        <v>3475</v>
      </c>
      <c r="C130" s="55">
        <v>1053</v>
      </c>
      <c r="D130" s="55">
        <v>408</v>
      </c>
      <c r="E130" s="55">
        <v>511</v>
      </c>
      <c r="F130" s="55">
        <v>0</v>
      </c>
      <c r="G130" s="55">
        <v>175</v>
      </c>
      <c r="H130" s="55">
        <v>1282</v>
      </c>
      <c r="I130" s="55">
        <v>46</v>
      </c>
      <c r="K130" s="54">
        <f>SUM(L130:R130)</f>
        <v>5</v>
      </c>
      <c r="L130" s="55">
        <v>1</v>
      </c>
      <c r="M130" s="55">
        <v>1</v>
      </c>
      <c r="N130" s="55">
        <v>1</v>
      </c>
      <c r="O130" s="55">
        <v>0</v>
      </c>
      <c r="P130" s="55">
        <v>0</v>
      </c>
      <c r="Q130" s="55">
        <v>2</v>
      </c>
      <c r="R130" s="55">
        <v>0</v>
      </c>
      <c r="T130" s="61">
        <f>SUM(C130/B130)</f>
        <v>0.30302158273381297</v>
      </c>
      <c r="U130" s="61">
        <f>SUM(D130/B130)</f>
        <v>0.11741007194244604</v>
      </c>
      <c r="V130" s="61">
        <f>SUM(E130/B130)</f>
        <v>0.14705035971223021</v>
      </c>
      <c r="W130" s="61">
        <f>SUM(F130/B130)</f>
        <v>0</v>
      </c>
      <c r="X130" s="61">
        <f>SUM(G130/B130)</f>
        <v>5.0359712230215826E-2</v>
      </c>
      <c r="Y130" s="61">
        <f>SUM(H130/B130)</f>
        <v>0.36892086330935253</v>
      </c>
      <c r="Z130" s="61">
        <f>SUM(I130/B130)</f>
        <v>1.3237410071942447E-2</v>
      </c>
    </row>
    <row r="131" spans="1:26" s="52" customFormat="1">
      <c r="A131" s="53" t="s">
        <v>1635</v>
      </c>
      <c r="B131" s="54">
        <f>SUM(B128:B130)</f>
        <v>11707</v>
      </c>
      <c r="C131" s="54">
        <f t="shared" ref="C131:R131" si="43">SUM(C128:C130)</f>
        <v>4101</v>
      </c>
      <c r="D131" s="54">
        <f t="shared" si="43"/>
        <v>3102</v>
      </c>
      <c r="E131" s="54">
        <f>SUM(E128:E130)</f>
        <v>1075</v>
      </c>
      <c r="F131" s="54">
        <f t="shared" si="43"/>
        <v>441</v>
      </c>
      <c r="G131" s="54">
        <f t="shared" si="43"/>
        <v>1448</v>
      </c>
      <c r="H131" s="54">
        <f>SUM(H128:H130)</f>
        <v>1494</v>
      </c>
      <c r="I131" s="54">
        <f t="shared" si="43"/>
        <v>46</v>
      </c>
      <c r="J131" s="54"/>
      <c r="K131" s="54">
        <f t="shared" si="43"/>
        <v>15</v>
      </c>
      <c r="L131" s="54">
        <f t="shared" si="43"/>
        <v>5</v>
      </c>
      <c r="M131" s="54">
        <f t="shared" si="43"/>
        <v>4</v>
      </c>
      <c r="N131" s="54">
        <f>SUM(N128:N130)</f>
        <v>2</v>
      </c>
      <c r="O131" s="54">
        <f t="shared" si="43"/>
        <v>0</v>
      </c>
      <c r="P131" s="54">
        <f t="shared" si="43"/>
        <v>2</v>
      </c>
      <c r="Q131" s="54">
        <f>SUM(Q128:Q130)</f>
        <v>2</v>
      </c>
      <c r="R131" s="54">
        <f t="shared" si="43"/>
        <v>0</v>
      </c>
      <c r="T131" s="60">
        <f>SUM(C131/B131)</f>
        <v>0.35030323737934571</v>
      </c>
      <c r="U131" s="60">
        <f>SUM(D131/B131)</f>
        <v>0.26496967626206541</v>
      </c>
      <c r="V131" s="60">
        <f>SUM(E131/B131)</f>
        <v>9.1825403604680958E-2</v>
      </c>
      <c r="W131" s="60">
        <f>SUM(F131/B131)</f>
        <v>3.7669770222943537E-2</v>
      </c>
      <c r="X131" s="60">
        <f>SUM(G131/B131)</f>
        <v>0.12368668318100282</v>
      </c>
      <c r="Y131" s="60">
        <f>SUM(H131/B131)</f>
        <v>0.12761595626548219</v>
      </c>
      <c r="Z131" s="60">
        <f>SUM(I131/B131)</f>
        <v>3.929273084479371E-3</v>
      </c>
    </row>
    <row r="132" spans="1:26">
      <c r="A132" s="53"/>
      <c r="B132" s="54"/>
      <c r="C132" s="55"/>
      <c r="D132" s="55"/>
      <c r="E132" s="55"/>
      <c r="F132" s="55"/>
      <c r="G132" s="55"/>
      <c r="H132" s="55"/>
      <c r="I132" s="55"/>
      <c r="K132" s="54"/>
      <c r="L132" s="55"/>
      <c r="M132" s="55"/>
      <c r="N132" s="55"/>
      <c r="O132" s="55"/>
      <c r="P132" s="55"/>
      <c r="Q132" s="55"/>
      <c r="R132" s="55"/>
    </row>
    <row r="133" spans="1:26">
      <c r="A133" s="56" t="s">
        <v>1636</v>
      </c>
      <c r="B133" s="54">
        <f>SUM(C133:I133)</f>
        <v>5174</v>
      </c>
      <c r="C133" s="55">
        <v>2375</v>
      </c>
      <c r="D133" s="55">
        <v>1425</v>
      </c>
      <c r="E133" s="55">
        <v>0</v>
      </c>
      <c r="F133" s="55">
        <v>0</v>
      </c>
      <c r="G133" s="55">
        <v>1081</v>
      </c>
      <c r="H133" s="55">
        <v>293</v>
      </c>
      <c r="I133" s="55">
        <v>0</v>
      </c>
      <c r="K133" s="54">
        <f>SUM(L133:R133)</f>
        <v>6</v>
      </c>
      <c r="L133" s="55">
        <v>3</v>
      </c>
      <c r="M133" s="55">
        <v>2</v>
      </c>
      <c r="N133" s="55">
        <v>0</v>
      </c>
      <c r="O133" s="55">
        <v>0</v>
      </c>
      <c r="P133" s="55">
        <v>1</v>
      </c>
      <c r="Q133" s="55">
        <v>0</v>
      </c>
      <c r="R133" s="55">
        <v>0</v>
      </c>
      <c r="T133" s="61">
        <f>SUM(C133/B133)</f>
        <v>0.4590258987243912</v>
      </c>
      <c r="U133" s="61">
        <f>SUM(D133/B133)</f>
        <v>0.27541553923463469</v>
      </c>
      <c r="V133" s="61">
        <f>SUM(E133/B133)</f>
        <v>0</v>
      </c>
      <c r="W133" s="61">
        <f>SUM(F133/B133)</f>
        <v>0</v>
      </c>
      <c r="X133" s="61">
        <f>SUM(G133/B133)</f>
        <v>0.20892926169308079</v>
      </c>
      <c r="Y133" s="61">
        <f>SUM(H133/B133)</f>
        <v>5.6629300347893312E-2</v>
      </c>
      <c r="Z133" s="61">
        <f>SUM(I133/B133)</f>
        <v>0</v>
      </c>
    </row>
    <row r="134" spans="1:26">
      <c r="A134" s="56" t="s">
        <v>1637</v>
      </c>
      <c r="B134" s="54">
        <f>SUM(C134:I134)</f>
        <v>3009</v>
      </c>
      <c r="C134" s="55">
        <v>1238</v>
      </c>
      <c r="D134" s="55">
        <v>275</v>
      </c>
      <c r="E134" s="55">
        <v>0</v>
      </c>
      <c r="F134" s="55">
        <v>0</v>
      </c>
      <c r="G134" s="55">
        <v>792</v>
      </c>
      <c r="H134" s="55">
        <v>704</v>
      </c>
      <c r="I134" s="55">
        <v>0</v>
      </c>
      <c r="K134" s="54">
        <f>SUM(L134:R134)</f>
        <v>5</v>
      </c>
      <c r="L134" s="55">
        <v>2</v>
      </c>
      <c r="M134" s="55">
        <v>1</v>
      </c>
      <c r="N134" s="55">
        <v>0</v>
      </c>
      <c r="O134" s="55">
        <v>0</v>
      </c>
      <c r="P134" s="55">
        <v>1</v>
      </c>
      <c r="Q134" s="55">
        <v>1</v>
      </c>
      <c r="R134" s="55">
        <v>0</v>
      </c>
      <c r="T134" s="61">
        <f>SUM(C134/B134)</f>
        <v>0.41143236955799267</v>
      </c>
      <c r="U134" s="61">
        <f>SUM(D134/B134)</f>
        <v>9.1392489199069463E-2</v>
      </c>
      <c r="V134" s="61">
        <f>SUM(E134/B134)</f>
        <v>0</v>
      </c>
      <c r="W134" s="61">
        <f>SUM(F134/B134)</f>
        <v>0</v>
      </c>
      <c r="X134" s="61">
        <f>SUM(G134/B134)</f>
        <v>0.26321036889332006</v>
      </c>
      <c r="Y134" s="61">
        <f>SUM(H134/B134)</f>
        <v>0.23396477234961782</v>
      </c>
      <c r="Z134" s="61">
        <f>SUM(I134/B134)</f>
        <v>0</v>
      </c>
    </row>
    <row r="135" spans="1:26">
      <c r="A135" s="56" t="s">
        <v>1638</v>
      </c>
      <c r="B135" s="54">
        <f>SUM(C135:I135)</f>
        <v>5717</v>
      </c>
      <c r="C135" s="55">
        <v>2402</v>
      </c>
      <c r="D135" s="55">
        <v>808</v>
      </c>
      <c r="E135" s="55">
        <v>0</v>
      </c>
      <c r="F135" s="55">
        <v>0</v>
      </c>
      <c r="G135" s="55">
        <v>1345</v>
      </c>
      <c r="H135" s="55">
        <v>1162</v>
      </c>
      <c r="I135" s="55">
        <v>0</v>
      </c>
      <c r="K135" s="54">
        <f>SUM(L135:R135)</f>
        <v>6</v>
      </c>
      <c r="L135" s="55">
        <v>3</v>
      </c>
      <c r="M135" s="55">
        <v>1</v>
      </c>
      <c r="N135" s="55">
        <v>0</v>
      </c>
      <c r="O135" s="55">
        <v>0</v>
      </c>
      <c r="P135" s="55">
        <v>1</v>
      </c>
      <c r="Q135" s="55">
        <v>1</v>
      </c>
      <c r="R135" s="55">
        <v>0</v>
      </c>
      <c r="T135" s="61">
        <f>SUM(C135/B135)</f>
        <v>0.42015042854644041</v>
      </c>
      <c r="U135" s="61">
        <f>SUM(D135/B135)</f>
        <v>0.1413328668882281</v>
      </c>
      <c r="V135" s="61">
        <f>SUM(E135/B135)</f>
        <v>0</v>
      </c>
      <c r="W135" s="61">
        <f>SUM(F135/B135)</f>
        <v>0</v>
      </c>
      <c r="X135" s="61">
        <f>SUM(G135/B135)</f>
        <v>0.23526324995627076</v>
      </c>
      <c r="Y135" s="61">
        <f>SUM(H135/B135)</f>
        <v>0.20325345460906069</v>
      </c>
      <c r="Z135" s="61">
        <f>SUM(I135/B135)</f>
        <v>0</v>
      </c>
    </row>
    <row r="136" spans="1:26" s="52" customFormat="1">
      <c r="A136" s="53" t="s">
        <v>1639</v>
      </c>
      <c r="B136" s="54">
        <f>SUM(B133:B135)</f>
        <v>13900</v>
      </c>
      <c r="C136" s="54">
        <f t="shared" ref="C136:R136" si="44">SUM(C133:C135)</f>
        <v>6015</v>
      </c>
      <c r="D136" s="54">
        <f t="shared" si="44"/>
        <v>2508</v>
      </c>
      <c r="E136" s="54">
        <f>SUM(E133:E135)</f>
        <v>0</v>
      </c>
      <c r="F136" s="54">
        <f t="shared" si="44"/>
        <v>0</v>
      </c>
      <c r="G136" s="54">
        <f t="shared" si="44"/>
        <v>3218</v>
      </c>
      <c r="H136" s="54">
        <f>SUM(H133:H135)</f>
        <v>2159</v>
      </c>
      <c r="I136" s="54">
        <f t="shared" si="44"/>
        <v>0</v>
      </c>
      <c r="J136" s="54"/>
      <c r="K136" s="54">
        <f t="shared" si="44"/>
        <v>17</v>
      </c>
      <c r="L136" s="54">
        <f t="shared" si="44"/>
        <v>8</v>
      </c>
      <c r="M136" s="54">
        <f t="shared" si="44"/>
        <v>4</v>
      </c>
      <c r="N136" s="54">
        <f>SUM(N133:N135)</f>
        <v>0</v>
      </c>
      <c r="O136" s="54">
        <f t="shared" si="44"/>
        <v>0</v>
      </c>
      <c r="P136" s="54">
        <f t="shared" si="44"/>
        <v>3</v>
      </c>
      <c r="Q136" s="54">
        <f>SUM(Q133:Q135)</f>
        <v>2</v>
      </c>
      <c r="R136" s="54">
        <f t="shared" si="44"/>
        <v>0</v>
      </c>
      <c r="T136" s="60">
        <f>SUM(C136/B136)</f>
        <v>0.43273381294964031</v>
      </c>
      <c r="U136" s="60">
        <f>SUM(D136/B136)</f>
        <v>0.18043165467625899</v>
      </c>
      <c r="V136" s="60">
        <f>SUM(E136/B136)</f>
        <v>0</v>
      </c>
      <c r="W136" s="60">
        <f>SUM(F136/B136)</f>
        <v>0</v>
      </c>
      <c r="X136" s="60">
        <f>SUM(G136/B136)</f>
        <v>0.23151079136690647</v>
      </c>
      <c r="Y136" s="60">
        <f>SUM(H136/B136)</f>
        <v>0.15532374100719423</v>
      </c>
      <c r="Z136" s="60">
        <f>SUM(I136/B136)</f>
        <v>0</v>
      </c>
    </row>
    <row r="137" spans="1:26">
      <c r="A137" s="53"/>
      <c r="B137" s="54"/>
      <c r="C137" s="55"/>
      <c r="D137" s="55"/>
      <c r="E137" s="55"/>
      <c r="F137" s="55"/>
      <c r="G137" s="55"/>
      <c r="H137" s="55"/>
      <c r="I137" s="55"/>
      <c r="K137" s="54"/>
      <c r="L137" s="55"/>
      <c r="M137" s="55"/>
      <c r="N137" s="55"/>
      <c r="O137" s="55"/>
      <c r="P137" s="55"/>
      <c r="Q137" s="55"/>
      <c r="R137" s="55"/>
    </row>
    <row r="138" spans="1:26">
      <c r="A138" s="56" t="s">
        <v>1640</v>
      </c>
      <c r="B138" s="54">
        <f>SUM(C138:I138)</f>
        <v>9045</v>
      </c>
      <c r="C138" s="55">
        <v>3136</v>
      </c>
      <c r="D138" s="55">
        <v>1617</v>
      </c>
      <c r="E138" s="55">
        <v>1621</v>
      </c>
      <c r="F138" s="55">
        <v>1450</v>
      </c>
      <c r="G138" s="55">
        <v>859</v>
      </c>
      <c r="H138" s="55">
        <v>362</v>
      </c>
      <c r="I138" s="55">
        <v>0</v>
      </c>
      <c r="J138" s="55"/>
      <c r="K138" s="54">
        <f>SUM(L138:R138)</f>
        <v>7</v>
      </c>
      <c r="L138" s="55">
        <v>3</v>
      </c>
      <c r="M138" s="55">
        <v>1</v>
      </c>
      <c r="N138" s="55">
        <v>1</v>
      </c>
      <c r="O138" s="55">
        <v>1</v>
      </c>
      <c r="P138" s="55">
        <v>1</v>
      </c>
      <c r="Q138" s="55">
        <v>0</v>
      </c>
      <c r="R138" s="55">
        <v>0</v>
      </c>
      <c r="T138" s="61">
        <f>SUM(C138/B138)</f>
        <v>0.34671088999447208</v>
      </c>
      <c r="U138" s="61">
        <f>SUM(D138/B138)</f>
        <v>0.17877280265339968</v>
      </c>
      <c r="V138" s="61">
        <f>SUM(E138/B138)</f>
        <v>0.17921503593145385</v>
      </c>
      <c r="W138" s="61">
        <f>SUM(F138/B138)</f>
        <v>0.16030956329463791</v>
      </c>
      <c r="X138" s="61">
        <f>SUM(G138/B138)</f>
        <v>9.4969596462133779E-2</v>
      </c>
      <c r="Y138" s="61">
        <f>SUM(H138/B138)</f>
        <v>4.002211166390271E-2</v>
      </c>
      <c r="Z138" s="61">
        <f>SUM(I138/B138)</f>
        <v>0</v>
      </c>
    </row>
    <row r="139" spans="1:26">
      <c r="A139" s="56" t="s">
        <v>1641</v>
      </c>
      <c r="B139" s="54">
        <f>SUM(C139:I139)</f>
        <v>6705</v>
      </c>
      <c r="C139" s="55">
        <v>3756</v>
      </c>
      <c r="D139" s="55">
        <v>2263</v>
      </c>
      <c r="E139" s="55">
        <v>0</v>
      </c>
      <c r="F139" s="55">
        <v>0</v>
      </c>
      <c r="G139" s="55">
        <v>451</v>
      </c>
      <c r="H139" s="55">
        <v>235</v>
      </c>
      <c r="I139" s="55">
        <v>0</v>
      </c>
      <c r="K139" s="54">
        <f>SUM(L139:R139)</f>
        <v>5</v>
      </c>
      <c r="L139" s="55">
        <v>3</v>
      </c>
      <c r="M139" s="55">
        <v>2</v>
      </c>
      <c r="N139" s="55">
        <v>0</v>
      </c>
      <c r="O139" s="55">
        <v>0</v>
      </c>
      <c r="P139" s="55">
        <v>0</v>
      </c>
      <c r="Q139" s="55">
        <v>0</v>
      </c>
      <c r="R139" s="55">
        <v>0</v>
      </c>
      <c r="T139" s="61">
        <f>SUM(C139/B139)</f>
        <v>0.5601789709172259</v>
      </c>
      <c r="U139" s="61">
        <f>SUM(D139/B139)</f>
        <v>0.33750932140193884</v>
      </c>
      <c r="V139" s="61">
        <f>SUM(E139/B139)</f>
        <v>0</v>
      </c>
      <c r="W139" s="61">
        <f>SUM(F139/B139)</f>
        <v>0</v>
      </c>
      <c r="X139" s="61">
        <f>SUM(G139/B139)</f>
        <v>6.726323639075317E-2</v>
      </c>
      <c r="Y139" s="61">
        <f>SUM(H139/B139)</f>
        <v>3.5048471290082026E-2</v>
      </c>
      <c r="Z139" s="61">
        <f>SUM(I139/B139)</f>
        <v>0</v>
      </c>
    </row>
    <row r="140" spans="1:26">
      <c r="A140" s="56" t="s">
        <v>1642</v>
      </c>
      <c r="B140" s="54">
        <f>SUM(C140:I140)</f>
        <v>5476</v>
      </c>
      <c r="C140" s="55">
        <v>2710</v>
      </c>
      <c r="D140" s="55">
        <v>551</v>
      </c>
      <c r="E140" s="55">
        <v>200</v>
      </c>
      <c r="F140" s="55">
        <v>321</v>
      </c>
      <c r="G140" s="55">
        <v>0</v>
      </c>
      <c r="H140" s="55">
        <v>1694</v>
      </c>
      <c r="I140" s="55">
        <v>0</v>
      </c>
      <c r="K140" s="54">
        <f>SUM(L140:R140)</f>
        <v>6</v>
      </c>
      <c r="L140" s="55">
        <v>3</v>
      </c>
      <c r="M140" s="55">
        <v>1</v>
      </c>
      <c r="N140" s="55">
        <v>0</v>
      </c>
      <c r="O140" s="55">
        <v>0</v>
      </c>
      <c r="P140" s="55">
        <v>0</v>
      </c>
      <c r="Q140" s="55">
        <v>2</v>
      </c>
      <c r="R140" s="55">
        <v>0</v>
      </c>
      <c r="T140" s="61">
        <f>SUM(C140/B140)</f>
        <v>0.49488677867056247</v>
      </c>
      <c r="U140" s="61">
        <f>SUM(D140/B140)</f>
        <v>0.10062089116143171</v>
      </c>
      <c r="V140" s="61">
        <f>SUM(E140/B140)</f>
        <v>3.6523009495982466E-2</v>
      </c>
      <c r="W140" s="61">
        <f>SUM(F140/B140)</f>
        <v>5.8619430241051866E-2</v>
      </c>
      <c r="X140" s="61">
        <f>SUM(G140/B140)</f>
        <v>0</v>
      </c>
      <c r="Y140" s="61">
        <f>SUM(H140/B140)</f>
        <v>0.3093498904309715</v>
      </c>
      <c r="Z140" s="61">
        <f>SUM(I140/B140)</f>
        <v>0</v>
      </c>
    </row>
    <row r="141" spans="1:26">
      <c r="A141" s="56" t="s">
        <v>1643</v>
      </c>
      <c r="B141" s="54">
        <f>SUM(C141:I141)</f>
        <v>8634</v>
      </c>
      <c r="C141" s="55">
        <v>3521</v>
      </c>
      <c r="D141" s="55">
        <v>2525</v>
      </c>
      <c r="E141" s="55">
        <v>0</v>
      </c>
      <c r="F141" s="55">
        <v>0</v>
      </c>
      <c r="G141" s="55">
        <v>1074</v>
      </c>
      <c r="H141" s="55">
        <v>1514</v>
      </c>
      <c r="I141" s="55">
        <v>0</v>
      </c>
      <c r="K141" s="54">
        <f>SUM(L141:R141)</f>
        <v>7</v>
      </c>
      <c r="L141" s="55">
        <v>3</v>
      </c>
      <c r="M141" s="55">
        <v>2</v>
      </c>
      <c r="N141" s="55">
        <v>0</v>
      </c>
      <c r="O141" s="55">
        <v>0</v>
      </c>
      <c r="P141" s="55">
        <v>1</v>
      </c>
      <c r="Q141" s="55">
        <v>1</v>
      </c>
      <c r="R141" s="55">
        <v>0</v>
      </c>
      <c r="T141" s="61">
        <f>SUM(C141/B141)</f>
        <v>0.40780634700023166</v>
      </c>
      <c r="U141" s="61">
        <f>SUM(D141/B141)</f>
        <v>0.29244845957841092</v>
      </c>
      <c r="V141" s="61">
        <f>SUM(E141/B141)</f>
        <v>0</v>
      </c>
      <c r="W141" s="61">
        <f>SUM(F141/B141)</f>
        <v>0</v>
      </c>
      <c r="X141" s="61">
        <f>SUM(G141/B141)</f>
        <v>0.12439193884642112</v>
      </c>
      <c r="Y141" s="61">
        <f>SUM(H141/B141)</f>
        <v>0.17535325457493631</v>
      </c>
      <c r="Z141" s="61">
        <f>SUM(I141/B141)</f>
        <v>0</v>
      </c>
    </row>
    <row r="142" spans="1:26" s="52" customFormat="1">
      <c r="A142" s="53" t="s">
        <v>1644</v>
      </c>
      <c r="B142" s="54">
        <f>SUM(B138:B141)</f>
        <v>29860</v>
      </c>
      <c r="C142" s="54">
        <f t="shared" ref="C142:R142" si="45">SUM(C138:C141)</f>
        <v>13123</v>
      </c>
      <c r="D142" s="54">
        <f t="shared" si="45"/>
        <v>6956</v>
      </c>
      <c r="E142" s="54">
        <f>SUM(E138:E141)</f>
        <v>1821</v>
      </c>
      <c r="F142" s="54">
        <f t="shared" si="45"/>
        <v>1771</v>
      </c>
      <c r="G142" s="54">
        <f t="shared" si="45"/>
        <v>2384</v>
      </c>
      <c r="H142" s="54">
        <f>SUM(H138:H141)</f>
        <v>3805</v>
      </c>
      <c r="I142" s="54">
        <f t="shared" si="45"/>
        <v>0</v>
      </c>
      <c r="J142" s="54"/>
      <c r="K142" s="54">
        <f t="shared" si="45"/>
        <v>25</v>
      </c>
      <c r="L142" s="54">
        <f t="shared" si="45"/>
        <v>12</v>
      </c>
      <c r="M142" s="54">
        <f t="shared" si="45"/>
        <v>6</v>
      </c>
      <c r="N142" s="54">
        <f>SUM(N138:N141)</f>
        <v>1</v>
      </c>
      <c r="O142" s="54">
        <f t="shared" si="45"/>
        <v>1</v>
      </c>
      <c r="P142" s="54">
        <f t="shared" si="45"/>
        <v>2</v>
      </c>
      <c r="Q142" s="54">
        <f>SUM(Q138:Q141)</f>
        <v>3</v>
      </c>
      <c r="R142" s="54">
        <f t="shared" si="45"/>
        <v>0</v>
      </c>
      <c r="T142" s="60">
        <f>SUM(C142/B142)</f>
        <v>0.4394842598794374</v>
      </c>
      <c r="U142" s="60">
        <f>SUM(D142/B142)</f>
        <v>0.23295378432685868</v>
      </c>
      <c r="V142" s="60">
        <f>SUM(E142/B142)</f>
        <v>6.0984594775619558E-2</v>
      </c>
      <c r="W142" s="60">
        <f>SUM(F142/B142)</f>
        <v>5.931011386470194E-2</v>
      </c>
      <c r="X142" s="60">
        <f>SUM(G142/B142)</f>
        <v>7.9839249832551903E-2</v>
      </c>
      <c r="Y142" s="60">
        <f>SUM(H142/B142)</f>
        <v>0.12742799732083054</v>
      </c>
      <c r="Z142" s="60">
        <f>SUM(I142/B142)</f>
        <v>0</v>
      </c>
    </row>
    <row r="143" spans="1:26">
      <c r="A143" s="53"/>
      <c r="B143" s="54"/>
      <c r="C143" s="55"/>
      <c r="D143" s="55"/>
      <c r="E143" s="55"/>
      <c r="F143" s="55"/>
      <c r="G143" s="55"/>
      <c r="H143" s="55"/>
      <c r="I143" s="55"/>
      <c r="K143" s="54"/>
      <c r="L143" s="55"/>
      <c r="M143" s="55"/>
      <c r="N143" s="55"/>
      <c r="O143" s="55"/>
      <c r="P143" s="55"/>
      <c r="Q143" s="55"/>
      <c r="R143" s="55"/>
    </row>
    <row r="144" spans="1:26">
      <c r="A144" s="56" t="s">
        <v>1645</v>
      </c>
      <c r="B144" s="54">
        <f t="shared" ref="B144:B152" si="46">SUM(C144:I144)</f>
        <v>7493</v>
      </c>
      <c r="C144" s="55">
        <v>5076</v>
      </c>
      <c r="D144" s="55">
        <v>575</v>
      </c>
      <c r="E144" s="55">
        <v>0</v>
      </c>
      <c r="F144" s="55">
        <v>249</v>
      </c>
      <c r="G144" s="55">
        <v>0</v>
      </c>
      <c r="H144" s="55">
        <v>1593</v>
      </c>
      <c r="I144" s="55">
        <v>0</v>
      </c>
      <c r="K144" s="54">
        <f t="shared" ref="K144:K152" si="47">SUM(L144:R144)</f>
        <v>5</v>
      </c>
      <c r="L144" s="55">
        <v>3</v>
      </c>
      <c r="M144" s="55">
        <v>0</v>
      </c>
      <c r="N144" s="55">
        <v>0</v>
      </c>
      <c r="O144" s="55">
        <v>0</v>
      </c>
      <c r="P144" s="55">
        <v>0</v>
      </c>
      <c r="Q144" s="55">
        <v>2</v>
      </c>
      <c r="R144" s="55">
        <v>0</v>
      </c>
      <c r="T144" s="61">
        <f t="shared" ref="T144:T153" si="48">SUM(C144/B144)</f>
        <v>0.67743227011877749</v>
      </c>
      <c r="U144" s="61">
        <f t="shared" ref="U144:U153" si="49">SUM(D144/B144)</f>
        <v>7.6738289069798474E-2</v>
      </c>
      <c r="V144" s="61">
        <f t="shared" ref="V144:V153" si="50">SUM(E144/B144)</f>
        <v>0</v>
      </c>
      <c r="W144" s="61">
        <f t="shared" ref="W144:W153" si="51">SUM(F144/B144)</f>
        <v>3.3231015614573603E-2</v>
      </c>
      <c r="X144" s="61">
        <f t="shared" ref="X144:X153" si="52">SUM(G144/B144)</f>
        <v>0</v>
      </c>
      <c r="Y144" s="61">
        <f t="shared" ref="Y144:Y153" si="53">SUM(H144/B144)</f>
        <v>0.2125984251968504</v>
      </c>
      <c r="Z144" s="61">
        <f t="shared" ref="Z144:Z153" si="54">SUM(I144/B144)</f>
        <v>0</v>
      </c>
    </row>
    <row r="145" spans="1:26">
      <c r="A145" s="56" t="s">
        <v>1646</v>
      </c>
      <c r="B145" s="54">
        <f t="shared" si="46"/>
        <v>10554</v>
      </c>
      <c r="C145" s="55">
        <v>4404</v>
      </c>
      <c r="D145" s="55">
        <v>2317</v>
      </c>
      <c r="E145" s="55">
        <v>670</v>
      </c>
      <c r="F145" s="55">
        <v>944</v>
      </c>
      <c r="G145" s="55">
        <v>795</v>
      </c>
      <c r="H145" s="55">
        <v>1424</v>
      </c>
      <c r="I145" s="55">
        <v>0</v>
      </c>
      <c r="K145" s="54">
        <f t="shared" si="47"/>
        <v>6</v>
      </c>
      <c r="L145" s="55">
        <v>3</v>
      </c>
      <c r="M145" s="55">
        <v>1</v>
      </c>
      <c r="N145" s="55">
        <v>0</v>
      </c>
      <c r="O145" s="55">
        <v>0</v>
      </c>
      <c r="P145" s="55">
        <v>1</v>
      </c>
      <c r="Q145" s="55">
        <v>1</v>
      </c>
      <c r="R145" s="55">
        <v>0</v>
      </c>
      <c r="T145" s="61">
        <f t="shared" si="48"/>
        <v>0.41728254690164868</v>
      </c>
      <c r="U145" s="61">
        <f t="shared" si="49"/>
        <v>0.2195376160697366</v>
      </c>
      <c r="V145" s="61">
        <f t="shared" si="50"/>
        <v>6.348303960583665E-2</v>
      </c>
      <c r="W145" s="61">
        <f t="shared" si="51"/>
        <v>8.9444760280462388E-2</v>
      </c>
      <c r="X145" s="61">
        <f t="shared" si="52"/>
        <v>7.5326890278567371E-2</v>
      </c>
      <c r="Y145" s="61">
        <f t="shared" si="53"/>
        <v>0.13492514686374835</v>
      </c>
      <c r="Z145" s="61">
        <f t="shared" si="54"/>
        <v>0</v>
      </c>
    </row>
    <row r="146" spans="1:26">
      <c r="A146" s="56" t="s">
        <v>1647</v>
      </c>
      <c r="B146" s="54">
        <f t="shared" si="46"/>
        <v>14457</v>
      </c>
      <c r="C146" s="55">
        <v>5418</v>
      </c>
      <c r="D146" s="55">
        <v>4777</v>
      </c>
      <c r="E146" s="55">
        <v>340</v>
      </c>
      <c r="F146" s="55">
        <v>0</v>
      </c>
      <c r="G146" s="55">
        <v>3376</v>
      </c>
      <c r="H146" s="55">
        <v>546</v>
      </c>
      <c r="I146" s="55">
        <v>0</v>
      </c>
      <c r="K146" s="54">
        <f t="shared" si="47"/>
        <v>7</v>
      </c>
      <c r="L146" s="55">
        <v>3</v>
      </c>
      <c r="M146" s="55">
        <v>2</v>
      </c>
      <c r="N146" s="55">
        <v>0</v>
      </c>
      <c r="O146" s="55">
        <v>0</v>
      </c>
      <c r="P146" s="55">
        <v>2</v>
      </c>
      <c r="Q146" s="55">
        <v>0</v>
      </c>
      <c r="R146" s="55">
        <v>0</v>
      </c>
      <c r="T146" s="61">
        <f t="shared" si="48"/>
        <v>0.37476654907657192</v>
      </c>
      <c r="U146" s="61">
        <f t="shared" si="49"/>
        <v>0.33042816628622812</v>
      </c>
      <c r="V146" s="61">
        <f t="shared" si="50"/>
        <v>2.3518018952756452E-2</v>
      </c>
      <c r="W146" s="61">
        <f t="shared" si="51"/>
        <v>0</v>
      </c>
      <c r="X146" s="61">
        <f t="shared" si="52"/>
        <v>0.2335200940720758</v>
      </c>
      <c r="Y146" s="61">
        <f t="shared" si="53"/>
        <v>3.7767171612367714E-2</v>
      </c>
      <c r="Z146" s="61">
        <f t="shared" si="54"/>
        <v>0</v>
      </c>
    </row>
    <row r="147" spans="1:26">
      <c r="A147" s="56" t="s">
        <v>1648</v>
      </c>
      <c r="B147" s="54">
        <f t="shared" si="46"/>
        <v>11710</v>
      </c>
      <c r="C147" s="55">
        <v>2603</v>
      </c>
      <c r="D147" s="55">
        <v>2305</v>
      </c>
      <c r="E147" s="55">
        <v>3879</v>
      </c>
      <c r="F147" s="55">
        <v>1202</v>
      </c>
      <c r="G147" s="55">
        <v>1508</v>
      </c>
      <c r="H147" s="55">
        <v>213</v>
      </c>
      <c r="I147" s="55">
        <v>0</v>
      </c>
      <c r="K147" s="54">
        <f t="shared" si="47"/>
        <v>6</v>
      </c>
      <c r="L147" s="55">
        <v>2</v>
      </c>
      <c r="M147" s="55">
        <v>1</v>
      </c>
      <c r="N147" s="55">
        <v>2</v>
      </c>
      <c r="O147" s="55">
        <v>0</v>
      </c>
      <c r="P147" s="55">
        <v>1</v>
      </c>
      <c r="Q147" s="55">
        <v>0</v>
      </c>
      <c r="R147" s="55">
        <v>0</v>
      </c>
      <c r="T147" s="61">
        <f t="shared" si="48"/>
        <v>0.22228864218616567</v>
      </c>
      <c r="U147" s="61">
        <f t="shared" si="49"/>
        <v>0.19684030742954739</v>
      </c>
      <c r="V147" s="61">
        <f t="shared" si="50"/>
        <v>0.33125533731853118</v>
      </c>
      <c r="W147" s="61">
        <f t="shared" si="51"/>
        <v>0.10264730999146029</v>
      </c>
      <c r="X147" s="61">
        <f t="shared" si="52"/>
        <v>0.12877882152006831</v>
      </c>
      <c r="Y147" s="61">
        <f t="shared" si="53"/>
        <v>1.8189581554227157E-2</v>
      </c>
      <c r="Z147" s="61">
        <f t="shared" si="54"/>
        <v>0</v>
      </c>
    </row>
    <row r="148" spans="1:26">
      <c r="A148" s="56" t="s">
        <v>1649</v>
      </c>
      <c r="B148" s="54">
        <f t="shared" si="46"/>
        <v>10950</v>
      </c>
      <c r="C148" s="55">
        <v>4217</v>
      </c>
      <c r="D148" s="55">
        <v>1184</v>
      </c>
      <c r="E148" s="55">
        <v>2954</v>
      </c>
      <c r="F148" s="55">
        <v>2030</v>
      </c>
      <c r="G148" s="55">
        <v>270</v>
      </c>
      <c r="H148" s="55">
        <v>112</v>
      </c>
      <c r="I148" s="55">
        <v>183</v>
      </c>
      <c r="K148" s="54">
        <f t="shared" si="47"/>
        <v>6</v>
      </c>
      <c r="L148" s="55">
        <v>2</v>
      </c>
      <c r="M148" s="55">
        <v>1</v>
      </c>
      <c r="N148" s="55">
        <v>2</v>
      </c>
      <c r="O148" s="55">
        <v>1</v>
      </c>
      <c r="P148" s="55">
        <v>0</v>
      </c>
      <c r="Q148" s="55">
        <v>0</v>
      </c>
      <c r="R148" s="55">
        <v>0</v>
      </c>
      <c r="T148" s="61">
        <f t="shared" si="48"/>
        <v>0.38511415525114157</v>
      </c>
      <c r="U148" s="61">
        <f t="shared" si="49"/>
        <v>0.10812785388127853</v>
      </c>
      <c r="V148" s="61">
        <f t="shared" si="50"/>
        <v>0.2697716894977169</v>
      </c>
      <c r="W148" s="61">
        <f t="shared" si="51"/>
        <v>0.18538812785388128</v>
      </c>
      <c r="X148" s="61">
        <f t="shared" si="52"/>
        <v>2.4657534246575342E-2</v>
      </c>
      <c r="Y148" s="61">
        <f t="shared" si="53"/>
        <v>1.0228310502283105E-2</v>
      </c>
      <c r="Z148" s="61">
        <f t="shared" si="54"/>
        <v>1.6712328767123287E-2</v>
      </c>
    </row>
    <row r="149" spans="1:26">
      <c r="A149" s="56" t="s">
        <v>1650</v>
      </c>
      <c r="B149" s="54">
        <f t="shared" si="46"/>
        <v>11862</v>
      </c>
      <c r="C149" s="55">
        <v>2642</v>
      </c>
      <c r="D149" s="55">
        <v>938</v>
      </c>
      <c r="E149" s="55">
        <v>1887</v>
      </c>
      <c r="F149" s="55">
        <v>5631</v>
      </c>
      <c r="G149" s="55">
        <v>0</v>
      </c>
      <c r="H149" s="55">
        <v>515</v>
      </c>
      <c r="I149" s="55">
        <v>249</v>
      </c>
      <c r="K149" s="54">
        <f t="shared" si="47"/>
        <v>6</v>
      </c>
      <c r="L149" s="55">
        <v>1</v>
      </c>
      <c r="M149" s="55">
        <v>1</v>
      </c>
      <c r="N149" s="55">
        <v>1</v>
      </c>
      <c r="O149" s="55">
        <v>3</v>
      </c>
      <c r="P149" s="55">
        <v>0</v>
      </c>
      <c r="Q149" s="55">
        <v>0</v>
      </c>
      <c r="R149" s="55">
        <v>0</v>
      </c>
      <c r="T149" s="61">
        <f t="shared" si="48"/>
        <v>0.22272803911650649</v>
      </c>
      <c r="U149" s="61">
        <f t="shared" si="49"/>
        <v>7.9076041139774067E-2</v>
      </c>
      <c r="V149" s="61">
        <f t="shared" si="50"/>
        <v>0.15907941325240263</v>
      </c>
      <c r="W149" s="61">
        <f t="shared" si="51"/>
        <v>0.47470915528578655</v>
      </c>
      <c r="X149" s="61">
        <f t="shared" si="52"/>
        <v>0</v>
      </c>
      <c r="Y149" s="61">
        <f t="shared" si="53"/>
        <v>4.3415950092733101E-2</v>
      </c>
      <c r="Z149" s="61">
        <f t="shared" si="54"/>
        <v>2.0991401112797167E-2</v>
      </c>
    </row>
    <row r="150" spans="1:26">
      <c r="A150" s="56" t="s">
        <v>1651</v>
      </c>
      <c r="B150" s="54">
        <f t="shared" si="46"/>
        <v>9003</v>
      </c>
      <c r="C150" s="55">
        <v>1362</v>
      </c>
      <c r="D150" s="55">
        <v>1696</v>
      </c>
      <c r="E150" s="55">
        <v>2835</v>
      </c>
      <c r="F150" s="55">
        <v>1600</v>
      </c>
      <c r="G150" s="55">
        <v>859</v>
      </c>
      <c r="H150" s="55">
        <v>282</v>
      </c>
      <c r="I150" s="55">
        <v>369</v>
      </c>
      <c r="K150" s="54">
        <f t="shared" si="47"/>
        <v>5</v>
      </c>
      <c r="L150" s="55">
        <v>1</v>
      </c>
      <c r="M150" s="55">
        <v>1</v>
      </c>
      <c r="N150" s="55">
        <v>2</v>
      </c>
      <c r="O150" s="55">
        <v>1</v>
      </c>
      <c r="P150" s="55">
        <v>0</v>
      </c>
      <c r="Q150" s="55">
        <v>0</v>
      </c>
      <c r="R150" s="55">
        <v>0</v>
      </c>
      <c r="T150" s="61">
        <f t="shared" si="48"/>
        <v>0.15128290569810063</v>
      </c>
      <c r="U150" s="61">
        <f t="shared" si="49"/>
        <v>0.18838165056092412</v>
      </c>
      <c r="V150" s="61">
        <f t="shared" si="50"/>
        <v>0.31489503498833721</v>
      </c>
      <c r="W150" s="61">
        <f t="shared" si="51"/>
        <v>0.17771853826502276</v>
      </c>
      <c r="X150" s="61">
        <f t="shared" si="52"/>
        <v>9.5412640231034102E-2</v>
      </c>
      <c r="Y150" s="61">
        <f t="shared" si="53"/>
        <v>3.1322892369210265E-2</v>
      </c>
      <c r="Z150" s="61">
        <f t="shared" si="54"/>
        <v>4.0986337887370876E-2</v>
      </c>
    </row>
    <row r="151" spans="1:26">
      <c r="A151" s="56" t="s">
        <v>1652</v>
      </c>
      <c r="B151" s="54">
        <f t="shared" si="46"/>
        <v>13016</v>
      </c>
      <c r="C151" s="55">
        <v>0</v>
      </c>
      <c r="D151" s="55">
        <v>0</v>
      </c>
      <c r="E151" s="55">
        <v>3228</v>
      </c>
      <c r="F151" s="55">
        <v>9788</v>
      </c>
      <c r="G151" s="55">
        <v>0</v>
      </c>
      <c r="H151" s="55">
        <v>0</v>
      </c>
      <c r="I151" s="55">
        <v>0</v>
      </c>
      <c r="J151" s="55"/>
      <c r="K151" s="54">
        <f t="shared" si="47"/>
        <v>5</v>
      </c>
      <c r="L151" s="55">
        <v>0</v>
      </c>
      <c r="M151" s="55">
        <v>0</v>
      </c>
      <c r="N151" s="55">
        <v>1</v>
      </c>
      <c r="O151" s="55">
        <v>4</v>
      </c>
      <c r="P151" s="55">
        <v>0</v>
      </c>
      <c r="Q151" s="55">
        <v>0</v>
      </c>
      <c r="R151" s="55">
        <v>0</v>
      </c>
      <c r="T151" s="61">
        <f t="shared" si="48"/>
        <v>0</v>
      </c>
      <c r="U151" s="61">
        <f t="shared" si="49"/>
        <v>0</v>
      </c>
      <c r="V151" s="61">
        <f t="shared" si="50"/>
        <v>0.24800245851259989</v>
      </c>
      <c r="W151" s="61">
        <f t="shared" si="51"/>
        <v>0.75199754148740017</v>
      </c>
      <c r="X151" s="61">
        <f t="shared" si="52"/>
        <v>0</v>
      </c>
      <c r="Y151" s="61">
        <f t="shared" si="53"/>
        <v>0</v>
      </c>
      <c r="Z151" s="61">
        <f t="shared" si="54"/>
        <v>0</v>
      </c>
    </row>
    <row r="152" spans="1:26">
      <c r="A152" s="56" t="s">
        <v>1653</v>
      </c>
      <c r="B152" s="54">
        <f t="shared" si="46"/>
        <v>10666</v>
      </c>
      <c r="C152" s="55">
        <v>0</v>
      </c>
      <c r="D152" s="55">
        <v>0</v>
      </c>
      <c r="E152" s="55">
        <v>1265</v>
      </c>
      <c r="F152" s="55">
        <v>9087</v>
      </c>
      <c r="G152" s="55">
        <v>0</v>
      </c>
      <c r="H152" s="55">
        <v>314</v>
      </c>
      <c r="I152" s="55">
        <v>0</v>
      </c>
      <c r="K152" s="54">
        <f t="shared" si="47"/>
        <v>5</v>
      </c>
      <c r="L152" s="55">
        <v>0</v>
      </c>
      <c r="M152" s="55">
        <v>0</v>
      </c>
      <c r="N152" s="55">
        <v>0</v>
      </c>
      <c r="O152" s="55">
        <v>5</v>
      </c>
      <c r="P152" s="55">
        <v>0</v>
      </c>
      <c r="Q152" s="55">
        <v>0</v>
      </c>
      <c r="R152" s="55">
        <v>0</v>
      </c>
      <c r="T152" s="61">
        <f t="shared" si="48"/>
        <v>0</v>
      </c>
      <c r="U152" s="61">
        <f t="shared" si="49"/>
        <v>0</v>
      </c>
      <c r="V152" s="61">
        <f t="shared" si="50"/>
        <v>0.11860116257266079</v>
      </c>
      <c r="W152" s="61">
        <f t="shared" si="51"/>
        <v>0.85195949746859179</v>
      </c>
      <c r="X152" s="61">
        <f t="shared" si="52"/>
        <v>0</v>
      </c>
      <c r="Y152" s="61">
        <f t="shared" si="53"/>
        <v>2.943933995874742E-2</v>
      </c>
      <c r="Z152" s="61">
        <f t="shared" si="54"/>
        <v>0</v>
      </c>
    </row>
    <row r="153" spans="1:26" s="52" customFormat="1">
      <c r="A153" s="53" t="s">
        <v>1654</v>
      </c>
      <c r="B153" s="54">
        <f>SUM(B144:B152)</f>
        <v>99711</v>
      </c>
      <c r="C153" s="54">
        <f t="shared" ref="C153:R153" si="55">SUM(C144:C152)</f>
        <v>25722</v>
      </c>
      <c r="D153" s="54">
        <f t="shared" si="55"/>
        <v>13792</v>
      </c>
      <c r="E153" s="54">
        <f>SUM(E144:E152)</f>
        <v>17058</v>
      </c>
      <c r="F153" s="54">
        <f t="shared" si="55"/>
        <v>30531</v>
      </c>
      <c r="G153" s="54">
        <f t="shared" si="55"/>
        <v>6808</v>
      </c>
      <c r="H153" s="54">
        <f>SUM(H144:H152)</f>
        <v>4999</v>
      </c>
      <c r="I153" s="54">
        <f t="shared" si="55"/>
        <v>801</v>
      </c>
      <c r="J153" s="54"/>
      <c r="K153" s="54">
        <f t="shared" si="55"/>
        <v>51</v>
      </c>
      <c r="L153" s="54">
        <f t="shared" si="55"/>
        <v>15</v>
      </c>
      <c r="M153" s="54">
        <f t="shared" si="55"/>
        <v>7</v>
      </c>
      <c r="N153" s="54">
        <f>SUM(N144:N152)</f>
        <v>8</v>
      </c>
      <c r="O153" s="54">
        <f t="shared" si="55"/>
        <v>14</v>
      </c>
      <c r="P153" s="54">
        <f t="shared" si="55"/>
        <v>4</v>
      </c>
      <c r="Q153" s="54">
        <f>SUM(Q144:Q152)</f>
        <v>3</v>
      </c>
      <c r="R153" s="54">
        <f t="shared" si="55"/>
        <v>0</v>
      </c>
      <c r="T153" s="60">
        <f t="shared" si="48"/>
        <v>0.25796552035382253</v>
      </c>
      <c r="U153" s="60">
        <f t="shared" si="49"/>
        <v>0.13831974406033437</v>
      </c>
      <c r="V153" s="60">
        <f t="shared" si="50"/>
        <v>0.17107440503053825</v>
      </c>
      <c r="W153" s="60">
        <f t="shared" si="51"/>
        <v>0.30619490327045162</v>
      </c>
      <c r="X153" s="60">
        <f t="shared" si="52"/>
        <v>6.8277321459016563E-2</v>
      </c>
      <c r="Y153" s="60">
        <f t="shared" si="53"/>
        <v>5.0134889831613363E-2</v>
      </c>
      <c r="Z153" s="60">
        <f t="shared" si="54"/>
        <v>8.0332159942233059E-3</v>
      </c>
    </row>
    <row r="154" spans="1:26">
      <c r="A154" s="53"/>
      <c r="B154" s="54"/>
      <c r="C154" s="55"/>
      <c r="D154" s="55"/>
      <c r="E154" s="55"/>
      <c r="F154" s="55"/>
      <c r="G154" s="55"/>
      <c r="H154" s="55"/>
      <c r="I154" s="55"/>
      <c r="K154" s="54"/>
      <c r="L154" s="55"/>
      <c r="M154" s="55"/>
      <c r="N154" s="55"/>
      <c r="O154" s="55"/>
      <c r="P154" s="55"/>
      <c r="Q154" s="55"/>
      <c r="R154" s="55"/>
    </row>
    <row r="155" spans="1:26" s="52" customFormat="1">
      <c r="A155" s="53" t="s">
        <v>1255</v>
      </c>
      <c r="B155" s="54">
        <f>SUM(B153+B142+B136+B131+B126+B121+B116+B110+B105+B99+B93+B87+B80+B74+B69+B63+B56+B50+B44+B39+B32+B27+B22+B16+B11+B6)</f>
        <v>705421</v>
      </c>
      <c r="C155" s="54">
        <f t="shared" ref="C155:R155" si="56">SUM(C153+C142+C136+C131+C126+C121+C116+C110+C105+C99+C93+C87+C80+C74+C69+C63+C56+C50+C44+C39+C32+C27+C22+C16+C11+C6)</f>
        <v>208465</v>
      </c>
      <c r="D155" s="54">
        <f t="shared" si="56"/>
        <v>127373</v>
      </c>
      <c r="E155" s="54">
        <f>SUM(E153+E142+E136+E131+E126+E121+E116+E110+E105+E99+E93+E87+E80+E74+E69+E63+E56+E50+E44+E39+E32+E27+E22+E16+E11+E6)</f>
        <v>122718</v>
      </c>
      <c r="F155" s="54">
        <f t="shared" si="56"/>
        <v>163893</v>
      </c>
      <c r="G155" s="54">
        <f t="shared" si="56"/>
        <v>35404</v>
      </c>
      <c r="H155" s="54">
        <f>SUM(H153+H142+H136+H131+H126+H121+H116+H110+H105+H99+H93+H87+H80+H74+H69+H63+H56+H50+H44+H39+H32+H27+H22+H16+H11+H6)</f>
        <v>41865</v>
      </c>
      <c r="I155" s="54">
        <f t="shared" si="56"/>
        <v>5703</v>
      </c>
      <c r="J155" s="54"/>
      <c r="K155" s="54">
        <f t="shared" si="56"/>
        <v>582</v>
      </c>
      <c r="L155" s="54">
        <f t="shared" si="56"/>
        <v>183</v>
      </c>
      <c r="M155" s="54">
        <f t="shared" si="56"/>
        <v>114</v>
      </c>
      <c r="N155" s="54">
        <f>SUM(N153+N142+N136+N131+N126+N121+N116+N110+N105+N99+N93+N87+N80+N74+N69+N63+N56+N50+N44+N39+N32+N27+N22+N16+N11+N6)</f>
        <v>101</v>
      </c>
      <c r="O155" s="54">
        <f t="shared" si="56"/>
        <v>126</v>
      </c>
      <c r="P155" s="54">
        <f t="shared" si="56"/>
        <v>30</v>
      </c>
      <c r="Q155" s="54">
        <f>SUM(Q153+Q142+Q136+Q131+Q126+Q121+Q116+Q110+Q105+Q99+Q93+Q87+Q80+Q74+Q69+Q63+Q56+Q50+Q44+Q39+Q32+Q27+Q22+Q16+Q11+Q6)</f>
        <v>25</v>
      </c>
      <c r="R155" s="54">
        <f t="shared" si="56"/>
        <v>3</v>
      </c>
      <c r="T155" s="60">
        <f>SUM(C155/B155)</f>
        <v>0.29551856267392096</v>
      </c>
      <c r="U155" s="60">
        <f>SUM(D155/B155)</f>
        <v>0.18056309636373172</v>
      </c>
      <c r="V155" s="60">
        <f>SUM(E155/B155)</f>
        <v>0.17396420010178318</v>
      </c>
      <c r="W155" s="60">
        <f>SUM(F155/B155)</f>
        <v>0.23233359936832049</v>
      </c>
      <c r="X155" s="60">
        <f>SUM(G155/B155)</f>
        <v>5.0188469013539433E-2</v>
      </c>
      <c r="Y155" s="60">
        <f>SUM(H155/B155)</f>
        <v>5.9347538562078535E-2</v>
      </c>
      <c r="Z155" s="60">
        <f>SUM(I155/B155)</f>
        <v>8.0845339166256743E-3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 codeName="Sheet3"/>
  <dimension ref="A1:W155"/>
  <sheetViews>
    <sheetView workbookViewId="0">
      <pane ySplit="1" topLeftCell="A130" activePane="bottomLeft" state="frozen"/>
      <selection pane="bottomLeft" activeCell="I154" sqref="I154"/>
    </sheetView>
  </sheetViews>
  <sheetFormatPr defaultRowHeight="15"/>
  <cols>
    <col min="1" max="1" width="23.85546875" style="47" customWidth="1"/>
    <col min="2" max="2" width="8.7109375" style="47" customWidth="1"/>
    <col min="3" max="6" width="8.85546875" customWidth="1"/>
    <col min="7" max="7" width="7.7109375" customWidth="1"/>
    <col min="8" max="8" width="7.85546875" customWidth="1"/>
    <col min="9" max="9" width="3.7109375" customWidth="1"/>
    <col min="10" max="10" width="6.7109375" style="47" customWidth="1"/>
    <col min="11" max="16" width="5.7109375" customWidth="1"/>
    <col min="17" max="17" width="3.7109375" customWidth="1"/>
    <col min="18" max="23" width="7.7109375" style="61" customWidth="1"/>
  </cols>
  <sheetData>
    <row r="1" spans="1:23">
      <c r="A1" s="47" t="s">
        <v>1528</v>
      </c>
      <c r="B1" s="47" t="s">
        <v>1248</v>
      </c>
      <c r="C1" s="49" t="s">
        <v>1257</v>
      </c>
      <c r="D1" s="50" t="s">
        <v>1258</v>
      </c>
      <c r="E1" s="48" t="s">
        <v>1261</v>
      </c>
      <c r="F1" s="65" t="s">
        <v>1247</v>
      </c>
      <c r="G1" s="66" t="s">
        <v>1529</v>
      </c>
      <c r="H1" s="52" t="s">
        <v>1254</v>
      </c>
      <c r="I1" s="47"/>
      <c r="J1" s="47" t="s">
        <v>1250</v>
      </c>
      <c r="K1" s="49" t="s">
        <v>1257</v>
      </c>
      <c r="L1" s="50" t="s">
        <v>1258</v>
      </c>
      <c r="M1" s="48" t="s">
        <v>1261</v>
      </c>
      <c r="N1" s="65" t="s">
        <v>1247</v>
      </c>
      <c r="O1" s="66" t="s">
        <v>1269</v>
      </c>
      <c r="P1" s="52" t="s">
        <v>1254</v>
      </c>
      <c r="R1" s="49" t="s">
        <v>1257</v>
      </c>
      <c r="S1" s="50" t="s">
        <v>1258</v>
      </c>
      <c r="T1" s="48" t="s">
        <v>1261</v>
      </c>
      <c r="U1" s="65" t="s">
        <v>1247</v>
      </c>
      <c r="V1" s="66" t="s">
        <v>1529</v>
      </c>
      <c r="W1" s="60" t="s">
        <v>1254</v>
      </c>
    </row>
    <row r="2" spans="1:23">
      <c r="A2" s="56" t="s">
        <v>1534</v>
      </c>
      <c r="B2" s="54">
        <f>SUM(C2:H2)</f>
        <v>8678</v>
      </c>
      <c r="C2" s="55">
        <v>2346</v>
      </c>
      <c r="D2" s="55">
        <v>811</v>
      </c>
      <c r="E2" s="55">
        <v>1293</v>
      </c>
      <c r="F2" s="55">
        <v>3669</v>
      </c>
      <c r="G2" s="55">
        <v>0</v>
      </c>
      <c r="H2" s="55">
        <v>559</v>
      </c>
      <c r="J2" s="54">
        <f>SUM(K2:P2)</f>
        <v>6</v>
      </c>
      <c r="K2" s="55">
        <v>2</v>
      </c>
      <c r="L2" s="55">
        <v>0</v>
      </c>
      <c r="M2" s="55">
        <v>1</v>
      </c>
      <c r="N2" s="55">
        <v>3</v>
      </c>
      <c r="O2" s="55">
        <v>0</v>
      </c>
      <c r="P2" s="55">
        <v>0</v>
      </c>
      <c r="R2" s="61">
        <f>SUM(C2/B2)</f>
        <v>0.27033878773911041</v>
      </c>
      <c r="S2" s="61">
        <f>SUM(D2/B2)</f>
        <v>9.3454713067527076E-2</v>
      </c>
      <c r="T2" s="61">
        <f>SUM(E2/B2)</f>
        <v>0.14899746485365292</v>
      </c>
      <c r="U2" s="61">
        <f>SUM(F2/B2)</f>
        <v>0.42279327033878772</v>
      </c>
      <c r="V2" s="61">
        <f>SUM(G2/B2)</f>
        <v>0</v>
      </c>
      <c r="W2" s="61">
        <f>SUM(H2/B2)</f>
        <v>6.4415764000921874E-2</v>
      </c>
    </row>
    <row r="3" spans="1:23">
      <c r="A3" s="56" t="s">
        <v>1535</v>
      </c>
      <c r="B3" s="54">
        <f>SUM(C3:H3)</f>
        <v>6670</v>
      </c>
      <c r="C3" s="55">
        <v>2569</v>
      </c>
      <c r="D3" s="55">
        <v>1481</v>
      </c>
      <c r="E3" s="55">
        <v>1439</v>
      </c>
      <c r="F3" s="55">
        <v>1181</v>
      </c>
      <c r="G3" s="55">
        <v>0</v>
      </c>
      <c r="H3" s="55">
        <v>0</v>
      </c>
      <c r="J3" s="54">
        <f>SUM(K3:P3)</f>
        <v>5</v>
      </c>
      <c r="K3" s="55">
        <v>2</v>
      </c>
      <c r="L3" s="55">
        <v>1</v>
      </c>
      <c r="M3" s="55">
        <v>1</v>
      </c>
      <c r="N3" s="55">
        <v>1</v>
      </c>
      <c r="O3" s="55">
        <v>0</v>
      </c>
      <c r="P3" s="55">
        <v>0</v>
      </c>
      <c r="R3" s="61">
        <f>SUM(C3/B3)</f>
        <v>0.38515742128935532</v>
      </c>
      <c r="S3" s="61">
        <f>SUM(D3/B3)</f>
        <v>0.22203898050974513</v>
      </c>
      <c r="T3" s="61">
        <f>SUM(E3/B3)</f>
        <v>0.21574212893553224</v>
      </c>
      <c r="U3" s="61">
        <f>SUM(F3/B3)</f>
        <v>0.17706146926536731</v>
      </c>
      <c r="V3" s="61">
        <f>SUM(G3/B3)</f>
        <v>0</v>
      </c>
      <c r="W3" s="61">
        <f>SUM(H3/B3)</f>
        <v>0</v>
      </c>
    </row>
    <row r="4" spans="1:23">
      <c r="A4" s="56" t="s">
        <v>1536</v>
      </c>
      <c r="B4" s="54">
        <f>SUM(C4:H4)</f>
        <v>7299</v>
      </c>
      <c r="C4" s="55">
        <v>1813</v>
      </c>
      <c r="D4" s="55">
        <v>392</v>
      </c>
      <c r="E4" s="55">
        <v>1578</v>
      </c>
      <c r="F4" s="55">
        <v>3516</v>
      </c>
      <c r="G4" s="55">
        <v>0</v>
      </c>
      <c r="H4" s="55">
        <v>0</v>
      </c>
      <c r="J4" s="54">
        <f>SUM(K4:P4)</f>
        <v>5</v>
      </c>
      <c r="K4" s="55">
        <v>1</v>
      </c>
      <c r="L4" s="55">
        <v>0</v>
      </c>
      <c r="M4" s="55">
        <v>1</v>
      </c>
      <c r="N4" s="55">
        <v>3</v>
      </c>
      <c r="O4" s="55">
        <v>0</v>
      </c>
      <c r="P4" s="55">
        <v>0</v>
      </c>
      <c r="R4" s="61">
        <f>SUM(C4/B4)</f>
        <v>0.24839019043704616</v>
      </c>
      <c r="S4" s="61">
        <f>SUM(D4/B4)</f>
        <v>5.3705987121523496E-2</v>
      </c>
      <c r="T4" s="61">
        <f>SUM(E4/B4)</f>
        <v>0.21619399917796958</v>
      </c>
      <c r="U4" s="61">
        <f>SUM(F4/B4)</f>
        <v>0.48170982326346073</v>
      </c>
      <c r="V4" s="61">
        <f>SUM(G4/B4)</f>
        <v>0</v>
      </c>
      <c r="W4" s="61">
        <f>SUM(H4/B4)</f>
        <v>0</v>
      </c>
    </row>
    <row r="5" spans="1:23">
      <c r="A5" s="56" t="s">
        <v>1537</v>
      </c>
      <c r="B5" s="54">
        <f>SUM(C5:H5)</f>
        <v>9540</v>
      </c>
      <c r="C5" s="55">
        <v>3187</v>
      </c>
      <c r="D5" s="55">
        <v>1201</v>
      </c>
      <c r="E5" s="55">
        <v>1700</v>
      </c>
      <c r="F5" s="55">
        <v>2409</v>
      </c>
      <c r="G5" s="55">
        <v>0</v>
      </c>
      <c r="H5" s="55">
        <v>1043</v>
      </c>
      <c r="I5" s="55"/>
      <c r="J5" s="54">
        <f>SUM(K5:P5)</f>
        <v>7</v>
      </c>
      <c r="K5" s="55">
        <v>2</v>
      </c>
      <c r="L5" s="55">
        <v>1</v>
      </c>
      <c r="M5" s="55">
        <v>1</v>
      </c>
      <c r="N5" s="55">
        <v>2</v>
      </c>
      <c r="O5" s="55">
        <v>0</v>
      </c>
      <c r="P5" s="55">
        <v>1</v>
      </c>
      <c r="R5" s="61">
        <f>SUM(C5/B5)</f>
        <v>0.33406708595387841</v>
      </c>
      <c r="S5" s="61">
        <f>SUM(D5/B5)</f>
        <v>0.12589098532494758</v>
      </c>
      <c r="T5" s="61">
        <f>SUM(E5/B5)</f>
        <v>0.17819706498951782</v>
      </c>
      <c r="U5" s="61">
        <f>SUM(F5/B5)</f>
        <v>0.25251572327044025</v>
      </c>
      <c r="V5" s="61">
        <f>SUM(G5/B5)</f>
        <v>0</v>
      </c>
      <c r="W5" s="61">
        <f>SUM(H5/B5)</f>
        <v>0.10932914046121593</v>
      </c>
    </row>
    <row r="6" spans="1:23" s="52" customFormat="1">
      <c r="A6" s="53" t="s">
        <v>1532</v>
      </c>
      <c r="B6" s="54">
        <f>SUM(B2:B5)</f>
        <v>32187</v>
      </c>
      <c r="C6" s="54">
        <f t="shared" ref="C6:O6" si="0">SUM(C2:C5)</f>
        <v>9915</v>
      </c>
      <c r="D6" s="54">
        <f>SUM(D2:D5)</f>
        <v>3885</v>
      </c>
      <c r="E6" s="54">
        <f t="shared" si="0"/>
        <v>6010</v>
      </c>
      <c r="F6" s="54">
        <f t="shared" si="0"/>
        <v>10775</v>
      </c>
      <c r="G6" s="54">
        <f t="shared" si="0"/>
        <v>0</v>
      </c>
      <c r="H6" s="54">
        <f>SUM(H2:H5)</f>
        <v>1602</v>
      </c>
      <c r="I6" s="54"/>
      <c r="J6" s="54">
        <f t="shared" si="0"/>
        <v>23</v>
      </c>
      <c r="K6" s="54">
        <f t="shared" si="0"/>
        <v>7</v>
      </c>
      <c r="L6" s="54">
        <f t="shared" si="0"/>
        <v>2</v>
      </c>
      <c r="M6" s="54">
        <f t="shared" si="0"/>
        <v>4</v>
      </c>
      <c r="N6" s="54">
        <f t="shared" si="0"/>
        <v>9</v>
      </c>
      <c r="O6" s="54">
        <f t="shared" si="0"/>
        <v>0</v>
      </c>
      <c r="P6" s="54">
        <f>SUM(P2:P5)</f>
        <v>1</v>
      </c>
      <c r="R6" s="60">
        <f>SUM(C6/B6)</f>
        <v>0.30804362009506941</v>
      </c>
      <c r="S6" s="60">
        <f>SUM(D6/B6)</f>
        <v>0.12070090409171405</v>
      </c>
      <c r="T6" s="60">
        <f>SUM(E6/B6)</f>
        <v>0.18672134712772237</v>
      </c>
      <c r="U6" s="60">
        <f>SUM(F6/B6)</f>
        <v>0.33476248174728929</v>
      </c>
      <c r="V6" s="60">
        <f>SUM(G6/B6)</f>
        <v>0</v>
      </c>
      <c r="W6" s="60">
        <f>SUM(H6/B6)</f>
        <v>4.9771646938204864E-2</v>
      </c>
    </row>
    <row r="7" spans="1:23">
      <c r="A7" s="53"/>
      <c r="B7" s="54"/>
      <c r="C7" s="55"/>
      <c r="D7" s="55"/>
      <c r="E7" s="55"/>
      <c r="F7" s="55"/>
      <c r="G7" s="55"/>
      <c r="H7" s="55"/>
      <c r="J7" s="54"/>
      <c r="K7" s="55"/>
      <c r="L7" s="55"/>
      <c r="M7" s="55"/>
      <c r="N7" s="55"/>
      <c r="O7" s="55"/>
      <c r="P7" s="55"/>
    </row>
    <row r="8" spans="1:23">
      <c r="A8" s="56" t="s">
        <v>1538</v>
      </c>
      <c r="B8" s="54">
        <f>SUM(C8:H8)</f>
        <v>9107</v>
      </c>
      <c r="C8" s="55">
        <v>1801</v>
      </c>
      <c r="D8" s="55">
        <v>1350</v>
      </c>
      <c r="E8" s="55">
        <v>2051</v>
      </c>
      <c r="F8" s="55">
        <v>3492</v>
      </c>
      <c r="G8" s="55">
        <v>0</v>
      </c>
      <c r="H8" s="55">
        <v>413</v>
      </c>
      <c r="J8" s="54">
        <f>SUM(K8:P8)</f>
        <v>7</v>
      </c>
      <c r="K8" s="55">
        <v>1</v>
      </c>
      <c r="L8" s="55">
        <v>1</v>
      </c>
      <c r="M8" s="55">
        <v>2</v>
      </c>
      <c r="N8" s="55">
        <v>3</v>
      </c>
      <c r="O8" s="55">
        <v>0</v>
      </c>
      <c r="P8" s="55">
        <v>0</v>
      </c>
      <c r="R8" s="61">
        <f>SUM(C8/B8)</f>
        <v>0.19775996486219391</v>
      </c>
      <c r="S8" s="61">
        <f>SUM(D8/B8)</f>
        <v>0.14823761941363786</v>
      </c>
      <c r="T8" s="61">
        <f>SUM(E8/B8)</f>
        <v>0.22521137586471945</v>
      </c>
      <c r="U8" s="61">
        <f>SUM(F8/B8)</f>
        <v>0.3834413088832766</v>
      </c>
      <c r="V8" s="61">
        <f>SUM(G8/B8)</f>
        <v>0</v>
      </c>
      <c r="W8" s="61">
        <f>SUM(H8/B8)</f>
        <v>4.5349730976172176E-2</v>
      </c>
    </row>
    <row r="9" spans="1:23">
      <c r="A9" s="56" t="s">
        <v>1539</v>
      </c>
      <c r="B9" s="54">
        <f>SUM(C9:H9)</f>
        <v>9551</v>
      </c>
      <c r="C9" s="55">
        <v>1191</v>
      </c>
      <c r="D9" s="55">
        <v>984</v>
      </c>
      <c r="E9" s="55">
        <v>1983</v>
      </c>
      <c r="F9" s="55">
        <v>5393</v>
      </c>
      <c r="G9" s="55">
        <v>0</v>
      </c>
      <c r="H9" s="55">
        <v>0</v>
      </c>
      <c r="J9" s="54">
        <f>SUM(K9:P9)</f>
        <v>7</v>
      </c>
      <c r="K9" s="55">
        <v>1</v>
      </c>
      <c r="L9" s="55">
        <v>0</v>
      </c>
      <c r="M9" s="55">
        <v>2</v>
      </c>
      <c r="N9" s="55">
        <v>4</v>
      </c>
      <c r="O9" s="55">
        <v>0</v>
      </c>
      <c r="P9" s="55">
        <v>0</v>
      </c>
      <c r="R9" s="61">
        <f>SUM(C9/B9)</f>
        <v>0.12469898439953932</v>
      </c>
      <c r="S9" s="61">
        <f>SUM(D9/B9)</f>
        <v>0.10302586116637001</v>
      </c>
      <c r="T9" s="61">
        <f>SUM(E9/B9)</f>
        <v>0.20762223850905664</v>
      </c>
      <c r="U9" s="61">
        <f>SUM(F9/B9)</f>
        <v>0.56465291592503408</v>
      </c>
      <c r="V9" s="61">
        <f>SUM(G9/B9)</f>
        <v>0</v>
      </c>
      <c r="W9" s="61">
        <f>SUM(H9/B9)</f>
        <v>0</v>
      </c>
    </row>
    <row r="10" spans="1:23">
      <c r="A10" s="56" t="s">
        <v>1530</v>
      </c>
      <c r="B10" s="54">
        <f>SUM(C10:H10)</f>
        <v>7976</v>
      </c>
      <c r="C10" s="55">
        <v>1166</v>
      </c>
      <c r="D10" s="55">
        <v>1258</v>
      </c>
      <c r="E10" s="55">
        <v>1814</v>
      </c>
      <c r="F10" s="55">
        <v>1886</v>
      </c>
      <c r="G10" s="55">
        <v>0</v>
      </c>
      <c r="H10" s="55">
        <v>1852</v>
      </c>
      <c r="J10" s="54">
        <f>SUM(K10:P10)</f>
        <v>7</v>
      </c>
      <c r="K10" s="55">
        <v>1</v>
      </c>
      <c r="L10" s="55">
        <v>1</v>
      </c>
      <c r="M10" s="55">
        <v>2</v>
      </c>
      <c r="N10" s="55">
        <v>1</v>
      </c>
      <c r="O10" s="55">
        <v>0</v>
      </c>
      <c r="P10" s="55">
        <v>2</v>
      </c>
      <c r="R10" s="61">
        <f>SUM(C10/B10)</f>
        <v>0.14618856569709127</v>
      </c>
      <c r="S10" s="61">
        <f>SUM(D10/B10)</f>
        <v>0.15772316950852558</v>
      </c>
      <c r="T10" s="61">
        <f>SUM(E10/B10)</f>
        <v>0.22743229689067201</v>
      </c>
      <c r="U10" s="61">
        <f>SUM(F10/B10)</f>
        <v>0.23645937813440321</v>
      </c>
      <c r="V10" s="61">
        <f>SUM(G10/B10)</f>
        <v>0</v>
      </c>
      <c r="W10" s="61">
        <f>SUM(H10/B10)</f>
        <v>0.23219658976930793</v>
      </c>
    </row>
    <row r="11" spans="1:23" s="52" customFormat="1">
      <c r="A11" s="53" t="s">
        <v>1531</v>
      </c>
      <c r="B11" s="54">
        <f>SUM(B8:B10)</f>
        <v>26634</v>
      </c>
      <c r="C11" s="54">
        <f t="shared" ref="C11:O11" si="1">SUM(C8:C10)</f>
        <v>4158</v>
      </c>
      <c r="D11" s="54">
        <f>SUM(D8:D10)</f>
        <v>3592</v>
      </c>
      <c r="E11" s="54">
        <f t="shared" si="1"/>
        <v>5848</v>
      </c>
      <c r="F11" s="54">
        <f t="shared" si="1"/>
        <v>10771</v>
      </c>
      <c r="G11" s="54">
        <f t="shared" si="1"/>
        <v>0</v>
      </c>
      <c r="H11" s="54">
        <f>SUM(H8:H10)</f>
        <v>2265</v>
      </c>
      <c r="I11" s="54"/>
      <c r="J11" s="54">
        <f t="shared" si="1"/>
        <v>21</v>
      </c>
      <c r="K11" s="54">
        <f t="shared" si="1"/>
        <v>3</v>
      </c>
      <c r="L11" s="54">
        <f t="shared" si="1"/>
        <v>2</v>
      </c>
      <c r="M11" s="54">
        <f t="shared" si="1"/>
        <v>6</v>
      </c>
      <c r="N11" s="54">
        <f t="shared" si="1"/>
        <v>8</v>
      </c>
      <c r="O11" s="54">
        <f t="shared" si="1"/>
        <v>0</v>
      </c>
      <c r="P11" s="54">
        <f>SUM(P8:P10)</f>
        <v>2</v>
      </c>
      <c r="R11" s="60">
        <f>SUM(C11/B11)</f>
        <v>0.15611624239693625</v>
      </c>
      <c r="S11" s="60">
        <f>SUM(D11/B11)</f>
        <v>0.13486520988210557</v>
      </c>
      <c r="T11" s="60">
        <f>SUM(E11/B11)</f>
        <v>0.21956897199068859</v>
      </c>
      <c r="U11" s="60">
        <f>SUM(F11/B11)</f>
        <v>0.40440789967710444</v>
      </c>
      <c r="V11" s="60">
        <f>SUM(G11/B11)</f>
        <v>0</v>
      </c>
      <c r="W11" s="60">
        <f>SUM(H11/B11)</f>
        <v>8.5041676053165122E-2</v>
      </c>
    </row>
    <row r="12" spans="1:23">
      <c r="A12" s="53"/>
      <c r="B12" s="54"/>
      <c r="C12" s="55"/>
      <c r="D12" s="55"/>
      <c r="E12" s="55"/>
      <c r="F12" s="55"/>
      <c r="G12" s="55"/>
      <c r="H12" s="55"/>
      <c r="J12" s="54"/>
      <c r="K12" s="55"/>
      <c r="L12" s="55"/>
      <c r="M12" s="55"/>
      <c r="N12" s="55"/>
      <c r="O12" s="55"/>
      <c r="P12" s="55"/>
    </row>
    <row r="13" spans="1:23">
      <c r="A13" s="56" t="s">
        <v>1540</v>
      </c>
      <c r="B13" s="54">
        <f>SUM(C13:H13)</f>
        <v>6800</v>
      </c>
      <c r="C13" s="55">
        <v>1675</v>
      </c>
      <c r="D13" s="55">
        <v>1465</v>
      </c>
      <c r="E13" s="55">
        <v>768</v>
      </c>
      <c r="F13" s="55">
        <v>2892</v>
      </c>
      <c r="G13" s="55">
        <v>0</v>
      </c>
      <c r="H13" s="55">
        <v>0</v>
      </c>
      <c r="J13" s="54">
        <f>SUM(K13:P13)</f>
        <v>5</v>
      </c>
      <c r="K13" s="55">
        <v>1</v>
      </c>
      <c r="L13" s="55">
        <v>1</v>
      </c>
      <c r="M13" s="55">
        <v>1</v>
      </c>
      <c r="N13" s="55">
        <v>2</v>
      </c>
      <c r="O13" s="55">
        <v>0</v>
      </c>
      <c r="P13" s="55">
        <v>0</v>
      </c>
      <c r="R13" s="61">
        <f>SUM(C13/B13)</f>
        <v>0.24632352941176472</v>
      </c>
      <c r="S13" s="61">
        <f>SUM(D13/B13)</f>
        <v>0.21544117647058825</v>
      </c>
      <c r="T13" s="61">
        <f>SUM(E13/B13)</f>
        <v>0.11294117647058824</v>
      </c>
      <c r="U13" s="61">
        <f>SUM(F13/B13)</f>
        <v>0.42529411764705882</v>
      </c>
      <c r="V13" s="61">
        <f>SUM(G13/B13)</f>
        <v>0</v>
      </c>
      <c r="W13" s="61">
        <f>SUM(H13/B13)</f>
        <v>0</v>
      </c>
    </row>
    <row r="14" spans="1:23">
      <c r="A14" s="56" t="s">
        <v>1541</v>
      </c>
      <c r="B14" s="54">
        <f>SUM(C14:H14)</f>
        <v>6328</v>
      </c>
      <c r="C14" s="55">
        <v>1461</v>
      </c>
      <c r="D14" s="55">
        <v>2192</v>
      </c>
      <c r="E14" s="55">
        <v>1133</v>
      </c>
      <c r="F14" s="55">
        <v>1542</v>
      </c>
      <c r="G14" s="55">
        <v>0</v>
      </c>
      <c r="H14" s="55">
        <v>0</v>
      </c>
      <c r="J14" s="54">
        <f>SUM(K14:P14)</f>
        <v>5</v>
      </c>
      <c r="K14" s="55">
        <v>1</v>
      </c>
      <c r="L14" s="55">
        <v>2</v>
      </c>
      <c r="M14" s="55">
        <v>1</v>
      </c>
      <c r="N14" s="55">
        <v>1</v>
      </c>
      <c r="O14" s="55">
        <v>0</v>
      </c>
      <c r="P14" s="55">
        <v>0</v>
      </c>
      <c r="R14" s="61">
        <f>SUM(C14/B14)</f>
        <v>0.23087863463969657</v>
      </c>
      <c r="S14" s="61">
        <f>SUM(D14/B14)</f>
        <v>0.34639696586599239</v>
      </c>
      <c r="T14" s="61">
        <f>SUM(E14/B14)</f>
        <v>0.17904551201011379</v>
      </c>
      <c r="U14" s="61">
        <f>SUM(F14/B14)</f>
        <v>0.24367888748419722</v>
      </c>
      <c r="V14" s="61">
        <f>SUM(G14/B14)</f>
        <v>0</v>
      </c>
      <c r="W14" s="61">
        <f>SUM(H14/B14)</f>
        <v>0</v>
      </c>
    </row>
    <row r="15" spans="1:23">
      <c r="A15" s="56" t="s">
        <v>1655</v>
      </c>
      <c r="B15" s="54">
        <f>SUM(C15:H15)</f>
        <v>8334</v>
      </c>
      <c r="C15" s="55">
        <v>439</v>
      </c>
      <c r="D15" s="55">
        <v>408</v>
      </c>
      <c r="E15" s="55">
        <v>2260</v>
      </c>
      <c r="F15" s="55">
        <v>4193</v>
      </c>
      <c r="G15" s="55">
        <v>0</v>
      </c>
      <c r="H15" s="55">
        <v>1034</v>
      </c>
      <c r="J15" s="54">
        <f>SUM(K15:P15)</f>
        <v>6</v>
      </c>
      <c r="K15" s="55">
        <v>0</v>
      </c>
      <c r="L15" s="55">
        <v>0</v>
      </c>
      <c r="M15" s="55">
        <v>2</v>
      </c>
      <c r="N15" s="55">
        <v>4</v>
      </c>
      <c r="O15" s="55">
        <v>0</v>
      </c>
      <c r="P15" s="55">
        <v>0</v>
      </c>
      <c r="R15" s="61">
        <f>SUM(C15/B15)</f>
        <v>5.2675785937125033E-2</v>
      </c>
      <c r="S15" s="61">
        <f>SUM(D15/B15)</f>
        <v>4.8956083513318933E-2</v>
      </c>
      <c r="T15" s="61">
        <f>SUM(E15/B15)</f>
        <v>0.27117830573554114</v>
      </c>
      <c r="U15" s="61">
        <f>SUM(F15/B15)</f>
        <v>0.50311975041996637</v>
      </c>
      <c r="V15" s="61">
        <f>SUM(G15/B15)</f>
        <v>0</v>
      </c>
      <c r="W15" s="61">
        <f>SUM(H15/B15)</f>
        <v>0.12407007439404848</v>
      </c>
    </row>
    <row r="16" spans="1:23" s="52" customFormat="1">
      <c r="A16" s="53" t="s">
        <v>1533</v>
      </c>
      <c r="B16" s="54">
        <f>SUM(B13:B15)</f>
        <v>21462</v>
      </c>
      <c r="C16" s="54">
        <f t="shared" ref="C16:O16" si="2">SUM(C13:C15)</f>
        <v>3575</v>
      </c>
      <c r="D16" s="54">
        <f>SUM(D13:D15)</f>
        <v>4065</v>
      </c>
      <c r="E16" s="54">
        <f t="shared" si="2"/>
        <v>4161</v>
      </c>
      <c r="F16" s="54">
        <f t="shared" si="2"/>
        <v>8627</v>
      </c>
      <c r="G16" s="54">
        <f t="shared" si="2"/>
        <v>0</v>
      </c>
      <c r="H16" s="54">
        <f>SUM(H13:H15)</f>
        <v>1034</v>
      </c>
      <c r="I16" s="54"/>
      <c r="J16" s="54">
        <f t="shared" si="2"/>
        <v>16</v>
      </c>
      <c r="K16" s="54">
        <f t="shared" si="2"/>
        <v>2</v>
      </c>
      <c r="L16" s="54">
        <f t="shared" si="2"/>
        <v>3</v>
      </c>
      <c r="M16" s="54">
        <f t="shared" si="2"/>
        <v>4</v>
      </c>
      <c r="N16" s="54">
        <f t="shared" si="2"/>
        <v>7</v>
      </c>
      <c r="O16" s="54">
        <f t="shared" si="2"/>
        <v>0</v>
      </c>
      <c r="P16" s="54">
        <f>SUM(P13:P15)</f>
        <v>0</v>
      </c>
      <c r="R16" s="60">
        <f>SUM(C16/B16)</f>
        <v>0.16657347870655112</v>
      </c>
      <c r="S16" s="60">
        <f>SUM(D16/B16)</f>
        <v>0.18940452893486162</v>
      </c>
      <c r="T16" s="60">
        <f>SUM(E16/B16)</f>
        <v>0.19387755102040816</v>
      </c>
      <c r="U16" s="60">
        <f>SUM(F16/B16)</f>
        <v>0.40196626595843815</v>
      </c>
      <c r="V16" s="60">
        <f>SUM(G16/B16)</f>
        <v>0</v>
      </c>
      <c r="W16" s="60">
        <f>SUM(H16/B16)</f>
        <v>4.8178175379740937E-2</v>
      </c>
    </row>
    <row r="17" spans="1:23">
      <c r="A17" s="53"/>
      <c r="B17" s="54"/>
      <c r="C17" s="55"/>
      <c r="D17" s="55"/>
      <c r="E17" s="55"/>
      <c r="F17" s="55"/>
      <c r="G17" s="55"/>
      <c r="H17" s="55"/>
      <c r="J17" s="54"/>
      <c r="K17" s="55"/>
      <c r="L17" s="55"/>
      <c r="M17" s="55"/>
      <c r="N17" s="55"/>
      <c r="O17" s="55"/>
      <c r="P17" s="55"/>
    </row>
    <row r="18" spans="1:23">
      <c r="A18" s="56" t="s">
        <v>1542</v>
      </c>
      <c r="B18" s="54">
        <f>SUM(C18:H18)</f>
        <v>6487</v>
      </c>
      <c r="C18" s="55">
        <v>1632</v>
      </c>
      <c r="D18" s="55">
        <v>1405</v>
      </c>
      <c r="E18" s="55">
        <v>1492</v>
      </c>
      <c r="F18" s="55">
        <v>1958</v>
      </c>
      <c r="G18" s="55">
        <v>0</v>
      </c>
      <c r="H18" s="55">
        <v>0</v>
      </c>
      <c r="J18" s="54">
        <f>SUM(K18:P18)</f>
        <v>5</v>
      </c>
      <c r="K18" s="55">
        <v>1</v>
      </c>
      <c r="L18" s="55">
        <v>1</v>
      </c>
      <c r="M18" s="55">
        <v>1</v>
      </c>
      <c r="N18" s="55">
        <v>2</v>
      </c>
      <c r="O18" s="55">
        <v>0</v>
      </c>
      <c r="P18" s="55">
        <v>0</v>
      </c>
      <c r="R18" s="61">
        <f>SUM(C18/B18)</f>
        <v>0.25158008324340991</v>
      </c>
      <c r="S18" s="61">
        <f>SUM(D18/B18)</f>
        <v>0.21658702019423462</v>
      </c>
      <c r="T18" s="61">
        <f>SUM(E18/B18)</f>
        <v>0.22999845845537228</v>
      </c>
      <c r="U18" s="61">
        <f>SUM(F18/B18)</f>
        <v>0.30183443810698318</v>
      </c>
      <c r="V18" s="61">
        <f>SUM(G18/B18)</f>
        <v>0</v>
      </c>
      <c r="W18" s="61">
        <f>SUM(H18/B18)</f>
        <v>0</v>
      </c>
    </row>
    <row r="19" spans="1:23">
      <c r="A19" s="56" t="s">
        <v>1543</v>
      </c>
      <c r="B19" s="54">
        <f>SUM(C19:H19)</f>
        <v>6678</v>
      </c>
      <c r="C19" s="55">
        <v>2245</v>
      </c>
      <c r="D19" s="55">
        <v>1976</v>
      </c>
      <c r="E19" s="55">
        <v>948</v>
      </c>
      <c r="F19" s="55">
        <v>1509</v>
      </c>
      <c r="G19" s="55">
        <v>0</v>
      </c>
      <c r="H19" s="55">
        <v>0</v>
      </c>
      <c r="J19" s="54">
        <f>SUM(K19:P19)</f>
        <v>5</v>
      </c>
      <c r="K19" s="55">
        <v>2</v>
      </c>
      <c r="L19" s="55">
        <v>1</v>
      </c>
      <c r="M19" s="55">
        <v>1</v>
      </c>
      <c r="N19" s="55">
        <v>1</v>
      </c>
      <c r="O19" s="55">
        <v>0</v>
      </c>
      <c r="P19" s="55">
        <v>0</v>
      </c>
      <c r="R19" s="61">
        <f>SUM(C19/B19)</f>
        <v>0.33617849655585502</v>
      </c>
      <c r="S19" s="61">
        <f>SUM(D19/B19)</f>
        <v>0.29589697514225816</v>
      </c>
      <c r="T19" s="61">
        <f>SUM(E19/B19)</f>
        <v>0.14195867026055706</v>
      </c>
      <c r="U19" s="61">
        <f>SUM(F19/B19)</f>
        <v>0.22596585804132974</v>
      </c>
      <c r="V19" s="61">
        <f>SUM(G19/B19)</f>
        <v>0</v>
      </c>
      <c r="W19" s="61">
        <f>SUM(H19/B19)</f>
        <v>0</v>
      </c>
    </row>
    <row r="20" spans="1:23">
      <c r="A20" s="56" t="s">
        <v>1544</v>
      </c>
      <c r="B20" s="54">
        <f>SUM(C20:H20)</f>
        <v>6439</v>
      </c>
      <c r="C20" s="55">
        <v>1593</v>
      </c>
      <c r="D20" s="55">
        <v>1236</v>
      </c>
      <c r="E20" s="55">
        <v>1110</v>
      </c>
      <c r="F20" s="55">
        <v>1951</v>
      </c>
      <c r="G20" s="55">
        <v>0</v>
      </c>
      <c r="H20" s="55">
        <v>549</v>
      </c>
      <c r="J20" s="54">
        <f>SUM(K20:P20)</f>
        <v>6</v>
      </c>
      <c r="K20" s="55">
        <v>2</v>
      </c>
      <c r="L20" s="55">
        <v>1</v>
      </c>
      <c r="M20" s="55">
        <v>1</v>
      </c>
      <c r="N20" s="55">
        <v>2</v>
      </c>
      <c r="O20" s="55">
        <v>0</v>
      </c>
      <c r="P20" s="55">
        <v>0</v>
      </c>
      <c r="R20" s="61">
        <f>SUM(C20/B20)</f>
        <v>0.24739866438888025</v>
      </c>
      <c r="S20" s="61">
        <f>SUM(D20/B20)</f>
        <v>0.19195527255785061</v>
      </c>
      <c r="T20" s="61">
        <f>SUM(E20/B20)</f>
        <v>0.17238701661748718</v>
      </c>
      <c r="U20" s="61">
        <f>SUM(F20/B20)</f>
        <v>0.30299735983848425</v>
      </c>
      <c r="V20" s="61">
        <f>SUM(G20/B20)</f>
        <v>0</v>
      </c>
      <c r="W20" s="61">
        <f>SUM(H20/B20)</f>
        <v>8.5261686597297714E-2</v>
      </c>
    </row>
    <row r="21" spans="1:23">
      <c r="A21" s="56" t="s">
        <v>1545</v>
      </c>
      <c r="B21" s="54">
        <f>SUM(C21:H21)</f>
        <v>8390</v>
      </c>
      <c r="C21" s="55">
        <v>910</v>
      </c>
      <c r="D21" s="55">
        <v>304</v>
      </c>
      <c r="E21" s="55">
        <v>1274</v>
      </c>
      <c r="F21" s="55">
        <v>4658</v>
      </c>
      <c r="G21" s="55">
        <v>0</v>
      </c>
      <c r="H21" s="55">
        <v>1244</v>
      </c>
      <c r="J21" s="54">
        <f>SUM(K21:P21)</f>
        <v>6</v>
      </c>
      <c r="K21" s="55">
        <v>1</v>
      </c>
      <c r="L21" s="55">
        <v>0</v>
      </c>
      <c r="M21" s="55">
        <v>1</v>
      </c>
      <c r="N21" s="55">
        <v>3</v>
      </c>
      <c r="O21" s="55">
        <v>0</v>
      </c>
      <c r="P21" s="55">
        <v>1</v>
      </c>
      <c r="R21" s="61">
        <f>SUM(C21/B21)</f>
        <v>0.10846245530393325</v>
      </c>
      <c r="S21" s="61">
        <f>SUM(D21/B21)</f>
        <v>3.6233611442193087E-2</v>
      </c>
      <c r="T21" s="61">
        <f>SUM(E21/B21)</f>
        <v>0.15184743742550655</v>
      </c>
      <c r="U21" s="61">
        <f>SUM(F21/B21)</f>
        <v>0.55518474374255067</v>
      </c>
      <c r="V21" s="61">
        <f>SUM(G21/B21)</f>
        <v>0</v>
      </c>
      <c r="W21" s="61">
        <f>SUM(H21/B21)</f>
        <v>0.14827175208581644</v>
      </c>
    </row>
    <row r="22" spans="1:23" s="52" customFormat="1">
      <c r="A22" s="53" t="s">
        <v>1546</v>
      </c>
      <c r="B22" s="54">
        <f>SUM(B18:B21)</f>
        <v>27994</v>
      </c>
      <c r="C22" s="54">
        <f t="shared" ref="C22:O22" si="3">SUM(C18:C21)</f>
        <v>6380</v>
      </c>
      <c r="D22" s="54">
        <f>SUM(D18:D21)</f>
        <v>4921</v>
      </c>
      <c r="E22" s="54">
        <f t="shared" si="3"/>
        <v>4824</v>
      </c>
      <c r="F22" s="54">
        <f t="shared" si="3"/>
        <v>10076</v>
      </c>
      <c r="G22" s="54">
        <f t="shared" si="3"/>
        <v>0</v>
      </c>
      <c r="H22" s="54">
        <f>SUM(H18:H21)</f>
        <v>1793</v>
      </c>
      <c r="I22" s="54"/>
      <c r="J22" s="54">
        <f t="shared" si="3"/>
        <v>22</v>
      </c>
      <c r="K22" s="54">
        <f t="shared" si="3"/>
        <v>6</v>
      </c>
      <c r="L22" s="54">
        <f t="shared" si="3"/>
        <v>3</v>
      </c>
      <c r="M22" s="54">
        <f t="shared" si="3"/>
        <v>4</v>
      </c>
      <c r="N22" s="54">
        <f t="shared" si="3"/>
        <v>8</v>
      </c>
      <c r="O22" s="54">
        <f t="shared" si="3"/>
        <v>0</v>
      </c>
      <c r="P22" s="54">
        <f>SUM(P18:P21)</f>
        <v>1</v>
      </c>
      <c r="R22" s="60">
        <f>SUM(C22/B22)</f>
        <v>0.2279059798528256</v>
      </c>
      <c r="S22" s="60">
        <f>SUM(D22/B22)</f>
        <v>0.17578766878616847</v>
      </c>
      <c r="T22" s="60">
        <f>SUM(E22/B22)</f>
        <v>0.17232264056583554</v>
      </c>
      <c r="U22" s="60">
        <f>SUM(F22/B22)</f>
        <v>0.35993427162963493</v>
      </c>
      <c r="V22" s="60">
        <f>SUM(G22/B22)</f>
        <v>0</v>
      </c>
      <c r="W22" s="60">
        <f>SUM(H22/B22)</f>
        <v>6.4049439165535474E-2</v>
      </c>
    </row>
    <row r="23" spans="1:23">
      <c r="A23" s="53"/>
      <c r="B23" s="54"/>
      <c r="C23" s="55"/>
      <c r="D23" s="55"/>
      <c r="E23" s="55"/>
      <c r="F23" s="55"/>
      <c r="G23" s="55"/>
      <c r="H23" s="55"/>
      <c r="J23" s="54"/>
      <c r="K23" s="55"/>
      <c r="L23" s="55"/>
      <c r="M23" s="55"/>
      <c r="N23" s="55"/>
      <c r="O23" s="55"/>
      <c r="P23" s="55"/>
    </row>
    <row r="24" spans="1:23">
      <c r="A24" s="56" t="s">
        <v>1547</v>
      </c>
      <c r="B24" s="54">
        <f>SUM(C24:H24)</f>
        <v>7421</v>
      </c>
      <c r="C24" s="55">
        <v>1280</v>
      </c>
      <c r="D24" s="55">
        <v>1506</v>
      </c>
      <c r="E24" s="55">
        <v>2412</v>
      </c>
      <c r="F24" s="55">
        <v>2223</v>
      </c>
      <c r="G24" s="55">
        <v>0</v>
      </c>
      <c r="H24" s="55">
        <v>0</v>
      </c>
      <c r="J24" s="54">
        <f>SUM(K24:P24)</f>
        <v>6</v>
      </c>
      <c r="K24" s="55">
        <v>1</v>
      </c>
      <c r="L24" s="55">
        <v>1</v>
      </c>
      <c r="M24" s="55">
        <v>2</v>
      </c>
      <c r="N24" s="55">
        <v>2</v>
      </c>
      <c r="O24" s="55">
        <v>0</v>
      </c>
      <c r="P24" s="55">
        <v>0</v>
      </c>
      <c r="R24" s="61">
        <f>SUM(C24/B24)</f>
        <v>0.17248349279072903</v>
      </c>
      <c r="S24" s="61">
        <f>SUM(D24/B24)</f>
        <v>0.20293760948659209</v>
      </c>
      <c r="T24" s="61">
        <f>SUM(E24/B24)</f>
        <v>0.32502358172752999</v>
      </c>
      <c r="U24" s="61">
        <f>SUM(F24/B24)</f>
        <v>0.2995553159951489</v>
      </c>
      <c r="V24" s="61">
        <f>SUM(G24/B24)</f>
        <v>0</v>
      </c>
      <c r="W24" s="61">
        <f>SUM(H24/B24)</f>
        <v>0</v>
      </c>
    </row>
    <row r="25" spans="1:23">
      <c r="A25" s="56" t="s">
        <v>1548</v>
      </c>
      <c r="B25" s="54">
        <f>SUM(C25:H25)</f>
        <v>5649</v>
      </c>
      <c r="C25" s="55">
        <v>1118</v>
      </c>
      <c r="D25" s="55">
        <v>756</v>
      </c>
      <c r="E25" s="55">
        <v>884</v>
      </c>
      <c r="F25" s="55">
        <v>2202</v>
      </c>
      <c r="G25" s="55">
        <v>0</v>
      </c>
      <c r="H25" s="55">
        <v>689</v>
      </c>
      <c r="J25" s="54">
        <f>SUM(K25:P25)</f>
        <v>5</v>
      </c>
      <c r="K25" s="55">
        <v>1</v>
      </c>
      <c r="L25" s="55">
        <v>0</v>
      </c>
      <c r="M25" s="55">
        <v>1</v>
      </c>
      <c r="N25" s="55">
        <v>2</v>
      </c>
      <c r="O25" s="55">
        <v>0</v>
      </c>
      <c r="P25" s="55">
        <v>1</v>
      </c>
      <c r="R25" s="61">
        <f>SUM(C25/B25)</f>
        <v>0.19791113471410871</v>
      </c>
      <c r="S25" s="61">
        <f>SUM(D25/B25)</f>
        <v>0.13382899628252787</v>
      </c>
      <c r="T25" s="61">
        <f>SUM(E25/B25)</f>
        <v>0.15648787395999292</v>
      </c>
      <c r="U25" s="61">
        <f>SUM(F25/B25)</f>
        <v>0.38980350504514072</v>
      </c>
      <c r="V25" s="61">
        <f>SUM(G25/B25)</f>
        <v>0</v>
      </c>
      <c r="W25" s="61">
        <f>SUM(H25/B25)</f>
        <v>0.12196848999822978</v>
      </c>
    </row>
    <row r="26" spans="1:23">
      <c r="A26" s="56" t="s">
        <v>1549</v>
      </c>
      <c r="B26" s="54">
        <f>SUM(C26:H26)</f>
        <v>5656</v>
      </c>
      <c r="C26" s="55">
        <v>1561</v>
      </c>
      <c r="D26" s="55">
        <v>1184</v>
      </c>
      <c r="E26" s="55">
        <v>1120</v>
      </c>
      <c r="F26" s="55">
        <v>1791</v>
      </c>
      <c r="G26" s="55">
        <v>0</v>
      </c>
      <c r="H26" s="55">
        <v>0</v>
      </c>
      <c r="J26" s="54">
        <f>SUM(K26:P26)</f>
        <v>5</v>
      </c>
      <c r="K26" s="55">
        <v>1</v>
      </c>
      <c r="L26" s="55">
        <v>1</v>
      </c>
      <c r="M26" s="55">
        <v>1</v>
      </c>
      <c r="N26" s="55">
        <v>2</v>
      </c>
      <c r="O26" s="55">
        <v>0</v>
      </c>
      <c r="P26" s="55">
        <v>0</v>
      </c>
      <c r="R26" s="61">
        <f>SUM(C26/B26)</f>
        <v>0.27599009900990101</v>
      </c>
      <c r="S26" s="61">
        <f>SUM(D26/B26)</f>
        <v>0.20933521923620935</v>
      </c>
      <c r="T26" s="61">
        <f>SUM(E26/B26)</f>
        <v>0.19801980198019803</v>
      </c>
      <c r="U26" s="61">
        <f>SUM(F26/B26)</f>
        <v>0.31665487977369167</v>
      </c>
      <c r="V26" s="61">
        <f>SUM(G26/B26)</f>
        <v>0</v>
      </c>
      <c r="W26" s="61">
        <f>SUM(H26/B26)</f>
        <v>0</v>
      </c>
    </row>
    <row r="27" spans="1:23" s="52" customFormat="1">
      <c r="A27" s="53" t="s">
        <v>1550</v>
      </c>
      <c r="B27" s="54">
        <f>SUM(B24:B26)</f>
        <v>18726</v>
      </c>
      <c r="C27" s="54">
        <f t="shared" ref="C27:O27" si="4">SUM(C24:C26)</f>
        <v>3959</v>
      </c>
      <c r="D27" s="54">
        <f>SUM(D24:D26)</f>
        <v>3446</v>
      </c>
      <c r="E27" s="54">
        <f t="shared" si="4"/>
        <v>4416</v>
      </c>
      <c r="F27" s="54">
        <f t="shared" si="4"/>
        <v>6216</v>
      </c>
      <c r="G27" s="54">
        <f t="shared" si="4"/>
        <v>0</v>
      </c>
      <c r="H27" s="54">
        <f>SUM(H24:H26)</f>
        <v>689</v>
      </c>
      <c r="I27" s="54"/>
      <c r="J27" s="54">
        <f t="shared" si="4"/>
        <v>16</v>
      </c>
      <c r="K27" s="54">
        <f t="shared" si="4"/>
        <v>3</v>
      </c>
      <c r="L27" s="54">
        <f t="shared" si="4"/>
        <v>2</v>
      </c>
      <c r="M27" s="54">
        <f t="shared" si="4"/>
        <v>4</v>
      </c>
      <c r="N27" s="54">
        <f t="shared" si="4"/>
        <v>6</v>
      </c>
      <c r="O27" s="54">
        <f t="shared" si="4"/>
        <v>0</v>
      </c>
      <c r="P27" s="54">
        <f>SUM(P24:P26)</f>
        <v>1</v>
      </c>
      <c r="R27" s="60">
        <f>SUM(C27/B27)</f>
        <v>0.21141728078607283</v>
      </c>
      <c r="S27" s="60">
        <f>SUM(D27/B27)</f>
        <v>0.18402221510199723</v>
      </c>
      <c r="T27" s="60">
        <f>SUM(E27/B27)</f>
        <v>0.23582185197052227</v>
      </c>
      <c r="U27" s="60">
        <f>SUM(F27/B27)</f>
        <v>0.33194488945850686</v>
      </c>
      <c r="V27" s="60">
        <f>SUM(G27/B27)</f>
        <v>0</v>
      </c>
      <c r="W27" s="60">
        <f>SUM(H27/B27)</f>
        <v>3.6793762682900778E-2</v>
      </c>
    </row>
    <row r="28" spans="1:23">
      <c r="A28" s="53"/>
      <c r="B28" s="54"/>
      <c r="C28" s="55"/>
      <c r="D28" s="55"/>
      <c r="E28" s="55"/>
      <c r="F28" s="55"/>
      <c r="G28" s="55"/>
      <c r="H28" s="55"/>
      <c r="J28" s="54"/>
      <c r="K28" s="55"/>
      <c r="L28" s="55"/>
      <c r="M28" s="55"/>
      <c r="N28" s="55"/>
      <c r="O28" s="55"/>
      <c r="P28" s="55"/>
    </row>
    <row r="29" spans="1:23">
      <c r="A29" s="56" t="s">
        <v>1551</v>
      </c>
      <c r="B29" s="54">
        <f>SUM(C29:H29)</f>
        <v>8026</v>
      </c>
      <c r="C29" s="55">
        <v>1103</v>
      </c>
      <c r="D29" s="55">
        <v>2452</v>
      </c>
      <c r="E29" s="55">
        <v>1686</v>
      </c>
      <c r="F29" s="55">
        <v>2785</v>
      </c>
      <c r="G29" s="55">
        <v>0</v>
      </c>
      <c r="H29" s="55">
        <v>0</v>
      </c>
      <c r="J29" s="54">
        <f>SUM(K29:P29)</f>
        <v>6</v>
      </c>
      <c r="K29" s="55">
        <v>1</v>
      </c>
      <c r="L29" s="55">
        <v>2</v>
      </c>
      <c r="M29" s="55">
        <v>1</v>
      </c>
      <c r="N29" s="55">
        <v>2</v>
      </c>
      <c r="O29" s="55">
        <v>0</v>
      </c>
      <c r="P29" s="55">
        <v>0</v>
      </c>
      <c r="R29" s="61">
        <f>SUM(C29/B29)</f>
        <v>0.13742835783702964</v>
      </c>
      <c r="S29" s="61">
        <f>SUM(D29/B29)</f>
        <v>0.30550710191876401</v>
      </c>
      <c r="T29" s="61">
        <f>SUM(E29/B29)</f>
        <v>0.21006728133565911</v>
      </c>
      <c r="U29" s="61">
        <f>SUM(F29/B29)</f>
        <v>0.34699725890854721</v>
      </c>
      <c r="V29" s="61">
        <f>SUM(G29/B29)</f>
        <v>0</v>
      </c>
      <c r="W29" s="61">
        <f>SUM(H29/B29)</f>
        <v>0</v>
      </c>
    </row>
    <row r="30" spans="1:23">
      <c r="A30" s="56" t="s">
        <v>1552</v>
      </c>
      <c r="B30" s="54">
        <f>SUM(C30:H30)</f>
        <v>6949</v>
      </c>
      <c r="C30" s="55">
        <v>1237</v>
      </c>
      <c r="D30" s="55">
        <v>1453</v>
      </c>
      <c r="E30" s="55">
        <v>1096</v>
      </c>
      <c r="F30" s="55">
        <v>2953</v>
      </c>
      <c r="G30" s="55">
        <v>0</v>
      </c>
      <c r="H30" s="55">
        <v>210</v>
      </c>
      <c r="J30" s="54">
        <f>SUM(K30:P30)</f>
        <v>5</v>
      </c>
      <c r="K30" s="55">
        <v>1</v>
      </c>
      <c r="L30" s="55">
        <v>1</v>
      </c>
      <c r="M30" s="55">
        <v>1</v>
      </c>
      <c r="N30" s="55">
        <v>2</v>
      </c>
      <c r="O30" s="55">
        <v>0</v>
      </c>
      <c r="P30" s="55">
        <v>0</v>
      </c>
      <c r="R30" s="61">
        <f>SUM(C30/B30)</f>
        <v>0.17801122463663838</v>
      </c>
      <c r="S30" s="61">
        <f>SUM(D30/B30)</f>
        <v>0.2090948337890344</v>
      </c>
      <c r="T30" s="61">
        <f>SUM(E30/B30)</f>
        <v>0.1577205353288243</v>
      </c>
      <c r="U30" s="61">
        <f>SUM(F30/B30)</f>
        <v>0.42495323068067348</v>
      </c>
      <c r="V30" s="61">
        <f>SUM(G30/B30)</f>
        <v>0</v>
      </c>
      <c r="W30" s="61">
        <f>SUM(H30/B30)</f>
        <v>3.0220175564829473E-2</v>
      </c>
    </row>
    <row r="31" spans="1:23">
      <c r="A31" s="56" t="s">
        <v>1553</v>
      </c>
      <c r="B31" s="54">
        <f>SUM(C31:H31)</f>
        <v>7478</v>
      </c>
      <c r="C31" s="55">
        <v>0</v>
      </c>
      <c r="D31" s="55">
        <v>723</v>
      </c>
      <c r="E31" s="55">
        <v>1687</v>
      </c>
      <c r="F31" s="55">
        <v>4188</v>
      </c>
      <c r="G31" s="55">
        <v>0</v>
      </c>
      <c r="H31" s="55">
        <v>880</v>
      </c>
      <c r="J31" s="54">
        <f>SUM(K31:P31)</f>
        <v>5</v>
      </c>
      <c r="K31" s="55">
        <v>0</v>
      </c>
      <c r="L31" s="55">
        <v>0</v>
      </c>
      <c r="M31" s="55">
        <v>1</v>
      </c>
      <c r="N31" s="55">
        <v>3</v>
      </c>
      <c r="O31" s="55">
        <v>0</v>
      </c>
      <c r="P31" s="55">
        <v>1</v>
      </c>
      <c r="R31" s="61">
        <f>SUM(C31/B31)</f>
        <v>0</v>
      </c>
      <c r="S31" s="61">
        <f>SUM(D31/B31)</f>
        <v>9.6683605242043322E-2</v>
      </c>
      <c r="T31" s="61">
        <f>SUM(E31/B31)</f>
        <v>0.2255950788981011</v>
      </c>
      <c r="U31" s="61">
        <f>SUM(F31/B31)</f>
        <v>0.5600427921904253</v>
      </c>
      <c r="V31" s="61">
        <f>SUM(G31/B31)</f>
        <v>0</v>
      </c>
      <c r="W31" s="61">
        <f>SUM(H31/B31)</f>
        <v>0.11767852366943032</v>
      </c>
    </row>
    <row r="32" spans="1:23" s="52" customFormat="1">
      <c r="A32" s="53" t="s">
        <v>1554</v>
      </c>
      <c r="B32" s="54">
        <f>SUM(B29:B31)</f>
        <v>22453</v>
      </c>
      <c r="C32" s="54">
        <f t="shared" ref="C32:O32" si="5">SUM(C29:C31)</f>
        <v>2340</v>
      </c>
      <c r="D32" s="54">
        <f>SUM(D29:D31)</f>
        <v>4628</v>
      </c>
      <c r="E32" s="54">
        <f t="shared" si="5"/>
        <v>4469</v>
      </c>
      <c r="F32" s="54">
        <f t="shared" si="5"/>
        <v>9926</v>
      </c>
      <c r="G32" s="54">
        <f t="shared" si="5"/>
        <v>0</v>
      </c>
      <c r="H32" s="54">
        <f>SUM(H29:H31)</f>
        <v>1090</v>
      </c>
      <c r="I32" s="54"/>
      <c r="J32" s="54">
        <f t="shared" si="5"/>
        <v>16</v>
      </c>
      <c r="K32" s="54">
        <f t="shared" si="5"/>
        <v>2</v>
      </c>
      <c r="L32" s="54">
        <f t="shared" si="5"/>
        <v>3</v>
      </c>
      <c r="M32" s="54">
        <f t="shared" si="5"/>
        <v>3</v>
      </c>
      <c r="N32" s="54">
        <f t="shared" si="5"/>
        <v>7</v>
      </c>
      <c r="O32" s="54">
        <f t="shared" si="5"/>
        <v>0</v>
      </c>
      <c r="P32" s="54">
        <f>SUM(P29:P31)</f>
        <v>1</v>
      </c>
      <c r="R32" s="60">
        <f>SUM(C32/B32)</f>
        <v>0.10421769919387164</v>
      </c>
      <c r="S32" s="60">
        <f>SUM(D32/B32)</f>
        <v>0.20611944951676836</v>
      </c>
      <c r="T32" s="60">
        <f>SUM(E32/B32)</f>
        <v>0.19903799046897966</v>
      </c>
      <c r="U32" s="60">
        <f>SUM(F32/B32)</f>
        <v>0.44207900948648288</v>
      </c>
      <c r="V32" s="60">
        <f>SUM(G32/B32)</f>
        <v>0</v>
      </c>
      <c r="W32" s="60">
        <f>SUM(H32/B32)</f>
        <v>4.8545851333897473E-2</v>
      </c>
    </row>
    <row r="33" spans="1:23">
      <c r="A33" s="53"/>
      <c r="B33" s="54"/>
      <c r="C33" s="55"/>
      <c r="D33" s="55"/>
      <c r="E33" s="55"/>
      <c r="F33" s="55"/>
      <c r="G33" s="55"/>
      <c r="H33" s="55"/>
      <c r="J33" s="54"/>
      <c r="K33" s="55"/>
      <c r="L33" s="55"/>
      <c r="M33" s="55"/>
      <c r="N33" s="55"/>
      <c r="O33" s="55"/>
      <c r="P33" s="55"/>
    </row>
    <row r="34" spans="1:23">
      <c r="A34" s="56" t="s">
        <v>1555</v>
      </c>
      <c r="B34" s="54">
        <f>SUM(C34:H34)</f>
        <v>9829</v>
      </c>
      <c r="C34" s="55">
        <v>1628</v>
      </c>
      <c r="D34" s="55">
        <v>2390</v>
      </c>
      <c r="E34" s="55">
        <v>4025</v>
      </c>
      <c r="F34" s="55">
        <v>1620</v>
      </c>
      <c r="G34" s="55">
        <v>166</v>
      </c>
      <c r="H34" s="55">
        <v>0</v>
      </c>
      <c r="J34" s="54">
        <f>SUM(K34:P34)</f>
        <v>6</v>
      </c>
      <c r="K34" s="55">
        <v>1</v>
      </c>
      <c r="L34" s="55">
        <v>1</v>
      </c>
      <c r="M34" s="55">
        <v>3</v>
      </c>
      <c r="N34" s="55">
        <v>1</v>
      </c>
      <c r="O34" s="55">
        <v>0</v>
      </c>
      <c r="P34" s="55">
        <v>0</v>
      </c>
      <c r="R34" s="61">
        <f t="shared" ref="R34:R39" si="6">SUM(C34/B34)</f>
        <v>0.16563231254451113</v>
      </c>
      <c r="S34" s="61">
        <f t="shared" ref="S34:S39" si="7">SUM(D34/B34)</f>
        <v>0.2431580018313155</v>
      </c>
      <c r="T34" s="61">
        <f t="shared" ref="T34:T39" si="8">SUM(E34/B34)</f>
        <v>0.40950249262386812</v>
      </c>
      <c r="U34" s="61">
        <f t="shared" ref="U34:U39" si="9">SUM(F34/B34)</f>
        <v>0.1648183945467494</v>
      </c>
      <c r="V34" s="61">
        <f t="shared" ref="V34:V39" si="10">SUM(G34/B34)</f>
        <v>1.6888798453555804E-2</v>
      </c>
      <c r="W34" s="61">
        <f t="shared" ref="W34:W39" si="11">SUM(H34/B34)</f>
        <v>0</v>
      </c>
    </row>
    <row r="35" spans="1:23">
      <c r="A35" s="56" t="s">
        <v>1556</v>
      </c>
      <c r="B35" s="54">
        <f>SUM(C35:H35)</f>
        <v>10354</v>
      </c>
      <c r="C35" s="55">
        <v>1441</v>
      </c>
      <c r="D35" s="55">
        <v>4484</v>
      </c>
      <c r="E35" s="55">
        <v>2147</v>
      </c>
      <c r="F35" s="55">
        <v>1312</v>
      </c>
      <c r="G35" s="55">
        <v>270</v>
      </c>
      <c r="H35" s="55">
        <v>700</v>
      </c>
      <c r="J35" s="54">
        <f>SUM(K35:P35)</f>
        <v>7</v>
      </c>
      <c r="K35" s="55">
        <v>1</v>
      </c>
      <c r="L35" s="55">
        <v>3</v>
      </c>
      <c r="M35" s="55">
        <v>2</v>
      </c>
      <c r="N35" s="55">
        <v>1</v>
      </c>
      <c r="O35" s="55">
        <v>0</v>
      </c>
      <c r="P35" s="55">
        <v>0</v>
      </c>
      <c r="R35" s="61">
        <f t="shared" si="6"/>
        <v>0.13917326637048483</v>
      </c>
      <c r="S35" s="61">
        <f t="shared" si="7"/>
        <v>0.43306934518060652</v>
      </c>
      <c r="T35" s="61">
        <f t="shared" si="8"/>
        <v>0.20735947459918871</v>
      </c>
      <c r="U35" s="61">
        <f t="shared" si="9"/>
        <v>0.12671431330886615</v>
      </c>
      <c r="V35" s="61">
        <f t="shared" si="10"/>
        <v>2.6076878501062391E-2</v>
      </c>
      <c r="W35" s="61">
        <f t="shared" si="11"/>
        <v>6.7606722039791387E-2</v>
      </c>
    </row>
    <row r="36" spans="1:23">
      <c r="A36" s="56" t="s">
        <v>1557</v>
      </c>
      <c r="B36" s="54">
        <f>SUM(C36:H36)</f>
        <v>11007</v>
      </c>
      <c r="C36" s="55">
        <v>0</v>
      </c>
      <c r="D36" s="55">
        <v>0</v>
      </c>
      <c r="E36" s="55">
        <v>5942</v>
      </c>
      <c r="F36" s="55">
        <v>4288</v>
      </c>
      <c r="G36" s="55">
        <v>0</v>
      </c>
      <c r="H36" s="55">
        <v>777</v>
      </c>
      <c r="I36" s="55"/>
      <c r="J36" s="54">
        <f>SUM(K36:P36)</f>
        <v>7</v>
      </c>
      <c r="K36" s="55">
        <v>0</v>
      </c>
      <c r="L36" s="55">
        <v>0</v>
      </c>
      <c r="M36" s="55">
        <v>4</v>
      </c>
      <c r="N36" s="55">
        <v>3</v>
      </c>
      <c r="O36" s="55">
        <v>0</v>
      </c>
      <c r="P36" s="55">
        <v>0</v>
      </c>
      <c r="R36" s="61">
        <f t="shared" si="6"/>
        <v>0</v>
      </c>
      <c r="S36" s="61">
        <f t="shared" si="7"/>
        <v>0</v>
      </c>
      <c r="T36" s="61">
        <f t="shared" si="8"/>
        <v>0.53983828472790041</v>
      </c>
      <c r="U36" s="61">
        <f t="shared" si="9"/>
        <v>0.38957027346234213</v>
      </c>
      <c r="V36" s="61">
        <f t="shared" si="10"/>
        <v>0</v>
      </c>
      <c r="W36" s="61">
        <f t="shared" si="11"/>
        <v>7.0591441809757433E-2</v>
      </c>
    </row>
    <row r="37" spans="1:23">
      <c r="A37" s="56" t="s">
        <v>1558</v>
      </c>
      <c r="B37" s="54">
        <f>SUM(C37:H37)</f>
        <v>6627</v>
      </c>
      <c r="C37" s="55">
        <v>0</v>
      </c>
      <c r="D37" s="55">
        <v>0</v>
      </c>
      <c r="E37" s="55">
        <v>3015</v>
      </c>
      <c r="F37" s="55">
        <v>3384</v>
      </c>
      <c r="G37" s="55">
        <v>0</v>
      </c>
      <c r="H37" s="55">
        <v>228</v>
      </c>
      <c r="J37" s="54">
        <f>SUM(K37:P37)</f>
        <v>5</v>
      </c>
      <c r="K37" s="55">
        <v>0</v>
      </c>
      <c r="L37" s="55">
        <v>0</v>
      </c>
      <c r="M37" s="55">
        <v>2</v>
      </c>
      <c r="N37" s="55">
        <v>3</v>
      </c>
      <c r="O37" s="55">
        <v>0</v>
      </c>
      <c r="P37" s="55">
        <v>0</v>
      </c>
      <c r="R37" s="61">
        <f t="shared" si="6"/>
        <v>0</v>
      </c>
      <c r="S37" s="61">
        <f t="shared" si="7"/>
        <v>0</v>
      </c>
      <c r="T37" s="61">
        <f t="shared" si="8"/>
        <v>0.45495699411498414</v>
      </c>
      <c r="U37" s="61">
        <f t="shared" si="9"/>
        <v>0.51063829787234039</v>
      </c>
      <c r="V37" s="61">
        <f t="shared" si="10"/>
        <v>0</v>
      </c>
      <c r="W37" s="61">
        <f t="shared" si="11"/>
        <v>3.4404708012675415E-2</v>
      </c>
    </row>
    <row r="38" spans="1:23">
      <c r="A38" s="56" t="s">
        <v>1559</v>
      </c>
      <c r="B38" s="54">
        <f>SUM(C38:H38)</f>
        <v>10228</v>
      </c>
      <c r="C38" s="55">
        <v>0</v>
      </c>
      <c r="D38" s="55">
        <v>0</v>
      </c>
      <c r="E38" s="55">
        <v>5743</v>
      </c>
      <c r="F38" s="55">
        <v>3943</v>
      </c>
      <c r="G38" s="55">
        <v>0</v>
      </c>
      <c r="H38" s="55">
        <v>542</v>
      </c>
      <c r="J38" s="54">
        <f>SUM(K38:P38)</f>
        <v>5</v>
      </c>
      <c r="K38" s="55">
        <v>0</v>
      </c>
      <c r="L38" s="55">
        <v>0</v>
      </c>
      <c r="M38" s="55">
        <v>3</v>
      </c>
      <c r="N38" s="55">
        <v>2</v>
      </c>
      <c r="O38" s="55">
        <v>0</v>
      </c>
      <c r="P38" s="55">
        <v>0</v>
      </c>
      <c r="R38" s="61">
        <f t="shared" si="6"/>
        <v>0</v>
      </c>
      <c r="S38" s="61">
        <f t="shared" si="7"/>
        <v>0</v>
      </c>
      <c r="T38" s="61">
        <f t="shared" si="8"/>
        <v>0.56149784904184596</v>
      </c>
      <c r="U38" s="61">
        <f t="shared" si="9"/>
        <v>0.38551036370746972</v>
      </c>
      <c r="V38" s="61">
        <f t="shared" si="10"/>
        <v>0</v>
      </c>
      <c r="W38" s="61">
        <f t="shared" si="11"/>
        <v>5.2991787250684395E-2</v>
      </c>
    </row>
    <row r="39" spans="1:23" s="52" customFormat="1">
      <c r="A39" s="53" t="s">
        <v>1560</v>
      </c>
      <c r="B39" s="54">
        <f>SUM(B34:B38)</f>
        <v>48045</v>
      </c>
      <c r="C39" s="54">
        <f t="shared" ref="C39:O39" si="12">SUM(C34:C38)</f>
        <v>3069</v>
      </c>
      <c r="D39" s="54">
        <f>SUM(D34:D38)</f>
        <v>6874</v>
      </c>
      <c r="E39" s="54">
        <f t="shared" si="12"/>
        <v>20872</v>
      </c>
      <c r="F39" s="54">
        <f t="shared" si="12"/>
        <v>14547</v>
      </c>
      <c r="G39" s="54">
        <f t="shared" si="12"/>
        <v>436</v>
      </c>
      <c r="H39" s="54">
        <f>SUM(H34:H38)</f>
        <v>2247</v>
      </c>
      <c r="I39" s="54"/>
      <c r="J39" s="54">
        <f t="shared" si="12"/>
        <v>30</v>
      </c>
      <c r="K39" s="54">
        <f t="shared" si="12"/>
        <v>2</v>
      </c>
      <c r="L39" s="54">
        <f t="shared" si="12"/>
        <v>4</v>
      </c>
      <c r="M39" s="54">
        <f t="shared" si="12"/>
        <v>14</v>
      </c>
      <c r="N39" s="54">
        <f t="shared" si="12"/>
        <v>10</v>
      </c>
      <c r="O39" s="54">
        <f t="shared" si="12"/>
        <v>0</v>
      </c>
      <c r="P39" s="54">
        <f>SUM(P34:P38)</f>
        <v>0</v>
      </c>
      <c r="R39" s="60">
        <f t="shared" si="6"/>
        <v>6.3877614736184821E-2</v>
      </c>
      <c r="S39" s="60">
        <f t="shared" si="7"/>
        <v>0.14307420126964304</v>
      </c>
      <c r="T39" s="60">
        <f t="shared" si="8"/>
        <v>0.43442605890311164</v>
      </c>
      <c r="U39" s="60">
        <f t="shared" si="9"/>
        <v>0.3027786450202935</v>
      </c>
      <c r="V39" s="60">
        <f t="shared" si="10"/>
        <v>9.0748256842543441E-3</v>
      </c>
      <c r="W39" s="60">
        <f t="shared" si="11"/>
        <v>4.6768654386512641E-2</v>
      </c>
    </row>
    <row r="40" spans="1:23">
      <c r="A40" s="53"/>
      <c r="B40" s="54"/>
      <c r="C40" s="55"/>
      <c r="D40" s="55"/>
      <c r="E40" s="55"/>
      <c r="F40" s="55"/>
      <c r="G40" s="55"/>
      <c r="H40" s="55"/>
      <c r="J40" s="54"/>
      <c r="K40" s="55"/>
      <c r="L40" s="55"/>
      <c r="M40" s="55"/>
      <c r="N40" s="55"/>
      <c r="O40" s="55"/>
      <c r="P40" s="55"/>
    </row>
    <row r="41" spans="1:23">
      <c r="A41" s="56" t="s">
        <v>1562</v>
      </c>
      <c r="B41" s="54">
        <f>SUM(C41:H41)</f>
        <v>5459</v>
      </c>
      <c r="C41" s="55">
        <v>1348</v>
      </c>
      <c r="D41" s="55">
        <v>1027</v>
      </c>
      <c r="E41" s="55">
        <v>2251</v>
      </c>
      <c r="F41" s="55">
        <v>833</v>
      </c>
      <c r="G41" s="55">
        <v>0</v>
      </c>
      <c r="H41" s="55">
        <v>0</v>
      </c>
      <c r="J41" s="54">
        <f>SUM(K41:P41)</f>
        <v>5</v>
      </c>
      <c r="K41" s="55">
        <v>1</v>
      </c>
      <c r="L41" s="55">
        <v>1</v>
      </c>
      <c r="M41" s="55">
        <v>2</v>
      </c>
      <c r="N41" s="55">
        <v>1</v>
      </c>
      <c r="O41" s="55">
        <v>0</v>
      </c>
      <c r="P41" s="55">
        <v>0</v>
      </c>
      <c r="R41" s="61">
        <f>SUM(C41/B41)</f>
        <v>0.24693167246748488</v>
      </c>
      <c r="S41" s="61">
        <f>SUM(D41/B41)</f>
        <v>0.18812969408316541</v>
      </c>
      <c r="T41" s="61">
        <f>SUM(E41/B41)</f>
        <v>0.41234658362337423</v>
      </c>
      <c r="U41" s="61">
        <f>SUM(F41/B41)</f>
        <v>0.15259204982597546</v>
      </c>
      <c r="V41" s="61">
        <f>SUM(G41/B41)</f>
        <v>0</v>
      </c>
      <c r="W41" s="61">
        <f>SUM(H41/B41)</f>
        <v>0</v>
      </c>
    </row>
    <row r="42" spans="1:23">
      <c r="A42" s="56" t="s">
        <v>1563</v>
      </c>
      <c r="B42" s="54">
        <f>SUM(C42:H42)</f>
        <v>5037</v>
      </c>
      <c r="C42" s="55">
        <v>0</v>
      </c>
      <c r="D42" s="55">
        <v>259</v>
      </c>
      <c r="E42" s="55">
        <v>1056</v>
      </c>
      <c r="F42" s="55">
        <v>2532</v>
      </c>
      <c r="G42" s="55">
        <v>0</v>
      </c>
      <c r="H42" s="55">
        <v>1190</v>
      </c>
      <c r="J42" s="54">
        <f>SUM(K42:P42)</f>
        <v>5</v>
      </c>
      <c r="K42" s="55">
        <v>0</v>
      </c>
      <c r="L42" s="55">
        <v>0</v>
      </c>
      <c r="M42" s="55">
        <v>1</v>
      </c>
      <c r="N42" s="55">
        <v>3</v>
      </c>
      <c r="O42" s="55">
        <v>0</v>
      </c>
      <c r="P42" s="55">
        <v>1</v>
      </c>
      <c r="R42" s="61">
        <f>SUM(C42/B42)</f>
        <v>0</v>
      </c>
      <c r="S42" s="61">
        <f>SUM(D42/B42)</f>
        <v>5.1419495731586259E-2</v>
      </c>
      <c r="T42" s="61">
        <f>SUM(E42/B42)</f>
        <v>0.20964860035735558</v>
      </c>
      <c r="U42" s="61">
        <f>SUM(F42/B42)</f>
        <v>0.50268016676593208</v>
      </c>
      <c r="V42" s="61">
        <f>SUM(G42/B42)</f>
        <v>0</v>
      </c>
      <c r="W42" s="61">
        <f>SUM(H42/B42)</f>
        <v>0.23625173714512607</v>
      </c>
    </row>
    <row r="43" spans="1:23">
      <c r="A43" s="56" t="s">
        <v>1564</v>
      </c>
      <c r="B43" s="54">
        <f>SUM(C43:H43)</f>
        <v>4720</v>
      </c>
      <c r="C43" s="55">
        <v>996</v>
      </c>
      <c r="D43" s="55">
        <v>1430</v>
      </c>
      <c r="E43" s="55">
        <v>1072</v>
      </c>
      <c r="F43" s="55">
        <v>419</v>
      </c>
      <c r="G43" s="55">
        <v>0</v>
      </c>
      <c r="H43" s="55">
        <v>803</v>
      </c>
      <c r="J43" s="54">
        <f>SUM(K43:P43)</f>
        <v>5</v>
      </c>
      <c r="K43" s="55">
        <v>2</v>
      </c>
      <c r="L43" s="55">
        <v>1</v>
      </c>
      <c r="M43" s="55">
        <v>1</v>
      </c>
      <c r="N43" s="55">
        <v>0</v>
      </c>
      <c r="O43" s="55">
        <v>0</v>
      </c>
      <c r="P43" s="55">
        <v>1</v>
      </c>
      <c r="R43" s="61">
        <f>SUM(C43/B43)</f>
        <v>0.21101694915254238</v>
      </c>
      <c r="S43" s="61">
        <f>SUM(D43/B43)</f>
        <v>0.30296610169491528</v>
      </c>
      <c r="T43" s="61">
        <f>SUM(E43/B43)</f>
        <v>0.22711864406779661</v>
      </c>
      <c r="U43" s="61">
        <f>SUM(F43/B43)</f>
        <v>8.8771186440677968E-2</v>
      </c>
      <c r="V43" s="61">
        <f>SUM(G43/B43)</f>
        <v>0</v>
      </c>
      <c r="W43" s="61">
        <f>SUM(H43/B43)</f>
        <v>0.17012711864406779</v>
      </c>
    </row>
    <row r="44" spans="1:23" s="52" customFormat="1">
      <c r="A44" s="53" t="s">
        <v>1561</v>
      </c>
      <c r="B44" s="54">
        <f>SUM(B41:B43)</f>
        <v>15216</v>
      </c>
      <c r="C44" s="54">
        <f t="shared" ref="C44:O44" si="13">SUM(C41:C43)</f>
        <v>2344</v>
      </c>
      <c r="D44" s="54">
        <f>SUM(D41:D43)</f>
        <v>2716</v>
      </c>
      <c r="E44" s="54">
        <f t="shared" si="13"/>
        <v>4379</v>
      </c>
      <c r="F44" s="54">
        <f t="shared" si="13"/>
        <v>3784</v>
      </c>
      <c r="G44" s="54">
        <f t="shared" si="13"/>
        <v>0</v>
      </c>
      <c r="H44" s="54">
        <f>SUM(H41:H43)</f>
        <v>1993</v>
      </c>
      <c r="I44" s="54"/>
      <c r="J44" s="54">
        <f t="shared" si="13"/>
        <v>15</v>
      </c>
      <c r="K44" s="54">
        <f t="shared" si="13"/>
        <v>3</v>
      </c>
      <c r="L44" s="54">
        <f t="shared" si="13"/>
        <v>2</v>
      </c>
      <c r="M44" s="54">
        <f t="shared" si="13"/>
        <v>4</v>
      </c>
      <c r="N44" s="54">
        <f t="shared" si="13"/>
        <v>4</v>
      </c>
      <c r="O44" s="54">
        <f t="shared" si="13"/>
        <v>0</v>
      </c>
      <c r="P44" s="54">
        <f>SUM(P41:P43)</f>
        <v>2</v>
      </c>
      <c r="R44" s="60">
        <f>SUM(C44/B44)</f>
        <v>0.15404837013669823</v>
      </c>
      <c r="S44" s="60">
        <f>SUM(D44/B44)</f>
        <v>0.17849631966351209</v>
      </c>
      <c r="T44" s="60">
        <f>SUM(E44/B44)</f>
        <v>0.28778916929547843</v>
      </c>
      <c r="U44" s="60">
        <f>SUM(F44/B44)</f>
        <v>0.24868559411146163</v>
      </c>
      <c r="V44" s="60">
        <f>SUM(G44/B44)</f>
        <v>0</v>
      </c>
      <c r="W44" s="60">
        <f>SUM(H44/B44)</f>
        <v>0.13098054679284962</v>
      </c>
    </row>
    <row r="45" spans="1:23">
      <c r="A45" s="53"/>
      <c r="B45" s="54"/>
      <c r="C45" s="55"/>
      <c r="D45" s="55"/>
      <c r="E45" s="55"/>
      <c r="F45" s="55"/>
      <c r="G45" s="55"/>
      <c r="H45" s="55"/>
      <c r="J45" s="54"/>
      <c r="K45" s="55"/>
      <c r="L45" s="55"/>
      <c r="M45" s="55"/>
      <c r="N45" s="55"/>
      <c r="O45" s="55"/>
      <c r="P45" s="55"/>
    </row>
    <row r="46" spans="1:23">
      <c r="A46" s="56" t="s">
        <v>1565</v>
      </c>
      <c r="B46" s="54">
        <f>SUM(C46:H46)</f>
        <v>6993</v>
      </c>
      <c r="C46" s="55">
        <v>3128</v>
      </c>
      <c r="D46" s="55">
        <v>2125</v>
      </c>
      <c r="E46" s="55">
        <v>1232</v>
      </c>
      <c r="F46" s="55">
        <v>0</v>
      </c>
      <c r="G46" s="55">
        <v>508</v>
      </c>
      <c r="H46" s="55">
        <v>0</v>
      </c>
      <c r="J46" s="54">
        <f>SUM(K46:P46)</f>
        <v>6</v>
      </c>
      <c r="K46" s="55">
        <v>3</v>
      </c>
      <c r="L46" s="55">
        <v>2</v>
      </c>
      <c r="M46" s="55">
        <v>1</v>
      </c>
      <c r="N46" s="55">
        <v>0</v>
      </c>
      <c r="O46" s="55">
        <v>0</v>
      </c>
      <c r="P46" s="55">
        <v>0</v>
      </c>
      <c r="R46" s="61">
        <f>SUM(C46/B46)</f>
        <v>0.44730444730444729</v>
      </c>
      <c r="S46" s="61">
        <f>SUM(D46/B46)</f>
        <v>0.30387530387530387</v>
      </c>
      <c r="T46" s="61">
        <f>SUM(E46/B46)</f>
        <v>0.17617617617617617</v>
      </c>
      <c r="U46" s="61">
        <f>SUM(F46/B46)</f>
        <v>0</v>
      </c>
      <c r="V46" s="61">
        <f>SUM(G46/B46)</f>
        <v>7.2644072644072646E-2</v>
      </c>
      <c r="W46" s="61">
        <f>SUM(H46/B46)</f>
        <v>0</v>
      </c>
    </row>
    <row r="47" spans="1:23">
      <c r="A47" s="56" t="s">
        <v>1566</v>
      </c>
      <c r="B47" s="54">
        <f>SUM(C47:H47)</f>
        <v>4753</v>
      </c>
      <c r="C47" s="55">
        <v>1268</v>
      </c>
      <c r="D47" s="55">
        <v>2103</v>
      </c>
      <c r="E47" s="55">
        <v>368</v>
      </c>
      <c r="F47" s="55">
        <v>0</v>
      </c>
      <c r="G47" s="55">
        <v>274</v>
      </c>
      <c r="H47" s="55">
        <v>740</v>
      </c>
      <c r="J47" s="54">
        <f>SUM(K47:P47)</f>
        <v>5</v>
      </c>
      <c r="K47" s="55">
        <v>2</v>
      </c>
      <c r="L47" s="55">
        <v>3</v>
      </c>
      <c r="M47" s="55">
        <v>0</v>
      </c>
      <c r="N47" s="55">
        <v>0</v>
      </c>
      <c r="O47" s="55">
        <v>0</v>
      </c>
      <c r="P47" s="55">
        <v>0</v>
      </c>
      <c r="R47" s="61">
        <f>SUM(C47/B47)</f>
        <v>0.26677887649905324</v>
      </c>
      <c r="S47" s="61">
        <f>SUM(D47/B47)</f>
        <v>0.4424573953292657</v>
      </c>
      <c r="T47" s="61">
        <f>SUM(E47/B47)</f>
        <v>7.7424784346728379E-2</v>
      </c>
      <c r="U47" s="61">
        <f>SUM(F47/B47)</f>
        <v>0</v>
      </c>
      <c r="V47" s="61">
        <f>SUM(G47/B47)</f>
        <v>5.7647801388596674E-2</v>
      </c>
      <c r="W47" s="61">
        <f>SUM(H47/B47)</f>
        <v>0.15569114243635598</v>
      </c>
    </row>
    <row r="48" spans="1:23">
      <c r="A48" s="56" t="s">
        <v>1567</v>
      </c>
      <c r="B48" s="54">
        <f>SUM(C48:H48)</f>
        <v>7383</v>
      </c>
      <c r="C48" s="55">
        <v>2511</v>
      </c>
      <c r="D48" s="55">
        <v>1481</v>
      </c>
      <c r="E48" s="55">
        <v>2249</v>
      </c>
      <c r="F48" s="55">
        <v>0</v>
      </c>
      <c r="G48" s="55">
        <v>116</v>
      </c>
      <c r="H48" s="55">
        <v>1026</v>
      </c>
      <c r="J48" s="54">
        <f>SUM(K48:P48)</f>
        <v>6</v>
      </c>
      <c r="K48" s="55">
        <v>3</v>
      </c>
      <c r="L48" s="55">
        <v>1</v>
      </c>
      <c r="M48" s="55">
        <v>2</v>
      </c>
      <c r="N48" s="55">
        <v>0</v>
      </c>
      <c r="O48" s="55">
        <v>0</v>
      </c>
      <c r="P48" s="55">
        <v>0</v>
      </c>
      <c r="R48" s="61">
        <f>SUM(C48/B48)</f>
        <v>0.34010564811052418</v>
      </c>
      <c r="S48" s="61">
        <f>SUM(D48/B48)</f>
        <v>0.20059596370039279</v>
      </c>
      <c r="T48" s="61">
        <f>SUM(E48/B48)</f>
        <v>0.30461871867804413</v>
      </c>
      <c r="U48" s="61">
        <f>SUM(F48/B48)</f>
        <v>0</v>
      </c>
      <c r="V48" s="61">
        <f>SUM(G48/B48)</f>
        <v>1.5711770283082759E-2</v>
      </c>
      <c r="W48" s="61">
        <f>SUM(H48/B48)</f>
        <v>0.1389678992279561</v>
      </c>
    </row>
    <row r="49" spans="1:23">
      <c r="A49" s="56" t="s">
        <v>1568</v>
      </c>
      <c r="B49" s="54">
        <f>SUM(C49:H49)</f>
        <v>5366</v>
      </c>
      <c r="C49" s="55">
        <v>1906</v>
      </c>
      <c r="D49" s="55">
        <v>1034</v>
      </c>
      <c r="E49" s="55">
        <v>988</v>
      </c>
      <c r="F49" s="55">
        <v>0</v>
      </c>
      <c r="G49" s="55">
        <v>681</v>
      </c>
      <c r="H49" s="55">
        <v>757</v>
      </c>
      <c r="J49" s="54">
        <f>SUM(K49:P49)</f>
        <v>5</v>
      </c>
      <c r="K49" s="55">
        <v>2</v>
      </c>
      <c r="L49" s="55">
        <v>1</v>
      </c>
      <c r="M49" s="55">
        <v>1</v>
      </c>
      <c r="N49" s="55">
        <v>0</v>
      </c>
      <c r="O49" s="55">
        <v>0</v>
      </c>
      <c r="P49" s="55">
        <v>1</v>
      </c>
      <c r="R49" s="61">
        <f>SUM(C49/B49)</f>
        <v>0.35519940365262764</v>
      </c>
      <c r="S49" s="61">
        <f>SUM(D49/B49)</f>
        <v>0.19269474468878123</v>
      </c>
      <c r="T49" s="61">
        <f>SUM(E49/B49)</f>
        <v>0.18412225121133061</v>
      </c>
      <c r="U49" s="61">
        <f>SUM(F49/B49)</f>
        <v>0</v>
      </c>
      <c r="V49" s="61">
        <f>SUM(G49/B49)</f>
        <v>0.12691017517704062</v>
      </c>
      <c r="W49" s="61">
        <f>SUM(H49/B49)</f>
        <v>0.1410734252702199</v>
      </c>
    </row>
    <row r="50" spans="1:23" s="52" customFormat="1">
      <c r="A50" s="53" t="s">
        <v>1569</v>
      </c>
      <c r="B50" s="54">
        <f>SUM(B46:B49)</f>
        <v>24495</v>
      </c>
      <c r="C50" s="54">
        <f t="shared" ref="C50:O50" si="14">SUM(C46:C49)</f>
        <v>8813</v>
      </c>
      <c r="D50" s="54">
        <f>SUM(D46:D49)</f>
        <v>6743</v>
      </c>
      <c r="E50" s="54">
        <f t="shared" si="14"/>
        <v>4837</v>
      </c>
      <c r="F50" s="54">
        <f t="shared" si="14"/>
        <v>0</v>
      </c>
      <c r="G50" s="54">
        <f t="shared" si="14"/>
        <v>1579</v>
      </c>
      <c r="H50" s="54">
        <f>SUM(H46:H49)</f>
        <v>2523</v>
      </c>
      <c r="I50" s="54"/>
      <c r="J50" s="54">
        <f t="shared" si="14"/>
        <v>22</v>
      </c>
      <c r="K50" s="54">
        <f t="shared" si="14"/>
        <v>10</v>
      </c>
      <c r="L50" s="54">
        <f t="shared" si="14"/>
        <v>7</v>
      </c>
      <c r="M50" s="54">
        <f t="shared" si="14"/>
        <v>4</v>
      </c>
      <c r="N50" s="54">
        <f t="shared" si="14"/>
        <v>0</v>
      </c>
      <c r="O50" s="54">
        <f t="shared" si="14"/>
        <v>0</v>
      </c>
      <c r="P50" s="54">
        <f>SUM(P46:P49)</f>
        <v>1</v>
      </c>
      <c r="R50" s="60">
        <f>SUM(C50/B50)</f>
        <v>0.35978771177791385</v>
      </c>
      <c r="S50" s="60">
        <f>SUM(D50/B50)</f>
        <v>0.27528066952439273</v>
      </c>
      <c r="T50" s="60">
        <f>SUM(E50/B50)</f>
        <v>0.19746887119820372</v>
      </c>
      <c r="U50" s="60">
        <f>SUM(F50/B50)</f>
        <v>0</v>
      </c>
      <c r="V50" s="60">
        <f>SUM(G50/B50)</f>
        <v>6.4462135129618292E-2</v>
      </c>
      <c r="W50" s="60">
        <f>SUM(H50/B50)</f>
        <v>0.1030006123698714</v>
      </c>
    </row>
    <row r="51" spans="1:23">
      <c r="A51" s="53"/>
      <c r="B51" s="54"/>
      <c r="C51" s="55"/>
      <c r="D51" s="55"/>
      <c r="E51" s="55"/>
      <c r="F51" s="55"/>
      <c r="G51" s="55"/>
      <c r="H51" s="55"/>
      <c r="I51" s="55"/>
      <c r="J51" s="54"/>
      <c r="K51" s="55"/>
      <c r="L51" s="55"/>
      <c r="M51" s="55"/>
      <c r="N51" s="55"/>
      <c r="O51" s="55"/>
      <c r="P51" s="55"/>
    </row>
    <row r="52" spans="1:23">
      <c r="A52" s="56" t="s">
        <v>1570</v>
      </c>
      <c r="B52" s="54">
        <f>SUM(C52:H52)</f>
        <v>7438</v>
      </c>
      <c r="C52" s="55">
        <v>1396</v>
      </c>
      <c r="D52" s="55">
        <v>861</v>
      </c>
      <c r="E52" s="55">
        <v>2164</v>
      </c>
      <c r="F52" s="55">
        <v>2162</v>
      </c>
      <c r="G52" s="55">
        <v>0</v>
      </c>
      <c r="H52" s="55">
        <v>855</v>
      </c>
      <c r="J52" s="54">
        <f>SUM(K52:P52)</f>
        <v>6</v>
      </c>
      <c r="K52" s="55">
        <v>1</v>
      </c>
      <c r="L52" s="55">
        <v>1</v>
      </c>
      <c r="M52" s="55">
        <v>2</v>
      </c>
      <c r="N52" s="55">
        <v>2</v>
      </c>
      <c r="O52" s="55">
        <v>0</v>
      </c>
      <c r="P52" s="55">
        <v>0</v>
      </c>
      <c r="R52" s="61">
        <f>SUM(C52/B52)</f>
        <v>0.18768486152191449</v>
      </c>
      <c r="S52" s="61">
        <f>SUM(D52/B52)</f>
        <v>0.11575692390427535</v>
      </c>
      <c r="T52" s="61">
        <f>SUM(E52/B52)</f>
        <v>0.29093842430760958</v>
      </c>
      <c r="U52" s="61">
        <f>SUM(F52/B52)</f>
        <v>0.29066953482118851</v>
      </c>
      <c r="V52" s="61">
        <f>SUM(G52/B52)</f>
        <v>0</v>
      </c>
      <c r="W52" s="61">
        <f>SUM(H52/B52)</f>
        <v>0.1149502554450121</v>
      </c>
    </row>
    <row r="53" spans="1:23">
      <c r="A53" s="56" t="s">
        <v>1571</v>
      </c>
      <c r="B53" s="54">
        <f>SUM(C53:H53)</f>
        <v>6758</v>
      </c>
      <c r="C53" s="55">
        <v>927</v>
      </c>
      <c r="D53" s="55">
        <v>930</v>
      </c>
      <c r="E53" s="55">
        <v>2698</v>
      </c>
      <c r="F53" s="55">
        <v>2203</v>
      </c>
      <c r="G53" s="55">
        <v>0</v>
      </c>
      <c r="H53" s="55">
        <v>0</v>
      </c>
      <c r="J53" s="54">
        <f>SUM(K53:P53)</f>
        <v>5</v>
      </c>
      <c r="K53" s="55">
        <v>1</v>
      </c>
      <c r="L53" s="55">
        <v>0</v>
      </c>
      <c r="M53" s="55">
        <v>2</v>
      </c>
      <c r="N53" s="55">
        <v>2</v>
      </c>
      <c r="O53" s="55">
        <v>0</v>
      </c>
      <c r="P53" s="55">
        <v>0</v>
      </c>
      <c r="R53" s="61">
        <f>SUM(C53/B53)</f>
        <v>0.13717076058005326</v>
      </c>
      <c r="S53" s="61">
        <f>SUM(D53/B53)</f>
        <v>0.13761467889908258</v>
      </c>
      <c r="T53" s="61">
        <f>SUM(E53/B53)</f>
        <v>0.39923054158034921</v>
      </c>
      <c r="U53" s="61">
        <f>SUM(F53/B53)</f>
        <v>0.32598401894051493</v>
      </c>
      <c r="V53" s="61">
        <f>SUM(G53/B53)</f>
        <v>0</v>
      </c>
      <c r="W53" s="61">
        <f>SUM(H53/B53)</f>
        <v>0</v>
      </c>
    </row>
    <row r="54" spans="1:23">
      <c r="A54" s="56" t="s">
        <v>1572</v>
      </c>
      <c r="B54" s="54">
        <f>SUM(C54:H54)</f>
        <v>8588</v>
      </c>
      <c r="C54" s="55">
        <v>2973</v>
      </c>
      <c r="D54" s="55">
        <v>3837</v>
      </c>
      <c r="E54" s="55">
        <v>1001</v>
      </c>
      <c r="F54" s="55">
        <v>591</v>
      </c>
      <c r="G54" s="55">
        <v>0</v>
      </c>
      <c r="H54" s="55">
        <v>186</v>
      </c>
      <c r="J54" s="54">
        <f>SUM(K54:P54)</f>
        <v>6</v>
      </c>
      <c r="K54" s="55">
        <v>3</v>
      </c>
      <c r="L54" s="55">
        <v>2</v>
      </c>
      <c r="M54" s="55">
        <v>1</v>
      </c>
      <c r="N54" s="55">
        <v>0</v>
      </c>
      <c r="O54" s="55">
        <v>0</v>
      </c>
      <c r="P54" s="55">
        <v>0</v>
      </c>
      <c r="R54" s="61">
        <f>SUM(C54/B54)</f>
        <v>0.3461807172799255</v>
      </c>
      <c r="S54" s="61">
        <f>SUM(D54/B54)</f>
        <v>0.44678621332091289</v>
      </c>
      <c r="T54" s="61">
        <f>SUM(E54/B54)</f>
        <v>0.11655798789007918</v>
      </c>
      <c r="U54" s="61">
        <f>SUM(F54/B54)</f>
        <v>6.8816953889147645E-2</v>
      </c>
      <c r="V54" s="61">
        <f>SUM(G54/B54)</f>
        <v>0</v>
      </c>
      <c r="W54" s="61">
        <f>SUM(H54/B54)</f>
        <v>2.1658127619934794E-2</v>
      </c>
    </row>
    <row r="55" spans="1:23">
      <c r="A55" s="56" t="s">
        <v>1573</v>
      </c>
      <c r="B55" s="54">
        <f>SUM(C55:H55)</f>
        <v>7178</v>
      </c>
      <c r="C55" s="55">
        <v>2461</v>
      </c>
      <c r="D55" s="55">
        <v>2049</v>
      </c>
      <c r="E55" s="55">
        <v>1447</v>
      </c>
      <c r="F55" s="55">
        <v>1221</v>
      </c>
      <c r="G55" s="55">
        <v>0</v>
      </c>
      <c r="H55" s="55">
        <v>0</v>
      </c>
      <c r="J55" s="54">
        <f>SUM(K55:P55)</f>
        <v>5</v>
      </c>
      <c r="K55" s="55">
        <v>2</v>
      </c>
      <c r="L55" s="55">
        <v>1</v>
      </c>
      <c r="M55" s="55">
        <v>1</v>
      </c>
      <c r="N55" s="55">
        <v>1</v>
      </c>
      <c r="O55" s="55">
        <v>0</v>
      </c>
      <c r="P55" s="55">
        <v>0</v>
      </c>
      <c r="R55" s="61">
        <f>SUM(C55/B55)</f>
        <v>0.34285316244079128</v>
      </c>
      <c r="S55" s="61">
        <f>SUM(D55/B55)</f>
        <v>0.28545555865143496</v>
      </c>
      <c r="T55" s="61">
        <f>SUM(E55/B55)</f>
        <v>0.2015881861242686</v>
      </c>
      <c r="U55" s="61">
        <f>SUM(F55/B55)</f>
        <v>0.17010309278350516</v>
      </c>
      <c r="V55" s="61">
        <f>SUM(G55/B55)</f>
        <v>0</v>
      </c>
      <c r="W55" s="61">
        <f>SUM(H55/B55)</f>
        <v>0</v>
      </c>
    </row>
    <row r="56" spans="1:23" s="52" customFormat="1">
      <c r="A56" s="53" t="s">
        <v>1574</v>
      </c>
      <c r="B56" s="54">
        <f>SUM(B52:B55)</f>
        <v>29962</v>
      </c>
      <c r="C56" s="54">
        <f t="shared" ref="C56:O56" si="15">SUM(C52:C55)</f>
        <v>7757</v>
      </c>
      <c r="D56" s="54">
        <f>SUM(D52:D55)</f>
        <v>7677</v>
      </c>
      <c r="E56" s="54">
        <f t="shared" si="15"/>
        <v>7310</v>
      </c>
      <c r="F56" s="54">
        <f t="shared" si="15"/>
        <v>6177</v>
      </c>
      <c r="G56" s="54">
        <f t="shared" si="15"/>
        <v>0</v>
      </c>
      <c r="H56" s="54">
        <f>SUM(H52:H55)</f>
        <v>1041</v>
      </c>
      <c r="I56" s="54"/>
      <c r="J56" s="54">
        <f t="shared" si="15"/>
        <v>22</v>
      </c>
      <c r="K56" s="54">
        <f t="shared" si="15"/>
        <v>7</v>
      </c>
      <c r="L56" s="54">
        <f t="shared" si="15"/>
        <v>4</v>
      </c>
      <c r="M56" s="54">
        <f t="shared" si="15"/>
        <v>6</v>
      </c>
      <c r="N56" s="54">
        <f t="shared" si="15"/>
        <v>5</v>
      </c>
      <c r="O56" s="54">
        <f t="shared" si="15"/>
        <v>0</v>
      </c>
      <c r="P56" s="54">
        <f>SUM(P52:P55)</f>
        <v>0</v>
      </c>
      <c r="R56" s="60">
        <f>SUM(C56/B56)</f>
        <v>0.25889459982644686</v>
      </c>
      <c r="S56" s="60">
        <f>SUM(D56/B56)</f>
        <v>0.25622455109805753</v>
      </c>
      <c r="T56" s="60">
        <f>SUM(E56/B56)</f>
        <v>0.24397570255657167</v>
      </c>
      <c r="U56" s="60">
        <f>SUM(F56/B56)</f>
        <v>0.20616113744075829</v>
      </c>
      <c r="V56" s="60">
        <f>SUM(G56/B56)</f>
        <v>0</v>
      </c>
      <c r="W56" s="60">
        <f>SUM(H56/B56)</f>
        <v>3.4744009078165675E-2</v>
      </c>
    </row>
    <row r="57" spans="1:23">
      <c r="A57" s="53"/>
      <c r="B57" s="54"/>
      <c r="C57" s="55"/>
      <c r="D57" s="55"/>
      <c r="E57" s="55"/>
      <c r="F57" s="55"/>
      <c r="G57" s="55"/>
      <c r="H57" s="55"/>
      <c r="J57" s="54"/>
      <c r="K57" s="55"/>
      <c r="L57" s="55"/>
      <c r="M57" s="55"/>
      <c r="N57" s="55"/>
      <c r="O57" s="55"/>
      <c r="P57" s="55"/>
    </row>
    <row r="58" spans="1:23">
      <c r="A58" s="56" t="s">
        <v>1575</v>
      </c>
      <c r="B58" s="54">
        <f>SUM(C58:H58)</f>
        <v>7686</v>
      </c>
      <c r="C58" s="55">
        <v>2363</v>
      </c>
      <c r="D58" s="55">
        <v>1955</v>
      </c>
      <c r="E58" s="55">
        <v>2077</v>
      </c>
      <c r="F58" s="55">
        <v>1291</v>
      </c>
      <c r="G58" s="55">
        <v>0</v>
      </c>
      <c r="H58" s="55">
        <v>0</v>
      </c>
      <c r="J58" s="54">
        <f>SUM(K58:P58)</f>
        <v>5</v>
      </c>
      <c r="K58" s="55">
        <v>2</v>
      </c>
      <c r="L58" s="55">
        <v>1</v>
      </c>
      <c r="M58" s="55">
        <v>1</v>
      </c>
      <c r="N58" s="55">
        <v>1</v>
      </c>
      <c r="O58" s="55">
        <v>0</v>
      </c>
      <c r="P58" s="55">
        <v>0</v>
      </c>
      <c r="R58" s="61">
        <f t="shared" ref="R58:R63" si="16">SUM(C58/B58)</f>
        <v>0.30744210252406973</v>
      </c>
      <c r="S58" s="61">
        <f t="shared" ref="S58:S63" si="17">SUM(D58/B58)</f>
        <v>0.25435857403070516</v>
      </c>
      <c r="T58" s="61">
        <f t="shared" ref="T58:T63" si="18">SUM(E58/B58)</f>
        <v>0.27023158990372104</v>
      </c>
      <c r="U58" s="61">
        <f t="shared" ref="U58:U63" si="19">SUM(F58/B58)</f>
        <v>0.16796773354150404</v>
      </c>
      <c r="V58" s="61">
        <f t="shared" ref="V58:V63" si="20">SUM(G58/B58)</f>
        <v>0</v>
      </c>
      <c r="W58" s="61">
        <f t="shared" ref="W58:W63" si="21">SUM(H58/B58)</f>
        <v>0</v>
      </c>
    </row>
    <row r="59" spans="1:23">
      <c r="A59" s="56" t="s">
        <v>1576</v>
      </c>
      <c r="B59" s="54">
        <f>SUM(C59:H59)</f>
        <v>8890</v>
      </c>
      <c r="C59" s="55">
        <v>1958</v>
      </c>
      <c r="D59" s="55">
        <v>693</v>
      </c>
      <c r="E59" s="55">
        <v>2545</v>
      </c>
      <c r="F59" s="55">
        <v>3694</v>
      </c>
      <c r="G59" s="55">
        <v>0</v>
      </c>
      <c r="H59" s="55">
        <v>0</v>
      </c>
      <c r="J59" s="54">
        <f>SUM(K59:P59)</f>
        <v>6</v>
      </c>
      <c r="K59" s="55">
        <v>2</v>
      </c>
      <c r="L59" s="55">
        <v>0</v>
      </c>
      <c r="M59" s="55">
        <v>1</v>
      </c>
      <c r="N59" s="55">
        <v>3</v>
      </c>
      <c r="O59" s="55">
        <v>0</v>
      </c>
      <c r="P59" s="55">
        <v>0</v>
      </c>
      <c r="R59" s="61">
        <f t="shared" si="16"/>
        <v>0.22024746906636669</v>
      </c>
      <c r="S59" s="61">
        <f t="shared" si="17"/>
        <v>7.7952755905511817E-2</v>
      </c>
      <c r="T59" s="61">
        <f t="shared" si="18"/>
        <v>0.2862767154105737</v>
      </c>
      <c r="U59" s="61">
        <f t="shared" si="19"/>
        <v>0.41552305961754782</v>
      </c>
      <c r="V59" s="61">
        <f t="shared" si="20"/>
        <v>0</v>
      </c>
      <c r="W59" s="61">
        <f t="shared" si="21"/>
        <v>0</v>
      </c>
    </row>
    <row r="60" spans="1:23">
      <c r="A60" s="56" t="s">
        <v>1577</v>
      </c>
      <c r="B60" s="54">
        <f>SUM(C60:H60)</f>
        <v>9531</v>
      </c>
      <c r="C60" s="55">
        <v>727</v>
      </c>
      <c r="D60" s="55">
        <v>0</v>
      </c>
      <c r="E60" s="55">
        <v>3204</v>
      </c>
      <c r="F60" s="55">
        <v>4341</v>
      </c>
      <c r="G60" s="55">
        <v>0</v>
      </c>
      <c r="H60" s="55">
        <v>1259</v>
      </c>
      <c r="J60" s="54">
        <f>SUM(K60:P60)</f>
        <v>7</v>
      </c>
      <c r="K60" s="55">
        <v>0</v>
      </c>
      <c r="L60" s="55">
        <v>0</v>
      </c>
      <c r="M60" s="55">
        <v>3</v>
      </c>
      <c r="N60" s="55">
        <v>3</v>
      </c>
      <c r="O60" s="55">
        <v>0</v>
      </c>
      <c r="P60" s="55">
        <v>1</v>
      </c>
      <c r="R60" s="61">
        <f t="shared" si="16"/>
        <v>7.6277410555030956E-2</v>
      </c>
      <c r="S60" s="61">
        <f t="shared" si="17"/>
        <v>0</v>
      </c>
      <c r="T60" s="61">
        <f t="shared" si="18"/>
        <v>0.33616619452313501</v>
      </c>
      <c r="U60" s="61">
        <f t="shared" si="19"/>
        <v>0.45546112684922885</v>
      </c>
      <c r="V60" s="61">
        <f t="shared" si="20"/>
        <v>0</v>
      </c>
      <c r="W60" s="61">
        <f t="shared" si="21"/>
        <v>0.13209526807260519</v>
      </c>
    </row>
    <row r="61" spans="1:23">
      <c r="A61" s="56" t="s">
        <v>1578</v>
      </c>
      <c r="B61" s="54">
        <f>SUM(C61:H61)</f>
        <v>11741</v>
      </c>
      <c r="C61" s="55">
        <v>697</v>
      </c>
      <c r="D61" s="55">
        <v>724</v>
      </c>
      <c r="E61" s="55">
        <v>5757</v>
      </c>
      <c r="F61" s="55">
        <v>2978</v>
      </c>
      <c r="G61" s="55">
        <v>0</v>
      </c>
      <c r="H61" s="55">
        <v>1585</v>
      </c>
      <c r="J61" s="54">
        <f>SUM(K61:P61)</f>
        <v>7</v>
      </c>
      <c r="K61" s="55">
        <v>0</v>
      </c>
      <c r="L61" s="55">
        <v>0</v>
      </c>
      <c r="M61" s="55">
        <v>4</v>
      </c>
      <c r="N61" s="55">
        <v>2</v>
      </c>
      <c r="O61" s="55">
        <v>0</v>
      </c>
      <c r="P61" s="55">
        <v>1</v>
      </c>
      <c r="R61" s="61">
        <f t="shared" si="16"/>
        <v>5.9364619708713054E-2</v>
      </c>
      <c r="S61" s="61">
        <f t="shared" si="17"/>
        <v>6.1664253470743551E-2</v>
      </c>
      <c r="T61" s="61">
        <f t="shared" si="18"/>
        <v>0.49033302103739035</v>
      </c>
      <c r="U61" s="61">
        <f t="shared" si="19"/>
        <v>0.25364108678988162</v>
      </c>
      <c r="V61" s="61">
        <f t="shared" si="20"/>
        <v>0</v>
      </c>
      <c r="W61" s="61">
        <f t="shared" si="21"/>
        <v>0.13499701899327143</v>
      </c>
    </row>
    <row r="62" spans="1:23">
      <c r="A62" s="56" t="s">
        <v>1579</v>
      </c>
      <c r="B62" s="54">
        <f>SUM(C62:H62)</f>
        <v>8168</v>
      </c>
      <c r="C62" s="55">
        <v>0</v>
      </c>
      <c r="D62" s="55">
        <v>0</v>
      </c>
      <c r="E62" s="55">
        <v>2603</v>
      </c>
      <c r="F62" s="55">
        <v>5565</v>
      </c>
      <c r="G62" s="55">
        <v>0</v>
      </c>
      <c r="H62" s="55">
        <v>0</v>
      </c>
      <c r="J62" s="54">
        <f>SUM(K62:P62)</f>
        <v>5</v>
      </c>
      <c r="K62" s="55">
        <v>0</v>
      </c>
      <c r="L62" s="55">
        <v>0</v>
      </c>
      <c r="M62" s="55">
        <v>1</v>
      </c>
      <c r="N62" s="55">
        <v>4</v>
      </c>
      <c r="O62" s="55">
        <v>0</v>
      </c>
      <c r="P62" s="55">
        <v>0</v>
      </c>
      <c r="R62" s="61">
        <f t="shared" si="16"/>
        <v>0</v>
      </c>
      <c r="S62" s="61">
        <f t="shared" si="17"/>
        <v>0</v>
      </c>
      <c r="T62" s="61">
        <f t="shared" si="18"/>
        <v>0.31868266405484819</v>
      </c>
      <c r="U62" s="61">
        <f t="shared" si="19"/>
        <v>0.68131733594515176</v>
      </c>
      <c r="V62" s="61">
        <f t="shared" si="20"/>
        <v>0</v>
      </c>
      <c r="W62" s="61">
        <f t="shared" si="21"/>
        <v>0</v>
      </c>
    </row>
    <row r="63" spans="1:23" s="52" customFormat="1">
      <c r="A63" s="53" t="s">
        <v>1580</v>
      </c>
      <c r="B63" s="54">
        <f>SUM(B58:B62)</f>
        <v>46016</v>
      </c>
      <c r="C63" s="54">
        <f t="shared" ref="C63:O63" si="22">SUM(C58:C62)</f>
        <v>5745</v>
      </c>
      <c r="D63" s="54">
        <f>SUM(D58:D62)</f>
        <v>3372</v>
      </c>
      <c r="E63" s="54">
        <f t="shared" si="22"/>
        <v>16186</v>
      </c>
      <c r="F63" s="54">
        <f t="shared" si="22"/>
        <v>17869</v>
      </c>
      <c r="G63" s="54">
        <f t="shared" si="22"/>
        <v>0</v>
      </c>
      <c r="H63" s="54">
        <f>SUM(H58:H62)</f>
        <v>2844</v>
      </c>
      <c r="I63" s="54"/>
      <c r="J63" s="54">
        <f t="shared" si="22"/>
        <v>30</v>
      </c>
      <c r="K63" s="54">
        <f t="shared" si="22"/>
        <v>4</v>
      </c>
      <c r="L63" s="54">
        <f t="shared" si="22"/>
        <v>1</v>
      </c>
      <c r="M63" s="54">
        <f t="shared" si="22"/>
        <v>10</v>
      </c>
      <c r="N63" s="54">
        <f t="shared" si="22"/>
        <v>13</v>
      </c>
      <c r="O63" s="54">
        <f t="shared" si="22"/>
        <v>0</v>
      </c>
      <c r="P63" s="54">
        <f>SUM(P58:P62)</f>
        <v>2</v>
      </c>
      <c r="R63" s="60">
        <f t="shared" si="16"/>
        <v>0.12484787899860918</v>
      </c>
      <c r="S63" s="60">
        <f t="shared" si="17"/>
        <v>7.3278859527121001E-2</v>
      </c>
      <c r="T63" s="60">
        <f t="shared" si="18"/>
        <v>0.35174721835883171</v>
      </c>
      <c r="U63" s="60">
        <f t="shared" si="19"/>
        <v>0.38832145340751045</v>
      </c>
      <c r="V63" s="60">
        <f t="shared" si="20"/>
        <v>0</v>
      </c>
      <c r="W63" s="60">
        <f t="shared" si="21"/>
        <v>6.1804589707927675E-2</v>
      </c>
    </row>
    <row r="64" spans="1:23">
      <c r="A64" s="53"/>
      <c r="B64" s="54"/>
      <c r="C64" s="55"/>
      <c r="D64" s="55"/>
      <c r="E64" s="55"/>
      <c r="F64" s="55"/>
      <c r="G64" s="55"/>
      <c r="H64" s="55"/>
      <c r="J64" s="54"/>
      <c r="K64" s="55"/>
      <c r="L64" s="55"/>
      <c r="M64" s="55"/>
      <c r="N64" s="55"/>
      <c r="O64" s="55"/>
      <c r="P64" s="55"/>
    </row>
    <row r="65" spans="1:23">
      <c r="A65" s="56" t="s">
        <v>1581</v>
      </c>
      <c r="B65" s="54">
        <f>SUM(C65:H65)</f>
        <v>10510</v>
      </c>
      <c r="C65" s="55">
        <v>4955</v>
      </c>
      <c r="D65" s="55">
        <v>3497</v>
      </c>
      <c r="E65" s="55">
        <v>801</v>
      </c>
      <c r="F65" s="55">
        <v>719</v>
      </c>
      <c r="G65" s="55">
        <v>0</v>
      </c>
      <c r="H65" s="55">
        <v>538</v>
      </c>
      <c r="I65" s="55"/>
      <c r="J65" s="54">
        <f>SUM(K65:P65)</f>
        <v>7</v>
      </c>
      <c r="K65" s="55">
        <v>4</v>
      </c>
      <c r="L65" s="55">
        <v>2</v>
      </c>
      <c r="M65" s="55">
        <v>1</v>
      </c>
      <c r="N65" s="55">
        <v>0</v>
      </c>
      <c r="O65" s="55">
        <v>0</v>
      </c>
      <c r="P65" s="55">
        <v>0</v>
      </c>
      <c r="R65" s="61">
        <f>SUM(C65/B65)</f>
        <v>0.4714557564224548</v>
      </c>
      <c r="S65" s="61">
        <f>SUM(D65/B65)</f>
        <v>0.33273073263558517</v>
      </c>
      <c r="T65" s="61">
        <f>SUM(E65/B65)</f>
        <v>7.6213130352045674E-2</v>
      </c>
      <c r="U65" s="61">
        <f>SUM(F65/B65)</f>
        <v>6.8411037107516656E-2</v>
      </c>
      <c r="V65" s="61">
        <f>SUM(G65/B65)</f>
        <v>0</v>
      </c>
      <c r="W65" s="61">
        <f>SUM(H65/B65)</f>
        <v>5.1189343482397717E-2</v>
      </c>
    </row>
    <row r="66" spans="1:23">
      <c r="A66" s="56" t="s">
        <v>1582</v>
      </c>
      <c r="B66" s="54">
        <f>SUM(C66:H66)</f>
        <v>10633</v>
      </c>
      <c r="C66" s="55">
        <v>3142</v>
      </c>
      <c r="D66" s="55">
        <v>2582</v>
      </c>
      <c r="E66" s="55">
        <v>1741</v>
      </c>
      <c r="F66" s="55">
        <v>1800</v>
      </c>
      <c r="G66" s="55">
        <v>379</v>
      </c>
      <c r="H66" s="55">
        <v>989</v>
      </c>
      <c r="J66" s="54">
        <f>SUM(K66:P66)</f>
        <v>7</v>
      </c>
      <c r="K66" s="55">
        <v>2</v>
      </c>
      <c r="L66" s="55">
        <v>2</v>
      </c>
      <c r="M66" s="55">
        <v>2</v>
      </c>
      <c r="N66" s="55">
        <v>1</v>
      </c>
      <c r="O66" s="55">
        <v>0</v>
      </c>
      <c r="P66" s="55">
        <v>0</v>
      </c>
      <c r="R66" s="61">
        <f>SUM(C66/B66)</f>
        <v>0.29549515658798081</v>
      </c>
      <c r="S66" s="61">
        <f>SUM(D66/B66)</f>
        <v>0.24282892880654566</v>
      </c>
      <c r="T66" s="61">
        <f>SUM(E66/B66)</f>
        <v>0.16373554029906895</v>
      </c>
      <c r="U66" s="61">
        <f>SUM(F66/B66)</f>
        <v>0.16928430358318441</v>
      </c>
      <c r="V66" s="61">
        <f>SUM(G66/B66)</f>
        <v>3.5643750587792719E-2</v>
      </c>
      <c r="W66" s="61">
        <f>SUM(H66/B66)</f>
        <v>9.3012320135427443E-2</v>
      </c>
    </row>
    <row r="67" spans="1:23">
      <c r="A67" s="56" t="s">
        <v>1583</v>
      </c>
      <c r="B67" s="54">
        <f>SUM(C67:H67)</f>
        <v>9651</v>
      </c>
      <c r="C67" s="55">
        <v>2597</v>
      </c>
      <c r="D67" s="55">
        <v>2632</v>
      </c>
      <c r="E67" s="55">
        <v>1233</v>
      </c>
      <c r="F67" s="55">
        <v>1952</v>
      </c>
      <c r="G67" s="55">
        <v>266</v>
      </c>
      <c r="H67" s="55">
        <v>971</v>
      </c>
      <c r="J67" s="54">
        <f>SUM(K67:P67)</f>
        <v>7</v>
      </c>
      <c r="K67" s="55">
        <v>2</v>
      </c>
      <c r="L67" s="55">
        <v>2</v>
      </c>
      <c r="M67" s="55">
        <v>1</v>
      </c>
      <c r="N67" s="55">
        <v>1</v>
      </c>
      <c r="O67" s="55">
        <v>0</v>
      </c>
      <c r="P67" s="55">
        <v>1</v>
      </c>
      <c r="R67" s="61">
        <f>SUM(C67/B67)</f>
        <v>0.26909128587711117</v>
      </c>
      <c r="S67" s="61">
        <f>SUM(D67/B67)</f>
        <v>0.27271785307222052</v>
      </c>
      <c r="T67" s="61">
        <f>SUM(E67/B67)</f>
        <v>0.12775878147342246</v>
      </c>
      <c r="U67" s="61">
        <f>SUM(F67/B67)</f>
        <v>0.20225883328152522</v>
      </c>
      <c r="V67" s="61">
        <f>SUM(G67/B67)</f>
        <v>2.7561910682830794E-2</v>
      </c>
      <c r="W67" s="61">
        <f>SUM(H67/B67)</f>
        <v>0.10061133561288986</v>
      </c>
    </row>
    <row r="68" spans="1:23">
      <c r="A68" s="56" t="s">
        <v>1584</v>
      </c>
      <c r="B68" s="54">
        <f>SUM(C68:H68)</f>
        <v>8851</v>
      </c>
      <c r="C68" s="55">
        <v>433</v>
      </c>
      <c r="D68" s="55">
        <v>261</v>
      </c>
      <c r="E68" s="55">
        <v>4172</v>
      </c>
      <c r="F68" s="55">
        <v>3985</v>
      </c>
      <c r="G68" s="55">
        <v>0</v>
      </c>
      <c r="H68" s="55">
        <v>0</v>
      </c>
      <c r="J68" s="54">
        <f>SUM(K68:P68)</f>
        <v>5</v>
      </c>
      <c r="K68" s="55">
        <v>0</v>
      </c>
      <c r="L68" s="55">
        <v>0</v>
      </c>
      <c r="M68" s="55">
        <v>3</v>
      </c>
      <c r="N68" s="55">
        <v>2</v>
      </c>
      <c r="O68" s="55">
        <v>0</v>
      </c>
      <c r="P68" s="55">
        <v>0</v>
      </c>
      <c r="R68" s="61">
        <f>SUM(C68/B68)</f>
        <v>4.8921025872782735E-2</v>
      </c>
      <c r="S68" s="61">
        <f>SUM(D68/B68)</f>
        <v>2.9488193424471811E-2</v>
      </c>
      <c r="T68" s="61">
        <f>SUM(E68/B68)</f>
        <v>0.47135916845554177</v>
      </c>
      <c r="U68" s="61">
        <f>SUM(F68/B68)</f>
        <v>0.45023161224720371</v>
      </c>
      <c r="V68" s="61">
        <f>SUM(G68/B68)</f>
        <v>0</v>
      </c>
      <c r="W68" s="61">
        <f>SUM(H68/B68)</f>
        <v>0</v>
      </c>
    </row>
    <row r="69" spans="1:23" s="52" customFormat="1">
      <c r="A69" s="53" t="s">
        <v>1585</v>
      </c>
      <c r="B69" s="54">
        <f>SUM(B65:B68)</f>
        <v>39645</v>
      </c>
      <c r="C69" s="54">
        <f t="shared" ref="C69:O69" si="23">SUM(C65:C68)</f>
        <v>11127</v>
      </c>
      <c r="D69" s="54">
        <f>SUM(D65:D68)</f>
        <v>8972</v>
      </c>
      <c r="E69" s="54">
        <f t="shared" si="23"/>
        <v>7947</v>
      </c>
      <c r="F69" s="54">
        <f t="shared" si="23"/>
        <v>8456</v>
      </c>
      <c r="G69" s="54">
        <f t="shared" si="23"/>
        <v>645</v>
      </c>
      <c r="H69" s="54">
        <f>SUM(H65:H68)</f>
        <v>2498</v>
      </c>
      <c r="I69" s="54"/>
      <c r="J69" s="54">
        <f t="shared" si="23"/>
        <v>26</v>
      </c>
      <c r="K69" s="54">
        <f t="shared" si="23"/>
        <v>8</v>
      </c>
      <c r="L69" s="54">
        <f t="shared" si="23"/>
        <v>6</v>
      </c>
      <c r="M69" s="54">
        <f t="shared" si="23"/>
        <v>7</v>
      </c>
      <c r="N69" s="54">
        <f t="shared" si="23"/>
        <v>4</v>
      </c>
      <c r="O69" s="54">
        <f t="shared" si="23"/>
        <v>0</v>
      </c>
      <c r="P69" s="54">
        <f>SUM(P65:P68)</f>
        <v>1</v>
      </c>
      <c r="R69" s="60">
        <f>SUM(C69/B69)</f>
        <v>0.28066590995081347</v>
      </c>
      <c r="S69" s="60">
        <f>SUM(D69/B69)</f>
        <v>0.2263084878294867</v>
      </c>
      <c r="T69" s="60">
        <f>SUM(E69/B69)</f>
        <v>0.20045402951191826</v>
      </c>
      <c r="U69" s="60">
        <f>SUM(F69/B69)</f>
        <v>0.21329297515449616</v>
      </c>
      <c r="V69" s="60">
        <f>SUM(G69/B69)</f>
        <v>1.6269390843738175E-2</v>
      </c>
      <c r="W69" s="60">
        <f>SUM(H69/B69)</f>
        <v>6.3009206709547239E-2</v>
      </c>
    </row>
    <row r="70" spans="1:23">
      <c r="A70" s="53"/>
      <c r="B70" s="54"/>
      <c r="C70" s="55"/>
      <c r="D70" s="55"/>
      <c r="E70" s="55"/>
      <c r="F70" s="55"/>
      <c r="G70" s="55"/>
      <c r="H70" s="55"/>
      <c r="J70" s="54"/>
      <c r="K70" s="55"/>
      <c r="L70" s="55"/>
      <c r="M70" s="55"/>
      <c r="N70" s="55"/>
      <c r="O70" s="55"/>
      <c r="P70" s="55"/>
    </row>
    <row r="71" spans="1:23">
      <c r="A71" s="56" t="s">
        <v>1586</v>
      </c>
      <c r="B71" s="54">
        <f>SUM(C71:H71)</f>
        <v>6129</v>
      </c>
      <c r="C71" s="55">
        <v>2475</v>
      </c>
      <c r="D71" s="55">
        <v>2407</v>
      </c>
      <c r="E71" s="55">
        <v>1202</v>
      </c>
      <c r="F71" s="55">
        <v>0</v>
      </c>
      <c r="G71" s="55">
        <v>0</v>
      </c>
      <c r="H71" s="55">
        <v>45</v>
      </c>
      <c r="J71" s="54">
        <f>SUM(K71:P71)</f>
        <v>5</v>
      </c>
      <c r="K71" s="55">
        <v>2</v>
      </c>
      <c r="L71" s="55">
        <v>2</v>
      </c>
      <c r="M71" s="55">
        <v>1</v>
      </c>
      <c r="N71" s="55">
        <v>0</v>
      </c>
      <c r="O71" s="55">
        <v>0</v>
      </c>
      <c r="P71" s="55">
        <v>0</v>
      </c>
      <c r="R71" s="61">
        <f>SUM(C71/B71)</f>
        <v>0.40381791483113066</v>
      </c>
      <c r="S71" s="61">
        <f>SUM(D71/B71)</f>
        <v>0.39272311959536627</v>
      </c>
      <c r="T71" s="61">
        <f>SUM(E71/B71)</f>
        <v>0.19611682166748245</v>
      </c>
      <c r="U71" s="61">
        <f>SUM(F71/B71)</f>
        <v>0</v>
      </c>
      <c r="V71" s="61">
        <f>SUM(G71/B71)</f>
        <v>0</v>
      </c>
      <c r="W71" s="61">
        <f>SUM(H71/B71)</f>
        <v>7.3421439060205578E-3</v>
      </c>
    </row>
    <row r="72" spans="1:23">
      <c r="A72" s="56" t="s">
        <v>1587</v>
      </c>
      <c r="B72" s="54">
        <f>SUM(C72:H72)</f>
        <v>7054</v>
      </c>
      <c r="C72" s="55">
        <v>2922</v>
      </c>
      <c r="D72" s="55">
        <v>1471</v>
      </c>
      <c r="E72" s="55">
        <v>1404</v>
      </c>
      <c r="F72" s="55">
        <v>0</v>
      </c>
      <c r="G72" s="55">
        <v>420</v>
      </c>
      <c r="H72" s="55">
        <v>837</v>
      </c>
      <c r="J72" s="54">
        <f>SUM(K72:P72)</f>
        <v>6</v>
      </c>
      <c r="K72" s="55">
        <v>3</v>
      </c>
      <c r="L72" s="55">
        <v>1</v>
      </c>
      <c r="M72" s="55">
        <v>1</v>
      </c>
      <c r="N72" s="55">
        <v>0</v>
      </c>
      <c r="O72" s="55">
        <v>1</v>
      </c>
      <c r="P72" s="55">
        <v>0</v>
      </c>
      <c r="R72" s="61">
        <f>SUM(C72/B72)</f>
        <v>0.41423305925715909</v>
      </c>
      <c r="S72" s="61">
        <f>SUM(D72/B72)</f>
        <v>0.20853416501275873</v>
      </c>
      <c r="T72" s="61">
        <f>SUM(E72/B72)</f>
        <v>0.19903600793875814</v>
      </c>
      <c r="U72" s="61">
        <f>SUM(F72/B72)</f>
        <v>0</v>
      </c>
      <c r="V72" s="61">
        <f>SUM(G72/B72)</f>
        <v>5.954068613552594E-2</v>
      </c>
      <c r="W72" s="61">
        <f>SUM(H72/B72)</f>
        <v>0.11865608165579813</v>
      </c>
    </row>
    <row r="73" spans="1:23">
      <c r="A73" s="56" t="s">
        <v>1588</v>
      </c>
      <c r="B73" s="54">
        <f>SUM(C73:H73)</f>
        <v>7385</v>
      </c>
      <c r="C73" s="55">
        <v>2305</v>
      </c>
      <c r="D73" s="55">
        <v>1819</v>
      </c>
      <c r="E73" s="55">
        <v>1351</v>
      </c>
      <c r="F73" s="55">
        <v>755</v>
      </c>
      <c r="G73" s="55">
        <v>0</v>
      </c>
      <c r="H73" s="55">
        <v>1155</v>
      </c>
      <c r="J73" s="54">
        <f>SUM(K73:P73)</f>
        <v>6</v>
      </c>
      <c r="K73" s="55">
        <v>2</v>
      </c>
      <c r="L73" s="55">
        <v>2</v>
      </c>
      <c r="M73" s="55">
        <v>1</v>
      </c>
      <c r="N73" s="55">
        <v>0</v>
      </c>
      <c r="O73" s="55">
        <v>0</v>
      </c>
      <c r="P73" s="55">
        <v>1</v>
      </c>
      <c r="R73" s="61">
        <f>SUM(C73/B73)</f>
        <v>0.31211916046039268</v>
      </c>
      <c r="S73" s="61">
        <f>SUM(D73/B73)</f>
        <v>0.24631008801624915</v>
      </c>
      <c r="T73" s="61">
        <f>SUM(E73/B73)</f>
        <v>0.18293838862559242</v>
      </c>
      <c r="U73" s="61">
        <f>SUM(F73/B73)</f>
        <v>0.10223425863236289</v>
      </c>
      <c r="V73" s="61">
        <f>SUM(G73/B73)</f>
        <v>0</v>
      </c>
      <c r="W73" s="61">
        <f>SUM(H73/B73)</f>
        <v>0.15639810426540285</v>
      </c>
    </row>
    <row r="74" spans="1:23" s="52" customFormat="1">
      <c r="A74" s="53" t="s">
        <v>1589</v>
      </c>
      <c r="B74" s="54">
        <f>SUM(B71:B73)</f>
        <v>20568</v>
      </c>
      <c r="C74" s="54">
        <f t="shared" ref="C74:O74" si="24">SUM(C71:C73)</f>
        <v>7702</v>
      </c>
      <c r="D74" s="54">
        <f>SUM(D71:D73)</f>
        <v>5697</v>
      </c>
      <c r="E74" s="54">
        <f t="shared" si="24"/>
        <v>3957</v>
      </c>
      <c r="F74" s="54">
        <f t="shared" si="24"/>
        <v>755</v>
      </c>
      <c r="G74" s="54">
        <f t="shared" si="24"/>
        <v>420</v>
      </c>
      <c r="H74" s="54">
        <f>SUM(H71:H73)</f>
        <v>2037</v>
      </c>
      <c r="I74" s="54"/>
      <c r="J74" s="54">
        <f t="shared" si="24"/>
        <v>17</v>
      </c>
      <c r="K74" s="54">
        <f t="shared" si="24"/>
        <v>7</v>
      </c>
      <c r="L74" s="54">
        <f t="shared" si="24"/>
        <v>5</v>
      </c>
      <c r="M74" s="54">
        <f t="shared" si="24"/>
        <v>3</v>
      </c>
      <c r="N74" s="54">
        <f t="shared" si="24"/>
        <v>0</v>
      </c>
      <c r="O74" s="54">
        <f t="shared" si="24"/>
        <v>1</v>
      </c>
      <c r="P74" s="54">
        <f>SUM(P71:P73)</f>
        <v>1</v>
      </c>
      <c r="R74" s="60">
        <f>SUM(C74/B74)</f>
        <v>0.37446518864255152</v>
      </c>
      <c r="S74" s="60">
        <f>SUM(D74/B74)</f>
        <v>0.27698366394399065</v>
      </c>
      <c r="T74" s="60">
        <f>SUM(E74/B74)</f>
        <v>0.19238623103850641</v>
      </c>
      <c r="U74" s="60">
        <f>SUM(F74/B74)</f>
        <v>3.6707506806690007E-2</v>
      </c>
      <c r="V74" s="60">
        <f>SUM(G74/B74)</f>
        <v>2.0420070011668612E-2</v>
      </c>
      <c r="W74" s="60">
        <f>SUM(H74/B74)</f>
        <v>9.903733955659276E-2</v>
      </c>
    </row>
    <row r="75" spans="1:23">
      <c r="A75" s="53"/>
      <c r="B75" s="54"/>
      <c r="C75" s="55"/>
      <c r="D75" s="55"/>
      <c r="E75" s="55"/>
      <c r="F75" s="55"/>
      <c r="G75" s="55"/>
      <c r="H75" s="55"/>
      <c r="J75" s="54"/>
      <c r="K75" s="55"/>
      <c r="L75" s="55"/>
      <c r="M75" s="55"/>
      <c r="N75" s="55"/>
      <c r="O75" s="55"/>
      <c r="P75" s="55"/>
    </row>
    <row r="76" spans="1:23">
      <c r="A76" s="56" t="s">
        <v>1590</v>
      </c>
      <c r="B76" s="54">
        <f>SUM(C76:H76)</f>
        <v>8428</v>
      </c>
      <c r="C76" s="55">
        <v>782</v>
      </c>
      <c r="D76" s="55">
        <v>203</v>
      </c>
      <c r="E76" s="55">
        <v>4439</v>
      </c>
      <c r="F76" s="55">
        <v>1780</v>
      </c>
      <c r="G76" s="55">
        <v>0</v>
      </c>
      <c r="H76" s="55">
        <v>1224</v>
      </c>
      <c r="J76" s="54">
        <f>SUM(K76:P76)</f>
        <v>7</v>
      </c>
      <c r="K76" s="55">
        <v>1</v>
      </c>
      <c r="L76" s="55">
        <v>0</v>
      </c>
      <c r="M76" s="55">
        <v>4</v>
      </c>
      <c r="N76" s="55">
        <v>1</v>
      </c>
      <c r="O76" s="55">
        <v>0</v>
      </c>
      <c r="P76" s="55">
        <v>1</v>
      </c>
      <c r="R76" s="61">
        <f>SUM(C76/B76)</f>
        <v>9.2785951589938298E-2</v>
      </c>
      <c r="S76" s="61">
        <f>SUM(D76/B76)</f>
        <v>2.408637873754153E-2</v>
      </c>
      <c r="T76" s="61">
        <f>SUM(E76/B76)</f>
        <v>0.52669672520170863</v>
      </c>
      <c r="U76" s="61">
        <f>SUM(F76/B76)</f>
        <v>0.21120075937351684</v>
      </c>
      <c r="V76" s="61">
        <f>SUM(G76/B76)</f>
        <v>0</v>
      </c>
      <c r="W76" s="61">
        <f>SUM(H76/B76)</f>
        <v>0.14523018509729474</v>
      </c>
    </row>
    <row r="77" spans="1:23">
      <c r="A77" s="56" t="s">
        <v>1591</v>
      </c>
      <c r="B77" s="54">
        <f>SUM(C77:H77)</f>
        <v>7730</v>
      </c>
      <c r="C77" s="55">
        <v>1211</v>
      </c>
      <c r="D77" s="55">
        <v>695</v>
      </c>
      <c r="E77" s="55">
        <v>3446</v>
      </c>
      <c r="F77" s="55">
        <v>2135</v>
      </c>
      <c r="G77" s="55">
        <v>0</v>
      </c>
      <c r="H77" s="55">
        <v>243</v>
      </c>
      <c r="J77" s="54">
        <f>SUM(K77:P77)</f>
        <v>6</v>
      </c>
      <c r="K77" s="55">
        <v>1</v>
      </c>
      <c r="L77" s="55">
        <v>0</v>
      </c>
      <c r="M77" s="55">
        <v>3</v>
      </c>
      <c r="N77" s="55">
        <v>2</v>
      </c>
      <c r="O77" s="55">
        <v>0</v>
      </c>
      <c r="P77" s="55">
        <v>0</v>
      </c>
      <c r="R77" s="61">
        <f>SUM(C77/B77)</f>
        <v>0.15666235446313065</v>
      </c>
      <c r="S77" s="61">
        <f>SUM(D77/B77)</f>
        <v>8.9909443725743859E-2</v>
      </c>
      <c r="T77" s="61">
        <f>SUM(E77/B77)</f>
        <v>0.44579560155239328</v>
      </c>
      <c r="U77" s="61">
        <f>SUM(F77/B77)</f>
        <v>0.27619663648124193</v>
      </c>
      <c r="V77" s="61">
        <f>SUM(G77/B77)</f>
        <v>0</v>
      </c>
      <c r="W77" s="61">
        <f>SUM(H77/B77)</f>
        <v>3.1435963777490299E-2</v>
      </c>
    </row>
    <row r="78" spans="1:23">
      <c r="A78" s="56" t="s">
        <v>1592</v>
      </c>
      <c r="B78" s="54">
        <f>SUM(C78:H78)</f>
        <v>6857</v>
      </c>
      <c r="C78" s="55">
        <v>2868</v>
      </c>
      <c r="D78" s="55">
        <v>1797</v>
      </c>
      <c r="E78" s="55">
        <v>1719</v>
      </c>
      <c r="F78" s="55">
        <v>304</v>
      </c>
      <c r="G78" s="55">
        <v>0</v>
      </c>
      <c r="H78" s="55">
        <v>169</v>
      </c>
      <c r="J78" s="54">
        <f>SUM(K78:P78)</f>
        <v>5</v>
      </c>
      <c r="K78" s="55">
        <v>3</v>
      </c>
      <c r="L78" s="55">
        <v>1</v>
      </c>
      <c r="M78" s="55">
        <v>1</v>
      </c>
      <c r="N78" s="55">
        <v>0</v>
      </c>
      <c r="O78" s="55">
        <v>0</v>
      </c>
      <c r="P78" s="55">
        <v>0</v>
      </c>
      <c r="R78" s="61">
        <f>SUM(C78/B78)</f>
        <v>0.41825871372320256</v>
      </c>
      <c r="S78" s="61">
        <f>SUM(D78/B78)</f>
        <v>0.26206795974916142</v>
      </c>
      <c r="T78" s="61">
        <f>SUM(E78/B78)</f>
        <v>0.25069272276505761</v>
      </c>
      <c r="U78" s="61">
        <f>SUM(F78/B78)</f>
        <v>4.4334256963686744E-2</v>
      </c>
      <c r="V78" s="61">
        <f>SUM(G78/B78)</f>
        <v>0</v>
      </c>
      <c r="W78" s="61">
        <f>SUM(H78/B78)</f>
        <v>2.4646346798891643E-2</v>
      </c>
    </row>
    <row r="79" spans="1:23">
      <c r="A79" s="56" t="s">
        <v>1593</v>
      </c>
      <c r="B79" s="54">
        <f>SUM(C79:H79)</f>
        <v>6868</v>
      </c>
      <c r="C79" s="55">
        <v>1646</v>
      </c>
      <c r="D79" s="55">
        <v>1581</v>
      </c>
      <c r="E79" s="55">
        <v>2704</v>
      </c>
      <c r="F79" s="55">
        <v>937</v>
      </c>
      <c r="G79" s="55">
        <v>0</v>
      </c>
      <c r="H79" s="55">
        <v>0</v>
      </c>
      <c r="I79" s="55"/>
      <c r="J79" s="54">
        <f>SUM(K79:P79)</f>
        <v>5</v>
      </c>
      <c r="K79" s="55">
        <v>1</v>
      </c>
      <c r="L79" s="55">
        <v>1</v>
      </c>
      <c r="M79" s="55">
        <v>2</v>
      </c>
      <c r="N79" s="55">
        <v>1</v>
      </c>
      <c r="O79" s="55">
        <v>0</v>
      </c>
      <c r="P79" s="55">
        <v>0</v>
      </c>
      <c r="R79" s="61">
        <f>SUM(C79/B79)</f>
        <v>0.23966220151426906</v>
      </c>
      <c r="S79" s="61">
        <f>SUM(D79/B79)</f>
        <v>0.23019801980198021</v>
      </c>
      <c r="T79" s="61">
        <f>SUM(E79/B79)</f>
        <v>0.39370995923121727</v>
      </c>
      <c r="U79" s="61">
        <f>SUM(F79/B79)</f>
        <v>0.13642981945253349</v>
      </c>
      <c r="V79" s="61">
        <f>SUM(G79/B79)</f>
        <v>0</v>
      </c>
      <c r="W79" s="61">
        <f>SUM(H79/B79)</f>
        <v>0</v>
      </c>
    </row>
    <row r="80" spans="1:23" s="52" customFormat="1">
      <c r="A80" s="53" t="s">
        <v>1594</v>
      </c>
      <c r="B80" s="54">
        <f>SUM(B76:B79)</f>
        <v>29883</v>
      </c>
      <c r="C80" s="54">
        <f t="shared" ref="C80:O80" si="25">SUM(C76:C79)</f>
        <v>6507</v>
      </c>
      <c r="D80" s="54">
        <f>SUM(D76:D79)</f>
        <v>4276</v>
      </c>
      <c r="E80" s="54">
        <f t="shared" si="25"/>
        <v>12308</v>
      </c>
      <c r="F80" s="54">
        <f t="shared" si="25"/>
        <v>5156</v>
      </c>
      <c r="G80" s="54">
        <f t="shared" si="25"/>
        <v>0</v>
      </c>
      <c r="H80" s="54">
        <f>SUM(H76:H79)</f>
        <v>1636</v>
      </c>
      <c r="I80" s="54"/>
      <c r="J80" s="54">
        <f t="shared" si="25"/>
        <v>23</v>
      </c>
      <c r="K80" s="54">
        <f t="shared" si="25"/>
        <v>6</v>
      </c>
      <c r="L80" s="54">
        <f t="shared" si="25"/>
        <v>2</v>
      </c>
      <c r="M80" s="54">
        <f t="shared" si="25"/>
        <v>10</v>
      </c>
      <c r="N80" s="54">
        <f t="shared" si="25"/>
        <v>4</v>
      </c>
      <c r="O80" s="54">
        <f t="shared" si="25"/>
        <v>0</v>
      </c>
      <c r="P80" s="54">
        <f>SUM(P76:P79)</f>
        <v>1</v>
      </c>
      <c r="R80" s="60">
        <f>SUM(C80/B80)</f>
        <v>0.2177492219656661</v>
      </c>
      <c r="S80" s="60">
        <f>SUM(D80/B80)</f>
        <v>0.14309138975337149</v>
      </c>
      <c r="T80" s="60">
        <f>SUM(E80/B80)</f>
        <v>0.41187297125455946</v>
      </c>
      <c r="U80" s="60">
        <f>SUM(F80/B80)</f>
        <v>0.17253957099354147</v>
      </c>
      <c r="V80" s="60">
        <f>SUM(G80/B80)</f>
        <v>0</v>
      </c>
      <c r="W80" s="60">
        <f>SUM(H80/B80)</f>
        <v>5.4746846032861493E-2</v>
      </c>
    </row>
    <row r="81" spans="1:23">
      <c r="A81" s="53"/>
      <c r="B81" s="54"/>
      <c r="C81" s="55"/>
      <c r="D81" s="55"/>
      <c r="E81" s="55"/>
      <c r="F81" s="55"/>
      <c r="G81" s="55"/>
      <c r="H81" s="55"/>
      <c r="J81" s="54"/>
      <c r="K81" s="55"/>
      <c r="L81" s="55"/>
      <c r="M81" s="55"/>
      <c r="N81" s="55"/>
      <c r="O81" s="55"/>
      <c r="P81" s="55"/>
    </row>
    <row r="82" spans="1:23">
      <c r="A82" s="56" t="s">
        <v>1595</v>
      </c>
      <c r="B82" s="54">
        <f>SUM(C82:H82)</f>
        <v>8483</v>
      </c>
      <c r="C82" s="55">
        <v>3707</v>
      </c>
      <c r="D82" s="55">
        <v>2638</v>
      </c>
      <c r="E82" s="55">
        <v>0</v>
      </c>
      <c r="F82" s="55">
        <v>111</v>
      </c>
      <c r="G82" s="55">
        <v>1201</v>
      </c>
      <c r="H82" s="55">
        <v>826</v>
      </c>
      <c r="J82" s="54">
        <f>SUM(K82:P82)</f>
        <v>5</v>
      </c>
      <c r="K82" s="55">
        <v>3</v>
      </c>
      <c r="L82" s="55">
        <v>1</v>
      </c>
      <c r="M82" s="55">
        <v>0</v>
      </c>
      <c r="N82" s="55">
        <v>0</v>
      </c>
      <c r="O82" s="55">
        <v>1</v>
      </c>
      <c r="P82" s="55">
        <v>0</v>
      </c>
      <c r="R82" s="61">
        <f t="shared" ref="R82:R87" si="26">SUM(C82/B82)</f>
        <v>0.43699163031946248</v>
      </c>
      <c r="S82" s="61">
        <f t="shared" ref="S82:S87" si="27">SUM(D82/B82)</f>
        <v>0.31097489095838737</v>
      </c>
      <c r="T82" s="61">
        <f t="shared" ref="T82:T87" si="28">SUM(E82/B82)</f>
        <v>0</v>
      </c>
      <c r="U82" s="61">
        <f t="shared" ref="U82:U87" si="29">SUM(F82/B82)</f>
        <v>1.3084993516444654E-2</v>
      </c>
      <c r="V82" s="61">
        <f t="shared" ref="V82:V87" si="30">SUM(G82/B82)</f>
        <v>0.1415772721914417</v>
      </c>
      <c r="W82" s="61">
        <f t="shared" ref="W82:W87" si="31">SUM(H82/B82)</f>
        <v>9.7371213014263824E-2</v>
      </c>
    </row>
    <row r="83" spans="1:23">
      <c r="A83" s="56" t="s">
        <v>1596</v>
      </c>
      <c r="B83" s="54">
        <f>SUM(C83:H83)</f>
        <v>8859</v>
      </c>
      <c r="C83" s="55">
        <v>3118</v>
      </c>
      <c r="D83" s="55">
        <v>2645</v>
      </c>
      <c r="E83" s="55">
        <v>1318</v>
      </c>
      <c r="F83" s="55">
        <v>457</v>
      </c>
      <c r="G83" s="55">
        <v>570</v>
      </c>
      <c r="H83" s="55">
        <v>751</v>
      </c>
      <c r="J83" s="54">
        <f>SUM(K83:P83)</f>
        <v>5</v>
      </c>
      <c r="K83" s="55">
        <v>2</v>
      </c>
      <c r="L83" s="55">
        <v>2</v>
      </c>
      <c r="M83" s="55">
        <v>1</v>
      </c>
      <c r="N83" s="55">
        <v>0</v>
      </c>
      <c r="O83" s="55">
        <v>0</v>
      </c>
      <c r="P83" s="55">
        <v>0</v>
      </c>
      <c r="R83" s="61">
        <f t="shared" si="26"/>
        <v>0.35195846032283551</v>
      </c>
      <c r="S83" s="61">
        <f t="shared" si="27"/>
        <v>0.2985664296195959</v>
      </c>
      <c r="T83" s="61">
        <f t="shared" si="28"/>
        <v>0.14877525680099335</v>
      </c>
      <c r="U83" s="61">
        <f t="shared" si="29"/>
        <v>5.1585957783045491E-2</v>
      </c>
      <c r="V83" s="61">
        <f t="shared" si="30"/>
        <v>6.4341347781916691E-2</v>
      </c>
      <c r="W83" s="61">
        <f t="shared" si="31"/>
        <v>8.4772547691613048E-2</v>
      </c>
    </row>
    <row r="84" spans="1:23">
      <c r="A84" s="56" t="s">
        <v>1597</v>
      </c>
      <c r="B84" s="54">
        <f>SUM(C84:H84)</f>
        <v>10773</v>
      </c>
      <c r="C84" s="55">
        <v>4741</v>
      </c>
      <c r="D84" s="55">
        <v>1844</v>
      </c>
      <c r="E84" s="55">
        <v>0</v>
      </c>
      <c r="F84" s="55">
        <v>451</v>
      </c>
      <c r="G84" s="55">
        <v>1903</v>
      </c>
      <c r="H84" s="55">
        <v>1834</v>
      </c>
      <c r="J84" s="54">
        <f>SUM(K84:P84)</f>
        <v>7</v>
      </c>
      <c r="K84" s="55">
        <v>4</v>
      </c>
      <c r="L84" s="55">
        <v>1</v>
      </c>
      <c r="M84" s="55">
        <v>0</v>
      </c>
      <c r="N84" s="55">
        <v>0</v>
      </c>
      <c r="O84" s="55">
        <v>1</v>
      </c>
      <c r="P84" s="55">
        <v>1</v>
      </c>
      <c r="R84" s="61">
        <f t="shared" si="26"/>
        <v>0.44008168569572076</v>
      </c>
      <c r="S84" s="61">
        <f t="shared" si="27"/>
        <v>0.17116866239673256</v>
      </c>
      <c r="T84" s="61">
        <f t="shared" si="28"/>
        <v>0</v>
      </c>
      <c r="U84" s="61">
        <f t="shared" si="29"/>
        <v>4.1863919056901511E-2</v>
      </c>
      <c r="V84" s="61">
        <f t="shared" si="30"/>
        <v>0.17664531699619418</v>
      </c>
      <c r="W84" s="61">
        <f t="shared" si="31"/>
        <v>0.17024041585445093</v>
      </c>
    </row>
    <row r="85" spans="1:23">
      <c r="A85" s="56" t="s">
        <v>1598</v>
      </c>
      <c r="B85" s="54">
        <f>SUM(C85:H85)</f>
        <v>7053</v>
      </c>
      <c r="C85" s="55">
        <v>3333</v>
      </c>
      <c r="D85" s="55">
        <v>1407</v>
      </c>
      <c r="E85" s="55">
        <v>0</v>
      </c>
      <c r="F85" s="55">
        <v>245</v>
      </c>
      <c r="G85" s="55">
        <v>1495</v>
      </c>
      <c r="H85" s="55">
        <v>573</v>
      </c>
      <c r="J85" s="54">
        <f>SUM(K85:P85)</f>
        <v>6</v>
      </c>
      <c r="K85" s="55">
        <v>3</v>
      </c>
      <c r="L85" s="55">
        <v>1</v>
      </c>
      <c r="M85" s="55">
        <v>0</v>
      </c>
      <c r="N85" s="55">
        <v>0</v>
      </c>
      <c r="O85" s="55">
        <v>1</v>
      </c>
      <c r="P85" s="55">
        <v>1</v>
      </c>
      <c r="R85" s="61">
        <f t="shared" si="26"/>
        <v>0.4725648660144619</v>
      </c>
      <c r="S85" s="61">
        <f t="shared" si="27"/>
        <v>0.19948957890259464</v>
      </c>
      <c r="T85" s="61">
        <f t="shared" si="28"/>
        <v>0</v>
      </c>
      <c r="U85" s="61">
        <f t="shared" si="29"/>
        <v>3.4736991351198072E-2</v>
      </c>
      <c r="V85" s="61">
        <f t="shared" si="30"/>
        <v>0.21196653906139232</v>
      </c>
      <c r="W85" s="61">
        <f t="shared" si="31"/>
        <v>8.1242024670353047E-2</v>
      </c>
    </row>
    <row r="86" spans="1:23">
      <c r="A86" s="56" t="s">
        <v>1599</v>
      </c>
      <c r="B86" s="54">
        <f>SUM(C86:H86)</f>
        <v>11591</v>
      </c>
      <c r="C86" s="55">
        <v>1550</v>
      </c>
      <c r="D86" s="55">
        <v>910</v>
      </c>
      <c r="E86" s="55">
        <v>2669</v>
      </c>
      <c r="F86" s="55">
        <v>6244</v>
      </c>
      <c r="G86" s="55">
        <v>0</v>
      </c>
      <c r="H86" s="55">
        <v>218</v>
      </c>
      <c r="J86" s="54">
        <f>SUM(K86:P86)</f>
        <v>7</v>
      </c>
      <c r="K86" s="55">
        <v>1</v>
      </c>
      <c r="L86" s="55">
        <v>0</v>
      </c>
      <c r="M86" s="55">
        <v>2</v>
      </c>
      <c r="N86" s="55">
        <v>4</v>
      </c>
      <c r="O86" s="55">
        <v>0</v>
      </c>
      <c r="P86" s="55">
        <v>0</v>
      </c>
      <c r="R86" s="61">
        <f t="shared" si="26"/>
        <v>0.13372444137693038</v>
      </c>
      <c r="S86" s="61">
        <f t="shared" si="27"/>
        <v>7.850918816323009E-2</v>
      </c>
      <c r="T86" s="61">
        <f t="shared" si="28"/>
        <v>0.23026486066775947</v>
      </c>
      <c r="U86" s="61">
        <f t="shared" si="29"/>
        <v>0.53869381416616335</v>
      </c>
      <c r="V86" s="61">
        <f t="shared" si="30"/>
        <v>0</v>
      </c>
      <c r="W86" s="61">
        <f t="shared" si="31"/>
        <v>1.8807695625916658E-2</v>
      </c>
    </row>
    <row r="87" spans="1:23" s="52" customFormat="1">
      <c r="A87" s="53" t="s">
        <v>1600</v>
      </c>
      <c r="B87" s="54">
        <f>SUM(B82:B86)</f>
        <v>46759</v>
      </c>
      <c r="C87" s="54">
        <f t="shared" ref="C87:O87" si="32">SUM(C82:C86)</f>
        <v>16449</v>
      </c>
      <c r="D87" s="54">
        <f>SUM(D82:D86)</f>
        <v>9444</v>
      </c>
      <c r="E87" s="54">
        <f t="shared" si="32"/>
        <v>3987</v>
      </c>
      <c r="F87" s="54">
        <f t="shared" si="32"/>
        <v>7508</v>
      </c>
      <c r="G87" s="54">
        <f t="shared" si="32"/>
        <v>5169</v>
      </c>
      <c r="H87" s="54">
        <f>SUM(H82:H86)</f>
        <v>4202</v>
      </c>
      <c r="I87" s="54"/>
      <c r="J87" s="54">
        <f t="shared" si="32"/>
        <v>30</v>
      </c>
      <c r="K87" s="54">
        <f t="shared" si="32"/>
        <v>13</v>
      </c>
      <c r="L87" s="54">
        <f t="shared" si="32"/>
        <v>5</v>
      </c>
      <c r="M87" s="54">
        <f t="shared" si="32"/>
        <v>3</v>
      </c>
      <c r="N87" s="54">
        <f t="shared" si="32"/>
        <v>4</v>
      </c>
      <c r="O87" s="54">
        <f t="shared" si="32"/>
        <v>3</v>
      </c>
      <c r="P87" s="54">
        <f>SUM(P82:P86)</f>
        <v>2</v>
      </c>
      <c r="R87" s="60">
        <f t="shared" si="26"/>
        <v>0.35178254453688063</v>
      </c>
      <c r="S87" s="60">
        <f t="shared" si="27"/>
        <v>0.2019718129130221</v>
      </c>
      <c r="T87" s="60">
        <f t="shared" si="28"/>
        <v>8.5267007421031243E-2</v>
      </c>
      <c r="U87" s="60">
        <f t="shared" si="29"/>
        <v>0.16056801899099638</v>
      </c>
      <c r="V87" s="60">
        <f t="shared" si="30"/>
        <v>0.11054556342094569</v>
      </c>
      <c r="W87" s="60">
        <f t="shared" si="31"/>
        <v>8.9865052717123972E-2</v>
      </c>
    </row>
    <row r="88" spans="1:23">
      <c r="A88" s="53"/>
      <c r="B88" s="54"/>
      <c r="C88" s="55"/>
      <c r="D88" s="55"/>
      <c r="E88" s="55"/>
      <c r="F88" s="55"/>
      <c r="G88" s="55"/>
      <c r="H88" s="55"/>
      <c r="J88" s="54"/>
      <c r="K88" s="55"/>
      <c r="L88" s="55"/>
      <c r="M88" s="55"/>
      <c r="N88" s="55"/>
      <c r="O88" s="55"/>
      <c r="P88" s="55"/>
    </row>
    <row r="89" spans="1:23">
      <c r="A89" s="56" t="s">
        <v>1601</v>
      </c>
      <c r="B89" s="54">
        <f>SUM(C89:H89)</f>
        <v>6874</v>
      </c>
      <c r="C89" s="55">
        <v>1230</v>
      </c>
      <c r="D89" s="55">
        <v>2529</v>
      </c>
      <c r="E89" s="55">
        <v>860</v>
      </c>
      <c r="F89" s="55">
        <v>0</v>
      </c>
      <c r="G89" s="55">
        <v>1321</v>
      </c>
      <c r="H89" s="55">
        <v>934</v>
      </c>
      <c r="J89" s="54">
        <f>SUM(K89:P89)</f>
        <v>5</v>
      </c>
      <c r="K89" s="55">
        <v>1</v>
      </c>
      <c r="L89" s="55">
        <v>2</v>
      </c>
      <c r="M89" s="55">
        <v>1</v>
      </c>
      <c r="N89" s="55">
        <v>0</v>
      </c>
      <c r="O89" s="55">
        <v>1</v>
      </c>
      <c r="P89" s="55">
        <v>0</v>
      </c>
      <c r="R89" s="61">
        <f>SUM(C89/B89)</f>
        <v>0.17893511783532151</v>
      </c>
      <c r="S89" s="61">
        <f>SUM(D89/B89)</f>
        <v>0.36790805935408788</v>
      </c>
      <c r="T89" s="61">
        <f>SUM(E89/B89)</f>
        <v>0.12510910677916787</v>
      </c>
      <c r="U89" s="61">
        <f>SUM(F89/B89)</f>
        <v>0</v>
      </c>
      <c r="V89" s="61">
        <f>SUM(G89/B89)</f>
        <v>0.19217340704102415</v>
      </c>
      <c r="W89" s="61">
        <f>SUM(H89/B89)</f>
        <v>0.1358743089903986</v>
      </c>
    </row>
    <row r="90" spans="1:23">
      <c r="A90" s="56" t="s">
        <v>1602</v>
      </c>
      <c r="B90" s="54">
        <f>SUM(C90:H90)</f>
        <v>0</v>
      </c>
      <c r="C90" s="55">
        <v>0</v>
      </c>
      <c r="D90" s="55">
        <v>0</v>
      </c>
      <c r="E90" s="55">
        <v>0</v>
      </c>
      <c r="F90" s="55">
        <v>0</v>
      </c>
      <c r="G90" s="55">
        <v>0</v>
      </c>
      <c r="H90" s="55">
        <v>0</v>
      </c>
      <c r="J90" s="54">
        <f>SUM(K90:P90)</f>
        <v>6</v>
      </c>
      <c r="K90" s="55">
        <v>3</v>
      </c>
      <c r="L90" s="55">
        <v>2</v>
      </c>
      <c r="M90" s="55">
        <v>0</v>
      </c>
      <c r="N90" s="55">
        <v>0</v>
      </c>
      <c r="O90" s="55">
        <v>1</v>
      </c>
      <c r="P90" s="55">
        <v>0</v>
      </c>
      <c r="R90" s="61" t="e">
        <f>SUM(C90/B90)</f>
        <v>#DIV/0!</v>
      </c>
      <c r="S90" s="61" t="e">
        <f>SUM(D90/B90)</f>
        <v>#DIV/0!</v>
      </c>
      <c r="T90" s="61" t="e">
        <f>SUM(E90/B90)</f>
        <v>#DIV/0!</v>
      </c>
      <c r="U90" s="61" t="e">
        <f>SUM(F90/B90)</f>
        <v>#DIV/0!</v>
      </c>
      <c r="V90" s="61" t="e">
        <f>SUM(G90/B90)</f>
        <v>#DIV/0!</v>
      </c>
      <c r="W90" s="61" t="e">
        <f>SUM(H90/B90)</f>
        <v>#DIV/0!</v>
      </c>
    </row>
    <row r="91" spans="1:23">
      <c r="A91" s="56" t="s">
        <v>1603</v>
      </c>
      <c r="B91" s="54">
        <f>SUM(C91:H91)</f>
        <v>8030</v>
      </c>
      <c r="C91" s="55">
        <v>3390</v>
      </c>
      <c r="D91" s="55">
        <v>2962</v>
      </c>
      <c r="E91" s="55">
        <v>0</v>
      </c>
      <c r="F91" s="55">
        <v>0</v>
      </c>
      <c r="G91" s="55">
        <v>1488</v>
      </c>
      <c r="H91" s="55">
        <v>190</v>
      </c>
      <c r="J91" s="54">
        <f>SUM(K91:P91)</f>
        <v>6</v>
      </c>
      <c r="K91" s="55">
        <v>2</v>
      </c>
      <c r="L91" s="55">
        <v>3</v>
      </c>
      <c r="M91" s="55">
        <v>0</v>
      </c>
      <c r="N91" s="55">
        <v>0</v>
      </c>
      <c r="O91" s="55">
        <v>1</v>
      </c>
      <c r="P91" s="55">
        <v>0</v>
      </c>
      <c r="R91" s="61">
        <f>SUM(C91/B91)</f>
        <v>0.42216687422166876</v>
      </c>
      <c r="S91" s="61">
        <f>SUM(D91/B91)</f>
        <v>0.36886674968866751</v>
      </c>
      <c r="T91" s="61">
        <f>SUM(E91/B91)</f>
        <v>0</v>
      </c>
      <c r="U91" s="61">
        <f>SUM(F91/B91)</f>
        <v>0</v>
      </c>
      <c r="V91" s="61">
        <f>SUM(G91/B91)</f>
        <v>0.18530510585305107</v>
      </c>
      <c r="W91" s="61">
        <f>SUM(H91/B91)</f>
        <v>2.3661270236612703E-2</v>
      </c>
    </row>
    <row r="92" spans="1:23">
      <c r="A92" s="56" t="s">
        <v>1604</v>
      </c>
      <c r="B92" s="54">
        <f>SUM(C92:H92)</f>
        <v>7050</v>
      </c>
      <c r="C92" s="55">
        <v>2348</v>
      </c>
      <c r="D92" s="55">
        <v>2642</v>
      </c>
      <c r="E92" s="55">
        <v>0</v>
      </c>
      <c r="F92" s="55">
        <v>0</v>
      </c>
      <c r="G92" s="55">
        <v>859</v>
      </c>
      <c r="H92" s="55">
        <v>1201</v>
      </c>
      <c r="J92" s="54">
        <f>SUM(K92:P92)</f>
        <v>6</v>
      </c>
      <c r="K92" s="55">
        <v>2</v>
      </c>
      <c r="L92" s="55">
        <v>2</v>
      </c>
      <c r="M92" s="55">
        <v>0</v>
      </c>
      <c r="N92" s="55">
        <v>0</v>
      </c>
      <c r="O92" s="55">
        <v>1</v>
      </c>
      <c r="P92" s="55">
        <v>1</v>
      </c>
      <c r="R92" s="61">
        <f>SUM(C92/B92)</f>
        <v>0.33304964539007093</v>
      </c>
      <c r="S92" s="61">
        <f>SUM(D92/B92)</f>
        <v>0.37475177304964541</v>
      </c>
      <c r="T92" s="61">
        <f>SUM(E92/B92)</f>
        <v>0</v>
      </c>
      <c r="U92" s="61">
        <f>SUM(F92/B92)</f>
        <v>0</v>
      </c>
      <c r="V92" s="61">
        <f>SUM(G92/B92)</f>
        <v>0.12184397163120568</v>
      </c>
      <c r="W92" s="61">
        <f>SUM(H92/B92)</f>
        <v>0.17035460992907803</v>
      </c>
    </row>
    <row r="93" spans="1:23" s="52" customFormat="1">
      <c r="A93" s="53" t="s">
        <v>1605</v>
      </c>
      <c r="B93" s="54">
        <f>SUM(B89:B92)</f>
        <v>21954</v>
      </c>
      <c r="C93" s="54">
        <f t="shared" ref="C93:O93" si="33">SUM(C89:C92)</f>
        <v>6968</v>
      </c>
      <c r="D93" s="54">
        <f>SUM(D89:D92)</f>
        <v>8133</v>
      </c>
      <c r="E93" s="54">
        <f t="shared" si="33"/>
        <v>860</v>
      </c>
      <c r="F93" s="54">
        <f t="shared" si="33"/>
        <v>0</v>
      </c>
      <c r="G93" s="54">
        <f t="shared" si="33"/>
        <v>3668</v>
      </c>
      <c r="H93" s="54">
        <f>SUM(H89:H92)</f>
        <v>2325</v>
      </c>
      <c r="I93" s="54"/>
      <c r="J93" s="54">
        <f t="shared" si="33"/>
        <v>23</v>
      </c>
      <c r="K93" s="54">
        <f t="shared" si="33"/>
        <v>8</v>
      </c>
      <c r="L93" s="54">
        <f t="shared" si="33"/>
        <v>9</v>
      </c>
      <c r="M93" s="54">
        <f t="shared" si="33"/>
        <v>1</v>
      </c>
      <c r="N93" s="54">
        <f t="shared" si="33"/>
        <v>0</v>
      </c>
      <c r="O93" s="54">
        <f t="shared" si="33"/>
        <v>4</v>
      </c>
      <c r="P93" s="54">
        <f>SUM(P89:P92)</f>
        <v>1</v>
      </c>
      <c r="R93" s="60">
        <f>SUM(C93/B93)</f>
        <v>0.31739090826273114</v>
      </c>
      <c r="S93" s="60">
        <f>SUM(D93/B93)</f>
        <v>0.37045640885487841</v>
      </c>
      <c r="T93" s="60">
        <f>SUM(E93/B93)</f>
        <v>3.9172815887765326E-2</v>
      </c>
      <c r="U93" s="60">
        <f>SUM(F93/B93)</f>
        <v>0</v>
      </c>
      <c r="V93" s="60">
        <f>SUM(G93/B93)</f>
        <v>0.16707661473991073</v>
      </c>
      <c r="W93" s="60">
        <f>SUM(H93/B93)</f>
        <v>0.10590325225471441</v>
      </c>
    </row>
    <row r="94" spans="1:23">
      <c r="A94" s="53"/>
      <c r="B94" s="54"/>
      <c r="C94" s="55"/>
      <c r="D94" s="55"/>
      <c r="E94" s="55"/>
      <c r="F94" s="55"/>
      <c r="G94" s="55"/>
      <c r="H94" s="55"/>
      <c r="I94" s="55"/>
      <c r="J94" s="54"/>
      <c r="K94" s="55"/>
      <c r="L94" s="55"/>
      <c r="M94" s="55"/>
      <c r="N94" s="55"/>
      <c r="O94" s="55"/>
      <c r="P94" s="55"/>
    </row>
    <row r="95" spans="1:23">
      <c r="A95" s="56" t="s">
        <v>1606</v>
      </c>
      <c r="B95" s="54">
        <f>SUM(C95:H95)</f>
        <v>6975</v>
      </c>
      <c r="C95" s="55">
        <v>2089</v>
      </c>
      <c r="D95" s="55">
        <v>1562</v>
      </c>
      <c r="E95" s="55">
        <v>0</v>
      </c>
      <c r="F95" s="55">
        <v>0</v>
      </c>
      <c r="G95" s="55">
        <v>1195</v>
      </c>
      <c r="H95" s="55">
        <v>2129</v>
      </c>
      <c r="J95" s="54">
        <f>SUM(K95:P95)</f>
        <v>6</v>
      </c>
      <c r="K95" s="55">
        <v>2</v>
      </c>
      <c r="L95" s="55">
        <v>2</v>
      </c>
      <c r="M95" s="55">
        <v>0</v>
      </c>
      <c r="N95" s="55">
        <v>0</v>
      </c>
      <c r="O95" s="55">
        <v>1</v>
      </c>
      <c r="P95" s="55">
        <v>1</v>
      </c>
      <c r="R95" s="61">
        <f>SUM(C95/B95)</f>
        <v>0.29949820788530468</v>
      </c>
      <c r="S95" s="61">
        <f>SUM(D95/B95)</f>
        <v>0.22394265232974911</v>
      </c>
      <c r="T95" s="61">
        <f>SUM(E95/B95)</f>
        <v>0</v>
      </c>
      <c r="U95" s="61">
        <f>SUM(F95/B95)</f>
        <v>0</v>
      </c>
      <c r="V95" s="61">
        <f>SUM(G95/B95)</f>
        <v>0.17132616487455196</v>
      </c>
      <c r="W95" s="61">
        <f>SUM(H95/B95)</f>
        <v>0.30523297491039425</v>
      </c>
    </row>
    <row r="96" spans="1:23">
      <c r="A96" s="56" t="s">
        <v>1607</v>
      </c>
      <c r="B96" s="54">
        <f>SUM(C96:H96)</f>
        <v>10287</v>
      </c>
      <c r="C96" s="55">
        <v>2434</v>
      </c>
      <c r="D96" s="55">
        <v>1164</v>
      </c>
      <c r="E96" s="55">
        <v>0</v>
      </c>
      <c r="F96" s="55">
        <v>0</v>
      </c>
      <c r="G96" s="55">
        <v>1275</v>
      </c>
      <c r="H96" s="55">
        <v>5414</v>
      </c>
      <c r="J96" s="54">
        <f>SUM(K96:P96)</f>
        <v>7</v>
      </c>
      <c r="K96" s="55">
        <v>2</v>
      </c>
      <c r="L96" s="55">
        <v>1</v>
      </c>
      <c r="M96" s="55">
        <v>0</v>
      </c>
      <c r="N96" s="55">
        <v>0</v>
      </c>
      <c r="O96" s="55">
        <v>1</v>
      </c>
      <c r="P96" s="55">
        <v>3</v>
      </c>
      <c r="R96" s="61">
        <f>SUM(C96/B96)</f>
        <v>0.23660931272479829</v>
      </c>
      <c r="S96" s="61">
        <f>SUM(D96/B96)</f>
        <v>0.1131525226013415</v>
      </c>
      <c r="T96" s="61">
        <f>SUM(E96/B96)</f>
        <v>0</v>
      </c>
      <c r="U96" s="61">
        <f>SUM(F96/B96)</f>
        <v>0</v>
      </c>
      <c r="V96" s="61">
        <f>SUM(G96/B96)</f>
        <v>0.12394284047827354</v>
      </c>
      <c r="W96" s="61">
        <f>SUM(H96/B96)</f>
        <v>0.52629532419558667</v>
      </c>
    </row>
    <row r="97" spans="1:23">
      <c r="A97" s="56" t="s">
        <v>1608</v>
      </c>
      <c r="B97" s="54">
        <f>SUM(C97:H97)</f>
        <v>6125</v>
      </c>
      <c r="C97" s="55">
        <v>1837</v>
      </c>
      <c r="D97" s="55">
        <v>916</v>
      </c>
      <c r="E97" s="55">
        <v>0</v>
      </c>
      <c r="F97" s="55">
        <v>0</v>
      </c>
      <c r="G97" s="55">
        <v>1506</v>
      </c>
      <c r="H97" s="55">
        <v>1866</v>
      </c>
      <c r="J97" s="54">
        <f>SUM(K97:P97)</f>
        <v>5</v>
      </c>
      <c r="K97" s="55">
        <v>2</v>
      </c>
      <c r="L97" s="55">
        <v>1</v>
      </c>
      <c r="M97" s="55">
        <v>0</v>
      </c>
      <c r="N97" s="55">
        <v>0</v>
      </c>
      <c r="O97" s="55">
        <v>1</v>
      </c>
      <c r="P97" s="55">
        <v>1</v>
      </c>
      <c r="R97" s="61">
        <f>SUM(C97/B97)</f>
        <v>0.29991836734693877</v>
      </c>
      <c r="S97" s="61">
        <f>SUM(D97/B97)</f>
        <v>0.14955102040816326</v>
      </c>
      <c r="T97" s="61">
        <f>SUM(E97/B97)</f>
        <v>0</v>
      </c>
      <c r="U97" s="61">
        <f>SUM(F97/B97)</f>
        <v>0</v>
      </c>
      <c r="V97" s="61">
        <f>SUM(G97/B97)</f>
        <v>0.24587755102040817</v>
      </c>
      <c r="W97" s="61">
        <f>SUM(H97/B97)</f>
        <v>0.30465306122448982</v>
      </c>
    </row>
    <row r="98" spans="1:23">
      <c r="A98" s="56" t="s">
        <v>1609</v>
      </c>
      <c r="B98" s="54">
        <f>SUM(C98:H98)</f>
        <v>9110</v>
      </c>
      <c r="C98" s="55">
        <v>2523</v>
      </c>
      <c r="D98" s="55">
        <v>989</v>
      </c>
      <c r="E98" s="55">
        <v>0</v>
      </c>
      <c r="F98" s="55">
        <v>0</v>
      </c>
      <c r="G98" s="55">
        <v>1742</v>
      </c>
      <c r="H98" s="55">
        <v>3856</v>
      </c>
      <c r="J98" s="54">
        <f>SUM(K98:P98)</f>
        <v>7</v>
      </c>
      <c r="K98" s="55">
        <v>2</v>
      </c>
      <c r="L98" s="55">
        <v>1</v>
      </c>
      <c r="M98" s="55">
        <v>0</v>
      </c>
      <c r="N98" s="55">
        <v>0</v>
      </c>
      <c r="O98" s="55">
        <v>2</v>
      </c>
      <c r="P98" s="55">
        <v>2</v>
      </c>
      <c r="R98" s="61">
        <f>SUM(C98/B98)</f>
        <v>0.2769484083424808</v>
      </c>
      <c r="S98" s="61">
        <f>SUM(D98/B98)</f>
        <v>0.10856201975850714</v>
      </c>
      <c r="T98" s="61">
        <f>SUM(E98/B98)</f>
        <v>0</v>
      </c>
      <c r="U98" s="61">
        <f>SUM(F98/B98)</f>
        <v>0</v>
      </c>
      <c r="V98" s="61">
        <f>SUM(G98/B98)</f>
        <v>0.19121844127332602</v>
      </c>
      <c r="W98" s="61">
        <f>SUM(H98/B98)</f>
        <v>0.42327113062568605</v>
      </c>
    </row>
    <row r="99" spans="1:23" s="52" customFormat="1">
      <c r="A99" s="53" t="s">
        <v>1610</v>
      </c>
      <c r="B99" s="54">
        <f>SUM(B95:B98)</f>
        <v>32497</v>
      </c>
      <c r="C99" s="54">
        <f t="shared" ref="C99:O99" si="34">SUM(C95:C98)</f>
        <v>8883</v>
      </c>
      <c r="D99" s="54">
        <f>SUM(D95:D98)</f>
        <v>4631</v>
      </c>
      <c r="E99" s="54">
        <f t="shared" si="34"/>
        <v>0</v>
      </c>
      <c r="F99" s="54">
        <f t="shared" si="34"/>
        <v>0</v>
      </c>
      <c r="G99" s="54">
        <f t="shared" si="34"/>
        <v>5718</v>
      </c>
      <c r="H99" s="54">
        <f>SUM(H95:H98)</f>
        <v>13265</v>
      </c>
      <c r="I99" s="54"/>
      <c r="J99" s="54">
        <f t="shared" si="34"/>
        <v>25</v>
      </c>
      <c r="K99" s="54">
        <f t="shared" si="34"/>
        <v>8</v>
      </c>
      <c r="L99" s="54">
        <f t="shared" si="34"/>
        <v>5</v>
      </c>
      <c r="M99" s="54">
        <f t="shared" si="34"/>
        <v>0</v>
      </c>
      <c r="N99" s="54">
        <f t="shared" si="34"/>
        <v>0</v>
      </c>
      <c r="O99" s="54">
        <f t="shared" si="34"/>
        <v>5</v>
      </c>
      <c r="P99" s="54">
        <f>SUM(P95:P98)</f>
        <v>7</v>
      </c>
      <c r="R99" s="60">
        <f>SUM(C99/B99)</f>
        <v>0.27334830907468383</v>
      </c>
      <c r="S99" s="60">
        <f>SUM(D99/B99)</f>
        <v>0.14250546204265008</v>
      </c>
      <c r="T99" s="60">
        <f>SUM(E99/B99)</f>
        <v>0</v>
      </c>
      <c r="U99" s="60">
        <f>SUM(F99/B99)</f>
        <v>0</v>
      </c>
      <c r="V99" s="60">
        <f>SUM(G99/B99)</f>
        <v>0.17595470351109332</v>
      </c>
      <c r="W99" s="60">
        <f>SUM(H99/B99)</f>
        <v>0.40819152537157277</v>
      </c>
    </row>
    <row r="100" spans="1:23">
      <c r="A100" s="53"/>
      <c r="B100" s="54"/>
      <c r="C100" s="55"/>
      <c r="D100" s="55"/>
      <c r="E100" s="55"/>
      <c r="F100" s="55"/>
      <c r="G100" s="55"/>
      <c r="H100" s="55"/>
      <c r="J100" s="54"/>
      <c r="K100" s="55"/>
      <c r="L100" s="55"/>
      <c r="M100" s="55"/>
      <c r="N100" s="55"/>
      <c r="O100" s="55"/>
      <c r="P100" s="55"/>
    </row>
    <row r="101" spans="1:23">
      <c r="A101" s="56" t="s">
        <v>1611</v>
      </c>
      <c r="B101" s="54">
        <f>SUM(C101:H101)</f>
        <v>6701</v>
      </c>
      <c r="C101" s="55">
        <v>1032</v>
      </c>
      <c r="D101" s="55">
        <v>3378</v>
      </c>
      <c r="E101" s="55">
        <v>427</v>
      </c>
      <c r="F101" s="55">
        <v>0</v>
      </c>
      <c r="G101" s="55">
        <v>769</v>
      </c>
      <c r="H101" s="55">
        <v>1095</v>
      </c>
      <c r="J101" s="54">
        <f>SUM(K101:P101)</f>
        <v>6</v>
      </c>
      <c r="K101" s="55">
        <v>1</v>
      </c>
      <c r="L101" s="55">
        <v>3</v>
      </c>
      <c r="M101" s="55">
        <v>0</v>
      </c>
      <c r="N101" s="55">
        <v>0</v>
      </c>
      <c r="O101" s="55">
        <v>1</v>
      </c>
      <c r="P101" s="55">
        <v>1</v>
      </c>
      <c r="R101" s="61">
        <f>SUM(C101/B101)</f>
        <v>0.15400686464706762</v>
      </c>
      <c r="S101" s="61">
        <f>SUM(D101/B101)</f>
        <v>0.50410386509476202</v>
      </c>
      <c r="T101" s="61">
        <f>SUM(E101/B101)</f>
        <v>6.372183256230414E-2</v>
      </c>
      <c r="U101" s="61">
        <f>SUM(F101/B101)</f>
        <v>0</v>
      </c>
      <c r="V101" s="61">
        <f>SUM(G101/B101)</f>
        <v>0.11475899119534398</v>
      </c>
      <c r="W101" s="61">
        <f>SUM(H101/B101)</f>
        <v>0.1634084465005223</v>
      </c>
    </row>
    <row r="102" spans="1:23">
      <c r="A102" s="56" t="s">
        <v>1612</v>
      </c>
      <c r="B102" s="54">
        <f>SUM(C102:H102)</f>
        <v>9159</v>
      </c>
      <c r="C102" s="55">
        <v>1879</v>
      </c>
      <c r="D102" s="55">
        <v>4596</v>
      </c>
      <c r="E102" s="55">
        <v>0</v>
      </c>
      <c r="F102" s="55">
        <v>0</v>
      </c>
      <c r="G102" s="55">
        <v>1323</v>
      </c>
      <c r="H102" s="55">
        <v>1361</v>
      </c>
      <c r="J102" s="54">
        <f>SUM(K102:P102)</f>
        <v>7</v>
      </c>
      <c r="K102" s="55">
        <v>1</v>
      </c>
      <c r="L102" s="55">
        <v>4</v>
      </c>
      <c r="M102" s="55">
        <v>0</v>
      </c>
      <c r="N102" s="55">
        <v>0</v>
      </c>
      <c r="O102" s="55">
        <v>1</v>
      </c>
      <c r="P102" s="55">
        <v>1</v>
      </c>
      <c r="R102" s="61">
        <f>SUM(C102/B102)</f>
        <v>0.20515340102631291</v>
      </c>
      <c r="S102" s="61">
        <f>SUM(D102/B102)</f>
        <v>0.5018015067147068</v>
      </c>
      <c r="T102" s="61">
        <f>SUM(E102/B102)</f>
        <v>0</v>
      </c>
      <c r="U102" s="61">
        <f>SUM(F102/B102)</f>
        <v>0</v>
      </c>
      <c r="V102" s="61">
        <f>SUM(G102/B102)</f>
        <v>0.14444808385194891</v>
      </c>
      <c r="W102" s="61">
        <f>SUM(H102/B102)</f>
        <v>0.14859700840703133</v>
      </c>
    </row>
    <row r="103" spans="1:23">
      <c r="A103" s="56" t="s">
        <v>1613</v>
      </c>
      <c r="B103" s="54">
        <f>SUM(C103:H103)</f>
        <v>7992</v>
      </c>
      <c r="C103" s="55">
        <v>2156</v>
      </c>
      <c r="D103" s="55">
        <v>2099</v>
      </c>
      <c r="E103" s="55">
        <v>1889</v>
      </c>
      <c r="F103" s="55">
        <v>396</v>
      </c>
      <c r="G103" s="55">
        <v>1400</v>
      </c>
      <c r="H103" s="55">
        <v>52</v>
      </c>
      <c r="J103" s="54">
        <f>SUM(K103:P103)</f>
        <v>5</v>
      </c>
      <c r="K103" s="55">
        <v>2</v>
      </c>
      <c r="L103" s="55">
        <v>1</v>
      </c>
      <c r="M103" s="55">
        <v>1</v>
      </c>
      <c r="N103" s="55">
        <v>0</v>
      </c>
      <c r="O103" s="55">
        <v>1</v>
      </c>
      <c r="P103" s="55">
        <v>0</v>
      </c>
      <c r="R103" s="61">
        <f>SUM(C103/B103)</f>
        <v>0.2697697697697698</v>
      </c>
      <c r="S103" s="61">
        <f>SUM(D103/B103)</f>
        <v>0.26263763763763764</v>
      </c>
      <c r="T103" s="61">
        <f>SUM(E103/B103)</f>
        <v>0.23636136136136135</v>
      </c>
      <c r="U103" s="61">
        <f>SUM(F103/B103)</f>
        <v>4.954954954954955E-2</v>
      </c>
      <c r="V103" s="61">
        <f>SUM(G103/B103)</f>
        <v>0.17517517517517517</v>
      </c>
      <c r="W103" s="61">
        <f>SUM(H103/B103)</f>
        <v>6.5065065065065065E-3</v>
      </c>
    </row>
    <row r="104" spans="1:23">
      <c r="A104" s="56" t="s">
        <v>1658</v>
      </c>
      <c r="B104" s="54">
        <f>SUM(C104:H104)</f>
        <v>6830</v>
      </c>
      <c r="C104" s="55">
        <v>1728</v>
      </c>
      <c r="D104" s="55">
        <v>2011</v>
      </c>
      <c r="E104" s="55">
        <v>1196</v>
      </c>
      <c r="F104" s="55">
        <v>158</v>
      </c>
      <c r="G104" s="55">
        <v>1130</v>
      </c>
      <c r="H104" s="55">
        <v>607</v>
      </c>
      <c r="J104" s="54">
        <f>SUM(K104:P104)</f>
        <v>5</v>
      </c>
      <c r="K104" s="55">
        <v>1</v>
      </c>
      <c r="L104" s="55">
        <v>2</v>
      </c>
      <c r="M104" s="55">
        <v>1</v>
      </c>
      <c r="N104" s="55">
        <v>0</v>
      </c>
      <c r="O104" s="55">
        <v>1</v>
      </c>
      <c r="P104" s="55">
        <v>0</v>
      </c>
      <c r="R104" s="61">
        <f>SUM(C104/B104)</f>
        <v>0.25300146412884333</v>
      </c>
      <c r="S104" s="61">
        <f>SUM(D104/B104)</f>
        <v>0.29443631039531482</v>
      </c>
      <c r="T104" s="61">
        <f>SUM(E104/B104)</f>
        <v>0.17510980966325038</v>
      </c>
      <c r="U104" s="61">
        <f>SUM(F104/B104)</f>
        <v>2.3133235724743777E-2</v>
      </c>
      <c r="V104" s="61">
        <f>SUM(G104/B104)</f>
        <v>0.16544655929721816</v>
      </c>
      <c r="W104" s="61">
        <f>SUM(H104/B104)</f>
        <v>8.8872620790629575E-2</v>
      </c>
    </row>
    <row r="105" spans="1:23" s="52" customFormat="1">
      <c r="A105" s="53" t="s">
        <v>1614</v>
      </c>
      <c r="B105" s="54">
        <f>SUM(B101:B104)</f>
        <v>30682</v>
      </c>
      <c r="C105" s="54">
        <f t="shared" ref="C105:O105" si="35">SUM(C101:C104)</f>
        <v>6795</v>
      </c>
      <c r="D105" s="54">
        <f>SUM(D101:D104)</f>
        <v>12084</v>
      </c>
      <c r="E105" s="54">
        <f t="shared" si="35"/>
        <v>3512</v>
      </c>
      <c r="F105" s="54">
        <f t="shared" si="35"/>
        <v>554</v>
      </c>
      <c r="G105" s="54">
        <f t="shared" si="35"/>
        <v>4622</v>
      </c>
      <c r="H105" s="54">
        <f>SUM(H101:H104)</f>
        <v>3115</v>
      </c>
      <c r="I105" s="54"/>
      <c r="J105" s="54">
        <f t="shared" si="35"/>
        <v>23</v>
      </c>
      <c r="K105" s="54">
        <f t="shared" si="35"/>
        <v>5</v>
      </c>
      <c r="L105" s="54">
        <f t="shared" si="35"/>
        <v>10</v>
      </c>
      <c r="M105" s="54">
        <f t="shared" si="35"/>
        <v>2</v>
      </c>
      <c r="N105" s="54">
        <f t="shared" si="35"/>
        <v>0</v>
      </c>
      <c r="O105" s="54">
        <f t="shared" si="35"/>
        <v>4</v>
      </c>
      <c r="P105" s="54">
        <f>SUM(P101:P104)</f>
        <v>2</v>
      </c>
      <c r="R105" s="60">
        <f>SUM(C105/B105)</f>
        <v>0.22146535427938205</v>
      </c>
      <c r="S105" s="60">
        <f>SUM(D105/B105)</f>
        <v>0.39384655498337789</v>
      </c>
      <c r="T105" s="60">
        <f>SUM(E105/B105)</f>
        <v>0.11446450687699629</v>
      </c>
      <c r="U105" s="60">
        <f>SUM(F105/B105)</f>
        <v>1.8056189296656019E-2</v>
      </c>
      <c r="V105" s="60">
        <f>SUM(G105/B105)</f>
        <v>0.15064207026921322</v>
      </c>
      <c r="W105" s="60">
        <f>SUM(H105/B105)</f>
        <v>0.10152532429437455</v>
      </c>
    </row>
    <row r="106" spans="1:23">
      <c r="A106" s="53"/>
      <c r="B106" s="54"/>
      <c r="C106" s="55"/>
      <c r="D106" s="55"/>
      <c r="E106" s="55"/>
      <c r="F106" s="55"/>
      <c r="G106" s="55"/>
      <c r="H106" s="55"/>
      <c r="J106" s="54"/>
      <c r="K106" s="55"/>
      <c r="L106" s="55"/>
      <c r="M106" s="55"/>
      <c r="N106" s="55"/>
      <c r="O106" s="55"/>
      <c r="P106" s="55"/>
    </row>
    <row r="107" spans="1:23">
      <c r="A107" s="56" t="s">
        <v>1617</v>
      </c>
      <c r="B107" s="54">
        <f>SUM(C107:H107)</f>
        <v>8060</v>
      </c>
      <c r="C107" s="55">
        <v>3254</v>
      </c>
      <c r="D107" s="55">
        <v>1892</v>
      </c>
      <c r="E107" s="55">
        <v>1240</v>
      </c>
      <c r="F107" s="55">
        <v>703</v>
      </c>
      <c r="G107" s="55">
        <v>578</v>
      </c>
      <c r="H107" s="55">
        <v>393</v>
      </c>
      <c r="J107" s="54">
        <f>SUM(K107:P107)</f>
        <v>7</v>
      </c>
      <c r="K107" s="55">
        <v>3</v>
      </c>
      <c r="L107" s="55">
        <v>2</v>
      </c>
      <c r="M107" s="55">
        <v>1</v>
      </c>
      <c r="N107" s="55">
        <v>1</v>
      </c>
      <c r="O107" s="55">
        <v>0</v>
      </c>
      <c r="P107" s="55">
        <v>0</v>
      </c>
      <c r="R107" s="61">
        <f>SUM(C107/B107)</f>
        <v>0.40372208436724566</v>
      </c>
      <c r="S107" s="61">
        <f>SUM(D107/B107)</f>
        <v>0.23473945409429281</v>
      </c>
      <c r="T107" s="61">
        <f>SUM(E107/B107)</f>
        <v>0.15384615384615385</v>
      </c>
      <c r="U107" s="61">
        <f>SUM(F107/B107)</f>
        <v>8.7220843672456569E-2</v>
      </c>
      <c r="V107" s="61">
        <f>SUM(G107/B107)</f>
        <v>7.1712158808933002E-2</v>
      </c>
      <c r="W107" s="61">
        <f>SUM(H107/B107)</f>
        <v>4.8759305210918112E-2</v>
      </c>
    </row>
    <row r="108" spans="1:23">
      <c r="A108" s="56" t="s">
        <v>1615</v>
      </c>
      <c r="B108" s="54">
        <f>SUM(C108:H108)</f>
        <v>6358</v>
      </c>
      <c r="C108" s="55">
        <v>2386</v>
      </c>
      <c r="D108" s="55">
        <v>1631</v>
      </c>
      <c r="E108" s="55">
        <v>1243</v>
      </c>
      <c r="F108" s="55">
        <v>495</v>
      </c>
      <c r="G108" s="55">
        <v>406</v>
      </c>
      <c r="H108" s="55">
        <v>197</v>
      </c>
      <c r="I108" s="55"/>
      <c r="J108" s="54">
        <f>SUM(K108:P108)</f>
        <v>7</v>
      </c>
      <c r="K108" s="55">
        <v>3</v>
      </c>
      <c r="L108" s="55">
        <v>2</v>
      </c>
      <c r="M108" s="55">
        <v>2</v>
      </c>
      <c r="N108" s="55">
        <v>0</v>
      </c>
      <c r="O108" s="55">
        <v>0</v>
      </c>
      <c r="P108" s="55">
        <v>0</v>
      </c>
      <c r="R108" s="61">
        <f>SUM(C108/B108)</f>
        <v>0.3752752437873545</v>
      </c>
      <c r="S108" s="61">
        <f>SUM(D108/B108)</f>
        <v>0.25652720981440702</v>
      </c>
      <c r="T108" s="61">
        <f>SUM(E108/B108)</f>
        <v>0.19550173010380623</v>
      </c>
      <c r="U108" s="61">
        <f>SUM(F108/B108)</f>
        <v>7.7854671280276816E-2</v>
      </c>
      <c r="V108" s="61">
        <f>SUM(G108/B108)</f>
        <v>6.3856558666247246E-2</v>
      </c>
      <c r="W108" s="61">
        <f>SUM(H108/B108)</f>
        <v>3.0984586347908148E-2</v>
      </c>
    </row>
    <row r="109" spans="1:23">
      <c r="A109" s="56" t="s">
        <v>1616</v>
      </c>
      <c r="B109" s="54">
        <f>SUM(C109:H109)</f>
        <v>5820</v>
      </c>
      <c r="C109" s="55">
        <v>1059</v>
      </c>
      <c r="D109" s="55">
        <v>1053</v>
      </c>
      <c r="E109" s="55">
        <v>1771</v>
      </c>
      <c r="F109" s="55">
        <v>1391</v>
      </c>
      <c r="G109" s="55">
        <v>133</v>
      </c>
      <c r="H109" s="55">
        <v>413</v>
      </c>
      <c r="J109" s="54">
        <f>SUM(K109:P109)</f>
        <v>5</v>
      </c>
      <c r="K109" s="55">
        <v>1</v>
      </c>
      <c r="L109" s="55">
        <v>1</v>
      </c>
      <c r="M109" s="55">
        <v>2</v>
      </c>
      <c r="N109" s="55">
        <v>1</v>
      </c>
      <c r="O109" s="55">
        <v>0</v>
      </c>
      <c r="P109" s="55">
        <v>0</v>
      </c>
      <c r="R109" s="61">
        <f>SUM(C109/B109)</f>
        <v>0.18195876288659793</v>
      </c>
      <c r="S109" s="61">
        <f>SUM(D109/B109)</f>
        <v>0.18092783505154639</v>
      </c>
      <c r="T109" s="61">
        <f>SUM(E109/B109)</f>
        <v>0.30429553264604808</v>
      </c>
      <c r="U109" s="61">
        <f>SUM(F109/B109)</f>
        <v>0.23900343642611685</v>
      </c>
      <c r="V109" s="61">
        <f>SUM(G109/B109)</f>
        <v>2.2852233676975944E-2</v>
      </c>
      <c r="W109" s="61">
        <f>SUM(H109/B109)</f>
        <v>7.0962199312714774E-2</v>
      </c>
    </row>
    <row r="110" spans="1:23" s="52" customFormat="1">
      <c r="A110" s="53" t="s">
        <v>1618</v>
      </c>
      <c r="B110" s="54">
        <f>SUM(B107:B109)</f>
        <v>20238</v>
      </c>
      <c r="C110" s="54">
        <f t="shared" ref="C110:O110" si="36">SUM(C107:C109)</f>
        <v>6699</v>
      </c>
      <c r="D110" s="54">
        <f>SUM(D107:D109)</f>
        <v>4576</v>
      </c>
      <c r="E110" s="54">
        <f t="shared" si="36"/>
        <v>4254</v>
      </c>
      <c r="F110" s="54">
        <f t="shared" si="36"/>
        <v>2589</v>
      </c>
      <c r="G110" s="54">
        <f t="shared" si="36"/>
        <v>1117</v>
      </c>
      <c r="H110" s="54">
        <f>SUM(H107:H109)</f>
        <v>1003</v>
      </c>
      <c r="I110" s="54"/>
      <c r="J110" s="54">
        <f t="shared" si="36"/>
        <v>19</v>
      </c>
      <c r="K110" s="54">
        <f t="shared" si="36"/>
        <v>7</v>
      </c>
      <c r="L110" s="54">
        <f t="shared" si="36"/>
        <v>5</v>
      </c>
      <c r="M110" s="54">
        <f t="shared" si="36"/>
        <v>5</v>
      </c>
      <c r="N110" s="54">
        <f t="shared" si="36"/>
        <v>2</v>
      </c>
      <c r="O110" s="54">
        <f t="shared" si="36"/>
        <v>0</v>
      </c>
      <c r="P110" s="54">
        <f>SUM(P107:P109)</f>
        <v>0</v>
      </c>
      <c r="R110" s="60">
        <f>SUM(C110/B110)</f>
        <v>0.33101096946338571</v>
      </c>
      <c r="S110" s="60">
        <f>SUM(D110/B110)</f>
        <v>0.22610929933787924</v>
      </c>
      <c r="T110" s="60">
        <f>SUM(E110/B110)</f>
        <v>0.21019863622887638</v>
      </c>
      <c r="U110" s="60">
        <f>SUM(F110/B110)</f>
        <v>0.127927660836051</v>
      </c>
      <c r="V110" s="60">
        <f>SUM(G110/B110)</f>
        <v>5.5193200909180749E-2</v>
      </c>
      <c r="W110" s="60">
        <f>SUM(H110/B110)</f>
        <v>4.9560233224626937E-2</v>
      </c>
    </row>
    <row r="111" spans="1:23">
      <c r="A111" s="53"/>
      <c r="B111" s="54"/>
      <c r="C111" s="55"/>
      <c r="D111" s="55"/>
      <c r="E111" s="55"/>
      <c r="F111" s="55"/>
      <c r="G111" s="55"/>
      <c r="H111" s="55"/>
      <c r="J111" s="54"/>
      <c r="K111" s="55"/>
      <c r="L111" s="55"/>
      <c r="M111" s="55"/>
      <c r="N111" s="55"/>
      <c r="O111" s="55"/>
      <c r="P111" s="55"/>
    </row>
    <row r="112" spans="1:23">
      <c r="A112" s="56" t="s">
        <v>1619</v>
      </c>
      <c r="B112" s="54">
        <f>SUM(C112:H112)</f>
        <v>7742</v>
      </c>
      <c r="C112" s="55">
        <v>1920</v>
      </c>
      <c r="D112" s="55">
        <v>2146</v>
      </c>
      <c r="E112" s="55">
        <v>1071</v>
      </c>
      <c r="F112" s="55">
        <v>382</v>
      </c>
      <c r="G112" s="55">
        <v>317</v>
      </c>
      <c r="H112" s="55">
        <v>1906</v>
      </c>
      <c r="J112" s="54">
        <f>SUM(K112:P112)</f>
        <v>7</v>
      </c>
      <c r="K112" s="55">
        <v>2</v>
      </c>
      <c r="L112" s="55">
        <v>2</v>
      </c>
      <c r="M112" s="55">
        <v>1</v>
      </c>
      <c r="N112" s="55">
        <v>0</v>
      </c>
      <c r="O112" s="55">
        <v>0</v>
      </c>
      <c r="P112" s="55">
        <v>2</v>
      </c>
      <c r="R112" s="61">
        <f>SUM(C112/B112)</f>
        <v>0.24799793335055542</v>
      </c>
      <c r="S112" s="61">
        <f>SUM(D112/B112)</f>
        <v>0.27718935675536038</v>
      </c>
      <c r="T112" s="61">
        <f>SUM(E112/B112)</f>
        <v>0.13833634719710669</v>
      </c>
      <c r="U112" s="61">
        <f>SUM(F112/B112)</f>
        <v>4.9341255489537585E-2</v>
      </c>
      <c r="V112" s="61">
        <f>SUM(G112/B112)</f>
        <v>4.0945492120898992E-2</v>
      </c>
      <c r="W112" s="61">
        <f>SUM(H112/B112)</f>
        <v>0.24618961508654094</v>
      </c>
    </row>
    <row r="113" spans="1:23">
      <c r="A113" s="56" t="s">
        <v>1620</v>
      </c>
      <c r="B113" s="54">
        <f>SUM(C113:H113)</f>
        <v>7007</v>
      </c>
      <c r="C113" s="55">
        <v>1551</v>
      </c>
      <c r="D113" s="55">
        <v>3909</v>
      </c>
      <c r="E113" s="55">
        <v>1212</v>
      </c>
      <c r="F113" s="55">
        <v>0</v>
      </c>
      <c r="G113" s="55">
        <v>0</v>
      </c>
      <c r="H113" s="55">
        <v>335</v>
      </c>
      <c r="J113" s="54">
        <f>SUM(K113:P113)</f>
        <v>7</v>
      </c>
      <c r="K113" s="55">
        <v>2</v>
      </c>
      <c r="L113" s="55">
        <v>4</v>
      </c>
      <c r="M113" s="55">
        <v>1</v>
      </c>
      <c r="N113" s="55">
        <v>0</v>
      </c>
      <c r="O113" s="55">
        <v>0</v>
      </c>
      <c r="P113" s="55">
        <v>0</v>
      </c>
      <c r="R113" s="61">
        <f>SUM(C113/B113)</f>
        <v>0.22135007849293564</v>
      </c>
      <c r="S113" s="61">
        <f>SUM(D113/B113)</f>
        <v>0.55787070072784362</v>
      </c>
      <c r="T113" s="61">
        <f>SUM(E113/B113)</f>
        <v>0.17296988725560153</v>
      </c>
      <c r="U113" s="61">
        <f>SUM(F113/B113)</f>
        <v>0</v>
      </c>
      <c r="V113" s="61">
        <f>SUM(G113/B113)</f>
        <v>0</v>
      </c>
      <c r="W113" s="61">
        <f>SUM(H113/B113)</f>
        <v>4.7809333523619241E-2</v>
      </c>
    </row>
    <row r="114" spans="1:23">
      <c r="A114" s="56" t="s">
        <v>1621</v>
      </c>
      <c r="B114" s="54">
        <f>SUM(C114:H114)</f>
        <v>7460</v>
      </c>
      <c r="C114" s="55">
        <v>1787</v>
      </c>
      <c r="D114" s="55">
        <v>4121</v>
      </c>
      <c r="E114" s="55">
        <v>1313</v>
      </c>
      <c r="F114" s="55">
        <v>0</v>
      </c>
      <c r="G114" s="55">
        <v>0</v>
      </c>
      <c r="H114" s="55">
        <v>239</v>
      </c>
      <c r="J114" s="54">
        <f>SUM(K114:P114)</f>
        <v>5</v>
      </c>
      <c r="K114" s="55">
        <v>1</v>
      </c>
      <c r="L114" s="55">
        <v>3</v>
      </c>
      <c r="M114" s="55">
        <v>1</v>
      </c>
      <c r="N114" s="55">
        <v>0</v>
      </c>
      <c r="O114" s="55">
        <v>0</v>
      </c>
      <c r="P114" s="55">
        <v>0</v>
      </c>
      <c r="R114" s="61">
        <f>SUM(C114/B114)</f>
        <v>0.23954423592493299</v>
      </c>
      <c r="S114" s="61">
        <f>SUM(D114/B114)</f>
        <v>0.55241286863270778</v>
      </c>
      <c r="T114" s="61">
        <f>SUM(E114/B114)</f>
        <v>0.1760053619302949</v>
      </c>
      <c r="U114" s="61">
        <f>SUM(F114/B114)</f>
        <v>0</v>
      </c>
      <c r="V114" s="61">
        <f>SUM(G114/B114)</f>
        <v>0</v>
      </c>
      <c r="W114" s="61">
        <f>SUM(H114/B114)</f>
        <v>3.2037533512064342E-2</v>
      </c>
    </row>
    <row r="115" spans="1:23">
      <c r="A115" s="56" t="s">
        <v>1622</v>
      </c>
      <c r="B115" s="54">
        <f>SUM(C115:H115)</f>
        <v>6624</v>
      </c>
      <c r="C115" s="55">
        <v>2669</v>
      </c>
      <c r="D115" s="55">
        <v>2768</v>
      </c>
      <c r="E115" s="55">
        <v>1158</v>
      </c>
      <c r="F115" s="55">
        <v>0</v>
      </c>
      <c r="G115" s="55">
        <v>0</v>
      </c>
      <c r="H115" s="55">
        <v>29</v>
      </c>
      <c r="J115" s="54">
        <f>SUM(K115:P115)</f>
        <v>5</v>
      </c>
      <c r="K115" s="55">
        <v>2</v>
      </c>
      <c r="L115" s="55">
        <v>2</v>
      </c>
      <c r="M115" s="55">
        <v>1</v>
      </c>
      <c r="N115" s="55">
        <v>0</v>
      </c>
      <c r="O115" s="55">
        <v>0</v>
      </c>
      <c r="P115" s="55">
        <v>0</v>
      </c>
      <c r="R115" s="61">
        <f>SUM(C115/B115)</f>
        <v>0.40292874396135264</v>
      </c>
      <c r="S115" s="61">
        <f>SUM(D115/B115)</f>
        <v>0.41787439613526572</v>
      </c>
      <c r="T115" s="61">
        <f>SUM(E115/B115)</f>
        <v>0.17481884057971014</v>
      </c>
      <c r="U115" s="61">
        <f>SUM(F115/B115)</f>
        <v>0</v>
      </c>
      <c r="V115" s="61">
        <f>SUM(G115/B115)</f>
        <v>0</v>
      </c>
      <c r="W115" s="61">
        <f>SUM(H115/B115)</f>
        <v>4.3780193236714979E-3</v>
      </c>
    </row>
    <row r="116" spans="1:23" s="52" customFormat="1">
      <c r="A116" s="53" t="s">
        <v>1623</v>
      </c>
      <c r="B116" s="54">
        <f>SUM(B112:B115)</f>
        <v>28833</v>
      </c>
      <c r="C116" s="54">
        <f t="shared" ref="C116:O116" si="37">SUM(C112:C115)</f>
        <v>7927</v>
      </c>
      <c r="D116" s="54">
        <f>SUM(D112:D115)</f>
        <v>12944</v>
      </c>
      <c r="E116" s="54">
        <f t="shared" si="37"/>
        <v>4754</v>
      </c>
      <c r="F116" s="54">
        <f t="shared" si="37"/>
        <v>382</v>
      </c>
      <c r="G116" s="54">
        <f t="shared" si="37"/>
        <v>317</v>
      </c>
      <c r="H116" s="54">
        <f>SUM(H112:H115)</f>
        <v>2509</v>
      </c>
      <c r="I116" s="54"/>
      <c r="J116" s="54">
        <f t="shared" si="37"/>
        <v>24</v>
      </c>
      <c r="K116" s="54">
        <f t="shared" si="37"/>
        <v>7</v>
      </c>
      <c r="L116" s="54">
        <f t="shared" si="37"/>
        <v>11</v>
      </c>
      <c r="M116" s="54">
        <f t="shared" si="37"/>
        <v>4</v>
      </c>
      <c r="N116" s="54">
        <f t="shared" si="37"/>
        <v>0</v>
      </c>
      <c r="O116" s="54">
        <f t="shared" si="37"/>
        <v>0</v>
      </c>
      <c r="P116" s="54">
        <f>SUM(P112:P115)</f>
        <v>2</v>
      </c>
      <c r="R116" s="60">
        <f>SUM(C116/B116)</f>
        <v>0.27492803385010234</v>
      </c>
      <c r="S116" s="60">
        <f>SUM(D116/B116)</f>
        <v>0.44893004543405124</v>
      </c>
      <c r="T116" s="60">
        <f>SUM(E116/B116)</f>
        <v>0.16488051884992891</v>
      </c>
      <c r="U116" s="60">
        <f>SUM(F116/B116)</f>
        <v>1.324870807755003E-2</v>
      </c>
      <c r="V116" s="60">
        <f>SUM(G116/B116)</f>
        <v>1.099434675545382E-2</v>
      </c>
      <c r="W116" s="60">
        <f>SUM(H116/B116)</f>
        <v>8.7018347032913682E-2</v>
      </c>
    </row>
    <row r="117" spans="1:23">
      <c r="A117" s="53"/>
      <c r="B117" s="54"/>
      <c r="C117" s="55"/>
      <c r="D117" s="55"/>
      <c r="E117" s="55"/>
      <c r="F117" s="55"/>
      <c r="G117" s="55"/>
      <c r="H117" s="55"/>
      <c r="J117" s="54"/>
      <c r="K117" s="55"/>
      <c r="L117" s="55"/>
      <c r="M117" s="55"/>
      <c r="N117" s="55"/>
      <c r="O117" s="55"/>
      <c r="P117" s="55"/>
    </row>
    <row r="118" spans="1:23">
      <c r="A118" s="56" t="s">
        <v>1624</v>
      </c>
      <c r="B118" s="54">
        <f>SUM(C118:H118)</f>
        <v>5220</v>
      </c>
      <c r="C118" s="55">
        <v>972</v>
      </c>
      <c r="D118" s="55">
        <v>2074</v>
      </c>
      <c r="E118" s="55">
        <v>1051</v>
      </c>
      <c r="F118" s="55">
        <v>1123</v>
      </c>
      <c r="G118" s="55">
        <v>0</v>
      </c>
      <c r="H118" s="55">
        <v>0</v>
      </c>
      <c r="J118" s="54">
        <f>SUM(K118:P118)</f>
        <v>6</v>
      </c>
      <c r="K118" s="55">
        <v>1</v>
      </c>
      <c r="L118" s="55">
        <v>3</v>
      </c>
      <c r="M118" s="55">
        <v>1</v>
      </c>
      <c r="N118" s="55">
        <v>1</v>
      </c>
      <c r="O118" s="55">
        <v>0</v>
      </c>
      <c r="P118" s="55">
        <v>0</v>
      </c>
      <c r="R118" s="61">
        <f>SUM(C118/B118)</f>
        <v>0.18620689655172415</v>
      </c>
      <c r="S118" s="61">
        <f>SUM(D118/B118)</f>
        <v>0.39731800766283526</v>
      </c>
      <c r="T118" s="61">
        <f>SUM(E118/B118)</f>
        <v>0.20134099616858236</v>
      </c>
      <c r="U118" s="61">
        <f>SUM(F118/B118)</f>
        <v>0.21513409961685823</v>
      </c>
      <c r="V118" s="61">
        <f>SUM(G118/B118)</f>
        <v>0</v>
      </c>
      <c r="W118" s="61">
        <f>SUM(H118/B118)</f>
        <v>0</v>
      </c>
    </row>
    <row r="119" spans="1:23">
      <c r="A119" s="56" t="s">
        <v>1625</v>
      </c>
      <c r="B119" s="54">
        <f>SUM(C119:H119)</f>
        <v>3733</v>
      </c>
      <c r="C119" s="55">
        <v>1004</v>
      </c>
      <c r="D119" s="55">
        <v>1650</v>
      </c>
      <c r="E119" s="55">
        <v>459</v>
      </c>
      <c r="F119" s="55">
        <v>0</v>
      </c>
      <c r="G119" s="55">
        <v>0</v>
      </c>
      <c r="H119" s="55">
        <v>620</v>
      </c>
      <c r="J119" s="54">
        <f>SUM(K119:P119)</f>
        <v>5</v>
      </c>
      <c r="K119" s="55">
        <v>2</v>
      </c>
      <c r="L119" s="55">
        <v>3</v>
      </c>
      <c r="M119" s="55">
        <v>0</v>
      </c>
      <c r="N119" s="55">
        <v>0</v>
      </c>
      <c r="O119" s="55">
        <v>0</v>
      </c>
      <c r="P119" s="55">
        <v>0</v>
      </c>
      <c r="R119" s="61">
        <f>SUM(C119/B119)</f>
        <v>0.26895258505223679</v>
      </c>
      <c r="S119" s="61">
        <f>SUM(D119/B119)</f>
        <v>0.44200375033485134</v>
      </c>
      <c r="T119" s="61">
        <f>SUM(E119/B119)</f>
        <v>0.12295740691133136</v>
      </c>
      <c r="U119" s="61">
        <f>SUM(F119/B119)</f>
        <v>0</v>
      </c>
      <c r="V119" s="61">
        <f>SUM(G119/B119)</f>
        <v>0</v>
      </c>
      <c r="W119" s="61">
        <f>SUM(H119/B119)</f>
        <v>0.1660862577015805</v>
      </c>
    </row>
    <row r="120" spans="1:23">
      <c r="A120" s="56" t="s">
        <v>1626</v>
      </c>
      <c r="B120" s="54">
        <f>SUM(C120:H120)</f>
        <v>3605</v>
      </c>
      <c r="C120" s="55">
        <v>1002</v>
      </c>
      <c r="D120" s="55">
        <v>1586</v>
      </c>
      <c r="E120" s="55">
        <v>699</v>
      </c>
      <c r="F120" s="55">
        <v>318</v>
      </c>
      <c r="G120" s="55">
        <v>0</v>
      </c>
      <c r="H120" s="55">
        <v>0</v>
      </c>
      <c r="J120" s="54">
        <f>SUM(K120:P120)</f>
        <v>5</v>
      </c>
      <c r="K120" s="55">
        <v>2</v>
      </c>
      <c r="L120" s="55">
        <v>2</v>
      </c>
      <c r="M120" s="55">
        <v>1</v>
      </c>
      <c r="N120" s="55">
        <v>0</v>
      </c>
      <c r="O120" s="55">
        <v>0</v>
      </c>
      <c r="P120" s="55">
        <v>0</v>
      </c>
      <c r="R120" s="61">
        <f>SUM(C120/B120)</f>
        <v>0.2779472954230236</v>
      </c>
      <c r="S120" s="61">
        <f>SUM(D120/B120)</f>
        <v>0.43994452149791957</v>
      </c>
      <c r="T120" s="61">
        <f>SUM(E120/B120)</f>
        <v>0.19389736477115119</v>
      </c>
      <c r="U120" s="61">
        <f>SUM(F120/B120)</f>
        <v>8.8210818307905683E-2</v>
      </c>
      <c r="V120" s="61">
        <f>SUM(G120/B120)</f>
        <v>0</v>
      </c>
      <c r="W120" s="61">
        <f>SUM(H120/B120)</f>
        <v>0</v>
      </c>
    </row>
    <row r="121" spans="1:23" s="52" customFormat="1">
      <c r="A121" s="53" t="s">
        <v>1627</v>
      </c>
      <c r="B121" s="54">
        <f>SUM(B118:B120)</f>
        <v>12558</v>
      </c>
      <c r="C121" s="54">
        <f t="shared" ref="C121:O121" si="38">SUM(C118:C120)</f>
        <v>2978</v>
      </c>
      <c r="D121" s="54">
        <f>SUM(D118:D120)</f>
        <v>5310</v>
      </c>
      <c r="E121" s="54">
        <f t="shared" si="38"/>
        <v>2209</v>
      </c>
      <c r="F121" s="54">
        <f t="shared" si="38"/>
        <v>1441</v>
      </c>
      <c r="G121" s="54">
        <f t="shared" si="38"/>
        <v>0</v>
      </c>
      <c r="H121" s="54">
        <f>SUM(H118:H120)</f>
        <v>620</v>
      </c>
      <c r="I121" s="54"/>
      <c r="J121" s="54">
        <f t="shared" si="38"/>
        <v>16</v>
      </c>
      <c r="K121" s="54">
        <f t="shared" si="38"/>
        <v>5</v>
      </c>
      <c r="L121" s="54">
        <f t="shared" si="38"/>
        <v>8</v>
      </c>
      <c r="M121" s="54">
        <f t="shared" si="38"/>
        <v>2</v>
      </c>
      <c r="N121" s="54">
        <f t="shared" si="38"/>
        <v>1</v>
      </c>
      <c r="O121" s="54">
        <f t="shared" si="38"/>
        <v>0</v>
      </c>
      <c r="P121" s="54">
        <f>SUM(P118:P120)</f>
        <v>0</v>
      </c>
      <c r="R121" s="60">
        <f>SUM(C121/B121)</f>
        <v>0.23713967192228061</v>
      </c>
      <c r="S121" s="60">
        <f>SUM(D121/B121)</f>
        <v>0.42283803153368371</v>
      </c>
      <c r="T121" s="60">
        <f>SUM(E121/B121)</f>
        <v>0.17590380633858896</v>
      </c>
      <c r="U121" s="60">
        <f>SUM(F121/B121)</f>
        <v>0.1147475712693104</v>
      </c>
      <c r="V121" s="60">
        <f>SUM(G121/B121)</f>
        <v>0</v>
      </c>
      <c r="W121" s="60">
        <f>SUM(H121/B121)</f>
        <v>4.9370918936136328E-2</v>
      </c>
    </row>
    <row r="122" spans="1:23">
      <c r="A122" s="53"/>
      <c r="B122" s="54"/>
      <c r="C122" s="55"/>
      <c r="D122" s="55"/>
      <c r="E122" s="55"/>
      <c r="F122" s="55"/>
      <c r="G122" s="55"/>
      <c r="H122" s="55"/>
      <c r="J122" s="54"/>
      <c r="K122" s="55"/>
      <c r="L122" s="55"/>
      <c r="M122" s="55"/>
      <c r="N122" s="55"/>
      <c r="O122" s="55"/>
      <c r="P122" s="55"/>
    </row>
    <row r="123" spans="1:23">
      <c r="A123" s="56" t="s">
        <v>1628</v>
      </c>
      <c r="B123" s="54">
        <f>SUM(C123:H123)</f>
        <v>2434</v>
      </c>
      <c r="C123" s="55">
        <v>379</v>
      </c>
      <c r="D123" s="55">
        <v>345</v>
      </c>
      <c r="E123" s="55">
        <v>786</v>
      </c>
      <c r="F123" s="55">
        <v>296</v>
      </c>
      <c r="G123" s="55">
        <v>0</v>
      </c>
      <c r="H123" s="55">
        <v>628</v>
      </c>
      <c r="I123" s="55"/>
      <c r="J123" s="54">
        <f>SUM(K123:P123)</f>
        <v>5</v>
      </c>
      <c r="K123" s="55">
        <v>1</v>
      </c>
      <c r="L123" s="55">
        <v>1</v>
      </c>
      <c r="M123" s="55">
        <v>2</v>
      </c>
      <c r="N123" s="55">
        <v>0</v>
      </c>
      <c r="O123" s="55">
        <v>0</v>
      </c>
      <c r="P123" s="55">
        <v>1</v>
      </c>
      <c r="R123" s="61">
        <f>SUM(C123/B123)</f>
        <v>0.15571076417419885</v>
      </c>
      <c r="S123" s="61">
        <f>SUM(D123/B123)</f>
        <v>0.14174198849630237</v>
      </c>
      <c r="T123" s="61">
        <f>SUM(E123/B123)</f>
        <v>0.32292522596548889</v>
      </c>
      <c r="U123" s="61">
        <f>SUM(F123/B123)</f>
        <v>0.12161051766639278</v>
      </c>
      <c r="V123" s="61">
        <f>SUM(G123/B123)</f>
        <v>0</v>
      </c>
      <c r="W123" s="61">
        <f>SUM(H123/B123)</f>
        <v>0.25801150369761711</v>
      </c>
    </row>
    <row r="124" spans="1:23">
      <c r="A124" s="56" t="s">
        <v>1629</v>
      </c>
      <c r="B124" s="54">
        <f>SUM(C124:H124)</f>
        <v>2067</v>
      </c>
      <c r="C124" s="55">
        <v>621</v>
      </c>
      <c r="D124" s="55">
        <v>981</v>
      </c>
      <c r="E124" s="55">
        <v>76</v>
      </c>
      <c r="F124" s="55">
        <v>0</v>
      </c>
      <c r="G124" s="55">
        <v>0</v>
      </c>
      <c r="H124" s="55">
        <v>389</v>
      </c>
      <c r="J124" s="54">
        <f>SUM(K124:P124)</f>
        <v>5</v>
      </c>
      <c r="K124" s="55">
        <v>2</v>
      </c>
      <c r="L124" s="55">
        <v>2</v>
      </c>
      <c r="M124" s="55">
        <v>0</v>
      </c>
      <c r="N124" s="55">
        <v>0</v>
      </c>
      <c r="O124" s="55">
        <v>0</v>
      </c>
      <c r="P124" s="55">
        <v>1</v>
      </c>
      <c r="R124" s="61">
        <f>SUM(C124/B124)</f>
        <v>0.30043541364296084</v>
      </c>
      <c r="S124" s="61">
        <f>SUM(D124/B124)</f>
        <v>0.47460087082728591</v>
      </c>
      <c r="T124" s="61">
        <f>SUM(E124/B124)</f>
        <v>3.6768263183357526E-2</v>
      </c>
      <c r="U124" s="61">
        <f>SUM(F124/B124)</f>
        <v>0</v>
      </c>
      <c r="V124" s="61">
        <f>SUM(G124/B124)</f>
        <v>0</v>
      </c>
      <c r="W124" s="61">
        <f>SUM(H124/B124)</f>
        <v>0.18819545234639573</v>
      </c>
    </row>
    <row r="125" spans="1:23">
      <c r="A125" s="56" t="s">
        <v>1630</v>
      </c>
      <c r="B125" s="54">
        <f>SUM(C125:H125)</f>
        <v>2750</v>
      </c>
      <c r="C125" s="55">
        <v>0</v>
      </c>
      <c r="D125" s="55">
        <v>194</v>
      </c>
      <c r="E125" s="55">
        <v>819</v>
      </c>
      <c r="F125" s="55">
        <v>394</v>
      </c>
      <c r="G125" s="55">
        <v>0</v>
      </c>
      <c r="H125" s="55">
        <v>1343</v>
      </c>
      <c r="J125" s="54">
        <f>SUM(K125:P125)</f>
        <v>5</v>
      </c>
      <c r="K125" s="55">
        <v>0</v>
      </c>
      <c r="L125" s="55">
        <v>0</v>
      </c>
      <c r="M125" s="55">
        <v>2</v>
      </c>
      <c r="N125" s="55">
        <v>1</v>
      </c>
      <c r="O125" s="55">
        <v>0</v>
      </c>
      <c r="P125" s="55">
        <v>2</v>
      </c>
      <c r="R125" s="61">
        <f>SUM(C125/B125)</f>
        <v>0</v>
      </c>
      <c r="S125" s="61">
        <f>SUM(D125/B125)</f>
        <v>7.054545454545455E-2</v>
      </c>
      <c r="T125" s="61">
        <f>SUM(E125/B125)</f>
        <v>0.29781818181818182</v>
      </c>
      <c r="U125" s="61">
        <f>SUM(F125/B125)</f>
        <v>0.14327272727272727</v>
      </c>
      <c r="V125" s="61">
        <f>SUM(G125/B125)</f>
        <v>0</v>
      </c>
      <c r="W125" s="61">
        <f>SUM(H125/B125)</f>
        <v>0.48836363636363639</v>
      </c>
    </row>
    <row r="126" spans="1:23" s="52" customFormat="1">
      <c r="A126" s="53" t="s">
        <v>1631</v>
      </c>
      <c r="B126" s="54">
        <f>SUM(B123:B125)</f>
        <v>7251</v>
      </c>
      <c r="C126" s="54">
        <f t="shared" ref="C126:O126" si="39">SUM(C123:C125)</f>
        <v>1000</v>
      </c>
      <c r="D126" s="54">
        <f>SUM(D123:D125)</f>
        <v>1520</v>
      </c>
      <c r="E126" s="54">
        <f t="shared" si="39"/>
        <v>1681</v>
      </c>
      <c r="F126" s="54">
        <f t="shared" si="39"/>
        <v>690</v>
      </c>
      <c r="G126" s="54">
        <f t="shared" si="39"/>
        <v>0</v>
      </c>
      <c r="H126" s="54">
        <f>SUM(H123:H125)</f>
        <v>2360</v>
      </c>
      <c r="I126" s="54"/>
      <c r="J126" s="54">
        <f t="shared" si="39"/>
        <v>15</v>
      </c>
      <c r="K126" s="54">
        <f t="shared" si="39"/>
        <v>3</v>
      </c>
      <c r="L126" s="54">
        <f t="shared" si="39"/>
        <v>3</v>
      </c>
      <c r="M126" s="54">
        <f t="shared" si="39"/>
        <v>4</v>
      </c>
      <c r="N126" s="54">
        <f t="shared" si="39"/>
        <v>1</v>
      </c>
      <c r="O126" s="54">
        <f t="shared" si="39"/>
        <v>0</v>
      </c>
      <c r="P126" s="54">
        <f>SUM(P123:P125)</f>
        <v>4</v>
      </c>
      <c r="R126" s="60">
        <f>SUM(C126/B126)</f>
        <v>0.13791201213625706</v>
      </c>
      <c r="S126" s="60">
        <f>SUM(D126/B126)</f>
        <v>0.20962625844711075</v>
      </c>
      <c r="T126" s="60">
        <f>SUM(E126/B126)</f>
        <v>0.23183009240104813</v>
      </c>
      <c r="U126" s="60">
        <f>SUM(F126/B126)</f>
        <v>9.5159288374017381E-2</v>
      </c>
      <c r="V126" s="60">
        <f>SUM(G126/B126)</f>
        <v>0</v>
      </c>
      <c r="W126" s="60">
        <f>SUM(H126/B126)</f>
        <v>0.32547234864156666</v>
      </c>
    </row>
    <row r="127" spans="1:23">
      <c r="A127" s="53"/>
      <c r="B127" s="54"/>
      <c r="C127" s="55"/>
      <c r="D127" s="55"/>
      <c r="E127" s="55"/>
      <c r="F127" s="55"/>
      <c r="G127" s="55"/>
      <c r="H127" s="55"/>
      <c r="J127" s="54"/>
      <c r="K127" s="55"/>
      <c r="L127" s="55"/>
      <c r="M127" s="55"/>
      <c r="N127" s="55"/>
      <c r="O127" s="55"/>
      <c r="P127" s="55"/>
    </row>
    <row r="128" spans="1:23">
      <c r="A128" s="56" t="s">
        <v>1632</v>
      </c>
      <c r="B128" s="54">
        <f>SUM(C128:H128)</f>
        <v>4305</v>
      </c>
      <c r="C128" s="55">
        <v>1044</v>
      </c>
      <c r="D128" s="55">
        <v>1238</v>
      </c>
      <c r="E128" s="55">
        <v>750</v>
      </c>
      <c r="F128" s="55">
        <v>305</v>
      </c>
      <c r="G128" s="55">
        <v>589</v>
      </c>
      <c r="H128" s="55">
        <v>379</v>
      </c>
      <c r="J128" s="54">
        <f>SUM(K128:P128)</f>
        <v>5</v>
      </c>
      <c r="K128" s="55">
        <v>1</v>
      </c>
      <c r="L128" s="55">
        <v>2</v>
      </c>
      <c r="M128" s="55">
        <v>1</v>
      </c>
      <c r="N128" s="55">
        <v>0</v>
      </c>
      <c r="O128" s="55">
        <v>1</v>
      </c>
      <c r="P128" s="55">
        <v>0</v>
      </c>
      <c r="R128" s="61">
        <f>SUM(C128/B128)</f>
        <v>0.24250871080139372</v>
      </c>
      <c r="S128" s="61">
        <f>SUM(D128/B128)</f>
        <v>0.28757259001161439</v>
      </c>
      <c r="T128" s="61">
        <f>SUM(E128/B128)</f>
        <v>0.17421602787456447</v>
      </c>
      <c r="U128" s="61">
        <f>SUM(F128/B128)</f>
        <v>7.0847851335656215E-2</v>
      </c>
      <c r="V128" s="61">
        <f>SUM(G128/B128)</f>
        <v>0.13681765389082462</v>
      </c>
      <c r="W128" s="61">
        <f>SUM(H128/B128)</f>
        <v>8.8037166085946569E-2</v>
      </c>
    </row>
    <row r="129" spans="1:23">
      <c r="A129" s="56" t="s">
        <v>1633</v>
      </c>
      <c r="B129" s="54">
        <f>SUM(C129:H129)</f>
        <v>5079</v>
      </c>
      <c r="C129" s="55">
        <v>1951</v>
      </c>
      <c r="D129" s="55">
        <v>1806</v>
      </c>
      <c r="E129" s="55">
        <v>0</v>
      </c>
      <c r="F129" s="55">
        <v>0</v>
      </c>
      <c r="G129" s="55">
        <v>1171</v>
      </c>
      <c r="H129" s="55">
        <v>151</v>
      </c>
      <c r="J129" s="54">
        <f>SUM(K129:P129)</f>
        <v>5</v>
      </c>
      <c r="K129" s="55">
        <v>2</v>
      </c>
      <c r="L129" s="55">
        <v>2</v>
      </c>
      <c r="M129" s="55">
        <v>0</v>
      </c>
      <c r="N129" s="55">
        <v>0</v>
      </c>
      <c r="O129" s="55">
        <v>1</v>
      </c>
      <c r="P129" s="55">
        <v>0</v>
      </c>
      <c r="R129" s="61">
        <f>SUM(C129/B129)</f>
        <v>0.38413073439653478</v>
      </c>
      <c r="S129" s="61">
        <f>SUM(D129/B129)</f>
        <v>0.35558180744240991</v>
      </c>
      <c r="T129" s="61">
        <f>SUM(E129/B129)</f>
        <v>0</v>
      </c>
      <c r="U129" s="61">
        <f>SUM(F129/B129)</f>
        <v>0</v>
      </c>
      <c r="V129" s="61">
        <f>SUM(G129/B129)</f>
        <v>0.23055719629848395</v>
      </c>
      <c r="W129" s="61">
        <f>SUM(H129/B129)</f>
        <v>2.9730261862571373E-2</v>
      </c>
    </row>
    <row r="130" spans="1:23">
      <c r="A130" s="56" t="s">
        <v>1634</v>
      </c>
      <c r="B130" s="54">
        <f>SUM(C130:H130)</f>
        <v>4435</v>
      </c>
      <c r="C130" s="55">
        <v>989</v>
      </c>
      <c r="D130" s="55">
        <v>941</v>
      </c>
      <c r="E130" s="55">
        <v>570</v>
      </c>
      <c r="F130" s="55">
        <v>191</v>
      </c>
      <c r="G130" s="55">
        <v>239</v>
      </c>
      <c r="H130" s="55">
        <v>1505</v>
      </c>
      <c r="J130" s="54">
        <f>SUM(K130:P130)</f>
        <v>5</v>
      </c>
      <c r="K130" s="55">
        <v>1</v>
      </c>
      <c r="L130" s="55">
        <v>1</v>
      </c>
      <c r="M130" s="55">
        <v>1</v>
      </c>
      <c r="N130" s="55">
        <v>0</v>
      </c>
      <c r="O130" s="55">
        <v>0</v>
      </c>
      <c r="P130" s="55">
        <v>2</v>
      </c>
      <c r="R130" s="61">
        <f>SUM(C130/B130)</f>
        <v>0.22299887260428411</v>
      </c>
      <c r="S130" s="61">
        <f>SUM(D130/B130)</f>
        <v>0.21217587373167981</v>
      </c>
      <c r="T130" s="61">
        <f>SUM(E130/B130)</f>
        <v>0.12852311161217586</v>
      </c>
      <c r="U130" s="61">
        <f>SUM(F130/B130)</f>
        <v>4.3066516347237883E-2</v>
      </c>
      <c r="V130" s="61">
        <f>SUM(G130/B130)</f>
        <v>5.3889515219842164E-2</v>
      </c>
      <c r="W130" s="61">
        <f>SUM(H130/B130)</f>
        <v>0.33934611048478014</v>
      </c>
    </row>
    <row r="131" spans="1:23" s="52" customFormat="1">
      <c r="A131" s="53" t="s">
        <v>1635</v>
      </c>
      <c r="B131" s="54">
        <f>SUM(B128:B130)</f>
        <v>13819</v>
      </c>
      <c r="C131" s="54">
        <f t="shared" ref="C131:O131" si="40">SUM(C128:C130)</f>
        <v>3984</v>
      </c>
      <c r="D131" s="54">
        <f>SUM(D128:D130)</f>
        <v>3985</v>
      </c>
      <c r="E131" s="54">
        <f t="shared" si="40"/>
        <v>1320</v>
      </c>
      <c r="F131" s="54">
        <f t="shared" si="40"/>
        <v>496</v>
      </c>
      <c r="G131" s="54">
        <f t="shared" si="40"/>
        <v>1999</v>
      </c>
      <c r="H131" s="54">
        <f>SUM(H128:H130)</f>
        <v>2035</v>
      </c>
      <c r="I131" s="54"/>
      <c r="J131" s="54">
        <f t="shared" si="40"/>
        <v>15</v>
      </c>
      <c r="K131" s="54">
        <f t="shared" si="40"/>
        <v>4</v>
      </c>
      <c r="L131" s="54">
        <f t="shared" si="40"/>
        <v>5</v>
      </c>
      <c r="M131" s="54">
        <f t="shared" si="40"/>
        <v>2</v>
      </c>
      <c r="N131" s="54">
        <f t="shared" si="40"/>
        <v>0</v>
      </c>
      <c r="O131" s="54">
        <f t="shared" si="40"/>
        <v>2</v>
      </c>
      <c r="P131" s="54">
        <f>SUM(P128:P130)</f>
        <v>2</v>
      </c>
      <c r="R131" s="60">
        <f>SUM(C131/B131)</f>
        <v>0.28829871915478689</v>
      </c>
      <c r="S131" s="60">
        <f>SUM(D131/B131)</f>
        <v>0.28837108329112093</v>
      </c>
      <c r="T131" s="60">
        <f>SUM(E131/B131)</f>
        <v>9.5520659960923363E-2</v>
      </c>
      <c r="U131" s="60">
        <f>SUM(F131/B131)</f>
        <v>3.5892611621680295E-2</v>
      </c>
      <c r="V131" s="60">
        <f>SUM(G131/B131)</f>
        <v>0.14465590853173169</v>
      </c>
      <c r="W131" s="60">
        <f>SUM(H131/B131)</f>
        <v>0.14726101743975686</v>
      </c>
    </row>
    <row r="132" spans="1:23">
      <c r="A132" s="53"/>
      <c r="B132" s="54"/>
      <c r="C132" s="55"/>
      <c r="D132" s="55"/>
      <c r="E132" s="55"/>
      <c r="F132" s="55"/>
      <c r="G132" s="55"/>
      <c r="H132" s="55"/>
      <c r="J132" s="54"/>
      <c r="K132" s="55"/>
      <c r="L132" s="55"/>
      <c r="M132" s="55"/>
      <c r="N132" s="55"/>
      <c r="O132" s="55"/>
      <c r="P132" s="55"/>
    </row>
    <row r="133" spans="1:23">
      <c r="A133" s="56" t="s">
        <v>1636</v>
      </c>
      <c r="B133" s="54">
        <f>SUM(C133:H133)</f>
        <v>5651</v>
      </c>
      <c r="C133" s="55">
        <v>2200</v>
      </c>
      <c r="D133" s="55">
        <v>1921</v>
      </c>
      <c r="E133" s="55">
        <v>0</v>
      </c>
      <c r="F133" s="55">
        <v>0</v>
      </c>
      <c r="G133" s="55">
        <v>1364</v>
      </c>
      <c r="H133" s="55">
        <v>166</v>
      </c>
      <c r="J133" s="54">
        <f>SUM(K133:P133)</f>
        <v>6</v>
      </c>
      <c r="K133" s="55">
        <v>2</v>
      </c>
      <c r="L133" s="55">
        <v>2</v>
      </c>
      <c r="M133" s="55">
        <v>0</v>
      </c>
      <c r="N133" s="55">
        <v>0</v>
      </c>
      <c r="O133" s="55">
        <v>2</v>
      </c>
      <c r="P133" s="55">
        <v>0</v>
      </c>
      <c r="R133" s="61">
        <f>SUM(C133/B133)</f>
        <v>0.38931162626083882</v>
      </c>
      <c r="S133" s="61">
        <f>SUM(D133/B133)</f>
        <v>0.3399398336577597</v>
      </c>
      <c r="T133" s="61">
        <f>SUM(E133/B133)</f>
        <v>0</v>
      </c>
      <c r="U133" s="61">
        <f>SUM(F133/B133)</f>
        <v>0</v>
      </c>
      <c r="V133" s="61">
        <f>SUM(G133/B133)</f>
        <v>0.24137320828172004</v>
      </c>
      <c r="W133" s="61">
        <f>SUM(H133/B133)</f>
        <v>2.9375331799681471E-2</v>
      </c>
    </row>
    <row r="134" spans="1:23">
      <c r="A134" s="56" t="s">
        <v>1637</v>
      </c>
      <c r="B134" s="54">
        <f>SUM(C134:H134)</f>
        <v>3583</v>
      </c>
      <c r="C134" s="55">
        <v>435</v>
      </c>
      <c r="D134" s="55">
        <v>1126</v>
      </c>
      <c r="E134" s="55">
        <v>0</v>
      </c>
      <c r="F134" s="55">
        <v>0</v>
      </c>
      <c r="G134" s="55">
        <v>774</v>
      </c>
      <c r="H134" s="55">
        <v>1248</v>
      </c>
      <c r="J134" s="54">
        <f>SUM(K134:P134)</f>
        <v>5</v>
      </c>
      <c r="K134" s="55">
        <v>1</v>
      </c>
      <c r="L134" s="55">
        <v>2</v>
      </c>
      <c r="M134" s="55">
        <v>0</v>
      </c>
      <c r="N134" s="55">
        <v>0</v>
      </c>
      <c r="O134" s="55">
        <v>1</v>
      </c>
      <c r="P134" s="55">
        <v>1</v>
      </c>
      <c r="R134" s="61">
        <f>SUM(C134/B134)</f>
        <v>0.12140664247837007</v>
      </c>
      <c r="S134" s="61">
        <f>SUM(D134/B134)</f>
        <v>0.31426179179458552</v>
      </c>
      <c r="T134" s="61">
        <f>SUM(E134/B134)</f>
        <v>0</v>
      </c>
      <c r="U134" s="61">
        <f>SUM(F134/B134)</f>
        <v>0</v>
      </c>
      <c r="V134" s="61">
        <f>SUM(G134/B134)</f>
        <v>0.21602009489254814</v>
      </c>
      <c r="W134" s="61">
        <f>SUM(H134/B134)</f>
        <v>0.34831147083449621</v>
      </c>
    </row>
    <row r="135" spans="1:23">
      <c r="A135" s="56" t="s">
        <v>1638</v>
      </c>
      <c r="B135" s="54">
        <f>SUM(C135:H135)</f>
        <v>6184</v>
      </c>
      <c r="C135" s="55">
        <v>1093</v>
      </c>
      <c r="D135" s="55">
        <v>1855</v>
      </c>
      <c r="E135" s="55">
        <v>0</v>
      </c>
      <c r="F135" s="55">
        <v>0</v>
      </c>
      <c r="G135" s="55">
        <v>1491</v>
      </c>
      <c r="H135" s="55">
        <v>1745</v>
      </c>
      <c r="J135" s="54">
        <f>SUM(K135:P135)</f>
        <v>6</v>
      </c>
      <c r="K135" s="55">
        <v>1</v>
      </c>
      <c r="L135" s="55">
        <v>2</v>
      </c>
      <c r="M135" s="55">
        <v>0</v>
      </c>
      <c r="N135" s="55">
        <v>0</v>
      </c>
      <c r="O135" s="55">
        <v>2</v>
      </c>
      <c r="P135" s="55">
        <v>1</v>
      </c>
      <c r="R135" s="61">
        <f>SUM(C135/B135)</f>
        <v>0.17674644243208279</v>
      </c>
      <c r="S135" s="61">
        <f>SUM(D135/B135)</f>
        <v>0.29996765847347995</v>
      </c>
      <c r="T135" s="61">
        <f>SUM(E135/B135)</f>
        <v>0</v>
      </c>
      <c r="U135" s="61">
        <f>SUM(F135/B135)</f>
        <v>0</v>
      </c>
      <c r="V135" s="61">
        <f>SUM(G135/B135)</f>
        <v>0.24110608020698576</v>
      </c>
      <c r="W135" s="61">
        <f>SUM(H135/B135)</f>
        <v>0.28217981888745147</v>
      </c>
    </row>
    <row r="136" spans="1:23" s="52" customFormat="1">
      <c r="A136" s="53" t="s">
        <v>1639</v>
      </c>
      <c r="B136" s="54">
        <f>SUM(B133:B135)</f>
        <v>15418</v>
      </c>
      <c r="C136" s="54">
        <f t="shared" ref="C136:O136" si="41">SUM(C133:C135)</f>
        <v>3728</v>
      </c>
      <c r="D136" s="54">
        <f>SUM(D133:D135)</f>
        <v>4902</v>
      </c>
      <c r="E136" s="54">
        <f t="shared" si="41"/>
        <v>0</v>
      </c>
      <c r="F136" s="54">
        <f t="shared" si="41"/>
        <v>0</v>
      </c>
      <c r="G136" s="54">
        <f t="shared" si="41"/>
        <v>3629</v>
      </c>
      <c r="H136" s="54">
        <f>SUM(H133:H135)</f>
        <v>3159</v>
      </c>
      <c r="I136" s="54"/>
      <c r="J136" s="54">
        <f t="shared" si="41"/>
        <v>17</v>
      </c>
      <c r="K136" s="54">
        <f t="shared" si="41"/>
        <v>4</v>
      </c>
      <c r="L136" s="54">
        <f t="shared" si="41"/>
        <v>6</v>
      </c>
      <c r="M136" s="54">
        <f t="shared" si="41"/>
        <v>0</v>
      </c>
      <c r="N136" s="54">
        <f t="shared" si="41"/>
        <v>0</v>
      </c>
      <c r="O136" s="54">
        <f t="shared" si="41"/>
        <v>5</v>
      </c>
      <c r="P136" s="54">
        <f>SUM(P133:P135)</f>
        <v>2</v>
      </c>
      <c r="R136" s="60">
        <f>SUM(C136/B136)</f>
        <v>0.24179530418990791</v>
      </c>
      <c r="S136" s="60">
        <f>SUM(D136/B136)</f>
        <v>0.31794007004799585</v>
      </c>
      <c r="T136" s="60">
        <f>SUM(E136/B136)</f>
        <v>0</v>
      </c>
      <c r="U136" s="60">
        <f>SUM(F136/B136)</f>
        <v>0</v>
      </c>
      <c r="V136" s="60">
        <f>SUM(G136/B136)</f>
        <v>0.23537423790374887</v>
      </c>
      <c r="W136" s="60">
        <f>SUM(H136/B136)</f>
        <v>0.20489038785834737</v>
      </c>
    </row>
    <row r="137" spans="1:23">
      <c r="A137" s="53"/>
      <c r="B137" s="54"/>
      <c r="C137" s="55"/>
      <c r="D137" s="55"/>
      <c r="E137" s="55"/>
      <c r="F137" s="55"/>
      <c r="G137" s="55"/>
      <c r="H137" s="55"/>
      <c r="J137" s="54"/>
      <c r="K137" s="55"/>
      <c r="L137" s="55"/>
      <c r="M137" s="55"/>
      <c r="N137" s="55"/>
      <c r="O137" s="55"/>
      <c r="P137" s="55"/>
    </row>
    <row r="138" spans="1:23">
      <c r="A138" s="56" t="s">
        <v>1640</v>
      </c>
      <c r="B138" s="54">
        <f>SUM(C138:H138)</f>
        <v>10467</v>
      </c>
      <c r="C138" s="55">
        <v>2847</v>
      </c>
      <c r="D138" s="55">
        <v>2327</v>
      </c>
      <c r="E138" s="55">
        <v>2015</v>
      </c>
      <c r="F138" s="55">
        <v>1397</v>
      </c>
      <c r="G138" s="55">
        <v>547</v>
      </c>
      <c r="H138" s="55">
        <v>1334</v>
      </c>
      <c r="I138" s="55"/>
      <c r="J138" s="54">
        <f>SUM(K138:P138)</f>
        <v>7</v>
      </c>
      <c r="K138" s="55">
        <v>2</v>
      </c>
      <c r="L138" s="55">
        <v>2</v>
      </c>
      <c r="M138" s="55">
        <v>2</v>
      </c>
      <c r="N138" s="55">
        <v>1</v>
      </c>
      <c r="O138" s="55">
        <v>0</v>
      </c>
      <c r="P138" s="55">
        <v>0</v>
      </c>
      <c r="R138" s="61">
        <f>SUM(C138/B138)</f>
        <v>0.27199770707939236</v>
      </c>
      <c r="S138" s="61">
        <f>SUM(D138/B138)</f>
        <v>0.22231776058087321</v>
      </c>
      <c r="T138" s="61">
        <f>SUM(E138/B138)</f>
        <v>0.19250979268176172</v>
      </c>
      <c r="U138" s="61">
        <f>SUM(F138/B138)</f>
        <v>0.13346708703544474</v>
      </c>
      <c r="V138" s="61">
        <f>SUM(G138/B138)</f>
        <v>5.2259482182096112E-2</v>
      </c>
      <c r="W138" s="61">
        <f>SUM(H138/B138)</f>
        <v>0.12744817044043183</v>
      </c>
    </row>
    <row r="139" spans="1:23">
      <c r="A139" s="56" t="s">
        <v>1641</v>
      </c>
      <c r="B139" s="54">
        <f>SUM(C139:H139)</f>
        <v>7548</v>
      </c>
      <c r="C139" s="55">
        <v>3231</v>
      </c>
      <c r="D139" s="55">
        <v>2891</v>
      </c>
      <c r="E139" s="55">
        <v>0</v>
      </c>
      <c r="F139" s="55">
        <v>0</v>
      </c>
      <c r="G139" s="55">
        <v>761</v>
      </c>
      <c r="H139" s="55">
        <v>665</v>
      </c>
      <c r="J139" s="54">
        <f>SUM(K139:P139)</f>
        <v>5</v>
      </c>
      <c r="K139" s="55">
        <v>3</v>
      </c>
      <c r="L139" s="55">
        <v>2</v>
      </c>
      <c r="M139" s="55">
        <v>0</v>
      </c>
      <c r="N139" s="55">
        <v>0</v>
      </c>
      <c r="O139" s="55">
        <v>0</v>
      </c>
      <c r="P139" s="55">
        <v>0</v>
      </c>
      <c r="R139" s="61">
        <f>SUM(C139/B139)</f>
        <v>0.42806041335453099</v>
      </c>
      <c r="S139" s="61">
        <f>SUM(D139/B139)</f>
        <v>0.38301536830948596</v>
      </c>
      <c r="T139" s="61">
        <f>SUM(E139/B139)</f>
        <v>0</v>
      </c>
      <c r="U139" s="61">
        <f>SUM(F139/B139)</f>
        <v>0</v>
      </c>
      <c r="V139" s="61">
        <f>SUM(G139/B139)</f>
        <v>0.10082140964493906</v>
      </c>
      <c r="W139" s="61">
        <f>SUM(H139/B139)</f>
        <v>8.8102808691043991E-2</v>
      </c>
    </row>
    <row r="140" spans="1:23">
      <c r="A140" s="56" t="s">
        <v>1642</v>
      </c>
      <c r="B140" s="54">
        <f>SUM(C140:H140)</f>
        <v>7024</v>
      </c>
      <c r="C140" s="55">
        <v>784</v>
      </c>
      <c r="D140" s="55">
        <v>1918</v>
      </c>
      <c r="E140" s="55">
        <v>0</v>
      </c>
      <c r="F140" s="55">
        <v>350</v>
      </c>
      <c r="G140" s="55">
        <v>173</v>
      </c>
      <c r="H140" s="55">
        <v>3799</v>
      </c>
      <c r="J140" s="54">
        <f>SUM(K140:P140)</f>
        <v>6</v>
      </c>
      <c r="K140" s="55">
        <v>1</v>
      </c>
      <c r="L140" s="55">
        <v>2</v>
      </c>
      <c r="M140" s="55">
        <v>0</v>
      </c>
      <c r="N140" s="55">
        <v>0</v>
      </c>
      <c r="O140" s="55">
        <v>0</v>
      </c>
      <c r="P140" s="55">
        <v>3</v>
      </c>
      <c r="R140" s="61">
        <f>SUM(C140/B140)</f>
        <v>0.11161731207289294</v>
      </c>
      <c r="S140" s="61">
        <f>SUM(D140/B140)</f>
        <v>0.27306378132118453</v>
      </c>
      <c r="T140" s="61">
        <f>SUM(E140/B140)</f>
        <v>0</v>
      </c>
      <c r="U140" s="61">
        <f>SUM(F140/B140)</f>
        <v>4.9829157175398632E-2</v>
      </c>
      <c r="V140" s="61">
        <f>SUM(G140/B140)</f>
        <v>2.4629840546697038E-2</v>
      </c>
      <c r="W140" s="61">
        <f>SUM(H140/B140)</f>
        <v>0.54085990888382685</v>
      </c>
    </row>
    <row r="141" spans="1:23">
      <c r="A141" s="56" t="s">
        <v>1643</v>
      </c>
      <c r="B141" s="54">
        <f>SUM(C141:H141)</f>
        <v>9996</v>
      </c>
      <c r="C141" s="55">
        <v>3354</v>
      </c>
      <c r="D141" s="55">
        <v>2270</v>
      </c>
      <c r="E141" s="55">
        <v>0</v>
      </c>
      <c r="F141" s="55">
        <v>0</v>
      </c>
      <c r="G141" s="55">
        <v>1313</v>
      </c>
      <c r="H141" s="55">
        <v>3059</v>
      </c>
      <c r="J141" s="54">
        <f>SUM(K141:P141)</f>
        <v>7</v>
      </c>
      <c r="K141" s="55">
        <v>3</v>
      </c>
      <c r="L141" s="55">
        <v>2</v>
      </c>
      <c r="M141" s="55">
        <v>0</v>
      </c>
      <c r="N141" s="55">
        <v>0</v>
      </c>
      <c r="O141" s="55">
        <v>1</v>
      </c>
      <c r="P141" s="55">
        <v>1</v>
      </c>
      <c r="R141" s="61">
        <f>SUM(C141/B141)</f>
        <v>0.3355342136854742</v>
      </c>
      <c r="S141" s="61">
        <f>SUM(D141/B141)</f>
        <v>0.22709083633453381</v>
      </c>
      <c r="T141" s="61">
        <f>SUM(E141/B141)</f>
        <v>0</v>
      </c>
      <c r="U141" s="61">
        <f>SUM(F141/B141)</f>
        <v>0</v>
      </c>
      <c r="V141" s="61">
        <f>SUM(G141/B141)</f>
        <v>0.13135254101640656</v>
      </c>
      <c r="W141" s="61">
        <f>SUM(H141/B141)</f>
        <v>0.30602240896358546</v>
      </c>
    </row>
    <row r="142" spans="1:23" s="52" customFormat="1">
      <c r="A142" s="53" t="s">
        <v>1644</v>
      </c>
      <c r="B142" s="54">
        <f>SUM(B138:B141)</f>
        <v>35035</v>
      </c>
      <c r="C142" s="54">
        <f t="shared" ref="C142:O142" si="42">SUM(C138:C141)</f>
        <v>10216</v>
      </c>
      <c r="D142" s="54">
        <f>SUM(D138:D141)</f>
        <v>9406</v>
      </c>
      <c r="E142" s="54">
        <f t="shared" si="42"/>
        <v>2015</v>
      </c>
      <c r="F142" s="54">
        <f t="shared" si="42"/>
        <v>1747</v>
      </c>
      <c r="G142" s="54">
        <f t="shared" si="42"/>
        <v>2794</v>
      </c>
      <c r="H142" s="54">
        <f>SUM(H138:H141)</f>
        <v>8857</v>
      </c>
      <c r="I142" s="54"/>
      <c r="J142" s="54">
        <f t="shared" si="42"/>
        <v>25</v>
      </c>
      <c r="K142" s="54">
        <f t="shared" si="42"/>
        <v>9</v>
      </c>
      <c r="L142" s="54">
        <f t="shared" si="42"/>
        <v>8</v>
      </c>
      <c r="M142" s="54">
        <f t="shared" si="42"/>
        <v>2</v>
      </c>
      <c r="N142" s="54">
        <f t="shared" si="42"/>
        <v>1</v>
      </c>
      <c r="O142" s="54">
        <f t="shared" si="42"/>
        <v>1</v>
      </c>
      <c r="P142" s="54">
        <f>SUM(P138:P141)</f>
        <v>4</v>
      </c>
      <c r="R142" s="60">
        <f>SUM(C142/B142)</f>
        <v>0.29159412016554875</v>
      </c>
      <c r="S142" s="60">
        <f>SUM(D142/B142)</f>
        <v>0.26847438276009705</v>
      </c>
      <c r="T142" s="60">
        <f>SUM(E142/B142)</f>
        <v>5.7513914656771803E-2</v>
      </c>
      <c r="U142" s="60">
        <f>SUM(F142/B142)</f>
        <v>4.9864421292992719E-2</v>
      </c>
      <c r="V142" s="60">
        <f>SUM(G142/B142)</f>
        <v>7.9748822605965469E-2</v>
      </c>
      <c r="W142" s="60">
        <f>SUM(H142/B142)</f>
        <v>0.25280433851862422</v>
      </c>
    </row>
    <row r="143" spans="1:23">
      <c r="A143" s="53"/>
      <c r="B143" s="54"/>
      <c r="C143" s="55"/>
      <c r="D143" s="55"/>
      <c r="E143" s="55"/>
      <c r="F143" s="55"/>
      <c r="G143" s="55"/>
      <c r="H143" s="55"/>
      <c r="J143" s="54"/>
      <c r="K143" s="55"/>
      <c r="L143" s="55"/>
      <c r="M143" s="55"/>
      <c r="N143" s="55"/>
      <c r="O143" s="55"/>
      <c r="P143" s="55"/>
    </row>
    <row r="144" spans="1:23">
      <c r="A144" s="56" t="s">
        <v>1645</v>
      </c>
      <c r="B144" s="54">
        <f t="shared" ref="B144:B152" si="43">SUM(C144:H144)</f>
        <v>9752</v>
      </c>
      <c r="C144" s="55">
        <v>2249</v>
      </c>
      <c r="D144" s="55">
        <v>3325</v>
      </c>
      <c r="E144" s="55">
        <v>0</v>
      </c>
      <c r="F144" s="55">
        <v>269</v>
      </c>
      <c r="G144" s="55">
        <v>0</v>
      </c>
      <c r="H144" s="55">
        <v>3909</v>
      </c>
      <c r="J144" s="54">
        <f t="shared" ref="J144:J152" si="44">SUM(K144:P144)</f>
        <v>5</v>
      </c>
      <c r="K144" s="55">
        <v>1</v>
      </c>
      <c r="L144" s="55">
        <v>2</v>
      </c>
      <c r="M144" s="55">
        <v>0</v>
      </c>
      <c r="N144" s="55">
        <v>0</v>
      </c>
      <c r="O144" s="55">
        <v>0</v>
      </c>
      <c r="P144" s="55">
        <v>2</v>
      </c>
      <c r="R144" s="61">
        <f t="shared" ref="R144:R153" si="45">SUM(C144/B144)</f>
        <v>0.23061936013125511</v>
      </c>
      <c r="S144" s="61">
        <f t="shared" ref="S144:S153" si="46">SUM(D144/B144)</f>
        <v>0.34095570139458575</v>
      </c>
      <c r="T144" s="61">
        <f t="shared" ref="T144:T153" si="47">SUM(E144/B144)</f>
        <v>0</v>
      </c>
      <c r="U144" s="61">
        <f t="shared" ref="U144:U153" si="48">SUM(F144/B144)</f>
        <v>2.7584085315832649E-2</v>
      </c>
      <c r="V144" s="61">
        <f t="shared" ref="V144:V153" si="49">SUM(G144/B144)</f>
        <v>0</v>
      </c>
      <c r="W144" s="61">
        <f t="shared" ref="W144:W153" si="50">SUM(H144/B144)</f>
        <v>0.40084085315832652</v>
      </c>
    </row>
    <row r="145" spans="1:23">
      <c r="A145" s="56" t="s">
        <v>1646</v>
      </c>
      <c r="B145" s="54">
        <f t="shared" si="43"/>
        <v>12968</v>
      </c>
      <c r="C145" s="55">
        <v>3656</v>
      </c>
      <c r="D145" s="55">
        <v>4700</v>
      </c>
      <c r="E145" s="55">
        <v>459</v>
      </c>
      <c r="F145" s="55">
        <v>1264</v>
      </c>
      <c r="G145" s="55">
        <v>693</v>
      </c>
      <c r="H145" s="55">
        <v>2196</v>
      </c>
      <c r="J145" s="54">
        <f t="shared" si="44"/>
        <v>6</v>
      </c>
      <c r="K145" s="55">
        <v>2</v>
      </c>
      <c r="L145" s="55">
        <v>2</v>
      </c>
      <c r="M145" s="55">
        <v>0</v>
      </c>
      <c r="N145" s="55">
        <v>1</v>
      </c>
      <c r="O145" s="55">
        <v>0</v>
      </c>
      <c r="P145" s="55">
        <v>1</v>
      </c>
      <c r="R145" s="61">
        <f t="shared" si="45"/>
        <v>0.28192473781616284</v>
      </c>
      <c r="S145" s="61">
        <f t="shared" si="46"/>
        <v>0.3624305983960518</v>
      </c>
      <c r="T145" s="61">
        <f t="shared" si="47"/>
        <v>3.5394818013571867E-2</v>
      </c>
      <c r="U145" s="61">
        <f t="shared" si="48"/>
        <v>9.7470697100555212E-2</v>
      </c>
      <c r="V145" s="61">
        <f t="shared" si="49"/>
        <v>5.3439235040098704E-2</v>
      </c>
      <c r="W145" s="61">
        <f t="shared" si="50"/>
        <v>0.16933991363355952</v>
      </c>
    </row>
    <row r="146" spans="1:23">
      <c r="A146" s="56" t="s">
        <v>1647</v>
      </c>
      <c r="B146" s="54">
        <f t="shared" si="43"/>
        <v>16909</v>
      </c>
      <c r="C146" s="55">
        <v>6190</v>
      </c>
      <c r="D146" s="55">
        <v>4744</v>
      </c>
      <c r="E146" s="55">
        <v>305</v>
      </c>
      <c r="F146" s="55">
        <v>0</v>
      </c>
      <c r="G146" s="55">
        <v>3848</v>
      </c>
      <c r="H146" s="55">
        <v>1822</v>
      </c>
      <c r="J146" s="54">
        <f t="shared" si="44"/>
        <v>7</v>
      </c>
      <c r="K146" s="55">
        <v>3</v>
      </c>
      <c r="L146" s="55">
        <v>2</v>
      </c>
      <c r="M146" s="55">
        <v>0</v>
      </c>
      <c r="N146" s="55">
        <v>0</v>
      </c>
      <c r="O146" s="55">
        <v>2</v>
      </c>
      <c r="P146" s="55">
        <v>0</v>
      </c>
      <c r="R146" s="61">
        <f t="shared" si="45"/>
        <v>0.36607723697439232</v>
      </c>
      <c r="S146" s="61">
        <f t="shared" si="46"/>
        <v>0.28056064817552784</v>
      </c>
      <c r="T146" s="61">
        <f t="shared" si="47"/>
        <v>1.8037731385652612E-2</v>
      </c>
      <c r="U146" s="61">
        <f t="shared" si="48"/>
        <v>0</v>
      </c>
      <c r="V146" s="61">
        <f t="shared" si="49"/>
        <v>0.2275711159737418</v>
      </c>
      <c r="W146" s="61">
        <f t="shared" si="50"/>
        <v>0.10775326749068544</v>
      </c>
    </row>
    <row r="147" spans="1:23">
      <c r="A147" s="56" t="s">
        <v>1648</v>
      </c>
      <c r="B147" s="54">
        <f t="shared" si="43"/>
        <v>13614</v>
      </c>
      <c r="C147" s="55">
        <v>4719</v>
      </c>
      <c r="D147" s="55">
        <v>1377</v>
      </c>
      <c r="E147" s="55">
        <v>4064</v>
      </c>
      <c r="F147" s="55">
        <v>1349</v>
      </c>
      <c r="G147" s="55">
        <v>1684</v>
      </c>
      <c r="H147" s="55">
        <v>421</v>
      </c>
      <c r="J147" s="54">
        <f t="shared" si="44"/>
        <v>6</v>
      </c>
      <c r="K147" s="55">
        <v>2</v>
      </c>
      <c r="L147" s="55">
        <v>1</v>
      </c>
      <c r="M147" s="55">
        <v>2</v>
      </c>
      <c r="N147" s="55">
        <v>0</v>
      </c>
      <c r="O147" s="55">
        <v>1</v>
      </c>
      <c r="P147" s="55">
        <v>0</v>
      </c>
      <c r="R147" s="61">
        <f t="shared" si="45"/>
        <v>0.34662847069193475</v>
      </c>
      <c r="S147" s="61">
        <f t="shared" si="46"/>
        <v>0.10114587924195681</v>
      </c>
      <c r="T147" s="61">
        <f t="shared" si="47"/>
        <v>0.29851623328926108</v>
      </c>
      <c r="U147" s="61">
        <f t="shared" si="48"/>
        <v>9.9089172910239456E-2</v>
      </c>
      <c r="V147" s="61">
        <f t="shared" si="49"/>
        <v>0.12369619509328632</v>
      </c>
      <c r="W147" s="61">
        <f t="shared" si="50"/>
        <v>3.092404877332158E-2</v>
      </c>
    </row>
    <row r="148" spans="1:23">
      <c r="A148" s="56" t="s">
        <v>1649</v>
      </c>
      <c r="B148" s="54">
        <f t="shared" si="43"/>
        <v>14132</v>
      </c>
      <c r="C148" s="55">
        <v>1550</v>
      </c>
      <c r="D148" s="55">
        <v>4708</v>
      </c>
      <c r="E148" s="55">
        <v>3923</v>
      </c>
      <c r="F148" s="55">
        <v>1991</v>
      </c>
      <c r="G148" s="55">
        <v>984</v>
      </c>
      <c r="H148" s="55">
        <v>976</v>
      </c>
      <c r="J148" s="54">
        <f t="shared" si="44"/>
        <v>6</v>
      </c>
      <c r="K148" s="55">
        <v>1</v>
      </c>
      <c r="L148" s="55">
        <v>2</v>
      </c>
      <c r="M148" s="55">
        <v>2</v>
      </c>
      <c r="N148" s="55">
        <v>1</v>
      </c>
      <c r="O148" s="55">
        <v>0</v>
      </c>
      <c r="P148" s="55">
        <v>0</v>
      </c>
      <c r="R148" s="61">
        <f t="shared" si="45"/>
        <v>0.10968015850551939</v>
      </c>
      <c r="S148" s="61">
        <f t="shared" si="46"/>
        <v>0.33314463628644214</v>
      </c>
      <c r="T148" s="61">
        <f t="shared" si="47"/>
        <v>0.27759694310784039</v>
      </c>
      <c r="U148" s="61">
        <f t="shared" si="48"/>
        <v>0.14088593263515425</v>
      </c>
      <c r="V148" s="61">
        <f t="shared" si="49"/>
        <v>6.9629210302858763E-2</v>
      </c>
      <c r="W148" s="61">
        <f t="shared" si="50"/>
        <v>6.9063119162185119E-2</v>
      </c>
    </row>
    <row r="149" spans="1:23">
      <c r="A149" s="56" t="s">
        <v>1650</v>
      </c>
      <c r="B149" s="54">
        <f t="shared" si="43"/>
        <v>15975</v>
      </c>
      <c r="C149" s="55">
        <v>1116</v>
      </c>
      <c r="D149" s="55">
        <v>2392</v>
      </c>
      <c r="E149" s="55">
        <v>3046</v>
      </c>
      <c r="F149" s="55">
        <v>7477</v>
      </c>
      <c r="G149" s="55">
        <v>160</v>
      </c>
      <c r="H149" s="55">
        <v>1784</v>
      </c>
      <c r="J149" s="54">
        <f t="shared" si="44"/>
        <v>6</v>
      </c>
      <c r="K149" s="55">
        <v>0</v>
      </c>
      <c r="L149" s="55">
        <v>1</v>
      </c>
      <c r="M149" s="55">
        <v>1</v>
      </c>
      <c r="N149" s="55">
        <v>3</v>
      </c>
      <c r="O149" s="55">
        <v>0</v>
      </c>
      <c r="P149" s="55">
        <v>1</v>
      </c>
      <c r="R149" s="61">
        <f t="shared" si="45"/>
        <v>6.9859154929577463E-2</v>
      </c>
      <c r="S149" s="61">
        <f t="shared" si="46"/>
        <v>0.14973395931142411</v>
      </c>
      <c r="T149" s="61">
        <f t="shared" si="47"/>
        <v>0.19067292644757433</v>
      </c>
      <c r="U149" s="61">
        <f t="shared" si="48"/>
        <v>0.46804381846635368</v>
      </c>
      <c r="V149" s="61">
        <f t="shared" si="49"/>
        <v>1.001564945226917E-2</v>
      </c>
      <c r="W149" s="61">
        <f t="shared" si="50"/>
        <v>0.11167449139280125</v>
      </c>
    </row>
    <row r="150" spans="1:23">
      <c r="A150" s="56" t="s">
        <v>1651</v>
      </c>
      <c r="B150" s="54">
        <f t="shared" si="43"/>
        <v>10832</v>
      </c>
      <c r="C150" s="55">
        <v>2838</v>
      </c>
      <c r="D150" s="55">
        <v>882</v>
      </c>
      <c r="E150" s="55">
        <v>3123</v>
      </c>
      <c r="F150" s="55">
        <v>1748</v>
      </c>
      <c r="G150" s="55">
        <v>825</v>
      </c>
      <c r="H150" s="55">
        <v>1416</v>
      </c>
      <c r="J150" s="54">
        <f t="shared" si="44"/>
        <v>5</v>
      </c>
      <c r="K150" s="55">
        <v>2</v>
      </c>
      <c r="L150" s="55">
        <v>0</v>
      </c>
      <c r="M150" s="55">
        <v>2</v>
      </c>
      <c r="N150" s="55">
        <v>1</v>
      </c>
      <c r="O150" s="55">
        <v>0</v>
      </c>
      <c r="P150" s="55">
        <v>0</v>
      </c>
      <c r="R150" s="61">
        <f t="shared" si="45"/>
        <v>0.26200147710487443</v>
      </c>
      <c r="S150" s="61">
        <f t="shared" si="46"/>
        <v>8.1425406203840478E-2</v>
      </c>
      <c r="T150" s="61">
        <f t="shared" si="47"/>
        <v>0.28831240768094535</v>
      </c>
      <c r="U150" s="61">
        <f t="shared" si="48"/>
        <v>0.16137370753323485</v>
      </c>
      <c r="V150" s="61">
        <f t="shared" si="49"/>
        <v>7.6163220088626291E-2</v>
      </c>
      <c r="W150" s="61">
        <f t="shared" si="50"/>
        <v>0.13072378138847859</v>
      </c>
    </row>
    <row r="151" spans="1:23">
      <c r="A151" s="56" t="s">
        <v>1652</v>
      </c>
      <c r="B151" s="54">
        <f t="shared" si="43"/>
        <v>15358</v>
      </c>
      <c r="C151" s="55">
        <v>0</v>
      </c>
      <c r="D151" s="55">
        <v>0</v>
      </c>
      <c r="E151" s="55">
        <v>4372</v>
      </c>
      <c r="F151" s="55">
        <v>10485</v>
      </c>
      <c r="G151" s="55">
        <v>136</v>
      </c>
      <c r="H151" s="55">
        <v>365</v>
      </c>
      <c r="I151" s="55"/>
      <c r="J151" s="54">
        <f t="shared" si="44"/>
        <v>5</v>
      </c>
      <c r="K151" s="55">
        <v>0</v>
      </c>
      <c r="L151" s="55">
        <v>0</v>
      </c>
      <c r="M151" s="55">
        <v>1</v>
      </c>
      <c r="N151" s="55">
        <v>4</v>
      </c>
      <c r="O151" s="55">
        <v>0</v>
      </c>
      <c r="P151" s="55">
        <v>0</v>
      </c>
      <c r="R151" s="61">
        <f t="shared" si="45"/>
        <v>0</v>
      </c>
      <c r="S151" s="61">
        <f t="shared" si="46"/>
        <v>0</v>
      </c>
      <c r="T151" s="61">
        <f t="shared" si="47"/>
        <v>0.28467248339627554</v>
      </c>
      <c r="U151" s="61">
        <f t="shared" si="48"/>
        <v>0.6827060815210314</v>
      </c>
      <c r="V151" s="61">
        <f t="shared" si="49"/>
        <v>8.8553197030863395E-3</v>
      </c>
      <c r="W151" s="61">
        <f t="shared" si="50"/>
        <v>2.3766115379606718E-2</v>
      </c>
    </row>
    <row r="152" spans="1:23">
      <c r="A152" s="56" t="s">
        <v>1653</v>
      </c>
      <c r="B152" s="54">
        <f t="shared" si="43"/>
        <v>12648</v>
      </c>
      <c r="C152" s="55">
        <v>0</v>
      </c>
      <c r="D152" s="55">
        <v>0</v>
      </c>
      <c r="E152" s="55">
        <v>2016</v>
      </c>
      <c r="F152" s="55">
        <v>10144</v>
      </c>
      <c r="G152" s="55">
        <v>0</v>
      </c>
      <c r="H152" s="55">
        <v>488</v>
      </c>
      <c r="J152" s="54">
        <f t="shared" si="44"/>
        <v>5</v>
      </c>
      <c r="K152" s="55">
        <v>0</v>
      </c>
      <c r="L152" s="55">
        <v>0</v>
      </c>
      <c r="M152" s="55">
        <v>1</v>
      </c>
      <c r="N152" s="55">
        <v>4</v>
      </c>
      <c r="O152" s="55">
        <v>0</v>
      </c>
      <c r="P152" s="55">
        <v>0</v>
      </c>
      <c r="R152" s="61">
        <f t="shared" si="45"/>
        <v>0</v>
      </c>
      <c r="S152" s="61">
        <f t="shared" si="46"/>
        <v>0</v>
      </c>
      <c r="T152" s="61">
        <f t="shared" si="47"/>
        <v>0.15939278937381404</v>
      </c>
      <c r="U152" s="61">
        <f t="shared" si="48"/>
        <v>0.80202403542061984</v>
      </c>
      <c r="V152" s="61">
        <f t="shared" si="49"/>
        <v>0</v>
      </c>
      <c r="W152" s="61">
        <f t="shared" si="50"/>
        <v>3.8583175205566096E-2</v>
      </c>
    </row>
    <row r="153" spans="1:23" s="52" customFormat="1">
      <c r="A153" s="53" t="s">
        <v>1654</v>
      </c>
      <c r="B153" s="54">
        <f>SUM(B144:B152)</f>
        <v>122188</v>
      </c>
      <c r="C153" s="54">
        <f t="shared" ref="C153:O153" si="51">SUM(C144:C152)</f>
        <v>22318</v>
      </c>
      <c r="D153" s="54">
        <f>SUM(D144:D152)</f>
        <v>22128</v>
      </c>
      <c r="E153" s="54">
        <f t="shared" si="51"/>
        <v>21308</v>
      </c>
      <c r="F153" s="54">
        <f t="shared" si="51"/>
        <v>34727</v>
      </c>
      <c r="G153" s="54">
        <f t="shared" si="51"/>
        <v>8330</v>
      </c>
      <c r="H153" s="54">
        <f>SUM(H144:H152)</f>
        <v>13377</v>
      </c>
      <c r="I153" s="54"/>
      <c r="J153" s="54">
        <f t="shared" si="51"/>
        <v>51</v>
      </c>
      <c r="K153" s="54">
        <f t="shared" si="51"/>
        <v>11</v>
      </c>
      <c r="L153" s="54">
        <f t="shared" si="51"/>
        <v>10</v>
      </c>
      <c r="M153" s="54">
        <f t="shared" si="51"/>
        <v>9</v>
      </c>
      <c r="N153" s="54">
        <f t="shared" si="51"/>
        <v>14</v>
      </c>
      <c r="O153" s="54">
        <f t="shared" si="51"/>
        <v>3</v>
      </c>
      <c r="P153" s="54">
        <f>SUM(P144:P152)</f>
        <v>4</v>
      </c>
      <c r="R153" s="60">
        <f t="shared" si="45"/>
        <v>0.18265296101090123</v>
      </c>
      <c r="S153" s="60">
        <f t="shared" si="46"/>
        <v>0.18109798016171802</v>
      </c>
      <c r="T153" s="60">
        <f t="shared" si="47"/>
        <v>0.1743870101810325</v>
      </c>
      <c r="U153" s="60">
        <f t="shared" si="48"/>
        <v>0.28420957868203095</v>
      </c>
      <c r="V153" s="60">
        <f t="shared" si="49"/>
        <v>6.817363407208564E-2</v>
      </c>
      <c r="W153" s="60">
        <f t="shared" si="50"/>
        <v>0.10947883589223165</v>
      </c>
    </row>
    <row r="154" spans="1:23">
      <c r="A154" s="53"/>
      <c r="B154" s="54"/>
      <c r="C154" s="55"/>
      <c r="D154" s="55"/>
      <c r="E154" s="55"/>
      <c r="F154" s="55"/>
      <c r="G154" s="55"/>
      <c r="H154" s="55"/>
      <c r="J154" s="54"/>
      <c r="K154" s="55"/>
      <c r="L154" s="55"/>
      <c r="M154" s="55"/>
      <c r="N154" s="55"/>
      <c r="O154" s="55"/>
      <c r="P154" s="55"/>
    </row>
    <row r="155" spans="1:23" s="52" customFormat="1">
      <c r="A155" s="53" t="s">
        <v>1255</v>
      </c>
      <c r="B155" s="54">
        <f>SUM(B153+B142+B136+B131+B126+B121+B116+B110+B105+B99+B93+B87+B80+B74+B69+B63+B56+B50+B44+B39+B32+B27+B22+B16+B11+B6)</f>
        <v>790518</v>
      </c>
      <c r="C155" s="54">
        <f t="shared" ref="C155:O155" si="52">SUM(C153+C142+C136+C131+C126+C121+C116+C110+C105+C99+C93+C87+C80+C74+C69+C63+C56+C50+C44+C39+C32+C27+C22+C16+C11+C6)</f>
        <v>181336</v>
      </c>
      <c r="D155" s="54">
        <f>SUM(D153+D142+D136+D131+D126+D121+D116+D110+D105+D99+D93+D87+D80+D74+D69+D63+D56+D50+D44+D39+D32+D27+D22+D16+D11+D6)</f>
        <v>169927</v>
      </c>
      <c r="E155" s="54">
        <f t="shared" si="52"/>
        <v>153424</v>
      </c>
      <c r="F155" s="54">
        <f t="shared" si="52"/>
        <v>163269</v>
      </c>
      <c r="G155" s="54">
        <f t="shared" si="52"/>
        <v>40443</v>
      </c>
      <c r="H155" s="54">
        <f>SUM(H153+H142+H136+H131+H126+H121+H116+H110+H105+H99+H93+H87+H80+H74+H69+H63+H56+H50+H44+H39+H32+H27+H22+H16+H11+H6)</f>
        <v>82119</v>
      </c>
      <c r="I155" s="54"/>
      <c r="J155" s="54">
        <f t="shared" si="52"/>
        <v>582</v>
      </c>
      <c r="K155" s="54">
        <f t="shared" si="52"/>
        <v>154</v>
      </c>
      <c r="L155" s="54">
        <f t="shared" si="52"/>
        <v>131</v>
      </c>
      <c r="M155" s="54">
        <f t="shared" si="52"/>
        <v>117</v>
      </c>
      <c r="N155" s="54">
        <f t="shared" si="52"/>
        <v>108</v>
      </c>
      <c r="O155" s="54">
        <f t="shared" si="52"/>
        <v>28</v>
      </c>
      <c r="P155" s="54">
        <f>SUM(P153+P142+P136+P131+P126+P121+P116+P110+P105+P99+P93+P87+P80+P74+P69+P63+P56+P50+P44+P39+P32+P27+P22+P16+P11+P6)</f>
        <v>44</v>
      </c>
      <c r="R155" s="60">
        <f>SUM(C155/B155)</f>
        <v>0.22938883112086</v>
      </c>
      <c r="S155" s="60">
        <f>SUM(D155/B155)</f>
        <v>0.21495652217912811</v>
      </c>
      <c r="T155" s="60">
        <f>SUM(E155/B155)</f>
        <v>0.19408033719662299</v>
      </c>
      <c r="U155" s="60">
        <f>SUM(F155/B155)</f>
        <v>0.20653419656478411</v>
      </c>
      <c r="V155" s="60">
        <f>SUM(G155/B155)</f>
        <v>5.1160125386139212E-2</v>
      </c>
      <c r="W155" s="60">
        <f>SUM(H155/B155)</f>
        <v>0.10387998755246559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 codeName="Sheet5"/>
  <dimension ref="A1:W155"/>
  <sheetViews>
    <sheetView workbookViewId="0">
      <pane ySplit="1" topLeftCell="A130" activePane="bottomLeft" state="frozen"/>
      <selection pane="bottomLeft" activeCell="I154" sqref="I154"/>
    </sheetView>
  </sheetViews>
  <sheetFormatPr defaultRowHeight="15"/>
  <cols>
    <col min="1" max="1" width="23.85546875" style="47" customWidth="1"/>
    <col min="2" max="2" width="8.7109375" style="47" customWidth="1"/>
    <col min="3" max="6" width="8.7109375" customWidth="1"/>
    <col min="7" max="7" width="7.7109375" customWidth="1"/>
    <col min="8" max="8" width="7.85546875" customWidth="1"/>
    <col min="9" max="9" width="3.7109375" customWidth="1"/>
    <col min="10" max="10" width="6.7109375" style="47" customWidth="1"/>
    <col min="11" max="16" width="5.7109375" customWidth="1"/>
    <col min="17" max="17" width="3.7109375" customWidth="1"/>
    <col min="18" max="23" width="7.7109375" style="61" customWidth="1"/>
  </cols>
  <sheetData>
    <row r="1" spans="1:23">
      <c r="A1" s="47" t="s">
        <v>1528</v>
      </c>
      <c r="B1" s="47" t="s">
        <v>1248</v>
      </c>
      <c r="C1" s="49" t="s">
        <v>1257</v>
      </c>
      <c r="D1" s="50" t="s">
        <v>1258</v>
      </c>
      <c r="E1" s="48" t="s">
        <v>1261</v>
      </c>
      <c r="F1" s="65" t="s">
        <v>1247</v>
      </c>
      <c r="G1" s="66" t="s">
        <v>1529</v>
      </c>
      <c r="H1" s="52" t="s">
        <v>1254</v>
      </c>
      <c r="I1" s="47"/>
      <c r="J1" s="47" t="s">
        <v>1250</v>
      </c>
      <c r="K1" s="49" t="s">
        <v>1257</v>
      </c>
      <c r="L1" s="50" t="s">
        <v>1258</v>
      </c>
      <c r="M1" s="48" t="s">
        <v>1261</v>
      </c>
      <c r="N1" s="65" t="s">
        <v>1247</v>
      </c>
      <c r="O1" s="66" t="s">
        <v>1269</v>
      </c>
      <c r="P1" s="52" t="s">
        <v>1254</v>
      </c>
      <c r="R1" s="49" t="s">
        <v>1257</v>
      </c>
      <c r="S1" s="50" t="s">
        <v>1258</v>
      </c>
      <c r="T1" s="48" t="s">
        <v>1261</v>
      </c>
      <c r="U1" s="65" t="s">
        <v>1247</v>
      </c>
      <c r="V1" s="66" t="s">
        <v>1529</v>
      </c>
      <c r="W1" s="60" t="s">
        <v>1254</v>
      </c>
    </row>
    <row r="2" spans="1:23">
      <c r="A2" s="56" t="s">
        <v>1534</v>
      </c>
      <c r="B2" s="54">
        <f>SUM(C2:H2)</f>
        <v>8182</v>
      </c>
      <c r="C2" s="55">
        <v>2967</v>
      </c>
      <c r="D2" s="55">
        <v>369</v>
      </c>
      <c r="E2" s="55">
        <v>1252</v>
      </c>
      <c r="F2" s="55">
        <v>2685</v>
      </c>
      <c r="G2" s="55">
        <v>0</v>
      </c>
      <c r="H2" s="55">
        <v>909</v>
      </c>
      <c r="J2" s="54">
        <f>SUM(K2:P2)</f>
        <v>6</v>
      </c>
      <c r="K2" s="55">
        <v>2</v>
      </c>
      <c r="L2" s="55">
        <v>0</v>
      </c>
      <c r="M2" s="55">
        <v>1</v>
      </c>
      <c r="N2" s="55">
        <v>2</v>
      </c>
      <c r="O2" s="55">
        <v>0</v>
      </c>
      <c r="P2" s="55">
        <v>1</v>
      </c>
      <c r="R2" s="61">
        <f>SUM(C2/B2)</f>
        <v>0.36262527499388902</v>
      </c>
      <c r="S2" s="61">
        <f>SUM(D2/B2)</f>
        <v>4.509899780004889E-2</v>
      </c>
      <c r="T2" s="61">
        <f>SUM(E2/B2)</f>
        <v>0.15301882180395993</v>
      </c>
      <c r="U2" s="61">
        <f>SUM(F2/B2)</f>
        <v>0.32815937423612807</v>
      </c>
      <c r="V2" s="61">
        <f>SUM(G2/B2)</f>
        <v>0</v>
      </c>
      <c r="W2" s="61">
        <f>SUM(H2/B2)</f>
        <v>0.11109753116597409</v>
      </c>
    </row>
    <row r="3" spans="1:23">
      <c r="A3" s="56" t="s">
        <v>1535</v>
      </c>
      <c r="B3" s="54">
        <f>SUM(C3:H3)</f>
        <v>6063</v>
      </c>
      <c r="C3" s="55">
        <v>2763</v>
      </c>
      <c r="D3" s="55">
        <v>1013</v>
      </c>
      <c r="E3" s="55">
        <v>1459</v>
      </c>
      <c r="F3" s="55">
        <v>730</v>
      </c>
      <c r="G3" s="55">
        <v>98</v>
      </c>
      <c r="H3" s="55">
        <v>0</v>
      </c>
      <c r="J3" s="54">
        <f>SUM(K3:P3)</f>
        <v>5</v>
      </c>
      <c r="K3" s="55">
        <v>2</v>
      </c>
      <c r="L3" s="55">
        <v>1</v>
      </c>
      <c r="M3" s="55">
        <v>1</v>
      </c>
      <c r="N3" s="55">
        <v>1</v>
      </c>
      <c r="O3" s="55">
        <v>0</v>
      </c>
      <c r="P3" s="55">
        <v>0</v>
      </c>
      <c r="R3" s="61">
        <f>SUM(C3/B3)</f>
        <v>0.45571499257793174</v>
      </c>
      <c r="S3" s="61">
        <f>SUM(D3/B3)</f>
        <v>0.16707900379350157</v>
      </c>
      <c r="T3" s="61">
        <f>SUM(E3/B3)</f>
        <v>0.24063994722084778</v>
      </c>
      <c r="U3" s="61">
        <f>SUM(F3/B3)</f>
        <v>0.12040244103579087</v>
      </c>
      <c r="V3" s="61">
        <f>SUM(G3/B3)</f>
        <v>1.6163615371928088E-2</v>
      </c>
      <c r="W3" s="61">
        <f>SUM(H3/B3)</f>
        <v>0</v>
      </c>
    </row>
    <row r="4" spans="1:23">
      <c r="A4" s="56" t="s">
        <v>1536</v>
      </c>
      <c r="B4" s="54">
        <f>SUM(C4:H4)</f>
        <v>6767</v>
      </c>
      <c r="C4" s="55">
        <v>2228</v>
      </c>
      <c r="D4" s="55">
        <v>0</v>
      </c>
      <c r="E4" s="55">
        <v>1071</v>
      </c>
      <c r="F4" s="55">
        <v>2042</v>
      </c>
      <c r="G4" s="55">
        <v>0</v>
      </c>
      <c r="H4" s="55">
        <v>1426</v>
      </c>
      <c r="J4" s="54">
        <f>SUM(K4:P4)</f>
        <v>5</v>
      </c>
      <c r="K4" s="55">
        <v>2</v>
      </c>
      <c r="L4" s="55">
        <v>0</v>
      </c>
      <c r="M4" s="55">
        <v>1</v>
      </c>
      <c r="N4" s="55">
        <v>1</v>
      </c>
      <c r="O4" s="55">
        <v>0</v>
      </c>
      <c r="P4" s="55">
        <v>1</v>
      </c>
      <c r="R4" s="61">
        <f>SUM(C4/B4)</f>
        <v>0.32924486478498594</v>
      </c>
      <c r="S4" s="61">
        <f>SUM(D4/B4)</f>
        <v>0</v>
      </c>
      <c r="T4" s="61">
        <f>SUM(E4/B4)</f>
        <v>0.1582680656125314</v>
      </c>
      <c r="U4" s="61">
        <f>SUM(F4/B4)</f>
        <v>0.30175853406236147</v>
      </c>
      <c r="V4" s="61">
        <f>SUM(G4/B4)</f>
        <v>0</v>
      </c>
      <c r="W4" s="61">
        <f>SUM(H4/B4)</f>
        <v>0.21072853554012116</v>
      </c>
    </row>
    <row r="5" spans="1:23">
      <c r="A5" s="56" t="s">
        <v>1537</v>
      </c>
      <c r="B5" s="54">
        <f>SUM(C5:H5)</f>
        <v>7812</v>
      </c>
      <c r="C5" s="55">
        <v>3684</v>
      </c>
      <c r="D5" s="55">
        <v>741</v>
      </c>
      <c r="E5" s="55">
        <v>1194</v>
      </c>
      <c r="F5" s="55">
        <v>1313</v>
      </c>
      <c r="G5" s="55">
        <v>156</v>
      </c>
      <c r="H5" s="55">
        <v>724</v>
      </c>
      <c r="I5" s="55"/>
      <c r="J5" s="54">
        <f>SUM(K5:P5)</f>
        <v>7</v>
      </c>
      <c r="K5" s="55">
        <v>3</v>
      </c>
      <c r="L5" s="55">
        <v>1</v>
      </c>
      <c r="M5" s="55">
        <v>1</v>
      </c>
      <c r="N5" s="55">
        <v>1</v>
      </c>
      <c r="O5" s="55">
        <v>0</v>
      </c>
      <c r="P5" s="55">
        <v>1</v>
      </c>
      <c r="R5" s="61">
        <f>SUM(C5/B5)</f>
        <v>0.47158218125960061</v>
      </c>
      <c r="S5" s="61">
        <f>SUM(D5/B5)</f>
        <v>9.4854070660522274E-2</v>
      </c>
      <c r="T5" s="61">
        <f>SUM(E5/B5)</f>
        <v>0.15284178187403993</v>
      </c>
      <c r="U5" s="61">
        <f>SUM(F5/B5)</f>
        <v>0.1680747567844342</v>
      </c>
      <c r="V5" s="61">
        <f>SUM(G5/B5)</f>
        <v>1.9969278033794162E-2</v>
      </c>
      <c r="W5" s="61">
        <f>SUM(H5/B5)</f>
        <v>9.2677931387608811E-2</v>
      </c>
    </row>
    <row r="6" spans="1:23" s="52" customFormat="1">
      <c r="A6" s="53" t="s">
        <v>1532</v>
      </c>
      <c r="B6" s="54">
        <f>SUM(B2:B5)</f>
        <v>28824</v>
      </c>
      <c r="C6" s="54">
        <f t="shared" ref="C6:O6" si="0">SUM(C2:C5)</f>
        <v>11642</v>
      </c>
      <c r="D6" s="54">
        <f>SUM(D2:D5)</f>
        <v>2123</v>
      </c>
      <c r="E6" s="54">
        <f t="shared" si="0"/>
        <v>4976</v>
      </c>
      <c r="F6" s="54">
        <f t="shared" si="0"/>
        <v>6770</v>
      </c>
      <c r="G6" s="54">
        <f t="shared" si="0"/>
        <v>254</v>
      </c>
      <c r="H6" s="54">
        <f>SUM(H2:H5)</f>
        <v>3059</v>
      </c>
      <c r="I6" s="54"/>
      <c r="J6" s="54">
        <f t="shared" si="0"/>
        <v>23</v>
      </c>
      <c r="K6" s="54">
        <f t="shared" si="0"/>
        <v>9</v>
      </c>
      <c r="L6" s="54">
        <f t="shared" si="0"/>
        <v>2</v>
      </c>
      <c r="M6" s="54">
        <f t="shared" si="0"/>
        <v>4</v>
      </c>
      <c r="N6" s="54">
        <f t="shared" si="0"/>
        <v>5</v>
      </c>
      <c r="O6" s="54">
        <f t="shared" si="0"/>
        <v>0</v>
      </c>
      <c r="P6" s="54">
        <f>SUM(P2:P5)</f>
        <v>3</v>
      </c>
      <c r="R6" s="60">
        <f>SUM(C6/B6)</f>
        <v>0.40389952817096864</v>
      </c>
      <c r="S6" s="60">
        <f>SUM(D6/B6)</f>
        <v>7.3653899528170974E-2</v>
      </c>
      <c r="T6" s="60">
        <f>SUM(E6/B6)</f>
        <v>0.1726339161809603</v>
      </c>
      <c r="U6" s="60">
        <f>SUM(F6/B6)</f>
        <v>0.23487371634748822</v>
      </c>
      <c r="V6" s="60">
        <f>SUM(G6/B6)</f>
        <v>8.812101026922009E-3</v>
      </c>
      <c r="W6" s="60">
        <f>SUM(H6/B6)</f>
        <v>0.10612683874548987</v>
      </c>
    </row>
    <row r="7" spans="1:23">
      <c r="A7" s="53"/>
      <c r="B7" s="54"/>
      <c r="C7" s="55"/>
      <c r="D7" s="55"/>
      <c r="E7" s="55"/>
      <c r="F7" s="55"/>
      <c r="G7" s="55"/>
      <c r="H7" s="55"/>
      <c r="J7" s="54"/>
      <c r="K7" s="55"/>
      <c r="L7" s="55"/>
      <c r="M7" s="55"/>
      <c r="N7" s="55"/>
      <c r="O7" s="55"/>
      <c r="P7" s="55"/>
    </row>
    <row r="8" spans="1:23">
      <c r="A8" s="56" t="s">
        <v>1538</v>
      </c>
      <c r="B8" s="54">
        <f>SUM(C8:H8)</f>
        <v>7640</v>
      </c>
      <c r="C8" s="55">
        <v>1970</v>
      </c>
      <c r="D8" s="55">
        <v>1114</v>
      </c>
      <c r="E8" s="55">
        <v>1884</v>
      </c>
      <c r="F8" s="55">
        <v>1858</v>
      </c>
      <c r="G8" s="55">
        <v>216</v>
      </c>
      <c r="H8" s="55">
        <v>598</v>
      </c>
      <c r="J8" s="54">
        <f>SUM(K8:P8)</f>
        <v>7</v>
      </c>
      <c r="K8" s="55">
        <v>2</v>
      </c>
      <c r="L8" s="55">
        <v>1</v>
      </c>
      <c r="M8" s="55">
        <v>2</v>
      </c>
      <c r="N8" s="55">
        <v>2</v>
      </c>
      <c r="O8" s="55">
        <v>0</v>
      </c>
      <c r="P8" s="55">
        <v>0</v>
      </c>
      <c r="R8" s="61">
        <f>SUM(C8/B8)</f>
        <v>0.25785340314136124</v>
      </c>
      <c r="S8" s="61">
        <f>SUM(D8/B8)</f>
        <v>0.14581151832460734</v>
      </c>
      <c r="T8" s="61">
        <f>SUM(E8/B8)</f>
        <v>0.24659685863874345</v>
      </c>
      <c r="U8" s="61">
        <f>SUM(F8/B8)</f>
        <v>0.2431937172774869</v>
      </c>
      <c r="V8" s="61">
        <f>SUM(G8/B8)</f>
        <v>2.8272251308900525E-2</v>
      </c>
      <c r="W8" s="61">
        <f>SUM(H8/B8)</f>
        <v>7.8272251308900517E-2</v>
      </c>
    </row>
    <row r="9" spans="1:23">
      <c r="A9" s="56" t="s">
        <v>1539</v>
      </c>
      <c r="B9" s="54">
        <f>SUM(C9:H9)</f>
        <v>8200</v>
      </c>
      <c r="C9" s="55">
        <v>1200</v>
      </c>
      <c r="D9" s="55">
        <v>827</v>
      </c>
      <c r="E9" s="55">
        <v>1548</v>
      </c>
      <c r="F9" s="55">
        <v>3866</v>
      </c>
      <c r="G9" s="55">
        <v>57</v>
      </c>
      <c r="H9" s="55">
        <v>702</v>
      </c>
      <c r="J9" s="54">
        <f>SUM(K9:P9)</f>
        <v>7</v>
      </c>
      <c r="K9" s="55">
        <v>1</v>
      </c>
      <c r="L9" s="55">
        <v>1</v>
      </c>
      <c r="M9" s="55">
        <v>2</v>
      </c>
      <c r="N9" s="55">
        <v>3</v>
      </c>
      <c r="O9" s="55">
        <v>0</v>
      </c>
      <c r="P9" s="55">
        <v>0</v>
      </c>
      <c r="R9" s="61">
        <f>SUM(C9/B9)</f>
        <v>0.14634146341463414</v>
      </c>
      <c r="S9" s="61">
        <f>SUM(D9/B9)</f>
        <v>0.10085365853658537</v>
      </c>
      <c r="T9" s="61">
        <f>SUM(E9/B9)</f>
        <v>0.18878048780487805</v>
      </c>
      <c r="U9" s="61">
        <f>SUM(F9/B9)</f>
        <v>0.47146341463414632</v>
      </c>
      <c r="V9" s="61">
        <f>SUM(G9/B9)</f>
        <v>6.9512195121951221E-3</v>
      </c>
      <c r="W9" s="61">
        <f>SUM(H9/B9)</f>
        <v>8.5609756097560982E-2</v>
      </c>
    </row>
    <row r="10" spans="1:23">
      <c r="A10" s="56" t="s">
        <v>1530</v>
      </c>
      <c r="B10" s="54">
        <f>SUM(C10:H10)</f>
        <v>6505</v>
      </c>
      <c r="C10" s="55">
        <v>1053</v>
      </c>
      <c r="D10" s="55">
        <v>1318</v>
      </c>
      <c r="E10" s="55">
        <v>1751</v>
      </c>
      <c r="F10" s="55">
        <v>1300</v>
      </c>
      <c r="G10" s="55">
        <v>471</v>
      </c>
      <c r="H10" s="55">
        <v>612</v>
      </c>
      <c r="J10" s="54">
        <f>SUM(K10:P10)</f>
        <v>7</v>
      </c>
      <c r="K10" s="55">
        <v>1</v>
      </c>
      <c r="L10" s="55">
        <v>1</v>
      </c>
      <c r="M10" s="55">
        <v>2</v>
      </c>
      <c r="N10" s="55">
        <v>1</v>
      </c>
      <c r="O10" s="55">
        <v>1</v>
      </c>
      <c r="P10" s="55">
        <v>1</v>
      </c>
      <c r="R10" s="61">
        <f>SUM(C10/B10)</f>
        <v>0.16187548039969255</v>
      </c>
      <c r="S10" s="61">
        <f>SUM(D10/B10)</f>
        <v>0.20261337432744042</v>
      </c>
      <c r="T10" s="61">
        <f>SUM(E10/B10)</f>
        <v>0.26917755572636431</v>
      </c>
      <c r="U10" s="61">
        <f>SUM(F10/B10)</f>
        <v>0.19984627209838585</v>
      </c>
      <c r="V10" s="61">
        <f>SUM(G10/B10)</f>
        <v>7.2405841660261344E-2</v>
      </c>
      <c r="W10" s="61">
        <f>SUM(H10/B10)</f>
        <v>9.4081475787855501E-2</v>
      </c>
    </row>
    <row r="11" spans="1:23" s="52" customFormat="1">
      <c r="A11" s="53" t="s">
        <v>1531</v>
      </c>
      <c r="B11" s="54">
        <f>SUM(B8:B10)</f>
        <v>22345</v>
      </c>
      <c r="C11" s="54">
        <f t="shared" ref="C11:O11" si="1">SUM(C8:C10)</f>
        <v>4223</v>
      </c>
      <c r="D11" s="54">
        <f>SUM(D8:D10)</f>
        <v>3259</v>
      </c>
      <c r="E11" s="54">
        <f t="shared" si="1"/>
        <v>5183</v>
      </c>
      <c r="F11" s="54">
        <f t="shared" si="1"/>
        <v>7024</v>
      </c>
      <c r="G11" s="54">
        <f t="shared" si="1"/>
        <v>744</v>
      </c>
      <c r="H11" s="54">
        <f>SUM(H8:H10)</f>
        <v>1912</v>
      </c>
      <c r="I11" s="54"/>
      <c r="J11" s="54">
        <f t="shared" si="1"/>
        <v>21</v>
      </c>
      <c r="K11" s="54">
        <f t="shared" si="1"/>
        <v>4</v>
      </c>
      <c r="L11" s="54">
        <f t="shared" si="1"/>
        <v>3</v>
      </c>
      <c r="M11" s="54">
        <f t="shared" si="1"/>
        <v>6</v>
      </c>
      <c r="N11" s="54">
        <f t="shared" si="1"/>
        <v>6</v>
      </c>
      <c r="O11" s="54">
        <f t="shared" si="1"/>
        <v>1</v>
      </c>
      <c r="P11" s="54">
        <f>SUM(P8:P10)</f>
        <v>1</v>
      </c>
      <c r="R11" s="60">
        <f>SUM(C11/B11)</f>
        <v>0.1889908256880734</v>
      </c>
      <c r="S11" s="60">
        <f>SUM(D11/B11)</f>
        <v>0.14584918326247481</v>
      </c>
      <c r="T11" s="60">
        <f>SUM(E11/B11)</f>
        <v>0.23195345714925039</v>
      </c>
      <c r="U11" s="60">
        <f>SUM(F11/B11)</f>
        <v>0.31434325352427839</v>
      </c>
      <c r="V11" s="60">
        <f>SUM(G11/B11)</f>
        <v>3.3296039382412171E-2</v>
      </c>
      <c r="W11" s="60">
        <f>SUM(H11/B11)</f>
        <v>8.5567240993510846E-2</v>
      </c>
    </row>
    <row r="12" spans="1:23">
      <c r="A12" s="53"/>
      <c r="B12" s="54"/>
      <c r="C12" s="55"/>
      <c r="D12" s="55"/>
      <c r="E12" s="55"/>
      <c r="F12" s="55"/>
      <c r="G12" s="55"/>
      <c r="H12" s="55"/>
      <c r="J12" s="54"/>
      <c r="K12" s="55"/>
      <c r="L12" s="55"/>
      <c r="M12" s="55"/>
      <c r="N12" s="55"/>
      <c r="O12" s="55"/>
      <c r="P12" s="55"/>
    </row>
    <row r="13" spans="1:23">
      <c r="A13" s="56" t="s">
        <v>1540</v>
      </c>
      <c r="B13" s="54">
        <f>SUM(C13:H13)</f>
        <v>6176</v>
      </c>
      <c r="C13" s="55">
        <v>2085</v>
      </c>
      <c r="D13" s="55">
        <v>1043</v>
      </c>
      <c r="E13" s="55">
        <v>1063</v>
      </c>
      <c r="F13" s="55">
        <v>1985</v>
      </c>
      <c r="G13" s="55">
        <v>0</v>
      </c>
      <c r="H13" s="55">
        <v>0</v>
      </c>
      <c r="J13" s="54">
        <f>SUM(K13:P13)</f>
        <v>5</v>
      </c>
      <c r="K13" s="55">
        <v>2</v>
      </c>
      <c r="L13" s="55">
        <v>1</v>
      </c>
      <c r="M13" s="55">
        <v>1</v>
      </c>
      <c r="N13" s="55">
        <v>1</v>
      </c>
      <c r="O13" s="55">
        <v>0</v>
      </c>
      <c r="P13" s="55">
        <v>0</v>
      </c>
      <c r="R13" s="61">
        <f>SUM(C13/B13)</f>
        <v>0.33759715025906734</v>
      </c>
      <c r="S13" s="61">
        <f>SUM(D13/B13)</f>
        <v>0.16887953367875647</v>
      </c>
      <c r="T13" s="61">
        <f>SUM(E13/B13)</f>
        <v>0.17211787564766839</v>
      </c>
      <c r="U13" s="61">
        <f>SUM(F13/B13)</f>
        <v>0.32140544041450775</v>
      </c>
      <c r="V13" s="61">
        <f>SUM(G13/B13)</f>
        <v>0</v>
      </c>
      <c r="W13" s="61">
        <f>SUM(H13/B13)</f>
        <v>0</v>
      </c>
    </row>
    <row r="14" spans="1:23">
      <c r="A14" s="56" t="s">
        <v>1541</v>
      </c>
      <c r="B14" s="54">
        <f>SUM(C14:H14)</f>
        <v>5915</v>
      </c>
      <c r="C14" s="55">
        <v>1637</v>
      </c>
      <c r="D14" s="55">
        <v>1778</v>
      </c>
      <c r="E14" s="55">
        <v>1155</v>
      </c>
      <c r="F14" s="55">
        <v>1144</v>
      </c>
      <c r="G14" s="55">
        <v>87</v>
      </c>
      <c r="H14" s="55">
        <v>114</v>
      </c>
      <c r="J14" s="54">
        <f>SUM(K14:P14)</f>
        <v>5</v>
      </c>
      <c r="K14" s="55">
        <v>1</v>
      </c>
      <c r="L14" s="55">
        <v>2</v>
      </c>
      <c r="M14" s="55">
        <v>1</v>
      </c>
      <c r="N14" s="55">
        <v>1</v>
      </c>
      <c r="O14" s="55">
        <v>0</v>
      </c>
      <c r="P14" s="55">
        <v>0</v>
      </c>
      <c r="R14" s="61">
        <f>SUM(C14/B14)</f>
        <v>0.27675401521555365</v>
      </c>
      <c r="S14" s="61">
        <f>SUM(D14/B14)</f>
        <v>0.30059171597633139</v>
      </c>
      <c r="T14" s="61">
        <f>SUM(E14/B14)</f>
        <v>0.19526627218934911</v>
      </c>
      <c r="U14" s="61">
        <f>SUM(F14/B14)</f>
        <v>0.19340659340659341</v>
      </c>
      <c r="V14" s="61">
        <f>SUM(G14/B14)</f>
        <v>1.4708368554522401E-2</v>
      </c>
      <c r="W14" s="61">
        <f>SUM(H14/B14)</f>
        <v>1.9273034657650043E-2</v>
      </c>
    </row>
    <row r="15" spans="1:23">
      <c r="A15" s="56" t="s">
        <v>1655</v>
      </c>
      <c r="B15" s="54">
        <f>SUM(C15:H15)</f>
        <v>7144</v>
      </c>
      <c r="C15" s="55">
        <v>825</v>
      </c>
      <c r="D15" s="55">
        <v>0</v>
      </c>
      <c r="E15" s="55">
        <v>2188</v>
      </c>
      <c r="F15" s="55">
        <v>3235</v>
      </c>
      <c r="G15" s="55">
        <v>95</v>
      </c>
      <c r="H15" s="55">
        <v>801</v>
      </c>
      <c r="J15" s="54">
        <f>SUM(K15:P15)</f>
        <v>6</v>
      </c>
      <c r="K15" s="55">
        <v>0</v>
      </c>
      <c r="L15" s="55">
        <v>0</v>
      </c>
      <c r="M15" s="55">
        <v>3</v>
      </c>
      <c r="N15" s="55">
        <v>2</v>
      </c>
      <c r="O15" s="55">
        <v>0</v>
      </c>
      <c r="P15" s="55">
        <v>1</v>
      </c>
      <c r="R15" s="61">
        <f>SUM(C15/B15)</f>
        <v>0.11548152295632699</v>
      </c>
      <c r="S15" s="61">
        <f>SUM(D15/B15)</f>
        <v>0</v>
      </c>
      <c r="T15" s="61">
        <f>SUM(E15/B15)</f>
        <v>0.30627099664053753</v>
      </c>
      <c r="U15" s="61">
        <f>SUM(F15/B15)</f>
        <v>0.45282754759238519</v>
      </c>
      <c r="V15" s="61">
        <f>SUM(G15/B15)</f>
        <v>1.3297872340425532E-2</v>
      </c>
      <c r="W15" s="61">
        <f>SUM(H15/B15)</f>
        <v>0.11212206047032475</v>
      </c>
    </row>
    <row r="16" spans="1:23" s="52" customFormat="1">
      <c r="A16" s="53" t="s">
        <v>1533</v>
      </c>
      <c r="B16" s="54">
        <f>SUM(B13:B15)</f>
        <v>19235</v>
      </c>
      <c r="C16" s="54">
        <f t="shared" ref="C16:O16" si="2">SUM(C13:C15)</f>
        <v>4547</v>
      </c>
      <c r="D16" s="54">
        <f>SUM(D13:D15)</f>
        <v>2821</v>
      </c>
      <c r="E16" s="54">
        <f t="shared" si="2"/>
        <v>4406</v>
      </c>
      <c r="F16" s="54">
        <f t="shared" si="2"/>
        <v>6364</v>
      </c>
      <c r="G16" s="54">
        <f t="shared" si="2"/>
        <v>182</v>
      </c>
      <c r="H16" s="54">
        <f>SUM(H13:H15)</f>
        <v>915</v>
      </c>
      <c r="I16" s="54"/>
      <c r="J16" s="54">
        <f t="shared" si="2"/>
        <v>16</v>
      </c>
      <c r="K16" s="54">
        <f t="shared" si="2"/>
        <v>3</v>
      </c>
      <c r="L16" s="54">
        <f t="shared" si="2"/>
        <v>3</v>
      </c>
      <c r="M16" s="54">
        <f t="shared" si="2"/>
        <v>5</v>
      </c>
      <c r="N16" s="54">
        <f t="shared" si="2"/>
        <v>4</v>
      </c>
      <c r="O16" s="54">
        <f t="shared" si="2"/>
        <v>0</v>
      </c>
      <c r="P16" s="54">
        <f>SUM(P13:P15)</f>
        <v>1</v>
      </c>
      <c r="R16" s="60">
        <f>SUM(C16/B16)</f>
        <v>0.23639199376137249</v>
      </c>
      <c r="S16" s="60">
        <f>SUM(D16/B16)</f>
        <v>0.14665973485833117</v>
      </c>
      <c r="T16" s="60">
        <f>SUM(E16/B16)</f>
        <v>0.22906160644658174</v>
      </c>
      <c r="U16" s="60">
        <f>SUM(F16/B16)</f>
        <v>0.33085521185339223</v>
      </c>
      <c r="V16" s="60">
        <f>SUM(G16/B16)</f>
        <v>9.4619183779568496E-3</v>
      </c>
      <c r="W16" s="60">
        <f>SUM(H16/B16)</f>
        <v>4.7569534702365482E-2</v>
      </c>
    </row>
    <row r="17" spans="1:23">
      <c r="A17" s="53"/>
      <c r="B17" s="54"/>
      <c r="C17" s="55"/>
      <c r="D17" s="55"/>
      <c r="E17" s="55"/>
      <c r="F17" s="55"/>
      <c r="G17" s="55"/>
      <c r="H17" s="55"/>
      <c r="J17" s="54"/>
      <c r="K17" s="55"/>
      <c r="L17" s="55"/>
      <c r="M17" s="55"/>
      <c r="N17" s="55"/>
      <c r="O17" s="55"/>
      <c r="P17" s="55"/>
    </row>
    <row r="18" spans="1:23">
      <c r="A18" s="56" t="s">
        <v>1542</v>
      </c>
      <c r="B18" s="54">
        <f>SUM(C18:H18)</f>
        <v>5892</v>
      </c>
      <c r="C18" s="55">
        <v>1954</v>
      </c>
      <c r="D18" s="55">
        <v>989</v>
      </c>
      <c r="E18" s="55">
        <v>1582</v>
      </c>
      <c r="F18" s="55">
        <v>1367</v>
      </c>
      <c r="G18" s="55">
        <v>0</v>
      </c>
      <c r="H18" s="55">
        <v>0</v>
      </c>
      <c r="J18" s="54">
        <f>SUM(K18:P18)</f>
        <v>5</v>
      </c>
      <c r="K18" s="55">
        <v>2</v>
      </c>
      <c r="L18" s="55">
        <v>1</v>
      </c>
      <c r="M18" s="55">
        <v>1</v>
      </c>
      <c r="N18" s="55">
        <v>1</v>
      </c>
      <c r="O18" s="55">
        <v>0</v>
      </c>
      <c r="P18" s="55">
        <v>0</v>
      </c>
      <c r="R18" s="61">
        <f>SUM(C18/B18)</f>
        <v>0.33163611676849963</v>
      </c>
      <c r="S18" s="61">
        <f>SUM(D18/B18)</f>
        <v>0.16785471826205023</v>
      </c>
      <c r="T18" s="61">
        <f>SUM(E18/B18)</f>
        <v>0.26849966055668706</v>
      </c>
      <c r="U18" s="61">
        <f>SUM(F18/B18)</f>
        <v>0.23200950441276308</v>
      </c>
      <c r="V18" s="61">
        <f>SUM(G18/B18)</f>
        <v>0</v>
      </c>
      <c r="W18" s="61">
        <f>SUM(H18/B18)</f>
        <v>0</v>
      </c>
    </row>
    <row r="19" spans="1:23">
      <c r="A19" s="56" t="s">
        <v>1543</v>
      </c>
      <c r="B19" s="54">
        <f>SUM(C19:H19)</f>
        <v>5928</v>
      </c>
      <c r="C19" s="55">
        <v>2562</v>
      </c>
      <c r="D19" s="55">
        <v>1496</v>
      </c>
      <c r="E19" s="55">
        <v>950</v>
      </c>
      <c r="F19" s="55">
        <v>920</v>
      </c>
      <c r="G19" s="55">
        <v>0</v>
      </c>
      <c r="H19" s="55">
        <v>0</v>
      </c>
      <c r="J19" s="54">
        <f>SUM(K19:P19)</f>
        <v>5</v>
      </c>
      <c r="K19" s="55">
        <v>3</v>
      </c>
      <c r="L19" s="55">
        <v>1</v>
      </c>
      <c r="M19" s="55">
        <v>1</v>
      </c>
      <c r="N19" s="55">
        <v>0</v>
      </c>
      <c r="O19" s="55">
        <v>0</v>
      </c>
      <c r="P19" s="55">
        <v>0</v>
      </c>
      <c r="R19" s="61">
        <f>SUM(C19/B19)</f>
        <v>0.43218623481781376</v>
      </c>
      <c r="S19" s="61">
        <f>SUM(D19/B19)</f>
        <v>0.25236167341430499</v>
      </c>
      <c r="T19" s="61">
        <f>SUM(E19/B19)</f>
        <v>0.16025641025641027</v>
      </c>
      <c r="U19" s="61">
        <f>SUM(F19/B19)</f>
        <v>0.15519568151147098</v>
      </c>
      <c r="V19" s="61">
        <f>SUM(G19/B19)</f>
        <v>0</v>
      </c>
      <c r="W19" s="61">
        <f>SUM(H19/B19)</f>
        <v>0</v>
      </c>
    </row>
    <row r="20" spans="1:23">
      <c r="A20" s="56" t="s">
        <v>1544</v>
      </c>
      <c r="B20" s="54">
        <f>SUM(C20:H20)</f>
        <v>5530</v>
      </c>
      <c r="C20" s="55">
        <v>1717</v>
      </c>
      <c r="D20" s="55">
        <v>955</v>
      </c>
      <c r="E20" s="55">
        <v>821</v>
      </c>
      <c r="F20" s="55">
        <v>1356</v>
      </c>
      <c r="G20" s="55">
        <v>269</v>
      </c>
      <c r="H20" s="55">
        <v>412</v>
      </c>
      <c r="J20" s="54">
        <f>SUM(K20:P20)</f>
        <v>6</v>
      </c>
      <c r="K20" s="55">
        <v>2</v>
      </c>
      <c r="L20" s="55">
        <v>1</v>
      </c>
      <c r="M20" s="55">
        <v>1</v>
      </c>
      <c r="N20" s="55">
        <v>1</v>
      </c>
      <c r="O20" s="55">
        <v>0</v>
      </c>
      <c r="P20" s="55">
        <v>1</v>
      </c>
      <c r="R20" s="61">
        <f>SUM(C20/B20)</f>
        <v>0.31048824593128388</v>
      </c>
      <c r="S20" s="61">
        <f>SUM(D20/B20)</f>
        <v>0.17269439421338156</v>
      </c>
      <c r="T20" s="61">
        <f>SUM(E20/B20)</f>
        <v>0.1484629294755877</v>
      </c>
      <c r="U20" s="61">
        <f>SUM(F20/B20)</f>
        <v>0.24520795660036165</v>
      </c>
      <c r="V20" s="61">
        <f>SUM(G20/B20)</f>
        <v>4.864376130198915E-2</v>
      </c>
      <c r="W20" s="61">
        <f>SUM(H20/B20)</f>
        <v>7.4502712477396024E-2</v>
      </c>
    </row>
    <row r="21" spans="1:23">
      <c r="A21" s="56" t="s">
        <v>1545</v>
      </c>
      <c r="B21" s="54">
        <f>SUM(C21:H21)</f>
        <v>7303</v>
      </c>
      <c r="C21" s="55">
        <v>1212</v>
      </c>
      <c r="D21" s="55">
        <v>0</v>
      </c>
      <c r="E21" s="55">
        <v>1115</v>
      </c>
      <c r="F21" s="55">
        <v>3793</v>
      </c>
      <c r="G21" s="55">
        <v>0</v>
      </c>
      <c r="H21" s="55">
        <v>1183</v>
      </c>
      <c r="J21" s="54">
        <f>SUM(K21:P21)</f>
        <v>6</v>
      </c>
      <c r="K21" s="55">
        <v>1</v>
      </c>
      <c r="L21" s="55">
        <v>0</v>
      </c>
      <c r="M21" s="55">
        <v>1</v>
      </c>
      <c r="N21" s="55">
        <v>3</v>
      </c>
      <c r="O21" s="55">
        <v>0</v>
      </c>
      <c r="P21" s="55">
        <v>1</v>
      </c>
      <c r="R21" s="61">
        <f>SUM(C21/B21)</f>
        <v>0.16595919485143093</v>
      </c>
      <c r="S21" s="61">
        <f>SUM(D21/B21)</f>
        <v>0</v>
      </c>
      <c r="T21" s="61">
        <f>SUM(E21/B21)</f>
        <v>0.15267698206216623</v>
      </c>
      <c r="U21" s="61">
        <f>SUM(F21/B21)</f>
        <v>0.51937559906887576</v>
      </c>
      <c r="V21" s="61">
        <f>SUM(G21/B21)</f>
        <v>0</v>
      </c>
      <c r="W21" s="61">
        <f>SUM(H21/B21)</f>
        <v>0.16198822401752705</v>
      </c>
    </row>
    <row r="22" spans="1:23" s="52" customFormat="1">
      <c r="A22" s="53" t="s">
        <v>1546</v>
      </c>
      <c r="B22" s="54">
        <f>SUM(B18:B21)</f>
        <v>24653</v>
      </c>
      <c r="C22" s="54">
        <f t="shared" ref="C22:O22" si="3">SUM(C18:C21)</f>
        <v>7445</v>
      </c>
      <c r="D22" s="54">
        <f>SUM(D18:D21)</f>
        <v>3440</v>
      </c>
      <c r="E22" s="54">
        <f t="shared" si="3"/>
        <v>4468</v>
      </c>
      <c r="F22" s="54">
        <f t="shared" si="3"/>
        <v>7436</v>
      </c>
      <c r="G22" s="54">
        <f t="shared" si="3"/>
        <v>269</v>
      </c>
      <c r="H22" s="54">
        <f>SUM(H18:H21)</f>
        <v>1595</v>
      </c>
      <c r="I22" s="54"/>
      <c r="J22" s="54">
        <f t="shared" si="3"/>
        <v>22</v>
      </c>
      <c r="K22" s="54">
        <f t="shared" si="3"/>
        <v>8</v>
      </c>
      <c r="L22" s="54">
        <f t="shared" si="3"/>
        <v>3</v>
      </c>
      <c r="M22" s="54">
        <f t="shared" si="3"/>
        <v>4</v>
      </c>
      <c r="N22" s="54">
        <f t="shared" si="3"/>
        <v>5</v>
      </c>
      <c r="O22" s="54">
        <f t="shared" si="3"/>
        <v>0</v>
      </c>
      <c r="P22" s="54">
        <f>SUM(P18:P21)</f>
        <v>2</v>
      </c>
      <c r="R22" s="60">
        <f>SUM(C22/B22)</f>
        <v>0.30199164401898348</v>
      </c>
      <c r="S22" s="60">
        <f>SUM(D22/B22)</f>
        <v>0.13953677037277409</v>
      </c>
      <c r="T22" s="60">
        <f>SUM(E22/B22)</f>
        <v>0.18123554942603334</v>
      </c>
      <c r="U22" s="60">
        <f>SUM(F22/B22)</f>
        <v>0.30162657688719424</v>
      </c>
      <c r="V22" s="60">
        <f>SUM(G22/B22)</f>
        <v>1.091145093903379E-2</v>
      </c>
      <c r="W22" s="60">
        <f>SUM(H22/B22)</f>
        <v>6.469800835598101E-2</v>
      </c>
    </row>
    <row r="23" spans="1:23">
      <c r="A23" s="53"/>
      <c r="B23" s="54"/>
      <c r="C23" s="55"/>
      <c r="D23" s="55"/>
      <c r="E23" s="55"/>
      <c r="F23" s="55"/>
      <c r="G23" s="55"/>
      <c r="H23" s="55"/>
      <c r="J23" s="54"/>
      <c r="K23" s="55"/>
      <c r="L23" s="55"/>
      <c r="M23" s="55"/>
      <c r="N23" s="55"/>
      <c r="O23" s="55"/>
      <c r="P23" s="55"/>
    </row>
    <row r="24" spans="1:23">
      <c r="A24" s="56" t="s">
        <v>1547</v>
      </c>
      <c r="B24" s="54">
        <f>SUM(C24:H24)</f>
        <v>6968</v>
      </c>
      <c r="C24" s="55">
        <v>1353</v>
      </c>
      <c r="D24" s="55">
        <v>1495</v>
      </c>
      <c r="E24" s="55">
        <v>2052</v>
      </c>
      <c r="F24" s="55">
        <v>2015</v>
      </c>
      <c r="G24" s="55">
        <v>0</v>
      </c>
      <c r="H24" s="55">
        <v>53</v>
      </c>
      <c r="J24" s="54">
        <f>SUM(K24:P24)</f>
        <v>6</v>
      </c>
      <c r="K24" s="55">
        <v>1</v>
      </c>
      <c r="L24" s="55">
        <v>1</v>
      </c>
      <c r="M24" s="55">
        <v>2</v>
      </c>
      <c r="N24" s="55">
        <v>2</v>
      </c>
      <c r="O24" s="55">
        <v>0</v>
      </c>
      <c r="P24" s="55">
        <v>0</v>
      </c>
      <c r="R24" s="61">
        <f>SUM(C24/B24)</f>
        <v>0.19417336394948334</v>
      </c>
      <c r="S24" s="61">
        <f>SUM(D24/B24)</f>
        <v>0.21455223880597016</v>
      </c>
      <c r="T24" s="61">
        <f>SUM(E24/B24)</f>
        <v>0.29448909299655568</v>
      </c>
      <c r="U24" s="61">
        <f>SUM(F24/B24)</f>
        <v>0.28917910447761191</v>
      </c>
      <c r="V24" s="61">
        <f>SUM(G24/B24)</f>
        <v>0</v>
      </c>
      <c r="W24" s="61">
        <f>SUM(H24/B24)</f>
        <v>7.6061997703788745E-3</v>
      </c>
    </row>
    <row r="25" spans="1:23">
      <c r="A25" s="56" t="s">
        <v>1548</v>
      </c>
      <c r="B25" s="54">
        <f>SUM(C25:H25)</f>
        <v>5411</v>
      </c>
      <c r="C25" s="55">
        <v>1173</v>
      </c>
      <c r="D25" s="55">
        <v>686</v>
      </c>
      <c r="E25" s="55">
        <v>1072</v>
      </c>
      <c r="F25" s="55">
        <v>1739</v>
      </c>
      <c r="G25" s="55">
        <v>0</v>
      </c>
      <c r="H25" s="55">
        <v>741</v>
      </c>
      <c r="J25" s="54">
        <f>SUM(K25:P25)</f>
        <v>5</v>
      </c>
      <c r="K25" s="55">
        <v>1</v>
      </c>
      <c r="L25" s="55">
        <v>0</v>
      </c>
      <c r="M25" s="55">
        <v>1</v>
      </c>
      <c r="N25" s="55">
        <v>2</v>
      </c>
      <c r="O25" s="55">
        <v>0</v>
      </c>
      <c r="P25" s="55">
        <v>1</v>
      </c>
      <c r="R25" s="61">
        <f>SUM(C25/B25)</f>
        <v>0.21678063204583256</v>
      </c>
      <c r="S25" s="61">
        <f>SUM(D25/B25)</f>
        <v>0.12677878395860284</v>
      </c>
      <c r="T25" s="61">
        <f>SUM(E25/B25)</f>
        <v>0.19811495102568841</v>
      </c>
      <c r="U25" s="61">
        <f>SUM(F25/B25)</f>
        <v>0.32138236924782848</v>
      </c>
      <c r="V25" s="61">
        <f>SUM(G25/B25)</f>
        <v>0</v>
      </c>
      <c r="W25" s="61">
        <f>SUM(H25/B25)</f>
        <v>0.13694326372204768</v>
      </c>
    </row>
    <row r="26" spans="1:23">
      <c r="A26" s="56" t="s">
        <v>1549</v>
      </c>
      <c r="B26" s="54">
        <f>SUM(C26:H26)</f>
        <v>5214</v>
      </c>
      <c r="C26" s="55">
        <v>1648</v>
      </c>
      <c r="D26" s="55">
        <v>1052</v>
      </c>
      <c r="E26" s="55">
        <v>1342</v>
      </c>
      <c r="F26" s="55">
        <v>1172</v>
      </c>
      <c r="G26" s="55">
        <v>0</v>
      </c>
      <c r="H26" s="55">
        <v>0</v>
      </c>
      <c r="J26" s="54">
        <f>SUM(K26:P26)</f>
        <v>5</v>
      </c>
      <c r="K26" s="55">
        <v>2</v>
      </c>
      <c r="L26" s="55">
        <v>1</v>
      </c>
      <c r="M26" s="55">
        <v>1</v>
      </c>
      <c r="N26" s="55">
        <v>1</v>
      </c>
      <c r="O26" s="55">
        <v>0</v>
      </c>
      <c r="P26" s="55">
        <v>0</v>
      </c>
      <c r="R26" s="61">
        <f>SUM(C26/B26)</f>
        <v>0.31607211354046799</v>
      </c>
      <c r="S26" s="61">
        <f>SUM(D26/B26)</f>
        <v>0.2017644802454929</v>
      </c>
      <c r="T26" s="61">
        <f>SUM(E26/B26)</f>
        <v>0.25738396624472576</v>
      </c>
      <c r="U26" s="61">
        <f>SUM(F26/B26)</f>
        <v>0.22477943996931338</v>
      </c>
      <c r="V26" s="61">
        <f>SUM(G26/B26)</f>
        <v>0</v>
      </c>
      <c r="W26" s="61">
        <f>SUM(H26/B26)</f>
        <v>0</v>
      </c>
    </row>
    <row r="27" spans="1:23" s="52" customFormat="1">
      <c r="A27" s="53" t="s">
        <v>1550</v>
      </c>
      <c r="B27" s="54">
        <f>SUM(B24:B26)</f>
        <v>17593</v>
      </c>
      <c r="C27" s="54">
        <f t="shared" ref="C27:O27" si="4">SUM(C24:C26)</f>
        <v>4174</v>
      </c>
      <c r="D27" s="54">
        <f>SUM(D24:D26)</f>
        <v>3233</v>
      </c>
      <c r="E27" s="54">
        <f t="shared" si="4"/>
        <v>4466</v>
      </c>
      <c r="F27" s="54">
        <f t="shared" si="4"/>
        <v>4926</v>
      </c>
      <c r="G27" s="54">
        <f t="shared" si="4"/>
        <v>0</v>
      </c>
      <c r="H27" s="54">
        <f>SUM(H24:H26)</f>
        <v>794</v>
      </c>
      <c r="I27" s="54"/>
      <c r="J27" s="54">
        <f t="shared" si="4"/>
        <v>16</v>
      </c>
      <c r="K27" s="54">
        <f t="shared" si="4"/>
        <v>4</v>
      </c>
      <c r="L27" s="54">
        <f t="shared" si="4"/>
        <v>2</v>
      </c>
      <c r="M27" s="54">
        <f t="shared" si="4"/>
        <v>4</v>
      </c>
      <c r="N27" s="54">
        <f t="shared" si="4"/>
        <v>5</v>
      </c>
      <c r="O27" s="54">
        <f t="shared" si="4"/>
        <v>0</v>
      </c>
      <c r="P27" s="54">
        <f>SUM(P24:P26)</f>
        <v>1</v>
      </c>
      <c r="R27" s="60">
        <f>SUM(C27/B27)</f>
        <v>0.23725345307792872</v>
      </c>
      <c r="S27" s="60">
        <f>SUM(D27/B27)</f>
        <v>0.18376627067583698</v>
      </c>
      <c r="T27" s="60">
        <f>SUM(E27/B27)</f>
        <v>0.2538509634513727</v>
      </c>
      <c r="U27" s="60">
        <f>SUM(F27/B27)</f>
        <v>0.279997726368442</v>
      </c>
      <c r="V27" s="60">
        <f>SUM(G27/B27)</f>
        <v>0</v>
      </c>
      <c r="W27" s="60">
        <f>SUM(H27/B27)</f>
        <v>4.5131586426419595E-2</v>
      </c>
    </row>
    <row r="28" spans="1:23">
      <c r="A28" s="53"/>
      <c r="B28" s="54"/>
      <c r="C28" s="55"/>
      <c r="D28" s="55"/>
      <c r="E28" s="55"/>
      <c r="F28" s="55"/>
      <c r="G28" s="55"/>
      <c r="H28" s="55"/>
      <c r="J28" s="54"/>
      <c r="K28" s="55"/>
      <c r="L28" s="55"/>
      <c r="M28" s="55"/>
      <c r="N28" s="55"/>
      <c r="O28" s="55"/>
      <c r="P28" s="55"/>
    </row>
    <row r="29" spans="1:23">
      <c r="A29" s="56" t="s">
        <v>1551</v>
      </c>
      <c r="B29" s="54">
        <f>SUM(C29:H29)</f>
        <v>7133</v>
      </c>
      <c r="C29" s="55">
        <v>816</v>
      </c>
      <c r="D29" s="55">
        <v>2782</v>
      </c>
      <c r="E29" s="55">
        <v>1648</v>
      </c>
      <c r="F29" s="55">
        <v>1777</v>
      </c>
      <c r="G29" s="55">
        <v>0</v>
      </c>
      <c r="H29" s="55">
        <v>110</v>
      </c>
      <c r="J29" s="54">
        <f>SUM(K29:P29)</f>
        <v>6</v>
      </c>
      <c r="K29" s="55">
        <v>1</v>
      </c>
      <c r="L29" s="55">
        <v>2</v>
      </c>
      <c r="M29" s="55">
        <v>2</v>
      </c>
      <c r="N29" s="55">
        <v>1</v>
      </c>
      <c r="O29" s="55">
        <v>0</v>
      </c>
      <c r="P29" s="55">
        <v>0</v>
      </c>
      <c r="R29" s="61">
        <f>SUM(C29/B29)</f>
        <v>0.11439786905930184</v>
      </c>
      <c r="S29" s="61">
        <f>SUM(D29/B29)</f>
        <v>0.390018225150708</v>
      </c>
      <c r="T29" s="61">
        <f>SUM(E29/B29)</f>
        <v>0.23103883359035468</v>
      </c>
      <c r="U29" s="61">
        <f>SUM(F29/B29)</f>
        <v>0.24912379083134725</v>
      </c>
      <c r="V29" s="61">
        <f>SUM(G29/B29)</f>
        <v>0</v>
      </c>
      <c r="W29" s="61">
        <f>SUM(H29/B29)</f>
        <v>1.5421281368288237E-2</v>
      </c>
    </row>
    <row r="30" spans="1:23">
      <c r="A30" s="56" t="s">
        <v>1552</v>
      </c>
      <c r="B30" s="54">
        <f>SUM(C30:H30)</f>
        <v>6241</v>
      </c>
      <c r="C30" s="55">
        <v>1244</v>
      </c>
      <c r="D30" s="55">
        <v>1370</v>
      </c>
      <c r="E30" s="55">
        <v>1195</v>
      </c>
      <c r="F30" s="55">
        <v>2129</v>
      </c>
      <c r="G30" s="55">
        <v>0</v>
      </c>
      <c r="H30" s="55">
        <v>303</v>
      </c>
      <c r="J30" s="54">
        <f>SUM(K30:P30)</f>
        <v>5</v>
      </c>
      <c r="K30" s="55">
        <v>1</v>
      </c>
      <c r="L30" s="55">
        <v>1</v>
      </c>
      <c r="M30" s="55">
        <v>1</v>
      </c>
      <c r="N30" s="55">
        <v>2</v>
      </c>
      <c r="O30" s="55">
        <v>0</v>
      </c>
      <c r="P30" s="55">
        <v>0</v>
      </c>
      <c r="R30" s="61">
        <f>SUM(C30/B30)</f>
        <v>0.19932703092453133</v>
      </c>
      <c r="S30" s="61">
        <f>SUM(D30/B30)</f>
        <v>0.21951610318859158</v>
      </c>
      <c r="T30" s="61">
        <f>SUM(E30/B30)</f>
        <v>0.19147572504406346</v>
      </c>
      <c r="U30" s="61">
        <f>SUM(F30/B30)</f>
        <v>0.34113122896971637</v>
      </c>
      <c r="V30" s="61">
        <f>SUM(G30/B30)</f>
        <v>0</v>
      </c>
      <c r="W30" s="61">
        <f>SUM(H30/B30)</f>
        <v>4.8549911873097262E-2</v>
      </c>
    </row>
    <row r="31" spans="1:23">
      <c r="A31" s="56" t="s">
        <v>1553</v>
      </c>
      <c r="B31" s="54">
        <f>SUM(C31:H31)</f>
        <v>6671</v>
      </c>
      <c r="C31" s="55">
        <v>810</v>
      </c>
      <c r="D31" s="55">
        <v>658</v>
      </c>
      <c r="E31" s="55">
        <v>1685</v>
      </c>
      <c r="F31" s="55">
        <v>3403</v>
      </c>
      <c r="G31" s="55">
        <v>0</v>
      </c>
      <c r="H31" s="55">
        <v>115</v>
      </c>
      <c r="J31" s="54">
        <f>SUM(K31:P31)</f>
        <v>5</v>
      </c>
      <c r="K31" s="55">
        <v>1</v>
      </c>
      <c r="L31" s="55">
        <v>0</v>
      </c>
      <c r="M31" s="55">
        <v>2</v>
      </c>
      <c r="N31" s="55">
        <v>2</v>
      </c>
      <c r="O31" s="55">
        <v>0</v>
      </c>
      <c r="P31" s="55">
        <v>0</v>
      </c>
      <c r="R31" s="61">
        <f>SUM(C31/B31)</f>
        <v>0.12142107630040473</v>
      </c>
      <c r="S31" s="61">
        <f>SUM(D31/B31)</f>
        <v>9.8635886673662118E-2</v>
      </c>
      <c r="T31" s="61">
        <f>SUM(E31/B31)</f>
        <v>0.25258581921750861</v>
      </c>
      <c r="U31" s="61">
        <f>SUM(F31/B31)</f>
        <v>0.51011842302503374</v>
      </c>
      <c r="V31" s="61">
        <f>SUM(G31/B31)</f>
        <v>0</v>
      </c>
      <c r="W31" s="61">
        <f>SUM(H31/B31)</f>
        <v>1.7238794783390795E-2</v>
      </c>
    </row>
    <row r="32" spans="1:23" s="52" customFormat="1">
      <c r="A32" s="53" t="s">
        <v>1554</v>
      </c>
      <c r="B32" s="54">
        <f>SUM(B29:B31)</f>
        <v>20045</v>
      </c>
      <c r="C32" s="54">
        <f t="shared" ref="C32:O32" si="5">SUM(C29:C31)</f>
        <v>2870</v>
      </c>
      <c r="D32" s="54">
        <f>SUM(D29:D31)</f>
        <v>4810</v>
      </c>
      <c r="E32" s="54">
        <f t="shared" si="5"/>
        <v>4528</v>
      </c>
      <c r="F32" s="54">
        <f t="shared" si="5"/>
        <v>7309</v>
      </c>
      <c r="G32" s="54">
        <f t="shared" si="5"/>
        <v>0</v>
      </c>
      <c r="H32" s="54">
        <f>SUM(H29:H31)</f>
        <v>528</v>
      </c>
      <c r="I32" s="54"/>
      <c r="J32" s="54">
        <f t="shared" si="5"/>
        <v>16</v>
      </c>
      <c r="K32" s="54">
        <f t="shared" si="5"/>
        <v>3</v>
      </c>
      <c r="L32" s="54">
        <f t="shared" si="5"/>
        <v>3</v>
      </c>
      <c r="M32" s="54">
        <f t="shared" si="5"/>
        <v>5</v>
      </c>
      <c r="N32" s="54">
        <f t="shared" si="5"/>
        <v>5</v>
      </c>
      <c r="O32" s="54">
        <f t="shared" si="5"/>
        <v>0</v>
      </c>
      <c r="P32" s="54">
        <f>SUM(P29:P31)</f>
        <v>0</v>
      </c>
      <c r="R32" s="60">
        <f>SUM(C32/B32)</f>
        <v>0.1431778498378648</v>
      </c>
      <c r="S32" s="60">
        <f>SUM(D32/B32)</f>
        <v>0.23996008979795461</v>
      </c>
      <c r="T32" s="60">
        <f>SUM(E32/B32)</f>
        <v>0.22589174357695185</v>
      </c>
      <c r="U32" s="60">
        <f>SUM(F32/B32)</f>
        <v>0.36462958343726615</v>
      </c>
      <c r="V32" s="60">
        <f>SUM(G32/B32)</f>
        <v>0</v>
      </c>
      <c r="W32" s="60">
        <f>SUM(H32/B32)</f>
        <v>2.6340733349962585E-2</v>
      </c>
    </row>
    <row r="33" spans="1:23">
      <c r="A33" s="53"/>
      <c r="B33" s="54"/>
      <c r="C33" s="55"/>
      <c r="D33" s="55"/>
      <c r="E33" s="55"/>
      <c r="F33" s="55"/>
      <c r="G33" s="55"/>
      <c r="H33" s="55"/>
      <c r="J33" s="54"/>
      <c r="K33" s="55"/>
      <c r="L33" s="55"/>
      <c r="M33" s="55"/>
      <c r="N33" s="55"/>
      <c r="O33" s="55"/>
      <c r="P33" s="55"/>
    </row>
    <row r="34" spans="1:23">
      <c r="A34" s="56" t="s">
        <v>1555</v>
      </c>
      <c r="B34" s="54">
        <f>SUM(C34:H34)</f>
        <v>7828</v>
      </c>
      <c r="C34" s="55">
        <v>1563</v>
      </c>
      <c r="D34" s="55">
        <v>1846</v>
      </c>
      <c r="E34" s="55">
        <v>3484</v>
      </c>
      <c r="F34" s="55">
        <v>707</v>
      </c>
      <c r="G34" s="55">
        <v>0</v>
      </c>
      <c r="H34" s="55">
        <v>228</v>
      </c>
      <c r="J34" s="54">
        <f>SUM(K34:P34)</f>
        <v>6</v>
      </c>
      <c r="K34" s="55">
        <v>2</v>
      </c>
      <c r="L34" s="55">
        <v>1</v>
      </c>
      <c r="M34" s="55">
        <v>3</v>
      </c>
      <c r="N34" s="55">
        <v>0</v>
      </c>
      <c r="O34" s="55">
        <v>0</v>
      </c>
      <c r="P34" s="55">
        <v>0</v>
      </c>
      <c r="R34" s="61">
        <f t="shared" ref="R34:R39" si="6">SUM(C34/B34)</f>
        <v>0.19966785896780787</v>
      </c>
      <c r="S34" s="61">
        <f t="shared" ref="S34:S39" si="7">SUM(D34/B34)</f>
        <v>0.23582013285641287</v>
      </c>
      <c r="T34" s="61">
        <f t="shared" ref="T34:T39" si="8">SUM(E34/B34)</f>
        <v>0.4450689831374553</v>
      </c>
      <c r="U34" s="61">
        <f t="shared" ref="U34:U39" si="9">SUM(F34/B34)</f>
        <v>9.0316811446090953E-2</v>
      </c>
      <c r="V34" s="61">
        <f t="shared" ref="V34:V39" si="10">SUM(G34/B34)</f>
        <v>0</v>
      </c>
      <c r="W34" s="61">
        <f t="shared" ref="W34:W39" si="11">SUM(H34/B34)</f>
        <v>2.9126213592233011E-2</v>
      </c>
    </row>
    <row r="35" spans="1:23">
      <c r="A35" s="56" t="s">
        <v>1556</v>
      </c>
      <c r="B35" s="54">
        <f>SUM(C35:H35)</f>
        <v>9152</v>
      </c>
      <c r="C35" s="55">
        <v>2032</v>
      </c>
      <c r="D35" s="55">
        <v>3206</v>
      </c>
      <c r="E35" s="55">
        <v>1810</v>
      </c>
      <c r="F35" s="55">
        <v>903</v>
      </c>
      <c r="G35" s="55">
        <v>0</v>
      </c>
      <c r="H35" s="55">
        <v>1201</v>
      </c>
      <c r="J35" s="54">
        <f>SUM(K35:P35)</f>
        <v>7</v>
      </c>
      <c r="K35" s="55">
        <v>1</v>
      </c>
      <c r="L35" s="55">
        <v>3</v>
      </c>
      <c r="M35" s="55">
        <v>1</v>
      </c>
      <c r="N35" s="55">
        <v>1</v>
      </c>
      <c r="O35" s="55">
        <v>0</v>
      </c>
      <c r="P35" s="55">
        <v>1</v>
      </c>
      <c r="R35" s="61">
        <f t="shared" si="6"/>
        <v>0.22202797202797203</v>
      </c>
      <c r="S35" s="61">
        <f t="shared" si="7"/>
        <v>0.35030594405594406</v>
      </c>
      <c r="T35" s="61">
        <f t="shared" si="8"/>
        <v>0.19777097902097901</v>
      </c>
      <c r="U35" s="61">
        <f t="shared" si="9"/>
        <v>9.8666958041958047E-2</v>
      </c>
      <c r="V35" s="61">
        <f t="shared" si="10"/>
        <v>0</v>
      </c>
      <c r="W35" s="61">
        <f t="shared" si="11"/>
        <v>0.13122814685314685</v>
      </c>
    </row>
    <row r="36" spans="1:23">
      <c r="A36" s="56" t="s">
        <v>1557</v>
      </c>
      <c r="B36" s="54">
        <f>SUM(C36:H36)</f>
        <v>9776</v>
      </c>
      <c r="C36" s="55">
        <v>0</v>
      </c>
      <c r="D36" s="55">
        <v>0</v>
      </c>
      <c r="E36" s="55">
        <v>5594</v>
      </c>
      <c r="F36" s="55">
        <v>3264</v>
      </c>
      <c r="G36" s="55">
        <v>0</v>
      </c>
      <c r="H36" s="55">
        <v>918</v>
      </c>
      <c r="I36" s="55"/>
      <c r="J36" s="54">
        <f>SUM(K36:P36)</f>
        <v>7</v>
      </c>
      <c r="K36" s="55">
        <v>0</v>
      </c>
      <c r="L36" s="55">
        <v>0</v>
      </c>
      <c r="M36" s="55">
        <v>5</v>
      </c>
      <c r="N36" s="55">
        <v>2</v>
      </c>
      <c r="O36" s="55">
        <v>0</v>
      </c>
      <c r="P36" s="55">
        <v>0</v>
      </c>
      <c r="R36" s="61">
        <f t="shared" si="6"/>
        <v>0</v>
      </c>
      <c r="S36" s="61">
        <f t="shared" si="7"/>
        <v>0</v>
      </c>
      <c r="T36" s="61">
        <f t="shared" si="8"/>
        <v>0.57221767594108019</v>
      </c>
      <c r="U36" s="61">
        <f t="shared" si="9"/>
        <v>0.33387888707037644</v>
      </c>
      <c r="V36" s="61">
        <f t="shared" si="10"/>
        <v>0</v>
      </c>
      <c r="W36" s="61">
        <f t="shared" si="11"/>
        <v>9.3903436988543365E-2</v>
      </c>
    </row>
    <row r="37" spans="1:23">
      <c r="A37" s="56" t="s">
        <v>1558</v>
      </c>
      <c r="B37" s="54">
        <f>SUM(C37:H37)</f>
        <v>6467</v>
      </c>
      <c r="C37" s="55">
        <v>0</v>
      </c>
      <c r="D37" s="55">
        <v>0</v>
      </c>
      <c r="E37" s="55">
        <v>2620</v>
      </c>
      <c r="F37" s="55">
        <v>3592</v>
      </c>
      <c r="G37" s="55">
        <v>0</v>
      </c>
      <c r="H37" s="55">
        <v>255</v>
      </c>
      <c r="J37" s="54">
        <f>SUM(K37:P37)</f>
        <v>5</v>
      </c>
      <c r="K37" s="55">
        <v>0</v>
      </c>
      <c r="L37" s="55">
        <v>0</v>
      </c>
      <c r="M37" s="55">
        <v>2</v>
      </c>
      <c r="N37" s="55">
        <v>3</v>
      </c>
      <c r="O37" s="55">
        <v>0</v>
      </c>
      <c r="P37" s="55">
        <v>0</v>
      </c>
      <c r="R37" s="61">
        <f t="shared" si="6"/>
        <v>0</v>
      </c>
      <c r="S37" s="61">
        <f t="shared" si="7"/>
        <v>0</v>
      </c>
      <c r="T37" s="61">
        <f t="shared" si="8"/>
        <v>0.40513375599195917</v>
      </c>
      <c r="U37" s="61">
        <f t="shared" si="9"/>
        <v>0.5554352868408845</v>
      </c>
      <c r="V37" s="61">
        <f t="shared" si="10"/>
        <v>0</v>
      </c>
      <c r="W37" s="61">
        <f t="shared" si="11"/>
        <v>3.9430957167156333E-2</v>
      </c>
    </row>
    <row r="38" spans="1:23">
      <c r="A38" s="56" t="s">
        <v>1559</v>
      </c>
      <c r="B38" s="54">
        <f>SUM(C38:H38)</f>
        <v>7983</v>
      </c>
      <c r="C38" s="55">
        <v>0</v>
      </c>
      <c r="D38" s="55">
        <v>134</v>
      </c>
      <c r="E38" s="55">
        <v>4504</v>
      </c>
      <c r="F38" s="55">
        <v>2928</v>
      </c>
      <c r="G38" s="55">
        <v>0</v>
      </c>
      <c r="H38" s="55">
        <v>417</v>
      </c>
      <c r="J38" s="54">
        <f>SUM(K38:P38)</f>
        <v>5</v>
      </c>
      <c r="K38" s="55">
        <v>0</v>
      </c>
      <c r="L38" s="55">
        <v>0</v>
      </c>
      <c r="M38" s="55">
        <v>3</v>
      </c>
      <c r="N38" s="55">
        <v>2</v>
      </c>
      <c r="O38" s="55">
        <v>0</v>
      </c>
      <c r="P38" s="55">
        <v>0</v>
      </c>
      <c r="R38" s="61">
        <f t="shared" si="6"/>
        <v>0</v>
      </c>
      <c r="S38" s="61">
        <f t="shared" si="7"/>
        <v>1.6785669547789053E-2</v>
      </c>
      <c r="T38" s="61">
        <f t="shared" si="8"/>
        <v>0.56419892271076033</v>
      </c>
      <c r="U38" s="61">
        <f t="shared" si="9"/>
        <v>0.36677940623825628</v>
      </c>
      <c r="V38" s="61">
        <f t="shared" si="10"/>
        <v>0</v>
      </c>
      <c r="W38" s="61">
        <f t="shared" si="11"/>
        <v>5.2236001503194289E-2</v>
      </c>
    </row>
    <row r="39" spans="1:23" s="52" customFormat="1">
      <c r="A39" s="53" t="s">
        <v>1560</v>
      </c>
      <c r="B39" s="54">
        <f>SUM(B34:B38)</f>
        <v>41206</v>
      </c>
      <c r="C39" s="54">
        <f t="shared" ref="C39:O39" si="12">SUM(C34:C38)</f>
        <v>3595</v>
      </c>
      <c r="D39" s="54">
        <f>SUM(D34:D38)</f>
        <v>5186</v>
      </c>
      <c r="E39" s="54">
        <f t="shared" si="12"/>
        <v>18012</v>
      </c>
      <c r="F39" s="54">
        <f t="shared" si="12"/>
        <v>11394</v>
      </c>
      <c r="G39" s="54">
        <f t="shared" si="12"/>
        <v>0</v>
      </c>
      <c r="H39" s="54">
        <f>SUM(H34:H38)</f>
        <v>3019</v>
      </c>
      <c r="I39" s="54"/>
      <c r="J39" s="54">
        <f t="shared" si="12"/>
        <v>30</v>
      </c>
      <c r="K39" s="54">
        <f t="shared" si="12"/>
        <v>3</v>
      </c>
      <c r="L39" s="54">
        <f t="shared" si="12"/>
        <v>4</v>
      </c>
      <c r="M39" s="54">
        <f t="shared" si="12"/>
        <v>14</v>
      </c>
      <c r="N39" s="54">
        <f t="shared" si="12"/>
        <v>8</v>
      </c>
      <c r="O39" s="54">
        <f t="shared" si="12"/>
        <v>0</v>
      </c>
      <c r="P39" s="54">
        <f>SUM(P34:P38)</f>
        <v>1</v>
      </c>
      <c r="R39" s="60">
        <f t="shared" si="6"/>
        <v>8.7244576032616608E-2</v>
      </c>
      <c r="S39" s="60">
        <f t="shared" si="7"/>
        <v>0.125855457943018</v>
      </c>
      <c r="T39" s="60">
        <f t="shared" si="8"/>
        <v>0.43712080764937145</v>
      </c>
      <c r="U39" s="60">
        <f t="shared" si="9"/>
        <v>0.27651312915594817</v>
      </c>
      <c r="V39" s="60">
        <f t="shared" si="10"/>
        <v>0</v>
      </c>
      <c r="W39" s="60">
        <f t="shared" si="11"/>
        <v>7.3266029219045764E-2</v>
      </c>
    </row>
    <row r="40" spans="1:23">
      <c r="A40" s="53"/>
      <c r="B40" s="54"/>
      <c r="C40" s="55"/>
      <c r="D40" s="55"/>
      <c r="E40" s="55"/>
      <c r="F40" s="55"/>
      <c r="G40" s="55"/>
      <c r="H40" s="55"/>
      <c r="J40" s="54"/>
      <c r="K40" s="55"/>
      <c r="L40" s="55"/>
      <c r="M40" s="55"/>
      <c r="N40" s="55"/>
      <c r="O40" s="55"/>
      <c r="P40" s="55"/>
    </row>
    <row r="41" spans="1:23">
      <c r="A41" s="56" t="s">
        <v>1562</v>
      </c>
      <c r="B41" s="54">
        <f>SUM(C41:H41)</f>
        <v>4383</v>
      </c>
      <c r="C41" s="55">
        <v>1604</v>
      </c>
      <c r="D41" s="55">
        <v>453</v>
      </c>
      <c r="E41" s="55">
        <v>2326</v>
      </c>
      <c r="F41" s="55">
        <v>0</v>
      </c>
      <c r="G41" s="55">
        <v>0</v>
      </c>
      <c r="H41" s="55">
        <v>0</v>
      </c>
      <c r="J41" s="54">
        <f>SUM(K41:P41)</f>
        <v>5</v>
      </c>
      <c r="K41" s="55">
        <v>2</v>
      </c>
      <c r="L41" s="55">
        <v>0</v>
      </c>
      <c r="M41" s="55">
        <v>3</v>
      </c>
      <c r="N41" s="55">
        <v>0</v>
      </c>
      <c r="O41" s="55">
        <v>0</v>
      </c>
      <c r="P41" s="55">
        <v>0</v>
      </c>
      <c r="R41" s="61">
        <f>SUM(C41/B41)</f>
        <v>0.36595938854665755</v>
      </c>
      <c r="S41" s="61">
        <f>SUM(D41/B41)</f>
        <v>0.10335386721423682</v>
      </c>
      <c r="T41" s="61">
        <f>SUM(E41/B41)</f>
        <v>0.53068674423910567</v>
      </c>
      <c r="U41" s="61">
        <f>SUM(F41/B41)</f>
        <v>0</v>
      </c>
      <c r="V41" s="61">
        <f>SUM(G41/B41)</f>
        <v>0</v>
      </c>
      <c r="W41" s="61">
        <f>SUM(H41/B41)</f>
        <v>0</v>
      </c>
    </row>
    <row r="42" spans="1:23">
      <c r="A42" s="56" t="s">
        <v>1563</v>
      </c>
      <c r="B42" s="54">
        <f>SUM(C42:H42)</f>
        <v>4180</v>
      </c>
      <c r="C42" s="55">
        <v>1481</v>
      </c>
      <c r="D42" s="55">
        <v>0</v>
      </c>
      <c r="E42" s="55">
        <v>1455</v>
      </c>
      <c r="F42" s="55">
        <v>1244</v>
      </c>
      <c r="G42" s="55">
        <v>0</v>
      </c>
      <c r="H42" s="55">
        <v>0</v>
      </c>
      <c r="J42" s="54">
        <f>SUM(K42:P42)</f>
        <v>5</v>
      </c>
      <c r="K42" s="55">
        <v>2</v>
      </c>
      <c r="L42" s="55">
        <v>0</v>
      </c>
      <c r="M42" s="55">
        <v>2</v>
      </c>
      <c r="N42" s="55">
        <v>1</v>
      </c>
      <c r="O42" s="55">
        <v>0</v>
      </c>
      <c r="P42" s="55">
        <v>0</v>
      </c>
      <c r="R42" s="61">
        <f>SUM(C42/B42)</f>
        <v>0.35430622009569379</v>
      </c>
      <c r="S42" s="61">
        <f>SUM(D42/B42)</f>
        <v>0</v>
      </c>
      <c r="T42" s="61">
        <f>SUM(E42/B42)</f>
        <v>0.34808612440191389</v>
      </c>
      <c r="U42" s="61">
        <f>SUM(F42/B42)</f>
        <v>0.29760765550239232</v>
      </c>
      <c r="V42" s="61">
        <f>SUM(G42/B42)</f>
        <v>0</v>
      </c>
      <c r="W42" s="61">
        <f>SUM(H42/B42)</f>
        <v>0</v>
      </c>
    </row>
    <row r="43" spans="1:23">
      <c r="A43" s="56" t="s">
        <v>1564</v>
      </c>
      <c r="B43" s="54">
        <f>SUM(C43:H43)</f>
        <v>4531</v>
      </c>
      <c r="C43" s="55">
        <v>1951</v>
      </c>
      <c r="D43" s="55">
        <v>994</v>
      </c>
      <c r="E43" s="55">
        <v>1498</v>
      </c>
      <c r="F43" s="55">
        <v>0</v>
      </c>
      <c r="G43" s="55">
        <v>0</v>
      </c>
      <c r="H43" s="55">
        <v>88</v>
      </c>
      <c r="J43" s="54">
        <f>SUM(K43:P43)</f>
        <v>5</v>
      </c>
      <c r="K43" s="55">
        <v>2</v>
      </c>
      <c r="L43" s="55">
        <v>1</v>
      </c>
      <c r="M43" s="55">
        <v>2</v>
      </c>
      <c r="N43" s="55">
        <v>0</v>
      </c>
      <c r="O43" s="55">
        <v>0</v>
      </c>
      <c r="P43" s="55">
        <v>0</v>
      </c>
      <c r="R43" s="61">
        <f>SUM(C43/B43)</f>
        <v>0.43058927389097329</v>
      </c>
      <c r="S43" s="61">
        <f>SUM(D43/B43)</f>
        <v>0.21937762083425291</v>
      </c>
      <c r="T43" s="61">
        <f>SUM(E43/B43)</f>
        <v>0.33061134407415582</v>
      </c>
      <c r="U43" s="61">
        <f>SUM(F43/B43)</f>
        <v>0</v>
      </c>
      <c r="V43" s="61">
        <f>SUM(G43/B43)</f>
        <v>0</v>
      </c>
      <c r="W43" s="61">
        <f>SUM(H43/B43)</f>
        <v>1.9421761200617966E-2</v>
      </c>
    </row>
    <row r="44" spans="1:23" s="52" customFormat="1">
      <c r="A44" s="53" t="s">
        <v>1561</v>
      </c>
      <c r="B44" s="54">
        <f>SUM(B41:B43)</f>
        <v>13094</v>
      </c>
      <c r="C44" s="54">
        <f t="shared" ref="C44:O44" si="13">SUM(C41:C43)</f>
        <v>5036</v>
      </c>
      <c r="D44" s="54">
        <f>SUM(D41:D43)</f>
        <v>1447</v>
      </c>
      <c r="E44" s="54">
        <f t="shared" si="13"/>
        <v>5279</v>
      </c>
      <c r="F44" s="54">
        <f t="shared" si="13"/>
        <v>1244</v>
      </c>
      <c r="G44" s="54">
        <f t="shared" si="13"/>
        <v>0</v>
      </c>
      <c r="H44" s="54">
        <f>SUM(H41:H43)</f>
        <v>88</v>
      </c>
      <c r="I44" s="54"/>
      <c r="J44" s="54">
        <f t="shared" si="13"/>
        <v>15</v>
      </c>
      <c r="K44" s="54">
        <f t="shared" si="13"/>
        <v>6</v>
      </c>
      <c r="L44" s="54">
        <f t="shared" si="13"/>
        <v>1</v>
      </c>
      <c r="M44" s="54">
        <f t="shared" si="13"/>
        <v>7</v>
      </c>
      <c r="N44" s="54">
        <f t="shared" si="13"/>
        <v>1</v>
      </c>
      <c r="O44" s="54">
        <f t="shared" si="13"/>
        <v>0</v>
      </c>
      <c r="P44" s="54">
        <f>SUM(P41:P43)</f>
        <v>0</v>
      </c>
      <c r="R44" s="60">
        <f>SUM(C44/B44)</f>
        <v>0.38460363525278751</v>
      </c>
      <c r="S44" s="60">
        <f>SUM(D44/B44)</f>
        <v>0.11050862990682755</v>
      </c>
      <c r="T44" s="60">
        <f>SUM(E44/B44)</f>
        <v>0.40316175347487399</v>
      </c>
      <c r="U44" s="60">
        <f>SUM(F44/B44)</f>
        <v>9.5005345959981669E-2</v>
      </c>
      <c r="V44" s="60">
        <f>SUM(G44/B44)</f>
        <v>0</v>
      </c>
      <c r="W44" s="60">
        <f>SUM(H44/B44)</f>
        <v>6.7206354055292499E-3</v>
      </c>
    </row>
    <row r="45" spans="1:23">
      <c r="A45" s="53"/>
      <c r="B45" s="54"/>
      <c r="C45" s="55"/>
      <c r="D45" s="55"/>
      <c r="E45" s="55"/>
      <c r="F45" s="55"/>
      <c r="G45" s="55"/>
      <c r="H45" s="55"/>
      <c r="J45" s="54"/>
      <c r="K45" s="55"/>
      <c r="L45" s="55"/>
      <c r="M45" s="55"/>
      <c r="N45" s="55"/>
      <c r="O45" s="55"/>
      <c r="P45" s="55"/>
    </row>
    <row r="46" spans="1:23">
      <c r="A46" s="56" t="s">
        <v>1565</v>
      </c>
      <c r="B46" s="54">
        <f>SUM(C46:H46)</f>
        <v>5032</v>
      </c>
      <c r="C46" s="55">
        <v>2513</v>
      </c>
      <c r="D46" s="55">
        <v>1218</v>
      </c>
      <c r="E46" s="55">
        <v>729</v>
      </c>
      <c r="F46" s="55">
        <v>0</v>
      </c>
      <c r="G46" s="55">
        <v>514</v>
      </c>
      <c r="H46" s="55">
        <v>58</v>
      </c>
      <c r="J46" s="54">
        <f>SUM(K46:P46)</f>
        <v>6</v>
      </c>
      <c r="K46" s="55">
        <v>3</v>
      </c>
      <c r="L46" s="55">
        <v>1</v>
      </c>
      <c r="M46" s="55">
        <v>1</v>
      </c>
      <c r="N46" s="55">
        <v>0</v>
      </c>
      <c r="O46" s="55">
        <v>1</v>
      </c>
      <c r="P46" s="55">
        <v>0</v>
      </c>
      <c r="R46" s="61">
        <f>SUM(C46/B46)</f>
        <v>0.49940381558028618</v>
      </c>
      <c r="S46" s="61">
        <f>SUM(D46/B46)</f>
        <v>0.24205087440381559</v>
      </c>
      <c r="T46" s="61">
        <f>SUM(E46/B46)</f>
        <v>0.14487281399046104</v>
      </c>
      <c r="U46" s="61">
        <f>SUM(F46/B46)</f>
        <v>0</v>
      </c>
      <c r="V46" s="61">
        <f>SUM(G46/B46)</f>
        <v>0.10214626391096979</v>
      </c>
      <c r="W46" s="61">
        <f>SUM(H46/B46)</f>
        <v>1.1526232114467409E-2</v>
      </c>
    </row>
    <row r="47" spans="1:23">
      <c r="A47" s="56" t="s">
        <v>1566</v>
      </c>
      <c r="B47" s="54">
        <f>SUM(C47:H47)</f>
        <v>3441</v>
      </c>
      <c r="C47" s="55">
        <v>1122</v>
      </c>
      <c r="D47" s="55">
        <v>1297</v>
      </c>
      <c r="E47" s="55">
        <v>0</v>
      </c>
      <c r="F47" s="55">
        <v>0</v>
      </c>
      <c r="G47" s="55">
        <v>413</v>
      </c>
      <c r="H47" s="55">
        <v>609</v>
      </c>
      <c r="J47" s="54">
        <f>SUM(K47:P47)</f>
        <v>5</v>
      </c>
      <c r="K47" s="55">
        <v>2</v>
      </c>
      <c r="L47" s="55">
        <v>2</v>
      </c>
      <c r="M47" s="55">
        <v>0</v>
      </c>
      <c r="N47" s="55">
        <v>0</v>
      </c>
      <c r="O47" s="55">
        <v>1</v>
      </c>
      <c r="P47" s="55">
        <v>0</v>
      </c>
      <c r="R47" s="61">
        <f>SUM(C47/B47)</f>
        <v>0.32606800348735832</v>
      </c>
      <c r="S47" s="61">
        <f>SUM(D47/B47)</f>
        <v>0.37692531240918337</v>
      </c>
      <c r="T47" s="61">
        <f>SUM(E47/B47)</f>
        <v>0</v>
      </c>
      <c r="U47" s="61">
        <f>SUM(F47/B47)</f>
        <v>0</v>
      </c>
      <c r="V47" s="61">
        <f>SUM(G47/B47)</f>
        <v>0.12002324905550713</v>
      </c>
      <c r="W47" s="61">
        <f>SUM(H47/B47)</f>
        <v>0.17698343504795117</v>
      </c>
    </row>
    <row r="48" spans="1:23">
      <c r="A48" s="56" t="s">
        <v>1567</v>
      </c>
      <c r="B48" s="54">
        <f>SUM(C48:H48)</f>
        <v>6076</v>
      </c>
      <c r="C48" s="55">
        <v>2868</v>
      </c>
      <c r="D48" s="55">
        <v>1180</v>
      </c>
      <c r="E48" s="55">
        <v>1876</v>
      </c>
      <c r="F48" s="55">
        <v>0</v>
      </c>
      <c r="G48" s="55">
        <v>152</v>
      </c>
      <c r="H48" s="55">
        <v>0</v>
      </c>
      <c r="J48" s="54">
        <f>SUM(K48:P48)</f>
        <v>6</v>
      </c>
      <c r="K48" s="55">
        <v>3</v>
      </c>
      <c r="L48" s="55">
        <v>1</v>
      </c>
      <c r="M48" s="55">
        <v>2</v>
      </c>
      <c r="N48" s="55">
        <v>0</v>
      </c>
      <c r="O48" s="55">
        <v>0</v>
      </c>
      <c r="P48" s="55">
        <v>0</v>
      </c>
      <c r="R48" s="61">
        <f>SUM(C48/B48)</f>
        <v>0.47202106649111258</v>
      </c>
      <c r="S48" s="61">
        <f>SUM(D48/B48)</f>
        <v>0.19420671494404212</v>
      </c>
      <c r="T48" s="61">
        <f>SUM(E48/B48)</f>
        <v>0.30875576036866359</v>
      </c>
      <c r="U48" s="61">
        <f>SUM(F48/B48)</f>
        <v>0</v>
      </c>
      <c r="V48" s="61">
        <f>SUM(G48/B48)</f>
        <v>2.5016458196181698E-2</v>
      </c>
      <c r="W48" s="61">
        <f>SUM(H48/B48)</f>
        <v>0</v>
      </c>
    </row>
    <row r="49" spans="1:23">
      <c r="A49" s="56" t="s">
        <v>1568</v>
      </c>
      <c r="B49" s="54">
        <f>SUM(C49:H49)</f>
        <v>4417</v>
      </c>
      <c r="C49" s="55">
        <v>1736</v>
      </c>
      <c r="D49" s="55">
        <v>706</v>
      </c>
      <c r="E49" s="55">
        <v>486</v>
      </c>
      <c r="F49" s="55">
        <v>0</v>
      </c>
      <c r="G49" s="55">
        <v>659</v>
      </c>
      <c r="H49" s="55">
        <v>830</v>
      </c>
      <c r="J49" s="54">
        <f>SUM(K49:P49)</f>
        <v>5</v>
      </c>
      <c r="K49" s="55">
        <v>2</v>
      </c>
      <c r="L49" s="55">
        <v>1</v>
      </c>
      <c r="M49" s="55">
        <v>0</v>
      </c>
      <c r="N49" s="55">
        <v>0</v>
      </c>
      <c r="O49" s="55">
        <v>1</v>
      </c>
      <c r="P49" s="55">
        <v>1</v>
      </c>
      <c r="R49" s="61">
        <f>SUM(C49/B49)</f>
        <v>0.39302694136291599</v>
      </c>
      <c r="S49" s="61">
        <f>SUM(D49/B49)</f>
        <v>0.15983699343445779</v>
      </c>
      <c r="T49" s="61">
        <f>SUM(E49/B49)</f>
        <v>0.11002943174100067</v>
      </c>
      <c r="U49" s="61">
        <f>SUM(F49/B49)</f>
        <v>0</v>
      </c>
      <c r="V49" s="61">
        <f>SUM(G49/B49)</f>
        <v>0.14919628707267377</v>
      </c>
      <c r="W49" s="61">
        <f>SUM(H49/B49)</f>
        <v>0.18791034638895177</v>
      </c>
    </row>
    <row r="50" spans="1:23" s="52" customFormat="1">
      <c r="A50" s="53" t="s">
        <v>1569</v>
      </c>
      <c r="B50" s="54">
        <f>SUM(B46:B49)</f>
        <v>18966</v>
      </c>
      <c r="C50" s="54">
        <f t="shared" ref="C50:O50" si="14">SUM(C46:C49)</f>
        <v>8239</v>
      </c>
      <c r="D50" s="54">
        <f>SUM(D46:D49)</f>
        <v>4401</v>
      </c>
      <c r="E50" s="54">
        <f t="shared" si="14"/>
        <v>3091</v>
      </c>
      <c r="F50" s="54">
        <f t="shared" si="14"/>
        <v>0</v>
      </c>
      <c r="G50" s="54">
        <f t="shared" si="14"/>
        <v>1738</v>
      </c>
      <c r="H50" s="54">
        <f>SUM(H46:H49)</f>
        <v>1497</v>
      </c>
      <c r="I50" s="54"/>
      <c r="J50" s="54">
        <f t="shared" si="14"/>
        <v>22</v>
      </c>
      <c r="K50" s="54">
        <f t="shared" si="14"/>
        <v>10</v>
      </c>
      <c r="L50" s="54">
        <f t="shared" si="14"/>
        <v>5</v>
      </c>
      <c r="M50" s="54">
        <f t="shared" si="14"/>
        <v>3</v>
      </c>
      <c r="N50" s="54">
        <f t="shared" si="14"/>
        <v>0</v>
      </c>
      <c r="O50" s="54">
        <f t="shared" si="14"/>
        <v>3</v>
      </c>
      <c r="P50" s="54">
        <f>SUM(P46:P49)</f>
        <v>1</v>
      </c>
      <c r="R50" s="60">
        <f>SUM(C50/B50)</f>
        <v>0.43440894231783189</v>
      </c>
      <c r="S50" s="60">
        <f>SUM(D50/B50)</f>
        <v>0.23204682062638404</v>
      </c>
      <c r="T50" s="60">
        <f>SUM(E50/B50)</f>
        <v>0.16297585152377939</v>
      </c>
      <c r="U50" s="60">
        <f>SUM(F50/B50)</f>
        <v>0</v>
      </c>
      <c r="V50" s="60">
        <f>SUM(G50/B50)</f>
        <v>9.163766740482969E-2</v>
      </c>
      <c r="W50" s="60">
        <f>SUM(H50/B50)</f>
        <v>7.8930718127174948E-2</v>
      </c>
    </row>
    <row r="51" spans="1:23">
      <c r="A51" s="53"/>
      <c r="B51" s="54"/>
      <c r="C51" s="55"/>
      <c r="D51" s="55"/>
      <c r="E51" s="55"/>
      <c r="F51" s="55"/>
      <c r="G51" s="55"/>
      <c r="H51" s="55"/>
      <c r="I51" s="55"/>
      <c r="J51" s="54"/>
      <c r="K51" s="55"/>
      <c r="L51" s="55"/>
      <c r="M51" s="55"/>
      <c r="N51" s="55"/>
      <c r="O51" s="55"/>
      <c r="P51" s="55"/>
    </row>
    <row r="52" spans="1:23">
      <c r="A52" s="56" t="s">
        <v>1570</v>
      </c>
      <c r="B52" s="54">
        <f>SUM(C52:H52)</f>
        <v>6504</v>
      </c>
      <c r="C52" s="55">
        <v>1647</v>
      </c>
      <c r="D52" s="55">
        <v>529</v>
      </c>
      <c r="E52" s="55">
        <v>2475</v>
      </c>
      <c r="F52" s="55">
        <v>1686</v>
      </c>
      <c r="G52" s="55">
        <v>167</v>
      </c>
      <c r="H52" s="55">
        <v>0</v>
      </c>
      <c r="J52" s="54">
        <f>SUM(K52:P52)</f>
        <v>6</v>
      </c>
      <c r="K52" s="55">
        <v>2</v>
      </c>
      <c r="L52" s="55">
        <v>0</v>
      </c>
      <c r="M52" s="55">
        <v>2</v>
      </c>
      <c r="N52" s="55">
        <v>2</v>
      </c>
      <c r="O52" s="55">
        <v>0</v>
      </c>
      <c r="P52" s="55">
        <v>0</v>
      </c>
      <c r="R52" s="61">
        <f>SUM(C52/B52)</f>
        <v>0.25322878228782286</v>
      </c>
      <c r="S52" s="61">
        <f>SUM(D52/B52)</f>
        <v>8.1334563345633451E-2</v>
      </c>
      <c r="T52" s="61">
        <f>SUM(E52/B52)</f>
        <v>0.38053505535055349</v>
      </c>
      <c r="U52" s="61">
        <f>SUM(F52/B52)</f>
        <v>0.2592250922509225</v>
      </c>
      <c r="V52" s="61">
        <f>SUM(G52/B52)</f>
        <v>2.567650676506765E-2</v>
      </c>
      <c r="W52" s="61">
        <f>SUM(H52/B52)</f>
        <v>0</v>
      </c>
    </row>
    <row r="53" spans="1:23">
      <c r="A53" s="56" t="s">
        <v>1571</v>
      </c>
      <c r="B53" s="54">
        <f>SUM(C53:H53)</f>
        <v>6101</v>
      </c>
      <c r="C53" s="55">
        <v>1882</v>
      </c>
      <c r="D53" s="55">
        <v>0</v>
      </c>
      <c r="E53" s="55">
        <v>3012</v>
      </c>
      <c r="F53" s="55">
        <v>1207</v>
      </c>
      <c r="G53" s="55">
        <v>0</v>
      </c>
      <c r="H53" s="55">
        <v>0</v>
      </c>
      <c r="J53" s="54">
        <f>SUM(K53:P53)</f>
        <v>5</v>
      </c>
      <c r="K53" s="55">
        <v>1</v>
      </c>
      <c r="L53" s="55">
        <v>0</v>
      </c>
      <c r="M53" s="55">
        <v>3</v>
      </c>
      <c r="N53" s="55">
        <v>1</v>
      </c>
      <c r="O53" s="55">
        <v>0</v>
      </c>
      <c r="P53" s="55">
        <v>0</v>
      </c>
      <c r="R53" s="61">
        <f>SUM(C53/B53)</f>
        <v>0.30847402065235208</v>
      </c>
      <c r="S53" s="61">
        <f>SUM(D53/B53)</f>
        <v>0</v>
      </c>
      <c r="T53" s="61">
        <f>SUM(E53/B53)</f>
        <v>0.49368955908867401</v>
      </c>
      <c r="U53" s="61">
        <f>SUM(F53/B53)</f>
        <v>0.19783642025897394</v>
      </c>
      <c r="V53" s="61">
        <f>SUM(G53/B53)</f>
        <v>0</v>
      </c>
      <c r="W53" s="61">
        <f>SUM(H53/B53)</f>
        <v>0</v>
      </c>
    </row>
    <row r="54" spans="1:23">
      <c r="A54" s="56" t="s">
        <v>1572</v>
      </c>
      <c r="B54" s="54">
        <f>SUM(C54:H54)</f>
        <v>7383</v>
      </c>
      <c r="C54" s="55">
        <v>4394</v>
      </c>
      <c r="D54" s="55">
        <v>1577</v>
      </c>
      <c r="E54" s="55">
        <v>1057</v>
      </c>
      <c r="F54" s="55">
        <v>355</v>
      </c>
      <c r="G54" s="55">
        <v>0</v>
      </c>
      <c r="H54" s="55">
        <v>0</v>
      </c>
      <c r="J54" s="54">
        <f>SUM(K54:P54)</f>
        <v>6</v>
      </c>
      <c r="K54" s="55">
        <v>4</v>
      </c>
      <c r="L54" s="55">
        <v>1</v>
      </c>
      <c r="M54" s="55">
        <v>1</v>
      </c>
      <c r="N54" s="55">
        <v>0</v>
      </c>
      <c r="O54" s="55">
        <v>0</v>
      </c>
      <c r="P54" s="55">
        <v>0</v>
      </c>
      <c r="R54" s="61">
        <f>SUM(C54/B54)</f>
        <v>0.59515102261953134</v>
      </c>
      <c r="S54" s="61">
        <f>SUM(D54/B54)</f>
        <v>0.21359880807259921</v>
      </c>
      <c r="T54" s="61">
        <f>SUM(E54/B54)</f>
        <v>0.14316673438981445</v>
      </c>
      <c r="U54" s="61">
        <f>SUM(F54/B54)</f>
        <v>4.8083434918054994E-2</v>
      </c>
      <c r="V54" s="61">
        <f>SUM(G54/B54)</f>
        <v>0</v>
      </c>
      <c r="W54" s="61">
        <f>SUM(H54/B54)</f>
        <v>0</v>
      </c>
    </row>
    <row r="55" spans="1:23">
      <c r="A55" s="56" t="s">
        <v>1573</v>
      </c>
      <c r="B55" s="54">
        <f>SUM(C55:H55)</f>
        <v>6179</v>
      </c>
      <c r="C55" s="55">
        <v>3079</v>
      </c>
      <c r="D55" s="55">
        <v>1011</v>
      </c>
      <c r="E55" s="55">
        <v>1511</v>
      </c>
      <c r="F55" s="55">
        <v>578</v>
      </c>
      <c r="G55" s="55">
        <v>0</v>
      </c>
      <c r="H55" s="55">
        <v>0</v>
      </c>
      <c r="J55" s="54">
        <f>SUM(K55:P55)</f>
        <v>5</v>
      </c>
      <c r="K55" s="55">
        <v>3</v>
      </c>
      <c r="L55" s="55">
        <v>1</v>
      </c>
      <c r="M55" s="55">
        <v>1</v>
      </c>
      <c r="N55" s="55">
        <v>0</v>
      </c>
      <c r="O55" s="55">
        <v>0</v>
      </c>
      <c r="P55" s="55">
        <v>0</v>
      </c>
      <c r="R55" s="61">
        <f>SUM(C55/B55)</f>
        <v>0.49830069590548631</v>
      </c>
      <c r="S55" s="61">
        <f>SUM(D55/B55)</f>
        <v>0.16361870852888816</v>
      </c>
      <c r="T55" s="61">
        <f>SUM(E55/B55)</f>
        <v>0.24453795112477747</v>
      </c>
      <c r="U55" s="61">
        <f>SUM(F55/B55)</f>
        <v>9.3542644440848033E-2</v>
      </c>
      <c r="V55" s="61">
        <f>SUM(G55/B55)</f>
        <v>0</v>
      </c>
      <c r="W55" s="61">
        <f>SUM(H55/B55)</f>
        <v>0</v>
      </c>
    </row>
    <row r="56" spans="1:23" s="52" customFormat="1">
      <c r="A56" s="53" t="s">
        <v>1574</v>
      </c>
      <c r="B56" s="54">
        <f>SUM(B52:B55)</f>
        <v>26167</v>
      </c>
      <c r="C56" s="54">
        <f t="shared" ref="C56:O56" si="15">SUM(C52:C55)</f>
        <v>11002</v>
      </c>
      <c r="D56" s="54">
        <f>SUM(D52:D55)</f>
        <v>3117</v>
      </c>
      <c r="E56" s="54">
        <f t="shared" si="15"/>
        <v>8055</v>
      </c>
      <c r="F56" s="54">
        <f t="shared" si="15"/>
        <v>3826</v>
      </c>
      <c r="G56" s="54">
        <f t="shared" si="15"/>
        <v>167</v>
      </c>
      <c r="H56" s="54">
        <f>SUM(H52:H55)</f>
        <v>0</v>
      </c>
      <c r="I56" s="54"/>
      <c r="J56" s="54">
        <f t="shared" si="15"/>
        <v>22</v>
      </c>
      <c r="K56" s="54">
        <f t="shared" si="15"/>
        <v>10</v>
      </c>
      <c r="L56" s="54">
        <f t="shared" si="15"/>
        <v>2</v>
      </c>
      <c r="M56" s="54">
        <f t="shared" si="15"/>
        <v>7</v>
      </c>
      <c r="N56" s="54">
        <f t="shared" si="15"/>
        <v>3</v>
      </c>
      <c r="O56" s="54">
        <f t="shared" si="15"/>
        <v>0</v>
      </c>
      <c r="P56" s="54">
        <f>SUM(P52:P55)</f>
        <v>0</v>
      </c>
      <c r="R56" s="60">
        <f>SUM(C56/B56)</f>
        <v>0.42045324263385181</v>
      </c>
      <c r="S56" s="60">
        <f>SUM(D56/B56)</f>
        <v>0.11911950166239921</v>
      </c>
      <c r="T56" s="60">
        <f>SUM(E56/B56)</f>
        <v>0.30783047349715292</v>
      </c>
      <c r="U56" s="60">
        <f>SUM(F56/B56)</f>
        <v>0.14621469790193756</v>
      </c>
      <c r="V56" s="60">
        <f>SUM(G56/B56)</f>
        <v>6.3820843046585394E-3</v>
      </c>
      <c r="W56" s="60">
        <f>SUM(H56/B56)</f>
        <v>0</v>
      </c>
    </row>
    <row r="57" spans="1:23">
      <c r="A57" s="53"/>
      <c r="B57" s="54"/>
      <c r="C57" s="55"/>
      <c r="D57" s="55"/>
      <c r="E57" s="55"/>
      <c r="F57" s="55"/>
      <c r="G57" s="55"/>
      <c r="H57" s="55"/>
      <c r="J57" s="54"/>
      <c r="K57" s="55"/>
      <c r="L57" s="55"/>
      <c r="M57" s="55"/>
      <c r="N57" s="55"/>
      <c r="O57" s="55"/>
      <c r="P57" s="55"/>
    </row>
    <row r="58" spans="1:23">
      <c r="A58" s="56" t="s">
        <v>1575</v>
      </c>
      <c r="B58" s="54">
        <f>SUM(C58:H58)</f>
        <v>6900</v>
      </c>
      <c r="C58" s="55">
        <v>2898</v>
      </c>
      <c r="D58" s="55">
        <v>907</v>
      </c>
      <c r="E58" s="55">
        <v>2091</v>
      </c>
      <c r="F58" s="55">
        <v>471</v>
      </c>
      <c r="G58" s="55">
        <v>353</v>
      </c>
      <c r="H58" s="55">
        <v>180</v>
      </c>
      <c r="J58" s="54">
        <f>SUM(K58:P58)</f>
        <v>5</v>
      </c>
      <c r="K58" s="55">
        <v>2</v>
      </c>
      <c r="L58" s="55">
        <v>1</v>
      </c>
      <c r="M58" s="55">
        <v>2</v>
      </c>
      <c r="N58" s="55">
        <v>0</v>
      </c>
      <c r="O58" s="55">
        <v>0</v>
      </c>
      <c r="P58" s="55">
        <v>0</v>
      </c>
      <c r="R58" s="61">
        <f t="shared" ref="R58:R63" si="16">SUM(C58/B58)</f>
        <v>0.42</v>
      </c>
      <c r="S58" s="61">
        <f t="shared" ref="S58:S63" si="17">SUM(D58/B58)</f>
        <v>0.13144927536231885</v>
      </c>
      <c r="T58" s="61">
        <f t="shared" ref="T58:T63" si="18">SUM(E58/B58)</f>
        <v>0.30304347826086958</v>
      </c>
      <c r="U58" s="61">
        <f t="shared" ref="U58:U63" si="19">SUM(F58/B58)</f>
        <v>6.8260869565217389E-2</v>
      </c>
      <c r="V58" s="61">
        <f t="shared" ref="V58:V63" si="20">SUM(G58/B58)</f>
        <v>5.1159420289855075E-2</v>
      </c>
      <c r="W58" s="61">
        <f t="shared" ref="W58:W63" si="21">SUM(H58/B58)</f>
        <v>2.6086956521739129E-2</v>
      </c>
    </row>
    <row r="59" spans="1:23">
      <c r="A59" s="56" t="s">
        <v>1576</v>
      </c>
      <c r="B59" s="54">
        <f>SUM(C59:H59)</f>
        <v>7231</v>
      </c>
      <c r="C59" s="55">
        <v>2562</v>
      </c>
      <c r="D59" s="55">
        <v>0</v>
      </c>
      <c r="E59" s="55">
        <v>2683</v>
      </c>
      <c r="F59" s="55">
        <v>1986</v>
      </c>
      <c r="G59" s="55">
        <v>0</v>
      </c>
      <c r="H59" s="55">
        <v>0</v>
      </c>
      <c r="J59" s="54">
        <f>SUM(K59:P59)</f>
        <v>6</v>
      </c>
      <c r="K59" s="55">
        <v>2</v>
      </c>
      <c r="L59" s="55">
        <v>0</v>
      </c>
      <c r="M59" s="55">
        <v>2</v>
      </c>
      <c r="N59" s="55">
        <v>2</v>
      </c>
      <c r="O59" s="55">
        <v>0</v>
      </c>
      <c r="P59" s="55">
        <v>0</v>
      </c>
      <c r="R59" s="61">
        <f t="shared" si="16"/>
        <v>0.35430784123910941</v>
      </c>
      <c r="S59" s="61">
        <f t="shared" si="17"/>
        <v>0</v>
      </c>
      <c r="T59" s="61">
        <f t="shared" si="18"/>
        <v>0.37104134974415709</v>
      </c>
      <c r="U59" s="61">
        <f t="shared" si="19"/>
        <v>0.2746508090167335</v>
      </c>
      <c r="V59" s="61">
        <f t="shared" si="20"/>
        <v>0</v>
      </c>
      <c r="W59" s="61">
        <f t="shared" si="21"/>
        <v>0</v>
      </c>
    </row>
    <row r="60" spans="1:23">
      <c r="A60" s="56" t="s">
        <v>1577</v>
      </c>
      <c r="B60" s="54">
        <f>SUM(C60:H60)</f>
        <v>8091</v>
      </c>
      <c r="C60" s="55">
        <v>727</v>
      </c>
      <c r="D60" s="55">
        <v>0</v>
      </c>
      <c r="E60" s="55">
        <v>2600</v>
      </c>
      <c r="F60" s="55">
        <v>2624</v>
      </c>
      <c r="G60" s="55">
        <v>181</v>
      </c>
      <c r="H60" s="55">
        <v>1959</v>
      </c>
      <c r="J60" s="54">
        <f>SUM(K60:P60)</f>
        <v>7</v>
      </c>
      <c r="K60" s="55">
        <v>1</v>
      </c>
      <c r="L60" s="55">
        <v>0</v>
      </c>
      <c r="M60" s="55">
        <v>2</v>
      </c>
      <c r="N60" s="55">
        <v>2</v>
      </c>
      <c r="O60" s="55">
        <v>0</v>
      </c>
      <c r="P60" s="55">
        <v>2</v>
      </c>
      <c r="R60" s="61">
        <f t="shared" si="16"/>
        <v>8.9852923000865156E-2</v>
      </c>
      <c r="S60" s="61">
        <f t="shared" si="17"/>
        <v>0</v>
      </c>
      <c r="T60" s="61">
        <f t="shared" si="18"/>
        <v>0.32134470399208998</v>
      </c>
      <c r="U60" s="61">
        <f t="shared" si="19"/>
        <v>0.32431096279817079</v>
      </c>
      <c r="V60" s="61">
        <f t="shared" si="20"/>
        <v>2.2370535162526264E-2</v>
      </c>
      <c r="W60" s="61">
        <f t="shared" si="21"/>
        <v>0.2421208750463478</v>
      </c>
    </row>
    <row r="61" spans="1:23">
      <c r="A61" s="56" t="s">
        <v>1578</v>
      </c>
      <c r="B61" s="54">
        <f>SUM(C61:H61)</f>
        <v>8460</v>
      </c>
      <c r="C61" s="55">
        <v>893</v>
      </c>
      <c r="D61" s="55">
        <v>0</v>
      </c>
      <c r="E61" s="55">
        <v>4312</v>
      </c>
      <c r="F61" s="55">
        <v>1423</v>
      </c>
      <c r="G61" s="55">
        <v>219</v>
      </c>
      <c r="H61" s="55">
        <v>1613</v>
      </c>
      <c r="J61" s="54">
        <f>SUM(K61:P61)</f>
        <v>7</v>
      </c>
      <c r="K61" s="55">
        <v>0</v>
      </c>
      <c r="L61" s="55">
        <v>0</v>
      </c>
      <c r="M61" s="55">
        <v>4</v>
      </c>
      <c r="N61" s="55">
        <v>1</v>
      </c>
      <c r="O61" s="55">
        <v>0</v>
      </c>
      <c r="P61" s="55">
        <v>2</v>
      </c>
      <c r="R61" s="61">
        <f t="shared" si="16"/>
        <v>0.10555555555555556</v>
      </c>
      <c r="S61" s="61">
        <f t="shared" si="17"/>
        <v>0</v>
      </c>
      <c r="T61" s="61">
        <f t="shared" si="18"/>
        <v>0.50969267139479901</v>
      </c>
      <c r="U61" s="61">
        <f t="shared" si="19"/>
        <v>0.16820330969267139</v>
      </c>
      <c r="V61" s="61">
        <f t="shared" si="20"/>
        <v>2.5886524822695035E-2</v>
      </c>
      <c r="W61" s="61">
        <f t="shared" si="21"/>
        <v>0.19066193853427896</v>
      </c>
    </row>
    <row r="62" spans="1:23">
      <c r="A62" s="56" t="s">
        <v>1579</v>
      </c>
      <c r="B62" s="54">
        <f>SUM(C62:H62)</f>
        <v>6274</v>
      </c>
      <c r="C62" s="55">
        <v>0</v>
      </c>
      <c r="D62" s="55">
        <v>0</v>
      </c>
      <c r="E62" s="55">
        <v>2904</v>
      </c>
      <c r="F62" s="55">
        <v>3370</v>
      </c>
      <c r="G62" s="55">
        <v>0</v>
      </c>
      <c r="H62" s="55">
        <v>0</v>
      </c>
      <c r="J62" s="54">
        <f>SUM(K62:P62)</f>
        <v>5</v>
      </c>
      <c r="K62" s="55">
        <v>0</v>
      </c>
      <c r="L62" s="55">
        <v>0</v>
      </c>
      <c r="M62" s="55">
        <v>2</v>
      </c>
      <c r="N62" s="55">
        <v>3</v>
      </c>
      <c r="O62" s="55">
        <v>0</v>
      </c>
      <c r="P62" s="55">
        <v>0</v>
      </c>
      <c r="R62" s="61">
        <f t="shared" si="16"/>
        <v>0</v>
      </c>
      <c r="S62" s="61">
        <f t="shared" si="17"/>
        <v>0</v>
      </c>
      <c r="T62" s="61">
        <f t="shared" si="18"/>
        <v>0.46286260758686643</v>
      </c>
      <c r="U62" s="61">
        <f t="shared" si="19"/>
        <v>0.53713739241313352</v>
      </c>
      <c r="V62" s="61">
        <f t="shared" si="20"/>
        <v>0</v>
      </c>
      <c r="W62" s="61">
        <f t="shared" si="21"/>
        <v>0</v>
      </c>
    </row>
    <row r="63" spans="1:23" s="52" customFormat="1">
      <c r="A63" s="53" t="s">
        <v>1580</v>
      </c>
      <c r="B63" s="54">
        <f>SUM(B58:B62)</f>
        <v>36956</v>
      </c>
      <c r="C63" s="54">
        <f t="shared" ref="C63:O63" si="22">SUM(C58:C62)</f>
        <v>7080</v>
      </c>
      <c r="D63" s="54">
        <f>SUM(D58:D62)</f>
        <v>907</v>
      </c>
      <c r="E63" s="54">
        <f t="shared" si="22"/>
        <v>14590</v>
      </c>
      <c r="F63" s="54">
        <f t="shared" si="22"/>
        <v>9874</v>
      </c>
      <c r="G63" s="54">
        <f t="shared" si="22"/>
        <v>753</v>
      </c>
      <c r="H63" s="54">
        <f>SUM(H58:H62)</f>
        <v>3752</v>
      </c>
      <c r="I63" s="54"/>
      <c r="J63" s="54">
        <f t="shared" si="22"/>
        <v>30</v>
      </c>
      <c r="K63" s="54">
        <f t="shared" si="22"/>
        <v>5</v>
      </c>
      <c r="L63" s="54">
        <f t="shared" si="22"/>
        <v>1</v>
      </c>
      <c r="M63" s="54">
        <f t="shared" si="22"/>
        <v>12</v>
      </c>
      <c r="N63" s="54">
        <f t="shared" si="22"/>
        <v>8</v>
      </c>
      <c r="O63" s="54">
        <f t="shared" si="22"/>
        <v>0</v>
      </c>
      <c r="P63" s="54">
        <f>SUM(P58:P62)</f>
        <v>4</v>
      </c>
      <c r="R63" s="60">
        <f t="shared" si="16"/>
        <v>0.19157917523541509</v>
      </c>
      <c r="S63" s="60">
        <f t="shared" si="17"/>
        <v>2.4542699426344843E-2</v>
      </c>
      <c r="T63" s="60">
        <f t="shared" si="18"/>
        <v>0.39479380885377208</v>
      </c>
      <c r="U63" s="60">
        <f t="shared" si="19"/>
        <v>0.26718259551899554</v>
      </c>
      <c r="V63" s="60">
        <f t="shared" si="20"/>
        <v>2.0375581772919146E-2</v>
      </c>
      <c r="W63" s="60">
        <f t="shared" si="21"/>
        <v>0.10152613919255331</v>
      </c>
    </row>
    <row r="64" spans="1:23">
      <c r="A64" s="53"/>
      <c r="B64" s="54"/>
      <c r="C64" s="55"/>
      <c r="D64" s="55"/>
      <c r="E64" s="55"/>
      <c r="F64" s="55"/>
      <c r="G64" s="55"/>
      <c r="H64" s="55"/>
      <c r="J64" s="54"/>
      <c r="K64" s="55"/>
      <c r="L64" s="55"/>
      <c r="M64" s="55"/>
      <c r="N64" s="55"/>
      <c r="O64" s="55"/>
      <c r="P64" s="55"/>
    </row>
    <row r="65" spans="1:23">
      <c r="A65" s="56" t="s">
        <v>1581</v>
      </c>
      <c r="B65" s="54">
        <f>SUM(C65:H65)</f>
        <v>8028</v>
      </c>
      <c r="C65" s="55">
        <v>5183</v>
      </c>
      <c r="D65" s="55">
        <v>1426</v>
      </c>
      <c r="E65" s="55">
        <v>614</v>
      </c>
      <c r="F65" s="55">
        <v>349</v>
      </c>
      <c r="G65" s="55">
        <v>390</v>
      </c>
      <c r="H65" s="55">
        <v>66</v>
      </c>
      <c r="I65" s="55"/>
      <c r="J65" s="54">
        <f>SUM(K65:P65)</f>
        <v>7</v>
      </c>
      <c r="K65" s="55">
        <v>5</v>
      </c>
      <c r="L65" s="55">
        <v>1</v>
      </c>
      <c r="M65" s="55">
        <v>1</v>
      </c>
      <c r="N65" s="55">
        <v>0</v>
      </c>
      <c r="O65" s="55">
        <v>0</v>
      </c>
      <c r="P65" s="55">
        <v>0</v>
      </c>
      <c r="R65" s="61">
        <f>SUM(C65/B65)</f>
        <v>0.645615346287992</v>
      </c>
      <c r="S65" s="61">
        <f>SUM(D65/B65)</f>
        <v>0.17762830094668661</v>
      </c>
      <c r="T65" s="61">
        <f>SUM(E65/B65)</f>
        <v>7.6482311908320874E-2</v>
      </c>
      <c r="U65" s="61">
        <f>SUM(F65/B65)</f>
        <v>4.3472845042351771E-2</v>
      </c>
      <c r="V65" s="61">
        <f>SUM(G65/B65)</f>
        <v>4.8579970104633781E-2</v>
      </c>
      <c r="W65" s="61">
        <f>SUM(H65/B65)</f>
        <v>8.2212257100149483E-3</v>
      </c>
    </row>
    <row r="66" spans="1:23">
      <c r="A66" s="56" t="s">
        <v>1582</v>
      </c>
      <c r="B66" s="54">
        <f>SUM(C66:H66)</f>
        <v>7823</v>
      </c>
      <c r="C66" s="55">
        <v>3412</v>
      </c>
      <c r="D66" s="55">
        <v>1079</v>
      </c>
      <c r="E66" s="55">
        <v>1190</v>
      </c>
      <c r="F66" s="55">
        <v>1048</v>
      </c>
      <c r="G66" s="55">
        <v>541</v>
      </c>
      <c r="H66" s="55">
        <v>553</v>
      </c>
      <c r="J66" s="54">
        <f>SUM(K66:P66)</f>
        <v>7</v>
      </c>
      <c r="K66" s="55">
        <v>3</v>
      </c>
      <c r="L66" s="55">
        <v>1</v>
      </c>
      <c r="M66" s="55">
        <v>1</v>
      </c>
      <c r="N66" s="55">
        <v>1</v>
      </c>
      <c r="O66" s="55">
        <v>1</v>
      </c>
      <c r="P66" s="55">
        <v>0</v>
      </c>
      <c r="R66" s="61">
        <f>SUM(C66/B66)</f>
        <v>0.43614981464911157</v>
      </c>
      <c r="S66" s="61">
        <f>SUM(D66/B66)</f>
        <v>0.13792662661383101</v>
      </c>
      <c r="T66" s="61">
        <f>SUM(E66/B66)</f>
        <v>0.15211555669180621</v>
      </c>
      <c r="U66" s="61">
        <f>SUM(F66/B66)</f>
        <v>0.13396395244791001</v>
      </c>
      <c r="V66" s="61">
        <f>SUM(G66/B66)</f>
        <v>6.9155055605266524E-2</v>
      </c>
      <c r="W66" s="61">
        <f>SUM(H66/B66)</f>
        <v>7.068899399207465E-2</v>
      </c>
    </row>
    <row r="67" spans="1:23">
      <c r="A67" s="56" t="s">
        <v>1583</v>
      </c>
      <c r="B67" s="54">
        <f>SUM(C67:H67)</f>
        <v>8073</v>
      </c>
      <c r="C67" s="55">
        <v>3041</v>
      </c>
      <c r="D67" s="55">
        <v>1845</v>
      </c>
      <c r="E67" s="55">
        <v>890</v>
      </c>
      <c r="F67" s="55">
        <v>0</v>
      </c>
      <c r="G67" s="55">
        <v>373</v>
      </c>
      <c r="H67" s="55">
        <v>1924</v>
      </c>
      <c r="J67" s="54">
        <f>SUM(K67:P67)</f>
        <v>7</v>
      </c>
      <c r="K67" s="55">
        <v>3</v>
      </c>
      <c r="L67" s="55">
        <v>1</v>
      </c>
      <c r="M67" s="55">
        <v>1</v>
      </c>
      <c r="N67" s="55">
        <v>0</v>
      </c>
      <c r="O67" s="55">
        <v>0</v>
      </c>
      <c r="P67" s="55">
        <v>2</v>
      </c>
      <c r="R67" s="61">
        <f>SUM(C67/B67)</f>
        <v>0.37668772451381149</v>
      </c>
      <c r="S67" s="61">
        <f>SUM(D67/B67)</f>
        <v>0.22853957636566333</v>
      </c>
      <c r="T67" s="61">
        <f>SUM(E67/B67)</f>
        <v>0.11024402328750155</v>
      </c>
      <c r="U67" s="61">
        <f>SUM(F67/B67)</f>
        <v>0</v>
      </c>
      <c r="V67" s="61">
        <f>SUM(G67/B67)</f>
        <v>4.6203394029480989E-2</v>
      </c>
      <c r="W67" s="61">
        <f>SUM(H67/B67)</f>
        <v>0.23832528180354268</v>
      </c>
    </row>
    <row r="68" spans="1:23">
      <c r="A68" s="56" t="s">
        <v>1584</v>
      </c>
      <c r="B68" s="54">
        <f>SUM(C68:H68)</f>
        <v>6578</v>
      </c>
      <c r="C68" s="55">
        <v>471</v>
      </c>
      <c r="D68" s="55">
        <v>89</v>
      </c>
      <c r="E68" s="55">
        <v>3092</v>
      </c>
      <c r="F68" s="55">
        <v>2320</v>
      </c>
      <c r="G68" s="55">
        <v>62</v>
      </c>
      <c r="H68" s="55">
        <v>544</v>
      </c>
      <c r="J68" s="54">
        <f>SUM(K68:P68)</f>
        <v>5</v>
      </c>
      <c r="K68" s="55">
        <v>0</v>
      </c>
      <c r="L68" s="55">
        <v>0</v>
      </c>
      <c r="M68" s="55">
        <v>4</v>
      </c>
      <c r="N68" s="55">
        <v>1</v>
      </c>
      <c r="O68" s="55">
        <v>0</v>
      </c>
      <c r="P68" s="55">
        <v>0</v>
      </c>
      <c r="R68" s="61">
        <f>SUM(C68/B68)</f>
        <v>7.1602310732745519E-2</v>
      </c>
      <c r="S68" s="61">
        <f>SUM(D68/B68)</f>
        <v>1.3529948312557008E-2</v>
      </c>
      <c r="T68" s="61">
        <f>SUM(E68/B68)</f>
        <v>0.47005168744299181</v>
      </c>
      <c r="U68" s="61">
        <f>SUM(F68/B68)</f>
        <v>0.35269078747339616</v>
      </c>
      <c r="V68" s="61">
        <f>SUM(G68/B68)</f>
        <v>9.425357251444208E-3</v>
      </c>
      <c r="W68" s="61">
        <f>SUM(H68/B68)</f>
        <v>8.2699908786865312E-2</v>
      </c>
    </row>
    <row r="69" spans="1:23" s="52" customFormat="1">
      <c r="A69" s="53" t="s">
        <v>1585</v>
      </c>
      <c r="B69" s="54">
        <f>SUM(B65:B68)</f>
        <v>30502</v>
      </c>
      <c r="C69" s="54">
        <f t="shared" ref="C69:O69" si="23">SUM(C65:C68)</f>
        <v>12107</v>
      </c>
      <c r="D69" s="54">
        <f>SUM(D65:D68)</f>
        <v>4439</v>
      </c>
      <c r="E69" s="54">
        <f t="shared" si="23"/>
        <v>5786</v>
      </c>
      <c r="F69" s="54">
        <f t="shared" si="23"/>
        <v>3717</v>
      </c>
      <c r="G69" s="54">
        <f t="shared" si="23"/>
        <v>1366</v>
      </c>
      <c r="H69" s="54">
        <f>SUM(H65:H68)</f>
        <v>3087</v>
      </c>
      <c r="I69" s="54"/>
      <c r="J69" s="54">
        <f t="shared" si="23"/>
        <v>26</v>
      </c>
      <c r="K69" s="54">
        <f t="shared" si="23"/>
        <v>11</v>
      </c>
      <c r="L69" s="54">
        <f t="shared" si="23"/>
        <v>3</v>
      </c>
      <c r="M69" s="54">
        <f t="shared" si="23"/>
        <v>7</v>
      </c>
      <c r="N69" s="54">
        <f t="shared" si="23"/>
        <v>2</v>
      </c>
      <c r="O69" s="54">
        <f t="shared" si="23"/>
        <v>1</v>
      </c>
      <c r="P69" s="54">
        <f>SUM(P65:P68)</f>
        <v>2</v>
      </c>
      <c r="R69" s="60">
        <f>SUM(C69/B69)</f>
        <v>0.39692479181693002</v>
      </c>
      <c r="S69" s="60">
        <f>SUM(D69/B69)</f>
        <v>0.14553144056127468</v>
      </c>
      <c r="T69" s="60">
        <f>SUM(E69/B69)</f>
        <v>0.18969247918169299</v>
      </c>
      <c r="U69" s="60">
        <f>SUM(F69/B69)</f>
        <v>0.12186086158284702</v>
      </c>
      <c r="V69" s="60">
        <f>SUM(G69/B69)</f>
        <v>4.478394859353485E-2</v>
      </c>
      <c r="W69" s="60">
        <f>SUM(H69/B69)</f>
        <v>0.10120647826372041</v>
      </c>
    </row>
    <row r="70" spans="1:23">
      <c r="A70" s="53"/>
      <c r="B70" s="54"/>
      <c r="C70" s="55"/>
      <c r="D70" s="55"/>
      <c r="E70" s="55"/>
      <c r="F70" s="55"/>
      <c r="G70" s="55"/>
      <c r="H70" s="55"/>
      <c r="J70" s="54"/>
      <c r="K70" s="55"/>
      <c r="L70" s="55"/>
      <c r="M70" s="55"/>
      <c r="N70" s="55"/>
      <c r="O70" s="55"/>
      <c r="P70" s="55"/>
    </row>
    <row r="71" spans="1:23">
      <c r="A71" s="56" t="s">
        <v>1586</v>
      </c>
      <c r="B71" s="54">
        <f>SUM(C71:H71)</f>
        <v>4724</v>
      </c>
      <c r="C71" s="55">
        <v>2734</v>
      </c>
      <c r="D71" s="55">
        <v>770</v>
      </c>
      <c r="E71" s="55">
        <v>729</v>
      </c>
      <c r="F71" s="55">
        <v>0</v>
      </c>
      <c r="G71" s="55">
        <v>202</v>
      </c>
      <c r="H71" s="55">
        <v>289</v>
      </c>
      <c r="J71" s="54">
        <f>SUM(K71:P71)</f>
        <v>5</v>
      </c>
      <c r="K71" s="55">
        <v>3</v>
      </c>
      <c r="L71" s="55">
        <v>1</v>
      </c>
      <c r="M71" s="55">
        <v>1</v>
      </c>
      <c r="N71" s="55">
        <v>0</v>
      </c>
      <c r="O71" s="55">
        <v>0</v>
      </c>
      <c r="P71" s="55">
        <v>0</v>
      </c>
      <c r="R71" s="61">
        <f>SUM(C71/B71)</f>
        <v>0.57874682472480954</v>
      </c>
      <c r="S71" s="61">
        <f>SUM(D71/B71)</f>
        <v>0.16299745977984759</v>
      </c>
      <c r="T71" s="61">
        <f>SUM(E71/B71)</f>
        <v>0.15431837425910244</v>
      </c>
      <c r="U71" s="61">
        <f>SUM(F71/B71)</f>
        <v>0</v>
      </c>
      <c r="V71" s="61">
        <f>SUM(G71/B71)</f>
        <v>4.2760372565622352E-2</v>
      </c>
      <c r="W71" s="61">
        <f>SUM(H71/B71)</f>
        <v>6.1176968670618122E-2</v>
      </c>
    </row>
    <row r="72" spans="1:23">
      <c r="A72" s="56" t="s">
        <v>1587</v>
      </c>
      <c r="B72" s="54">
        <f>SUM(C72:H72)</f>
        <v>5136</v>
      </c>
      <c r="C72" s="55">
        <v>2789</v>
      </c>
      <c r="D72" s="55">
        <v>581</v>
      </c>
      <c r="E72" s="55">
        <v>534</v>
      </c>
      <c r="F72" s="55">
        <v>0</v>
      </c>
      <c r="G72" s="55">
        <v>423</v>
      </c>
      <c r="H72" s="55">
        <v>809</v>
      </c>
      <c r="J72" s="54">
        <f>SUM(K72:P72)</f>
        <v>6</v>
      </c>
      <c r="K72" s="55">
        <v>3</v>
      </c>
      <c r="L72" s="55">
        <v>1</v>
      </c>
      <c r="M72" s="55">
        <v>1</v>
      </c>
      <c r="N72" s="55">
        <v>0</v>
      </c>
      <c r="O72" s="55">
        <v>0</v>
      </c>
      <c r="P72" s="55">
        <v>1</v>
      </c>
      <c r="R72" s="61">
        <f>SUM(C72/B72)</f>
        <v>0.54302959501557635</v>
      </c>
      <c r="S72" s="61">
        <f>SUM(D72/B72)</f>
        <v>0.11312305295950156</v>
      </c>
      <c r="T72" s="61">
        <f>SUM(E72/B72)</f>
        <v>0.10397196261682243</v>
      </c>
      <c r="U72" s="61">
        <f>SUM(F72/B72)</f>
        <v>0</v>
      </c>
      <c r="V72" s="61">
        <f>SUM(G72/B72)</f>
        <v>8.2359813084112152E-2</v>
      </c>
      <c r="W72" s="61">
        <f>SUM(H72/B72)</f>
        <v>0.15751557632398755</v>
      </c>
    </row>
    <row r="73" spans="1:23">
      <c r="A73" s="56" t="s">
        <v>1588</v>
      </c>
      <c r="B73" s="54">
        <f>SUM(C73:H73)</f>
        <v>6001</v>
      </c>
      <c r="C73" s="55">
        <v>2599</v>
      </c>
      <c r="D73" s="55">
        <v>1103</v>
      </c>
      <c r="E73" s="55">
        <v>1607</v>
      </c>
      <c r="F73" s="55">
        <v>0</v>
      </c>
      <c r="G73" s="55">
        <v>0</v>
      </c>
      <c r="H73" s="55">
        <v>692</v>
      </c>
      <c r="J73" s="54">
        <f>SUM(K73:P73)</f>
        <v>6</v>
      </c>
      <c r="K73" s="55">
        <v>3</v>
      </c>
      <c r="L73" s="55">
        <v>1</v>
      </c>
      <c r="M73" s="55">
        <v>1</v>
      </c>
      <c r="N73" s="55">
        <v>0</v>
      </c>
      <c r="O73" s="55">
        <v>0</v>
      </c>
      <c r="P73" s="55">
        <v>1</v>
      </c>
      <c r="R73" s="61">
        <f>SUM(C73/B73)</f>
        <v>0.43309448425262459</v>
      </c>
      <c r="S73" s="61">
        <f>SUM(D73/B73)</f>
        <v>0.183802699550075</v>
      </c>
      <c r="T73" s="61">
        <f>SUM(E73/B73)</f>
        <v>0.26778870188301951</v>
      </c>
      <c r="U73" s="61">
        <f>SUM(F73/B73)</f>
        <v>0</v>
      </c>
      <c r="V73" s="61">
        <f>SUM(G73/B73)</f>
        <v>0</v>
      </c>
      <c r="W73" s="61">
        <f>SUM(H73/B73)</f>
        <v>0.11531411431428096</v>
      </c>
    </row>
    <row r="74" spans="1:23" s="52" customFormat="1">
      <c r="A74" s="53" t="s">
        <v>1589</v>
      </c>
      <c r="B74" s="54">
        <f>SUM(B71:B73)</f>
        <v>15861</v>
      </c>
      <c r="C74" s="54">
        <f t="shared" ref="C74:O74" si="24">SUM(C71:C73)</f>
        <v>8122</v>
      </c>
      <c r="D74" s="54">
        <f>SUM(D71:D73)</f>
        <v>2454</v>
      </c>
      <c r="E74" s="54">
        <f t="shared" si="24"/>
        <v>2870</v>
      </c>
      <c r="F74" s="54">
        <f t="shared" si="24"/>
        <v>0</v>
      </c>
      <c r="G74" s="54">
        <f t="shared" si="24"/>
        <v>625</v>
      </c>
      <c r="H74" s="54">
        <f>SUM(H71:H73)</f>
        <v>1790</v>
      </c>
      <c r="I74" s="54"/>
      <c r="J74" s="54">
        <f t="shared" si="24"/>
        <v>17</v>
      </c>
      <c r="K74" s="54">
        <f t="shared" si="24"/>
        <v>9</v>
      </c>
      <c r="L74" s="54">
        <f t="shared" si="24"/>
        <v>3</v>
      </c>
      <c r="M74" s="54">
        <f t="shared" si="24"/>
        <v>3</v>
      </c>
      <c r="N74" s="54">
        <f t="shared" si="24"/>
        <v>0</v>
      </c>
      <c r="O74" s="54">
        <f t="shared" si="24"/>
        <v>0</v>
      </c>
      <c r="P74" s="54">
        <f>SUM(P71:P73)</f>
        <v>2</v>
      </c>
      <c r="R74" s="60">
        <f>SUM(C74/B74)</f>
        <v>0.51207363974528719</v>
      </c>
      <c r="S74" s="60">
        <f>SUM(D74/B74)</f>
        <v>0.15471912237563837</v>
      </c>
      <c r="T74" s="60">
        <f>SUM(E74/B74)</f>
        <v>0.18094697686148414</v>
      </c>
      <c r="U74" s="60">
        <f>SUM(F74/B74)</f>
        <v>0</v>
      </c>
      <c r="V74" s="60">
        <f>SUM(G74/B74)</f>
        <v>3.9404829455898113E-2</v>
      </c>
      <c r="W74" s="60">
        <f>SUM(H74/B74)</f>
        <v>0.1128554315616922</v>
      </c>
    </row>
    <row r="75" spans="1:23">
      <c r="A75" s="53"/>
      <c r="B75" s="54"/>
      <c r="C75" s="55"/>
      <c r="D75" s="55"/>
      <c r="E75" s="55"/>
      <c r="F75" s="55"/>
      <c r="G75" s="55"/>
      <c r="H75" s="55"/>
      <c r="J75" s="54"/>
      <c r="K75" s="55"/>
      <c r="L75" s="55"/>
      <c r="M75" s="55"/>
      <c r="N75" s="55"/>
      <c r="O75" s="55"/>
      <c r="P75" s="55"/>
    </row>
    <row r="76" spans="1:23">
      <c r="A76" s="56" t="s">
        <v>1590</v>
      </c>
      <c r="B76" s="54">
        <f>SUM(C76:H76)</f>
        <v>6129</v>
      </c>
      <c r="C76" s="55">
        <v>802</v>
      </c>
      <c r="D76" s="55">
        <v>0</v>
      </c>
      <c r="E76" s="55">
        <v>3740</v>
      </c>
      <c r="F76" s="55">
        <v>659</v>
      </c>
      <c r="G76" s="55">
        <v>431</v>
      </c>
      <c r="H76" s="55">
        <v>497</v>
      </c>
      <c r="J76" s="54">
        <f>SUM(K76:P76)</f>
        <v>7</v>
      </c>
      <c r="K76" s="55">
        <v>1</v>
      </c>
      <c r="L76" s="55">
        <v>0</v>
      </c>
      <c r="M76" s="55">
        <v>5</v>
      </c>
      <c r="N76" s="55">
        <v>1</v>
      </c>
      <c r="O76" s="55">
        <v>0</v>
      </c>
      <c r="P76" s="55">
        <v>0</v>
      </c>
      <c r="R76" s="61">
        <f>SUM(C76/B76)</f>
        <v>0.13085332028063307</v>
      </c>
      <c r="S76" s="61">
        <f>SUM(D76/B76)</f>
        <v>0</v>
      </c>
      <c r="T76" s="61">
        <f>SUM(E76/B76)</f>
        <v>0.61021373796704192</v>
      </c>
      <c r="U76" s="61">
        <f>SUM(F76/B76)</f>
        <v>0.1075216185348344</v>
      </c>
      <c r="V76" s="61">
        <f>SUM(G76/B76)</f>
        <v>7.0321422744330231E-2</v>
      </c>
      <c r="W76" s="61">
        <f>SUM(H76/B76)</f>
        <v>8.1089900473160378E-2</v>
      </c>
    </row>
    <row r="77" spans="1:23">
      <c r="A77" s="56" t="s">
        <v>1591</v>
      </c>
      <c r="B77" s="54">
        <f>SUM(C77:H77)</f>
        <v>5843</v>
      </c>
      <c r="C77" s="55">
        <v>1032</v>
      </c>
      <c r="D77" s="55">
        <v>552</v>
      </c>
      <c r="E77" s="55">
        <v>2756</v>
      </c>
      <c r="F77" s="55">
        <v>831</v>
      </c>
      <c r="G77" s="55">
        <v>167</v>
      </c>
      <c r="H77" s="55">
        <v>505</v>
      </c>
      <c r="J77" s="54">
        <f>SUM(K77:P77)</f>
        <v>6</v>
      </c>
      <c r="K77" s="55">
        <v>1</v>
      </c>
      <c r="L77" s="55">
        <v>0</v>
      </c>
      <c r="M77" s="55">
        <v>3</v>
      </c>
      <c r="N77" s="55">
        <v>1</v>
      </c>
      <c r="O77" s="55">
        <v>0</v>
      </c>
      <c r="P77" s="55">
        <v>1</v>
      </c>
      <c r="R77" s="61">
        <f>SUM(C77/B77)</f>
        <v>0.17662159849392436</v>
      </c>
      <c r="S77" s="61">
        <f>SUM(D77/B77)</f>
        <v>9.4472017799075811E-2</v>
      </c>
      <c r="T77" s="61">
        <f>SUM(E77/B77)</f>
        <v>0.47167550915625533</v>
      </c>
      <c r="U77" s="61">
        <f>SUM(F77/B77)</f>
        <v>0.14222146157795654</v>
      </c>
      <c r="V77" s="61">
        <f>SUM(G77/B77)</f>
        <v>2.8581208283416055E-2</v>
      </c>
      <c r="W77" s="61">
        <f>SUM(H77/B77)</f>
        <v>8.6428204689371901E-2</v>
      </c>
    </row>
    <row r="78" spans="1:23">
      <c r="A78" s="56" t="s">
        <v>1592</v>
      </c>
      <c r="B78" s="54">
        <f>SUM(C78:H78)</f>
        <v>5369</v>
      </c>
      <c r="C78" s="55">
        <v>2358</v>
      </c>
      <c r="D78" s="55">
        <v>810</v>
      </c>
      <c r="E78" s="55">
        <v>1428</v>
      </c>
      <c r="F78" s="55">
        <v>0</v>
      </c>
      <c r="G78" s="55">
        <v>252</v>
      </c>
      <c r="H78" s="55">
        <v>521</v>
      </c>
      <c r="J78" s="54">
        <f>SUM(K78:P78)</f>
        <v>5</v>
      </c>
      <c r="K78" s="55">
        <v>3</v>
      </c>
      <c r="L78" s="55">
        <v>1</v>
      </c>
      <c r="M78" s="55">
        <v>1</v>
      </c>
      <c r="N78" s="55">
        <v>0</v>
      </c>
      <c r="O78" s="55">
        <v>0</v>
      </c>
      <c r="P78" s="55">
        <v>0</v>
      </c>
      <c r="R78" s="61">
        <f>SUM(C78/B78)</f>
        <v>0.43918793071335444</v>
      </c>
      <c r="S78" s="61">
        <f>SUM(D78/B78)</f>
        <v>0.15086608306947291</v>
      </c>
      <c r="T78" s="61">
        <f>SUM(E78/B78)</f>
        <v>0.26597131681877445</v>
      </c>
      <c r="U78" s="61">
        <f>SUM(F78/B78)</f>
        <v>0</v>
      </c>
      <c r="V78" s="61">
        <f>SUM(G78/B78)</f>
        <v>4.6936114732724903E-2</v>
      </c>
      <c r="W78" s="61">
        <f>SUM(H78/B78)</f>
        <v>9.7038554665673307E-2</v>
      </c>
    </row>
    <row r="79" spans="1:23">
      <c r="A79" s="56" t="s">
        <v>1593</v>
      </c>
      <c r="B79" s="54">
        <f>SUM(C79:H79)</f>
        <v>5468</v>
      </c>
      <c r="C79" s="55">
        <v>1315</v>
      </c>
      <c r="D79" s="55">
        <v>1362</v>
      </c>
      <c r="E79" s="55">
        <v>2557</v>
      </c>
      <c r="F79" s="55">
        <v>234</v>
      </c>
      <c r="G79" s="55">
        <v>0</v>
      </c>
      <c r="H79" s="55">
        <v>0</v>
      </c>
      <c r="I79" s="55"/>
      <c r="J79" s="54">
        <f>SUM(K79:P79)</f>
        <v>5</v>
      </c>
      <c r="K79" s="55">
        <v>1</v>
      </c>
      <c r="L79" s="55">
        <v>1</v>
      </c>
      <c r="M79" s="55">
        <v>3</v>
      </c>
      <c r="N79" s="55">
        <v>0</v>
      </c>
      <c r="O79" s="55">
        <v>0</v>
      </c>
      <c r="P79" s="55">
        <v>0</v>
      </c>
      <c r="R79" s="61">
        <f>SUM(C79/B79)</f>
        <v>0.24049012435991221</v>
      </c>
      <c r="S79" s="61">
        <f>SUM(D79/B79)</f>
        <v>0.24908558888076079</v>
      </c>
      <c r="T79" s="61">
        <f>SUM(E79/B79)</f>
        <v>0.46762984637893196</v>
      </c>
      <c r="U79" s="61">
        <f>SUM(F79/B79)</f>
        <v>4.2794440380395024E-2</v>
      </c>
      <c r="V79" s="61">
        <f>SUM(G79/B79)</f>
        <v>0</v>
      </c>
      <c r="W79" s="61">
        <f>SUM(H79/B79)</f>
        <v>0</v>
      </c>
    </row>
    <row r="80" spans="1:23" s="52" customFormat="1">
      <c r="A80" s="53" t="s">
        <v>1594</v>
      </c>
      <c r="B80" s="54">
        <f>SUM(B76:B79)</f>
        <v>22809</v>
      </c>
      <c r="C80" s="54">
        <f t="shared" ref="C80:O80" si="25">SUM(C76:C79)</f>
        <v>5507</v>
      </c>
      <c r="D80" s="54">
        <f>SUM(D76:D79)</f>
        <v>2724</v>
      </c>
      <c r="E80" s="54">
        <f t="shared" si="25"/>
        <v>10481</v>
      </c>
      <c r="F80" s="54">
        <f t="shared" si="25"/>
        <v>1724</v>
      </c>
      <c r="G80" s="54">
        <f t="shared" si="25"/>
        <v>850</v>
      </c>
      <c r="H80" s="54">
        <f>SUM(H76:H79)</f>
        <v>1523</v>
      </c>
      <c r="I80" s="54"/>
      <c r="J80" s="54">
        <f t="shared" si="25"/>
        <v>23</v>
      </c>
      <c r="K80" s="54">
        <f t="shared" si="25"/>
        <v>6</v>
      </c>
      <c r="L80" s="54">
        <f t="shared" si="25"/>
        <v>2</v>
      </c>
      <c r="M80" s="54">
        <f t="shared" si="25"/>
        <v>12</v>
      </c>
      <c r="N80" s="54">
        <f t="shared" si="25"/>
        <v>2</v>
      </c>
      <c r="O80" s="54">
        <f t="shared" si="25"/>
        <v>0</v>
      </c>
      <c r="P80" s="54">
        <f>SUM(P76:P79)</f>
        <v>1</v>
      </c>
      <c r="R80" s="60">
        <f>SUM(C80/B80)</f>
        <v>0.24143978254197904</v>
      </c>
      <c r="S80" s="60">
        <f>SUM(D80/B80)</f>
        <v>0.11942654215441273</v>
      </c>
      <c r="T80" s="60">
        <f>SUM(E80/B80)</f>
        <v>0.45951159629970628</v>
      </c>
      <c r="U80" s="60">
        <f>SUM(F80/B80)</f>
        <v>7.5584199219606296E-2</v>
      </c>
      <c r="V80" s="60">
        <f>SUM(G80/B80)</f>
        <v>3.7265991494585468E-2</v>
      </c>
      <c r="W80" s="60">
        <f>SUM(H80/B80)</f>
        <v>6.6771888289710202E-2</v>
      </c>
    </row>
    <row r="81" spans="1:23">
      <c r="A81" s="53"/>
      <c r="B81" s="54"/>
      <c r="C81" s="55"/>
      <c r="D81" s="55"/>
      <c r="E81" s="55"/>
      <c r="F81" s="55"/>
      <c r="G81" s="55"/>
      <c r="H81" s="55"/>
      <c r="J81" s="54"/>
      <c r="K81" s="55"/>
      <c r="L81" s="55"/>
      <c r="M81" s="55"/>
      <c r="N81" s="55"/>
      <c r="O81" s="55"/>
      <c r="P81" s="55"/>
    </row>
    <row r="82" spans="1:23">
      <c r="A82" s="56" t="s">
        <v>1595</v>
      </c>
      <c r="B82" s="54">
        <f>SUM(C82:H82)</f>
        <v>5299</v>
      </c>
      <c r="C82" s="55">
        <v>2069</v>
      </c>
      <c r="D82" s="55">
        <v>1482</v>
      </c>
      <c r="E82" s="55">
        <v>0</v>
      </c>
      <c r="F82" s="55">
        <v>0</v>
      </c>
      <c r="G82" s="55">
        <v>902</v>
      </c>
      <c r="H82" s="55">
        <v>846</v>
      </c>
      <c r="J82" s="54">
        <f>SUM(K82:P82)</f>
        <v>5</v>
      </c>
      <c r="K82" s="55">
        <v>2</v>
      </c>
      <c r="L82" s="55">
        <v>1</v>
      </c>
      <c r="M82" s="55">
        <v>0</v>
      </c>
      <c r="N82" s="55">
        <v>0</v>
      </c>
      <c r="O82" s="55">
        <v>1</v>
      </c>
      <c r="P82" s="55">
        <v>1</v>
      </c>
      <c r="R82" s="61">
        <f t="shared" ref="R82:R87" si="26">SUM(C82/B82)</f>
        <v>0.39045102849594265</v>
      </c>
      <c r="S82" s="61">
        <f t="shared" ref="S82:S87" si="27">SUM(D82/B82)</f>
        <v>0.27967541045480282</v>
      </c>
      <c r="T82" s="61">
        <f t="shared" ref="T82:T87" si="28">SUM(E82/B82)</f>
        <v>0</v>
      </c>
      <c r="U82" s="61">
        <f t="shared" ref="U82:U87" si="29">SUM(F82/B82)</f>
        <v>0</v>
      </c>
      <c r="V82" s="61">
        <f t="shared" ref="V82:V87" si="30">SUM(G82/B82)</f>
        <v>0.17022079637667484</v>
      </c>
      <c r="W82" s="61">
        <f t="shared" ref="W82:W87" si="31">SUM(H82/B82)</f>
        <v>0.15965276467257974</v>
      </c>
    </row>
    <row r="83" spans="1:23">
      <c r="A83" s="56" t="s">
        <v>1596</v>
      </c>
      <c r="B83" s="54">
        <f>SUM(C83:H83)</f>
        <v>5460</v>
      </c>
      <c r="C83" s="55">
        <v>2574</v>
      </c>
      <c r="D83" s="55">
        <v>1316</v>
      </c>
      <c r="E83" s="55">
        <v>931</v>
      </c>
      <c r="F83" s="55">
        <v>0</v>
      </c>
      <c r="G83" s="55">
        <v>489</v>
      </c>
      <c r="H83" s="55">
        <v>150</v>
      </c>
      <c r="J83" s="54">
        <f>SUM(K83:P83)</f>
        <v>5</v>
      </c>
      <c r="K83" s="55">
        <v>3</v>
      </c>
      <c r="L83" s="55">
        <v>1</v>
      </c>
      <c r="M83" s="55">
        <v>1</v>
      </c>
      <c r="N83" s="55">
        <v>0</v>
      </c>
      <c r="O83" s="55">
        <v>0</v>
      </c>
      <c r="P83" s="55">
        <v>0</v>
      </c>
      <c r="R83" s="61">
        <f t="shared" si="26"/>
        <v>0.47142857142857142</v>
      </c>
      <c r="S83" s="61">
        <f t="shared" si="27"/>
        <v>0.24102564102564103</v>
      </c>
      <c r="T83" s="61">
        <f t="shared" si="28"/>
        <v>0.17051282051282052</v>
      </c>
      <c r="U83" s="61">
        <f t="shared" si="29"/>
        <v>0</v>
      </c>
      <c r="V83" s="61">
        <f t="shared" si="30"/>
        <v>8.9560439560439561E-2</v>
      </c>
      <c r="W83" s="61">
        <f t="shared" si="31"/>
        <v>2.7472527472527472E-2</v>
      </c>
    </row>
    <row r="84" spans="1:23">
      <c r="A84" s="56" t="s">
        <v>1597</v>
      </c>
      <c r="B84" s="54">
        <f>SUM(C84:H84)</f>
        <v>7113</v>
      </c>
      <c r="C84" s="55">
        <v>2396</v>
      </c>
      <c r="D84" s="55">
        <v>695</v>
      </c>
      <c r="E84" s="55">
        <v>0</v>
      </c>
      <c r="F84" s="55">
        <v>0</v>
      </c>
      <c r="G84" s="55">
        <v>1446</v>
      </c>
      <c r="H84" s="55">
        <v>2576</v>
      </c>
      <c r="J84" s="54">
        <f>SUM(K84:P84)</f>
        <v>7</v>
      </c>
      <c r="K84" s="55">
        <v>3</v>
      </c>
      <c r="L84" s="55">
        <v>0</v>
      </c>
      <c r="M84" s="55">
        <v>0</v>
      </c>
      <c r="N84" s="55">
        <v>0</v>
      </c>
      <c r="O84" s="55">
        <v>1</v>
      </c>
      <c r="P84" s="55">
        <v>3</v>
      </c>
      <c r="R84" s="61">
        <f t="shared" si="26"/>
        <v>0.33684802474342751</v>
      </c>
      <c r="S84" s="61">
        <f t="shared" si="27"/>
        <v>9.7708421200618581E-2</v>
      </c>
      <c r="T84" s="61">
        <f t="shared" si="28"/>
        <v>0</v>
      </c>
      <c r="U84" s="61">
        <f t="shared" si="29"/>
        <v>0</v>
      </c>
      <c r="V84" s="61">
        <f t="shared" si="30"/>
        <v>0.20328975115984815</v>
      </c>
      <c r="W84" s="61">
        <f t="shared" si="31"/>
        <v>0.36215380289610571</v>
      </c>
    </row>
    <row r="85" spans="1:23">
      <c r="A85" s="56" t="s">
        <v>1598</v>
      </c>
      <c r="B85" s="54">
        <f>SUM(C85:H85)</f>
        <v>5496</v>
      </c>
      <c r="C85" s="55">
        <v>2993</v>
      </c>
      <c r="D85" s="55">
        <v>510</v>
      </c>
      <c r="E85" s="55">
        <v>0</v>
      </c>
      <c r="F85" s="55">
        <v>0</v>
      </c>
      <c r="G85" s="55">
        <v>1067</v>
      </c>
      <c r="H85" s="55">
        <v>926</v>
      </c>
      <c r="J85" s="54">
        <f>SUM(K85:P85)</f>
        <v>6</v>
      </c>
      <c r="K85" s="55">
        <v>4</v>
      </c>
      <c r="L85" s="55">
        <v>0</v>
      </c>
      <c r="M85" s="55">
        <v>0</v>
      </c>
      <c r="N85" s="55">
        <v>0</v>
      </c>
      <c r="O85" s="55">
        <v>1</v>
      </c>
      <c r="P85" s="55">
        <v>1</v>
      </c>
      <c r="R85" s="61">
        <f t="shared" si="26"/>
        <v>0.54457787481804953</v>
      </c>
      <c r="S85" s="61">
        <f t="shared" si="27"/>
        <v>9.2794759825327505E-2</v>
      </c>
      <c r="T85" s="61">
        <f t="shared" si="28"/>
        <v>0</v>
      </c>
      <c r="U85" s="61">
        <f t="shared" si="29"/>
        <v>0</v>
      </c>
      <c r="V85" s="61">
        <f t="shared" si="30"/>
        <v>0.19414119359534207</v>
      </c>
      <c r="W85" s="61">
        <f t="shared" si="31"/>
        <v>0.16848617176128095</v>
      </c>
    </row>
    <row r="86" spans="1:23">
      <c r="A86" s="56" t="s">
        <v>1599</v>
      </c>
      <c r="B86" s="54">
        <f>SUM(C86:H86)</f>
        <v>8837</v>
      </c>
      <c r="C86" s="55">
        <v>1767</v>
      </c>
      <c r="D86" s="55">
        <v>236</v>
      </c>
      <c r="E86" s="55">
        <v>1429</v>
      </c>
      <c r="F86" s="55">
        <v>4427</v>
      </c>
      <c r="G86" s="55">
        <v>284</v>
      </c>
      <c r="H86" s="55">
        <v>694</v>
      </c>
      <c r="J86" s="54">
        <f>SUM(K86:P86)</f>
        <v>7</v>
      </c>
      <c r="K86" s="55">
        <v>1</v>
      </c>
      <c r="L86" s="55">
        <v>0</v>
      </c>
      <c r="M86" s="55">
        <v>1</v>
      </c>
      <c r="N86" s="55">
        <v>4</v>
      </c>
      <c r="O86" s="55">
        <v>0</v>
      </c>
      <c r="P86" s="55">
        <v>1</v>
      </c>
      <c r="R86" s="61">
        <f t="shared" si="26"/>
        <v>0.19995473577005771</v>
      </c>
      <c r="S86" s="61">
        <f t="shared" si="27"/>
        <v>2.6705895665949983E-2</v>
      </c>
      <c r="T86" s="61">
        <f t="shared" si="28"/>
        <v>0.16170646146882425</v>
      </c>
      <c r="U86" s="61">
        <f t="shared" si="29"/>
        <v>0.50096186488627359</v>
      </c>
      <c r="V86" s="61">
        <f t="shared" si="30"/>
        <v>3.2137603259024553E-2</v>
      </c>
      <c r="W86" s="61">
        <f t="shared" si="31"/>
        <v>7.853343894986986E-2</v>
      </c>
    </row>
    <row r="87" spans="1:23" s="52" customFormat="1">
      <c r="A87" s="53" t="s">
        <v>1600</v>
      </c>
      <c r="B87" s="54">
        <f>SUM(B82:B86)</f>
        <v>32205</v>
      </c>
      <c r="C87" s="54">
        <f t="shared" ref="C87:O87" si="32">SUM(C82:C86)</f>
        <v>11799</v>
      </c>
      <c r="D87" s="54">
        <f>SUM(D82:D86)</f>
        <v>4239</v>
      </c>
      <c r="E87" s="54">
        <f t="shared" si="32"/>
        <v>2360</v>
      </c>
      <c r="F87" s="54">
        <f t="shared" si="32"/>
        <v>4427</v>
      </c>
      <c r="G87" s="54">
        <f t="shared" si="32"/>
        <v>4188</v>
      </c>
      <c r="H87" s="54">
        <f>SUM(H82:H86)</f>
        <v>5192</v>
      </c>
      <c r="I87" s="54"/>
      <c r="J87" s="54">
        <f t="shared" si="32"/>
        <v>30</v>
      </c>
      <c r="K87" s="54">
        <f t="shared" si="32"/>
        <v>13</v>
      </c>
      <c r="L87" s="54">
        <f t="shared" si="32"/>
        <v>2</v>
      </c>
      <c r="M87" s="54">
        <f t="shared" si="32"/>
        <v>2</v>
      </c>
      <c r="N87" s="54">
        <f t="shared" si="32"/>
        <v>4</v>
      </c>
      <c r="O87" s="54">
        <f t="shared" si="32"/>
        <v>3</v>
      </c>
      <c r="P87" s="54">
        <f>SUM(P82:P86)</f>
        <v>6</v>
      </c>
      <c r="R87" s="60">
        <f t="shared" si="26"/>
        <v>0.36637168141592918</v>
      </c>
      <c r="S87" s="60">
        <f t="shared" si="27"/>
        <v>0.13162552398695854</v>
      </c>
      <c r="T87" s="60">
        <f t="shared" si="28"/>
        <v>7.3280546498990837E-2</v>
      </c>
      <c r="U87" s="60">
        <f t="shared" si="29"/>
        <v>0.13746312684365783</v>
      </c>
      <c r="V87" s="60">
        <f t="shared" si="30"/>
        <v>0.13004191895668374</v>
      </c>
      <c r="W87" s="60">
        <f t="shared" si="31"/>
        <v>0.16121720229777986</v>
      </c>
    </row>
    <row r="88" spans="1:23">
      <c r="A88" s="53"/>
      <c r="B88" s="54"/>
      <c r="C88" s="55"/>
      <c r="D88" s="55"/>
      <c r="E88" s="55"/>
      <c r="F88" s="55"/>
      <c r="G88" s="55"/>
      <c r="H88" s="55"/>
      <c r="J88" s="54"/>
      <c r="K88" s="55"/>
      <c r="L88" s="55"/>
      <c r="M88" s="55"/>
      <c r="N88" s="55"/>
      <c r="O88" s="55"/>
      <c r="P88" s="55"/>
    </row>
    <row r="89" spans="1:23">
      <c r="A89" s="56" t="s">
        <v>1601</v>
      </c>
      <c r="B89" s="54">
        <f>SUM(C89:H89)</f>
        <v>4936</v>
      </c>
      <c r="C89" s="55">
        <v>1114</v>
      </c>
      <c r="D89" s="55">
        <v>1466</v>
      </c>
      <c r="E89" s="55">
        <v>901</v>
      </c>
      <c r="F89" s="55">
        <v>0</v>
      </c>
      <c r="G89" s="55">
        <v>1422</v>
      </c>
      <c r="H89" s="55">
        <v>33</v>
      </c>
      <c r="J89" s="54">
        <f>SUM(K89:P89)</f>
        <v>5</v>
      </c>
      <c r="K89" s="55">
        <v>1</v>
      </c>
      <c r="L89" s="55">
        <v>2</v>
      </c>
      <c r="M89" s="55">
        <v>1</v>
      </c>
      <c r="N89" s="55">
        <v>0</v>
      </c>
      <c r="O89" s="55">
        <v>1</v>
      </c>
      <c r="P89" s="55">
        <v>0</v>
      </c>
      <c r="R89" s="61">
        <f>SUM(C89/B89)</f>
        <v>0.22568881685575365</v>
      </c>
      <c r="S89" s="61">
        <f>SUM(D89/B89)</f>
        <v>0.29700162074554293</v>
      </c>
      <c r="T89" s="61">
        <f>SUM(E89/B89)</f>
        <v>0.18253646677471638</v>
      </c>
      <c r="U89" s="61">
        <f>SUM(F89/B89)</f>
        <v>0</v>
      </c>
      <c r="V89" s="61">
        <f>SUM(G89/B89)</f>
        <v>0.28808752025931927</v>
      </c>
      <c r="W89" s="61">
        <f>SUM(H89/B89)</f>
        <v>6.6855753646677474E-3</v>
      </c>
    </row>
    <row r="90" spans="1:23">
      <c r="A90" s="56" t="s">
        <v>1602</v>
      </c>
      <c r="B90" s="54">
        <f>SUM(C90:H90)</f>
        <v>5070</v>
      </c>
      <c r="C90" s="55">
        <v>2644</v>
      </c>
      <c r="D90" s="55">
        <v>1167</v>
      </c>
      <c r="E90" s="55">
        <v>0</v>
      </c>
      <c r="F90" s="55">
        <v>0</v>
      </c>
      <c r="G90" s="55">
        <v>770</v>
      </c>
      <c r="H90" s="55">
        <v>489</v>
      </c>
      <c r="J90" s="54">
        <f>SUM(K90:P90)</f>
        <v>6</v>
      </c>
      <c r="K90" s="55">
        <v>4</v>
      </c>
      <c r="L90" s="55">
        <v>1</v>
      </c>
      <c r="M90" s="55">
        <v>0</v>
      </c>
      <c r="N90" s="55">
        <v>0</v>
      </c>
      <c r="O90" s="55">
        <v>1</v>
      </c>
      <c r="P90" s="55">
        <v>0</v>
      </c>
      <c r="R90" s="61">
        <f>SUM(C90/B90)</f>
        <v>0.52149901380670616</v>
      </c>
      <c r="S90" s="61">
        <f>SUM(D90/B90)</f>
        <v>0.23017751479289941</v>
      </c>
      <c r="T90" s="61">
        <f>SUM(E90/B90)</f>
        <v>0</v>
      </c>
      <c r="U90" s="61">
        <f>SUM(F90/B90)</f>
        <v>0</v>
      </c>
      <c r="V90" s="61">
        <f>SUM(G90/B90)</f>
        <v>0.15187376725838264</v>
      </c>
      <c r="W90" s="61">
        <f>SUM(H90/B90)</f>
        <v>9.644970414201183E-2</v>
      </c>
    </row>
    <row r="91" spans="1:23">
      <c r="A91" s="56" t="s">
        <v>1603</v>
      </c>
      <c r="B91" s="54">
        <f>SUM(C91:H91)</f>
        <v>4883</v>
      </c>
      <c r="C91" s="55">
        <v>2741</v>
      </c>
      <c r="D91" s="55">
        <v>920</v>
      </c>
      <c r="E91" s="55">
        <v>0</v>
      </c>
      <c r="F91" s="55">
        <v>0</v>
      </c>
      <c r="G91" s="55">
        <v>1222</v>
      </c>
      <c r="H91" s="55">
        <v>0</v>
      </c>
      <c r="J91" s="54">
        <f>SUM(K91:P91)</f>
        <v>6</v>
      </c>
      <c r="K91" s="55">
        <v>3</v>
      </c>
      <c r="L91" s="55">
        <v>1</v>
      </c>
      <c r="M91" s="55">
        <v>0</v>
      </c>
      <c r="N91" s="55">
        <v>0</v>
      </c>
      <c r="O91" s="55">
        <v>2</v>
      </c>
      <c r="P91" s="55">
        <v>0</v>
      </c>
      <c r="R91" s="61">
        <f>SUM(C91/B91)</f>
        <v>0.56133524472660246</v>
      </c>
      <c r="S91" s="61">
        <f>SUM(D91/B91)</f>
        <v>0.18840876510342003</v>
      </c>
      <c r="T91" s="61">
        <f>SUM(E91/B91)</f>
        <v>0</v>
      </c>
      <c r="U91" s="61">
        <f>SUM(F91/B91)</f>
        <v>0</v>
      </c>
      <c r="V91" s="61">
        <f>SUM(G91/B91)</f>
        <v>0.25025599016997746</v>
      </c>
      <c r="W91" s="61">
        <f>SUM(H91/B91)</f>
        <v>0</v>
      </c>
    </row>
    <row r="92" spans="1:23">
      <c r="A92" s="56" t="s">
        <v>1604</v>
      </c>
      <c r="B92" s="54">
        <f>SUM(C92:H92)</f>
        <v>4700</v>
      </c>
      <c r="C92" s="55">
        <v>1255</v>
      </c>
      <c r="D92" s="55">
        <v>878</v>
      </c>
      <c r="E92" s="55">
        <v>0</v>
      </c>
      <c r="F92" s="55">
        <v>0</v>
      </c>
      <c r="G92" s="55">
        <v>724</v>
      </c>
      <c r="H92" s="55">
        <v>1843</v>
      </c>
      <c r="J92" s="54">
        <f>SUM(K92:P92)</f>
        <v>6</v>
      </c>
      <c r="K92" s="55">
        <v>2</v>
      </c>
      <c r="L92" s="55">
        <v>1</v>
      </c>
      <c r="M92" s="55">
        <v>0</v>
      </c>
      <c r="N92" s="55">
        <v>0</v>
      </c>
      <c r="O92" s="55">
        <v>1</v>
      </c>
      <c r="P92" s="55">
        <v>2</v>
      </c>
      <c r="R92" s="61">
        <f>SUM(C92/B92)</f>
        <v>0.26702127659574471</v>
      </c>
      <c r="S92" s="61">
        <f>SUM(D92/B92)</f>
        <v>0.18680851063829787</v>
      </c>
      <c r="T92" s="61">
        <f>SUM(E92/B92)</f>
        <v>0</v>
      </c>
      <c r="U92" s="61">
        <f>SUM(F92/B92)</f>
        <v>0</v>
      </c>
      <c r="V92" s="61">
        <f>SUM(G92/B92)</f>
        <v>0.15404255319148935</v>
      </c>
      <c r="W92" s="61">
        <f>SUM(H92/B92)</f>
        <v>0.3921276595744681</v>
      </c>
    </row>
    <row r="93" spans="1:23" s="52" customFormat="1">
      <c r="A93" s="53" t="s">
        <v>1605</v>
      </c>
      <c r="B93" s="54">
        <f>SUM(B89:B92)</f>
        <v>19589</v>
      </c>
      <c r="C93" s="54">
        <f t="shared" ref="C93:O93" si="33">SUM(C89:C92)</f>
        <v>7754</v>
      </c>
      <c r="D93" s="54">
        <f>SUM(D89:D92)</f>
        <v>4431</v>
      </c>
      <c r="E93" s="54">
        <f t="shared" si="33"/>
        <v>901</v>
      </c>
      <c r="F93" s="54">
        <f t="shared" si="33"/>
        <v>0</v>
      </c>
      <c r="G93" s="54">
        <f t="shared" si="33"/>
        <v>4138</v>
      </c>
      <c r="H93" s="54">
        <f>SUM(H89:H92)</f>
        <v>2365</v>
      </c>
      <c r="I93" s="54"/>
      <c r="J93" s="54">
        <f t="shared" si="33"/>
        <v>23</v>
      </c>
      <c r="K93" s="54">
        <f t="shared" si="33"/>
        <v>10</v>
      </c>
      <c r="L93" s="54">
        <f t="shared" si="33"/>
        <v>5</v>
      </c>
      <c r="M93" s="54">
        <f t="shared" si="33"/>
        <v>1</v>
      </c>
      <c r="N93" s="54">
        <f t="shared" si="33"/>
        <v>0</v>
      </c>
      <c r="O93" s="54">
        <f t="shared" si="33"/>
        <v>5</v>
      </c>
      <c r="P93" s="54">
        <f>SUM(P89:P92)</f>
        <v>2</v>
      </c>
      <c r="R93" s="60">
        <f>SUM(C93/B93)</f>
        <v>0.39583439685537802</v>
      </c>
      <c r="S93" s="60">
        <f>SUM(D93/B93)</f>
        <v>0.22619837663995099</v>
      </c>
      <c r="T93" s="60">
        <f>SUM(E93/B93)</f>
        <v>4.5995201388534385E-2</v>
      </c>
      <c r="U93" s="60">
        <f>SUM(F93/B93)</f>
        <v>0</v>
      </c>
      <c r="V93" s="60">
        <f>SUM(G93/B93)</f>
        <v>0.21124100260350195</v>
      </c>
      <c r="W93" s="60">
        <f>SUM(H93/B93)</f>
        <v>0.12073102251263464</v>
      </c>
    </row>
    <row r="94" spans="1:23">
      <c r="A94" s="53"/>
      <c r="B94" s="54"/>
      <c r="C94" s="55"/>
      <c r="D94" s="55"/>
      <c r="E94" s="55"/>
      <c r="F94" s="55"/>
      <c r="G94" s="55"/>
      <c r="H94" s="55"/>
      <c r="I94" s="55"/>
      <c r="J94" s="54"/>
      <c r="K94" s="55"/>
      <c r="L94" s="55"/>
      <c r="M94" s="55"/>
      <c r="N94" s="55"/>
      <c r="O94" s="55"/>
      <c r="P94" s="55"/>
    </row>
    <row r="95" spans="1:23">
      <c r="A95" s="56" t="s">
        <v>1606</v>
      </c>
      <c r="B95" s="54">
        <f>SUM(C95:H95)</f>
        <v>3933</v>
      </c>
      <c r="C95" s="55">
        <v>810</v>
      </c>
      <c r="D95" s="55">
        <v>471</v>
      </c>
      <c r="E95" s="55">
        <v>0</v>
      </c>
      <c r="F95" s="55">
        <v>0</v>
      </c>
      <c r="G95" s="55">
        <v>650</v>
      </c>
      <c r="H95" s="55">
        <v>2002</v>
      </c>
      <c r="J95" s="54">
        <f>SUM(K95:P95)</f>
        <v>6</v>
      </c>
      <c r="K95" s="55">
        <v>1</v>
      </c>
      <c r="L95" s="55">
        <v>1</v>
      </c>
      <c r="M95" s="55">
        <v>0</v>
      </c>
      <c r="N95" s="55">
        <v>0</v>
      </c>
      <c r="O95" s="55">
        <v>1</v>
      </c>
      <c r="P95" s="55">
        <v>3</v>
      </c>
      <c r="R95" s="61">
        <f>SUM(C95/B95)</f>
        <v>0.20594965675057209</v>
      </c>
      <c r="S95" s="61">
        <f>SUM(D95/B95)</f>
        <v>0.11975591151792525</v>
      </c>
      <c r="T95" s="61">
        <f>SUM(E95/B95)</f>
        <v>0</v>
      </c>
      <c r="U95" s="61">
        <f>SUM(F95/B95)</f>
        <v>0</v>
      </c>
      <c r="V95" s="61">
        <f>SUM(G95/B95)</f>
        <v>0.16526824307144675</v>
      </c>
      <c r="W95" s="61">
        <f>SUM(H95/B95)</f>
        <v>0.50902618866005589</v>
      </c>
    </row>
    <row r="96" spans="1:23">
      <c r="A96" s="56" t="s">
        <v>1607</v>
      </c>
      <c r="B96" s="54">
        <f>SUM(C96:H96)</f>
        <v>5641</v>
      </c>
      <c r="C96" s="55">
        <v>1195</v>
      </c>
      <c r="D96" s="55">
        <v>375</v>
      </c>
      <c r="E96" s="55">
        <v>0</v>
      </c>
      <c r="F96" s="55">
        <v>0</v>
      </c>
      <c r="G96" s="55">
        <v>1176</v>
      </c>
      <c r="H96" s="55">
        <v>2895</v>
      </c>
      <c r="J96" s="54">
        <f>SUM(K96:P96)</f>
        <v>7</v>
      </c>
      <c r="K96" s="55">
        <v>2</v>
      </c>
      <c r="L96" s="55">
        <v>0</v>
      </c>
      <c r="M96" s="55">
        <v>0</v>
      </c>
      <c r="N96" s="55">
        <v>0</v>
      </c>
      <c r="O96" s="55">
        <v>1</v>
      </c>
      <c r="P96" s="55">
        <v>4</v>
      </c>
      <c r="R96" s="61">
        <f>SUM(C96/B96)</f>
        <v>0.21184187200850912</v>
      </c>
      <c r="S96" s="61">
        <f>SUM(D96/B96)</f>
        <v>6.6477574898067715E-2</v>
      </c>
      <c r="T96" s="61">
        <f>SUM(E96/B96)</f>
        <v>0</v>
      </c>
      <c r="U96" s="61">
        <f>SUM(F96/B96)</f>
        <v>0</v>
      </c>
      <c r="V96" s="61">
        <f>SUM(G96/B96)</f>
        <v>0.20847367488034035</v>
      </c>
      <c r="W96" s="61">
        <f>SUM(H96/B96)</f>
        <v>0.51320687821308275</v>
      </c>
    </row>
    <row r="97" spans="1:23">
      <c r="A97" s="56" t="s">
        <v>1608</v>
      </c>
      <c r="B97" s="54">
        <f>SUM(C97:H97)</f>
        <v>3869</v>
      </c>
      <c r="C97" s="55">
        <v>863</v>
      </c>
      <c r="D97" s="55">
        <v>417</v>
      </c>
      <c r="E97" s="55">
        <v>0</v>
      </c>
      <c r="F97" s="55">
        <v>0</v>
      </c>
      <c r="G97" s="55">
        <v>1201</v>
      </c>
      <c r="H97" s="55">
        <v>1388</v>
      </c>
      <c r="J97" s="54">
        <f>SUM(K97:P97)</f>
        <v>5</v>
      </c>
      <c r="K97" s="55">
        <v>1</v>
      </c>
      <c r="L97" s="55">
        <v>1</v>
      </c>
      <c r="M97" s="55">
        <v>0</v>
      </c>
      <c r="N97" s="55">
        <v>0</v>
      </c>
      <c r="O97" s="55">
        <v>2</v>
      </c>
      <c r="P97" s="55">
        <v>1</v>
      </c>
      <c r="R97" s="61">
        <f>SUM(C97/B97)</f>
        <v>0.22305505298526751</v>
      </c>
      <c r="S97" s="61">
        <f>SUM(D97/B97)</f>
        <v>0.10777978805892996</v>
      </c>
      <c r="T97" s="61">
        <f>SUM(E97/B97)</f>
        <v>0</v>
      </c>
      <c r="U97" s="61">
        <f>SUM(F97/B97)</f>
        <v>0</v>
      </c>
      <c r="V97" s="61">
        <f>SUM(G97/B97)</f>
        <v>0.3104161281985009</v>
      </c>
      <c r="W97" s="61">
        <f>SUM(H97/B97)</f>
        <v>0.35874903075730163</v>
      </c>
    </row>
    <row r="98" spans="1:23">
      <c r="A98" s="56" t="s">
        <v>1609</v>
      </c>
      <c r="B98" s="54">
        <f>SUM(C98:H98)</f>
        <v>5364</v>
      </c>
      <c r="C98" s="55">
        <v>1348</v>
      </c>
      <c r="D98" s="55">
        <v>499</v>
      </c>
      <c r="E98" s="55">
        <v>0</v>
      </c>
      <c r="F98" s="55">
        <v>0</v>
      </c>
      <c r="G98" s="55">
        <v>1125</v>
      </c>
      <c r="H98" s="55">
        <v>2392</v>
      </c>
      <c r="J98" s="54">
        <f>SUM(K98:P98)</f>
        <v>7</v>
      </c>
      <c r="K98" s="55">
        <v>2</v>
      </c>
      <c r="L98" s="55">
        <v>0</v>
      </c>
      <c r="M98" s="55">
        <v>0</v>
      </c>
      <c r="N98" s="55">
        <v>0</v>
      </c>
      <c r="O98" s="55">
        <v>2</v>
      </c>
      <c r="P98" s="55">
        <v>3</v>
      </c>
      <c r="R98" s="61">
        <f>SUM(C98/B98)</f>
        <v>0.25130499627143921</v>
      </c>
      <c r="S98" s="61">
        <f>SUM(D98/B98)</f>
        <v>9.3027591349738994E-2</v>
      </c>
      <c r="T98" s="61">
        <f>SUM(E98/B98)</f>
        <v>0</v>
      </c>
      <c r="U98" s="61">
        <f>SUM(F98/B98)</f>
        <v>0</v>
      </c>
      <c r="V98" s="61">
        <f>SUM(G98/B98)</f>
        <v>0.20973154362416108</v>
      </c>
      <c r="W98" s="61">
        <f>SUM(H98/B98)</f>
        <v>0.44593586875466068</v>
      </c>
    </row>
    <row r="99" spans="1:23" s="52" customFormat="1">
      <c r="A99" s="53" t="s">
        <v>1610</v>
      </c>
      <c r="B99" s="54">
        <f>SUM(B95:B98)</f>
        <v>18807</v>
      </c>
      <c r="C99" s="54">
        <f t="shared" ref="C99:O99" si="34">SUM(C95:C98)</f>
        <v>4216</v>
      </c>
      <c r="D99" s="54">
        <f>SUM(D95:D98)</f>
        <v>1762</v>
      </c>
      <c r="E99" s="54">
        <f t="shared" si="34"/>
        <v>0</v>
      </c>
      <c r="F99" s="54">
        <f t="shared" si="34"/>
        <v>0</v>
      </c>
      <c r="G99" s="54">
        <f t="shared" si="34"/>
        <v>4152</v>
      </c>
      <c r="H99" s="54">
        <f>SUM(H95:H98)</f>
        <v>8677</v>
      </c>
      <c r="I99" s="54"/>
      <c r="J99" s="54">
        <f t="shared" si="34"/>
        <v>25</v>
      </c>
      <c r="K99" s="54">
        <f t="shared" si="34"/>
        <v>6</v>
      </c>
      <c r="L99" s="54">
        <f t="shared" si="34"/>
        <v>2</v>
      </c>
      <c r="M99" s="54">
        <f t="shared" si="34"/>
        <v>0</v>
      </c>
      <c r="N99" s="54">
        <f t="shared" si="34"/>
        <v>0</v>
      </c>
      <c r="O99" s="54">
        <f t="shared" si="34"/>
        <v>6</v>
      </c>
      <c r="P99" s="54">
        <f>SUM(P95:P98)</f>
        <v>11</v>
      </c>
      <c r="R99" s="60">
        <f>SUM(C99/B99)</f>
        <v>0.22417185090657735</v>
      </c>
      <c r="S99" s="60">
        <f>SUM(D99/B99)</f>
        <v>9.3688520231828568E-2</v>
      </c>
      <c r="T99" s="60">
        <f>SUM(E99/B99)</f>
        <v>0</v>
      </c>
      <c r="U99" s="60">
        <f>SUM(F99/B99)</f>
        <v>0</v>
      </c>
      <c r="V99" s="60">
        <f>SUM(G99/B99)</f>
        <v>0.22076886265752113</v>
      </c>
      <c r="W99" s="60">
        <f>SUM(H99/B99)</f>
        <v>0.46137076620407297</v>
      </c>
    </row>
    <row r="100" spans="1:23">
      <c r="A100" s="53"/>
      <c r="B100" s="54"/>
      <c r="C100" s="55"/>
      <c r="D100" s="55"/>
      <c r="E100" s="55"/>
      <c r="F100" s="55"/>
      <c r="G100" s="55"/>
      <c r="H100" s="55"/>
      <c r="J100" s="54"/>
      <c r="K100" s="55"/>
      <c r="L100" s="55"/>
      <c r="M100" s="55"/>
      <c r="N100" s="55"/>
      <c r="O100" s="55"/>
      <c r="P100" s="55"/>
    </row>
    <row r="101" spans="1:23">
      <c r="A101" s="56" t="s">
        <v>1611</v>
      </c>
      <c r="B101" s="54">
        <f>SUM(C101:H101)</f>
        <v>5033</v>
      </c>
      <c r="C101" s="55">
        <v>854</v>
      </c>
      <c r="D101" s="55">
        <v>2954</v>
      </c>
      <c r="E101" s="55">
        <v>224</v>
      </c>
      <c r="F101" s="55">
        <v>0</v>
      </c>
      <c r="G101" s="55">
        <v>734</v>
      </c>
      <c r="H101" s="55">
        <v>267</v>
      </c>
      <c r="J101" s="54">
        <f>SUM(K101:P101)</f>
        <v>6</v>
      </c>
      <c r="K101" s="55">
        <v>1</v>
      </c>
      <c r="L101" s="55">
        <v>3</v>
      </c>
      <c r="M101" s="55">
        <v>0</v>
      </c>
      <c r="N101" s="55">
        <v>0</v>
      </c>
      <c r="O101" s="55">
        <v>1</v>
      </c>
      <c r="P101" s="55">
        <v>1</v>
      </c>
      <c r="R101" s="61">
        <f>SUM(C101/B101)</f>
        <v>0.16968011126564672</v>
      </c>
      <c r="S101" s="61">
        <f>SUM(D101/B101)</f>
        <v>0.58692628650904033</v>
      </c>
      <c r="T101" s="61">
        <f>SUM(E101/B101)</f>
        <v>4.4506258692628649E-2</v>
      </c>
      <c r="U101" s="61">
        <f>SUM(F101/B101)</f>
        <v>0</v>
      </c>
      <c r="V101" s="61">
        <f>SUM(G101/B101)</f>
        <v>0.14583747268030994</v>
      </c>
      <c r="W101" s="61">
        <f>SUM(H101/B101)</f>
        <v>5.304987085237433E-2</v>
      </c>
    </row>
    <row r="102" spans="1:23">
      <c r="A102" s="56" t="s">
        <v>1612</v>
      </c>
      <c r="B102" s="54">
        <f>SUM(C102:H102)</f>
        <v>6048</v>
      </c>
      <c r="C102" s="55">
        <v>672</v>
      </c>
      <c r="D102" s="55">
        <v>3208</v>
      </c>
      <c r="E102" s="55">
        <v>0</v>
      </c>
      <c r="F102" s="55">
        <v>0</v>
      </c>
      <c r="G102" s="55">
        <v>1143</v>
      </c>
      <c r="H102" s="55">
        <v>1025</v>
      </c>
      <c r="J102" s="54">
        <f>SUM(K102:P102)</f>
        <v>7</v>
      </c>
      <c r="K102" s="55">
        <v>1</v>
      </c>
      <c r="L102" s="55">
        <v>4</v>
      </c>
      <c r="M102" s="55">
        <v>0</v>
      </c>
      <c r="N102" s="55">
        <v>0</v>
      </c>
      <c r="O102" s="55">
        <v>1</v>
      </c>
      <c r="P102" s="55">
        <v>1</v>
      </c>
      <c r="R102" s="61">
        <f>SUM(C102/B102)</f>
        <v>0.1111111111111111</v>
      </c>
      <c r="S102" s="61">
        <f>SUM(D102/B102)</f>
        <v>0.53042328042328046</v>
      </c>
      <c r="T102" s="61">
        <f>SUM(E102/B102)</f>
        <v>0</v>
      </c>
      <c r="U102" s="61">
        <f>SUM(F102/B102)</f>
        <v>0</v>
      </c>
      <c r="V102" s="61">
        <f>SUM(G102/B102)</f>
        <v>0.18898809523809523</v>
      </c>
      <c r="W102" s="61">
        <f>SUM(H102/B102)</f>
        <v>0.16947751322751323</v>
      </c>
    </row>
    <row r="103" spans="1:23">
      <c r="A103" s="56" t="s">
        <v>1613</v>
      </c>
      <c r="B103" s="54">
        <f>SUM(C103:H103)</f>
        <v>4943</v>
      </c>
      <c r="C103" s="55">
        <v>1544</v>
      </c>
      <c r="D103" s="55">
        <v>1351</v>
      </c>
      <c r="E103" s="55">
        <v>864</v>
      </c>
      <c r="F103" s="55">
        <v>0</v>
      </c>
      <c r="G103" s="55">
        <v>1184</v>
      </c>
      <c r="H103" s="55">
        <v>0</v>
      </c>
      <c r="J103" s="54">
        <f>SUM(K103:P103)</f>
        <v>5</v>
      </c>
      <c r="K103" s="55">
        <v>2</v>
      </c>
      <c r="L103" s="55">
        <v>1</v>
      </c>
      <c r="M103" s="55">
        <v>1</v>
      </c>
      <c r="N103" s="55">
        <v>0</v>
      </c>
      <c r="O103" s="55">
        <v>1</v>
      </c>
      <c r="P103" s="55">
        <v>0</v>
      </c>
      <c r="R103" s="61">
        <f>SUM(C103/B103)</f>
        <v>0.31236091442443858</v>
      </c>
      <c r="S103" s="61">
        <f>SUM(D103/B103)</f>
        <v>0.27331580012138379</v>
      </c>
      <c r="T103" s="61">
        <f>SUM(E103/B103)</f>
        <v>0.17479263605098119</v>
      </c>
      <c r="U103" s="61">
        <f>SUM(F103/B103)</f>
        <v>0</v>
      </c>
      <c r="V103" s="61">
        <f>SUM(G103/B103)</f>
        <v>0.23953064940319643</v>
      </c>
      <c r="W103" s="61">
        <f>SUM(H103/B103)</f>
        <v>0</v>
      </c>
    </row>
    <row r="104" spans="1:23">
      <c r="A104" s="56" t="s">
        <v>1658</v>
      </c>
      <c r="B104" s="54">
        <f>SUM(C104:H104)</f>
        <v>4809</v>
      </c>
      <c r="C104" s="55">
        <v>1018</v>
      </c>
      <c r="D104" s="55">
        <v>1701</v>
      </c>
      <c r="E104" s="55">
        <v>619</v>
      </c>
      <c r="F104" s="55">
        <v>0</v>
      </c>
      <c r="G104" s="55">
        <v>837</v>
      </c>
      <c r="H104" s="55">
        <v>634</v>
      </c>
      <c r="J104" s="54">
        <f>SUM(K104:P104)</f>
        <v>5</v>
      </c>
      <c r="K104" s="55">
        <v>1</v>
      </c>
      <c r="L104" s="55">
        <v>2</v>
      </c>
      <c r="M104" s="55">
        <v>1</v>
      </c>
      <c r="N104" s="55">
        <v>0</v>
      </c>
      <c r="O104" s="55">
        <v>1</v>
      </c>
      <c r="P104" s="55">
        <v>0</v>
      </c>
      <c r="R104" s="61">
        <f>SUM(C104/B104)</f>
        <v>0.2116864212934082</v>
      </c>
      <c r="S104" s="61">
        <f>SUM(D104/B104)</f>
        <v>0.35371179039301309</v>
      </c>
      <c r="T104" s="61">
        <f>SUM(E104/B104)</f>
        <v>0.12871698897899772</v>
      </c>
      <c r="U104" s="61">
        <f>SUM(F104/B104)</f>
        <v>0</v>
      </c>
      <c r="V104" s="61">
        <f>SUM(G104/B104)</f>
        <v>0.17404865876481598</v>
      </c>
      <c r="W104" s="61">
        <f>SUM(H104/B104)</f>
        <v>0.13183614056976503</v>
      </c>
    </row>
    <row r="105" spans="1:23" s="52" customFormat="1">
      <c r="A105" s="53" t="s">
        <v>1614</v>
      </c>
      <c r="B105" s="54">
        <f>SUM(B101:B104)</f>
        <v>20833</v>
      </c>
      <c r="C105" s="54">
        <f t="shared" ref="C105:O105" si="35">SUM(C101:C104)</f>
        <v>4088</v>
      </c>
      <c r="D105" s="54">
        <f>SUM(D101:D104)</f>
        <v>9214</v>
      </c>
      <c r="E105" s="54">
        <f t="shared" si="35"/>
        <v>1707</v>
      </c>
      <c r="F105" s="54">
        <f t="shared" si="35"/>
        <v>0</v>
      </c>
      <c r="G105" s="54">
        <f t="shared" si="35"/>
        <v>3898</v>
      </c>
      <c r="H105" s="54">
        <f>SUM(H101:H104)</f>
        <v>1926</v>
      </c>
      <c r="I105" s="54"/>
      <c r="J105" s="54">
        <f t="shared" si="35"/>
        <v>23</v>
      </c>
      <c r="K105" s="54">
        <f t="shared" si="35"/>
        <v>5</v>
      </c>
      <c r="L105" s="54">
        <f t="shared" si="35"/>
        <v>10</v>
      </c>
      <c r="M105" s="54">
        <f t="shared" si="35"/>
        <v>2</v>
      </c>
      <c r="N105" s="54">
        <f t="shared" si="35"/>
        <v>0</v>
      </c>
      <c r="O105" s="54">
        <f t="shared" si="35"/>
        <v>4</v>
      </c>
      <c r="P105" s="54">
        <f>SUM(P101:P104)</f>
        <v>2</v>
      </c>
      <c r="R105" s="60">
        <f>SUM(C105/B105)</f>
        <v>0.19622713963423416</v>
      </c>
      <c r="S105" s="60">
        <f>SUM(D105/B105)</f>
        <v>0.44227907646522346</v>
      </c>
      <c r="T105" s="60">
        <f>SUM(E105/B105)</f>
        <v>8.1937310996975946E-2</v>
      </c>
      <c r="U105" s="60">
        <f>SUM(F105/B105)</f>
        <v>0</v>
      </c>
      <c r="V105" s="60">
        <f>SUM(G105/B105)</f>
        <v>0.1871069937118994</v>
      </c>
      <c r="W105" s="60">
        <f>SUM(H105/B105)</f>
        <v>9.2449479191667072E-2</v>
      </c>
    </row>
    <row r="106" spans="1:23">
      <c r="A106" s="53"/>
      <c r="B106" s="54"/>
      <c r="C106" s="55"/>
      <c r="D106" s="55"/>
      <c r="E106" s="55"/>
      <c r="F106" s="55"/>
      <c r="G106" s="55"/>
      <c r="H106" s="55"/>
      <c r="J106" s="54"/>
      <c r="K106" s="55"/>
      <c r="L106" s="55"/>
      <c r="M106" s="55"/>
      <c r="N106" s="55"/>
      <c r="O106" s="55"/>
      <c r="P106" s="55"/>
    </row>
    <row r="107" spans="1:23">
      <c r="A107" s="56" t="s">
        <v>1617</v>
      </c>
      <c r="B107" s="54">
        <f>SUM(C107:H107)</f>
        <v>5796</v>
      </c>
      <c r="C107" s="55">
        <v>2805</v>
      </c>
      <c r="D107" s="55">
        <v>880</v>
      </c>
      <c r="E107" s="55">
        <v>1140</v>
      </c>
      <c r="F107" s="55">
        <v>0</v>
      </c>
      <c r="G107" s="55">
        <v>613</v>
      </c>
      <c r="H107" s="55">
        <v>358</v>
      </c>
      <c r="J107" s="54">
        <f>SUM(K107:P107)</f>
        <v>7</v>
      </c>
      <c r="K107" s="55">
        <v>4</v>
      </c>
      <c r="L107" s="55">
        <v>1</v>
      </c>
      <c r="M107" s="55">
        <v>1</v>
      </c>
      <c r="N107" s="55">
        <v>0</v>
      </c>
      <c r="O107" s="55">
        <v>1</v>
      </c>
      <c r="P107" s="55">
        <v>0</v>
      </c>
      <c r="R107" s="61">
        <f>SUM(C107/B107)</f>
        <v>0.48395445134575571</v>
      </c>
      <c r="S107" s="61">
        <f>SUM(D107/B107)</f>
        <v>0.15182884748102141</v>
      </c>
      <c r="T107" s="61">
        <f>SUM(E107/B107)</f>
        <v>0.19668737060041408</v>
      </c>
      <c r="U107" s="61">
        <f>SUM(F107/B107)</f>
        <v>0</v>
      </c>
      <c r="V107" s="61">
        <f>SUM(G107/B107)</f>
        <v>0.10576259489302968</v>
      </c>
      <c r="W107" s="61">
        <f>SUM(H107/B107)</f>
        <v>6.176673567977916E-2</v>
      </c>
    </row>
    <row r="108" spans="1:23">
      <c r="A108" s="56" t="s">
        <v>1615</v>
      </c>
      <c r="B108" s="54">
        <f>SUM(C108:H108)</f>
        <v>4179</v>
      </c>
      <c r="C108" s="55">
        <v>1928</v>
      </c>
      <c r="D108" s="55">
        <v>642</v>
      </c>
      <c r="E108" s="55">
        <v>947</v>
      </c>
      <c r="F108" s="55">
        <v>0</v>
      </c>
      <c r="G108" s="55">
        <v>427</v>
      </c>
      <c r="H108" s="55">
        <v>235</v>
      </c>
      <c r="I108" s="55"/>
      <c r="J108" s="54">
        <f>SUM(K108:P108)</f>
        <v>7</v>
      </c>
      <c r="K108" s="55">
        <v>4</v>
      </c>
      <c r="L108" s="55">
        <v>1</v>
      </c>
      <c r="M108" s="55">
        <v>1</v>
      </c>
      <c r="N108" s="55">
        <v>0</v>
      </c>
      <c r="O108" s="55">
        <v>1</v>
      </c>
      <c r="P108" s="55">
        <v>0</v>
      </c>
      <c r="R108" s="61">
        <f>SUM(C108/B108)</f>
        <v>0.4613543910026322</v>
      </c>
      <c r="S108" s="61">
        <f>SUM(D108/B108)</f>
        <v>0.15362526920315864</v>
      </c>
      <c r="T108" s="61">
        <f>SUM(E108/B108)</f>
        <v>0.22660923665948793</v>
      </c>
      <c r="U108" s="61">
        <f>SUM(F108/B108)</f>
        <v>0</v>
      </c>
      <c r="V108" s="61">
        <f>SUM(G108/B108)</f>
        <v>0.10217755443886097</v>
      </c>
      <c r="W108" s="61">
        <f>SUM(H108/B108)</f>
        <v>5.6233548695860253E-2</v>
      </c>
    </row>
    <row r="109" spans="1:23">
      <c r="A109" s="56" t="s">
        <v>1616</v>
      </c>
      <c r="B109" s="54">
        <f>SUM(C109:H109)</f>
        <v>4290</v>
      </c>
      <c r="C109" s="55">
        <v>1317</v>
      </c>
      <c r="D109" s="55">
        <v>683</v>
      </c>
      <c r="E109" s="55">
        <v>1545</v>
      </c>
      <c r="F109" s="55">
        <v>612</v>
      </c>
      <c r="G109" s="55">
        <v>133</v>
      </c>
      <c r="H109" s="55">
        <v>0</v>
      </c>
      <c r="J109" s="54">
        <f>SUM(K109:P109)</f>
        <v>5</v>
      </c>
      <c r="K109" s="55">
        <v>1</v>
      </c>
      <c r="L109" s="55">
        <v>1</v>
      </c>
      <c r="M109" s="55">
        <v>2</v>
      </c>
      <c r="N109" s="55">
        <v>1</v>
      </c>
      <c r="O109" s="55">
        <v>0</v>
      </c>
      <c r="P109" s="55">
        <v>0</v>
      </c>
      <c r="R109" s="61">
        <f>SUM(C109/B109)</f>
        <v>0.30699300699300697</v>
      </c>
      <c r="S109" s="61">
        <f>SUM(D109/B109)</f>
        <v>0.15920745920745921</v>
      </c>
      <c r="T109" s="61">
        <f>SUM(E109/B109)</f>
        <v>0.36013986013986016</v>
      </c>
      <c r="U109" s="61">
        <f>SUM(F109/B109)</f>
        <v>0.14265734265734265</v>
      </c>
      <c r="V109" s="61">
        <f>SUM(G109/B109)</f>
        <v>3.1002331002331001E-2</v>
      </c>
      <c r="W109" s="61">
        <f>SUM(H109/B109)</f>
        <v>0</v>
      </c>
    </row>
    <row r="110" spans="1:23" s="52" customFormat="1">
      <c r="A110" s="53" t="s">
        <v>1618</v>
      </c>
      <c r="B110" s="54">
        <f>SUM(B107:B109)</f>
        <v>14265</v>
      </c>
      <c r="C110" s="54">
        <f t="shared" ref="C110:O110" si="36">SUM(C107:C109)</f>
        <v>6050</v>
      </c>
      <c r="D110" s="54">
        <f>SUM(D107:D109)</f>
        <v>2205</v>
      </c>
      <c r="E110" s="54">
        <f t="shared" si="36"/>
        <v>3632</v>
      </c>
      <c r="F110" s="54">
        <f t="shared" si="36"/>
        <v>612</v>
      </c>
      <c r="G110" s="54">
        <f t="shared" si="36"/>
        <v>1173</v>
      </c>
      <c r="H110" s="54">
        <f>SUM(H107:H109)</f>
        <v>593</v>
      </c>
      <c r="I110" s="54"/>
      <c r="J110" s="54">
        <f t="shared" si="36"/>
        <v>19</v>
      </c>
      <c r="K110" s="54">
        <f t="shared" si="36"/>
        <v>9</v>
      </c>
      <c r="L110" s="54">
        <f t="shared" si="36"/>
        <v>3</v>
      </c>
      <c r="M110" s="54">
        <f t="shared" si="36"/>
        <v>4</v>
      </c>
      <c r="N110" s="54">
        <f t="shared" si="36"/>
        <v>1</v>
      </c>
      <c r="O110" s="54">
        <f t="shared" si="36"/>
        <v>2</v>
      </c>
      <c r="P110" s="54">
        <f>SUM(P107:P109)</f>
        <v>0</v>
      </c>
      <c r="R110" s="60">
        <f>SUM(C110/B110)</f>
        <v>0.4241149667017175</v>
      </c>
      <c r="S110" s="60">
        <f>SUM(D110/B110)</f>
        <v>0.15457413249211358</v>
      </c>
      <c r="T110" s="60">
        <f>SUM(E110/B110)</f>
        <v>0.2546091833158079</v>
      </c>
      <c r="U110" s="60">
        <f>SUM(F110/B110)</f>
        <v>4.2902208201892743E-2</v>
      </c>
      <c r="V110" s="60">
        <f>SUM(G110/B110)</f>
        <v>8.2229232386961087E-2</v>
      </c>
      <c r="W110" s="60">
        <f>SUM(H110/B110)</f>
        <v>4.1570276901507185E-2</v>
      </c>
    </row>
    <row r="111" spans="1:23">
      <c r="A111" s="53"/>
      <c r="B111" s="54"/>
      <c r="C111" s="55"/>
      <c r="D111" s="55"/>
      <c r="E111" s="55"/>
      <c r="F111" s="55"/>
      <c r="G111" s="55"/>
      <c r="H111" s="55"/>
      <c r="J111" s="54"/>
      <c r="K111" s="55"/>
      <c r="L111" s="55"/>
      <c r="M111" s="55"/>
      <c r="N111" s="55"/>
      <c r="O111" s="55"/>
      <c r="P111" s="55"/>
    </row>
    <row r="112" spans="1:23">
      <c r="A112" s="56" t="s">
        <v>1619</v>
      </c>
      <c r="B112" s="54">
        <f>SUM(C112:H112)</f>
        <v>5789</v>
      </c>
      <c r="C112" s="55">
        <v>2130</v>
      </c>
      <c r="D112" s="55">
        <v>1274</v>
      </c>
      <c r="E112" s="55">
        <v>975</v>
      </c>
      <c r="F112" s="55">
        <v>0</v>
      </c>
      <c r="G112" s="55">
        <v>447</v>
      </c>
      <c r="H112" s="55">
        <v>963</v>
      </c>
      <c r="J112" s="54">
        <f>SUM(K112:P112)</f>
        <v>7</v>
      </c>
      <c r="K112" s="55">
        <v>3</v>
      </c>
      <c r="L112" s="55">
        <v>1</v>
      </c>
      <c r="M112" s="55">
        <v>1</v>
      </c>
      <c r="N112" s="55">
        <v>0</v>
      </c>
      <c r="O112" s="55">
        <v>1</v>
      </c>
      <c r="P112" s="55">
        <v>1</v>
      </c>
      <c r="R112" s="61">
        <f>SUM(C112/B112)</f>
        <v>0.36793919502504752</v>
      </c>
      <c r="S112" s="61">
        <f>SUM(D112/B112)</f>
        <v>0.22007255139056833</v>
      </c>
      <c r="T112" s="61">
        <f>SUM(E112/B112)</f>
        <v>0.16842287096216962</v>
      </c>
      <c r="U112" s="61">
        <f>SUM(F112/B112)</f>
        <v>0</v>
      </c>
      <c r="V112" s="61">
        <f>SUM(G112/B112)</f>
        <v>7.7215408533425456E-2</v>
      </c>
      <c r="W112" s="61">
        <f>SUM(H112/B112)</f>
        <v>0.16634997408878907</v>
      </c>
    </row>
    <row r="113" spans="1:23">
      <c r="A113" s="56" t="s">
        <v>1620</v>
      </c>
      <c r="B113" s="54">
        <f>SUM(C113:H113)</f>
        <v>5506</v>
      </c>
      <c r="C113" s="55">
        <v>2017</v>
      </c>
      <c r="D113" s="55">
        <v>2252</v>
      </c>
      <c r="E113" s="55">
        <v>967</v>
      </c>
      <c r="F113" s="55">
        <v>0</v>
      </c>
      <c r="G113" s="55">
        <v>0</v>
      </c>
      <c r="H113" s="55">
        <v>270</v>
      </c>
      <c r="J113" s="54">
        <f>SUM(K113:P113)</f>
        <v>7</v>
      </c>
      <c r="K113" s="55">
        <v>3</v>
      </c>
      <c r="L113" s="55">
        <v>3</v>
      </c>
      <c r="M113" s="55">
        <v>1</v>
      </c>
      <c r="N113" s="55">
        <v>0</v>
      </c>
      <c r="O113" s="55">
        <v>0</v>
      </c>
      <c r="P113" s="55">
        <v>0</v>
      </c>
      <c r="R113" s="61">
        <f>SUM(C113/B113)</f>
        <v>0.36632764257173994</v>
      </c>
      <c r="S113" s="61">
        <f>SUM(D113/B113)</f>
        <v>0.40900835452233925</v>
      </c>
      <c r="T113" s="61">
        <f>SUM(E113/B113)</f>
        <v>0.17562658917544496</v>
      </c>
      <c r="U113" s="61">
        <f>SUM(F113/B113)</f>
        <v>0</v>
      </c>
      <c r="V113" s="61">
        <f>SUM(G113/B113)</f>
        <v>0</v>
      </c>
      <c r="W113" s="61">
        <f>SUM(H113/B113)</f>
        <v>4.9037413730475841E-2</v>
      </c>
    </row>
    <row r="114" spans="1:23">
      <c r="A114" s="56" t="s">
        <v>1621</v>
      </c>
      <c r="B114" s="54">
        <f>SUM(C114:H114)</f>
        <v>5920</v>
      </c>
      <c r="C114" s="55">
        <v>1950</v>
      </c>
      <c r="D114" s="55">
        <v>3003</v>
      </c>
      <c r="E114" s="55">
        <v>967</v>
      </c>
      <c r="F114" s="55">
        <v>0</v>
      </c>
      <c r="G114" s="55">
        <v>0</v>
      </c>
      <c r="H114" s="55">
        <v>0</v>
      </c>
      <c r="J114" s="54">
        <f>SUM(K114:P114)</f>
        <v>5</v>
      </c>
      <c r="K114" s="55">
        <v>2</v>
      </c>
      <c r="L114" s="55">
        <v>3</v>
      </c>
      <c r="M114" s="55">
        <v>0</v>
      </c>
      <c r="N114" s="55">
        <v>0</v>
      </c>
      <c r="O114" s="55">
        <v>0</v>
      </c>
      <c r="P114" s="55">
        <v>0</v>
      </c>
      <c r="R114" s="61">
        <f>SUM(C114/B114)</f>
        <v>0.32939189189189189</v>
      </c>
      <c r="S114" s="61">
        <f>SUM(D114/B114)</f>
        <v>0.50726351351351351</v>
      </c>
      <c r="T114" s="61">
        <f>SUM(E114/B114)</f>
        <v>0.16334459459459461</v>
      </c>
      <c r="U114" s="61">
        <f>SUM(F114/B114)</f>
        <v>0</v>
      </c>
      <c r="V114" s="61">
        <f>SUM(G114/B114)</f>
        <v>0</v>
      </c>
      <c r="W114" s="61">
        <f>SUM(H114/B114)</f>
        <v>0</v>
      </c>
    </row>
    <row r="115" spans="1:23">
      <c r="A115" s="56" t="s">
        <v>1622</v>
      </c>
      <c r="B115" s="54">
        <f>SUM(C115:H115)</f>
        <v>5324</v>
      </c>
      <c r="C115" s="55">
        <v>2542</v>
      </c>
      <c r="D115" s="55">
        <v>1740</v>
      </c>
      <c r="E115" s="55">
        <v>1042</v>
      </c>
      <c r="F115" s="55">
        <v>0</v>
      </c>
      <c r="G115" s="55">
        <v>0</v>
      </c>
      <c r="H115" s="55">
        <v>0</v>
      </c>
      <c r="J115" s="54">
        <f>SUM(K115:P115)</f>
        <v>5</v>
      </c>
      <c r="K115" s="55">
        <v>3</v>
      </c>
      <c r="L115" s="55">
        <v>1</v>
      </c>
      <c r="M115" s="55">
        <v>1</v>
      </c>
      <c r="N115" s="55">
        <v>0</v>
      </c>
      <c r="O115" s="55">
        <v>0</v>
      </c>
      <c r="P115" s="55">
        <v>0</v>
      </c>
      <c r="R115" s="61">
        <f>SUM(C115/B115)</f>
        <v>0.47746055597295267</v>
      </c>
      <c r="S115" s="61">
        <f>SUM(D115/B115)</f>
        <v>0.32682193839218632</v>
      </c>
      <c r="T115" s="61">
        <f>SUM(E115/B115)</f>
        <v>0.19571750563486101</v>
      </c>
      <c r="U115" s="61">
        <f>SUM(F115/B115)</f>
        <v>0</v>
      </c>
      <c r="V115" s="61">
        <f>SUM(G115/B115)</f>
        <v>0</v>
      </c>
      <c r="W115" s="61">
        <f>SUM(H115/B115)</f>
        <v>0</v>
      </c>
    </row>
    <row r="116" spans="1:23" s="52" customFormat="1">
      <c r="A116" s="53" t="s">
        <v>1623</v>
      </c>
      <c r="B116" s="54">
        <f>SUM(B112:B115)</f>
        <v>22539</v>
      </c>
      <c r="C116" s="54">
        <f t="shared" ref="C116:O116" si="37">SUM(C112:C115)</f>
        <v>8639</v>
      </c>
      <c r="D116" s="54">
        <f>SUM(D112:D115)</f>
        <v>8269</v>
      </c>
      <c r="E116" s="54">
        <f t="shared" si="37"/>
        <v>3951</v>
      </c>
      <c r="F116" s="54">
        <f t="shared" si="37"/>
        <v>0</v>
      </c>
      <c r="G116" s="54">
        <f t="shared" si="37"/>
        <v>447</v>
      </c>
      <c r="H116" s="54">
        <f>SUM(H112:H115)</f>
        <v>1233</v>
      </c>
      <c r="I116" s="54"/>
      <c r="J116" s="54">
        <f t="shared" si="37"/>
        <v>24</v>
      </c>
      <c r="K116" s="54">
        <f t="shared" si="37"/>
        <v>11</v>
      </c>
      <c r="L116" s="54">
        <f t="shared" si="37"/>
        <v>8</v>
      </c>
      <c r="M116" s="54">
        <f t="shared" si="37"/>
        <v>3</v>
      </c>
      <c r="N116" s="54">
        <f t="shared" si="37"/>
        <v>0</v>
      </c>
      <c r="O116" s="54">
        <f t="shared" si="37"/>
        <v>1</v>
      </c>
      <c r="P116" s="54">
        <f>SUM(P112:P115)</f>
        <v>1</v>
      </c>
      <c r="R116" s="60">
        <f>SUM(C116/B116)</f>
        <v>0.38329118416966146</v>
      </c>
      <c r="S116" s="60">
        <f>SUM(D116/B116)</f>
        <v>0.36687519410799058</v>
      </c>
      <c r="T116" s="60">
        <f>SUM(E116/B116)</f>
        <v>0.17529615333422069</v>
      </c>
      <c r="U116" s="60">
        <f>SUM(F116/B116)</f>
        <v>0</v>
      </c>
      <c r="V116" s="60">
        <f>SUM(G116/B116)</f>
        <v>1.9832290696126714E-2</v>
      </c>
      <c r="W116" s="60">
        <f>SUM(H116/B116)</f>
        <v>5.4705177692000534E-2</v>
      </c>
    </row>
    <row r="117" spans="1:23">
      <c r="A117" s="53"/>
      <c r="B117" s="54"/>
      <c r="C117" s="55"/>
      <c r="D117" s="55"/>
      <c r="E117" s="55"/>
      <c r="F117" s="55"/>
      <c r="G117" s="55"/>
      <c r="H117" s="55"/>
      <c r="J117" s="54"/>
      <c r="K117" s="55"/>
      <c r="L117" s="55"/>
      <c r="M117" s="55"/>
      <c r="N117" s="55"/>
      <c r="O117" s="55"/>
      <c r="P117" s="55"/>
    </row>
    <row r="118" spans="1:23">
      <c r="A118" s="56" t="s">
        <v>1624</v>
      </c>
      <c r="B118" s="54">
        <f>SUM(C118:H118)</f>
        <v>3975</v>
      </c>
      <c r="C118" s="55">
        <v>979</v>
      </c>
      <c r="D118" s="55">
        <v>1400</v>
      </c>
      <c r="E118" s="55">
        <v>1088</v>
      </c>
      <c r="F118" s="55">
        <v>508</v>
      </c>
      <c r="G118" s="55">
        <v>0</v>
      </c>
      <c r="H118" s="55">
        <v>0</v>
      </c>
      <c r="J118" s="54">
        <f>SUM(K118:P118)</f>
        <v>6</v>
      </c>
      <c r="K118" s="55">
        <v>2</v>
      </c>
      <c r="L118" s="55">
        <v>2</v>
      </c>
      <c r="M118" s="55">
        <v>1</v>
      </c>
      <c r="N118" s="55">
        <v>1</v>
      </c>
      <c r="O118" s="55">
        <v>0</v>
      </c>
      <c r="P118" s="55">
        <v>0</v>
      </c>
      <c r="R118" s="61">
        <f>SUM(C118/B118)</f>
        <v>0.24628930817610062</v>
      </c>
      <c r="S118" s="61">
        <f>SUM(D118/B118)</f>
        <v>0.3522012578616352</v>
      </c>
      <c r="T118" s="61">
        <f>SUM(E118/B118)</f>
        <v>0.27371069182389934</v>
      </c>
      <c r="U118" s="61">
        <f>SUM(F118/B118)</f>
        <v>0.12779874213836478</v>
      </c>
      <c r="V118" s="61">
        <f>SUM(G118/B118)</f>
        <v>0</v>
      </c>
      <c r="W118" s="61">
        <f>SUM(H118/B118)</f>
        <v>0</v>
      </c>
    </row>
    <row r="119" spans="1:23">
      <c r="A119" s="56" t="s">
        <v>1625</v>
      </c>
      <c r="B119" s="54">
        <f>SUM(C119:H119)</f>
        <v>2754</v>
      </c>
      <c r="C119" s="55">
        <v>575</v>
      </c>
      <c r="D119" s="55">
        <v>786</v>
      </c>
      <c r="E119" s="55">
        <v>255</v>
      </c>
      <c r="F119" s="55">
        <v>0</v>
      </c>
      <c r="G119" s="55">
        <v>0</v>
      </c>
      <c r="H119" s="55">
        <v>1138</v>
      </c>
      <c r="J119" s="54">
        <f>SUM(K119:P119)</f>
        <v>5</v>
      </c>
      <c r="K119" s="55">
        <v>1</v>
      </c>
      <c r="L119" s="55">
        <v>2</v>
      </c>
      <c r="M119" s="55">
        <v>0</v>
      </c>
      <c r="N119" s="55">
        <v>0</v>
      </c>
      <c r="O119" s="55">
        <v>0</v>
      </c>
      <c r="P119" s="55">
        <v>2</v>
      </c>
      <c r="R119" s="61">
        <f>SUM(C119/B119)</f>
        <v>0.20878721859114016</v>
      </c>
      <c r="S119" s="61">
        <f>SUM(D119/B119)</f>
        <v>0.28540305010893247</v>
      </c>
      <c r="T119" s="61">
        <f>SUM(E119/B119)</f>
        <v>9.2592592592592587E-2</v>
      </c>
      <c r="U119" s="61">
        <f>SUM(F119/B119)</f>
        <v>0</v>
      </c>
      <c r="V119" s="61">
        <f>SUM(G119/B119)</f>
        <v>0</v>
      </c>
      <c r="W119" s="61">
        <f>SUM(H119/B119)</f>
        <v>0.41321713870733479</v>
      </c>
    </row>
    <row r="120" spans="1:23">
      <c r="A120" s="56" t="s">
        <v>1626</v>
      </c>
      <c r="B120" s="54">
        <f>SUM(C120:H120)</f>
        <v>2770</v>
      </c>
      <c r="C120" s="55">
        <v>913</v>
      </c>
      <c r="D120" s="55">
        <v>916</v>
      </c>
      <c r="E120" s="55">
        <v>906</v>
      </c>
      <c r="F120" s="55">
        <v>0</v>
      </c>
      <c r="G120" s="55">
        <v>0</v>
      </c>
      <c r="H120" s="55">
        <v>35</v>
      </c>
      <c r="J120" s="54">
        <f>SUM(K120:P120)</f>
        <v>5</v>
      </c>
      <c r="K120" s="55">
        <v>1</v>
      </c>
      <c r="L120" s="55">
        <v>2</v>
      </c>
      <c r="M120" s="55">
        <v>2</v>
      </c>
      <c r="N120" s="55">
        <v>0</v>
      </c>
      <c r="O120" s="55">
        <v>0</v>
      </c>
      <c r="P120" s="55">
        <v>0</v>
      </c>
      <c r="R120" s="61">
        <f>SUM(C120/B120)</f>
        <v>0.32960288808664262</v>
      </c>
      <c r="S120" s="61">
        <f>SUM(D120/B120)</f>
        <v>0.33068592057761731</v>
      </c>
      <c r="T120" s="61">
        <f>SUM(E120/B120)</f>
        <v>0.32707581227436822</v>
      </c>
      <c r="U120" s="61">
        <f>SUM(F120/B120)</f>
        <v>0</v>
      </c>
      <c r="V120" s="61">
        <f>SUM(G120/B120)</f>
        <v>0</v>
      </c>
      <c r="W120" s="61">
        <f>SUM(H120/B120)</f>
        <v>1.263537906137184E-2</v>
      </c>
    </row>
    <row r="121" spans="1:23" s="52" customFormat="1">
      <c r="A121" s="53" t="s">
        <v>1627</v>
      </c>
      <c r="B121" s="54">
        <f>SUM(B118:B120)</f>
        <v>9499</v>
      </c>
      <c r="C121" s="54">
        <f t="shared" ref="C121:O121" si="38">SUM(C118:C120)</f>
        <v>2467</v>
      </c>
      <c r="D121" s="54">
        <f>SUM(D118:D120)</f>
        <v>3102</v>
      </c>
      <c r="E121" s="54">
        <f t="shared" si="38"/>
        <v>2249</v>
      </c>
      <c r="F121" s="54">
        <f t="shared" si="38"/>
        <v>508</v>
      </c>
      <c r="G121" s="54">
        <f t="shared" si="38"/>
        <v>0</v>
      </c>
      <c r="H121" s="54">
        <f>SUM(H118:H120)</f>
        <v>1173</v>
      </c>
      <c r="I121" s="54"/>
      <c r="J121" s="54">
        <f t="shared" si="38"/>
        <v>16</v>
      </c>
      <c r="K121" s="54">
        <f t="shared" si="38"/>
        <v>4</v>
      </c>
      <c r="L121" s="54">
        <f t="shared" si="38"/>
        <v>6</v>
      </c>
      <c r="M121" s="54">
        <f t="shared" si="38"/>
        <v>3</v>
      </c>
      <c r="N121" s="54">
        <f t="shared" si="38"/>
        <v>1</v>
      </c>
      <c r="O121" s="54">
        <f t="shared" si="38"/>
        <v>0</v>
      </c>
      <c r="P121" s="54">
        <f>SUM(P118:P120)</f>
        <v>2</v>
      </c>
      <c r="R121" s="60">
        <f>SUM(C121/B121)</f>
        <v>0.25971154858406148</v>
      </c>
      <c r="S121" s="60">
        <f>SUM(D121/B121)</f>
        <v>0.32656069059901044</v>
      </c>
      <c r="T121" s="60">
        <f>SUM(E121/B121)</f>
        <v>0.23676176439625224</v>
      </c>
      <c r="U121" s="60">
        <f>SUM(F121/B121)</f>
        <v>5.3479313611959151E-2</v>
      </c>
      <c r="V121" s="60">
        <f>SUM(G121/B121)</f>
        <v>0</v>
      </c>
      <c r="W121" s="60">
        <f>SUM(H121/B121)</f>
        <v>0.12348668280871671</v>
      </c>
    </row>
    <row r="122" spans="1:23">
      <c r="A122" s="53"/>
      <c r="B122" s="54"/>
      <c r="C122" s="55"/>
      <c r="D122" s="55"/>
      <c r="E122" s="55"/>
      <c r="F122" s="55"/>
      <c r="G122" s="55"/>
      <c r="H122" s="55"/>
      <c r="J122" s="54"/>
      <c r="K122" s="55"/>
      <c r="L122" s="55"/>
      <c r="M122" s="55"/>
      <c r="N122" s="55"/>
      <c r="O122" s="55"/>
      <c r="P122" s="55"/>
    </row>
    <row r="123" spans="1:23">
      <c r="A123" s="56" t="s">
        <v>1628</v>
      </c>
      <c r="B123" s="54">
        <f>SUM(C123:H123)</f>
        <v>1908</v>
      </c>
      <c r="C123" s="55">
        <v>283</v>
      </c>
      <c r="D123" s="55">
        <v>370</v>
      </c>
      <c r="E123" s="55">
        <v>483</v>
      </c>
      <c r="F123" s="55">
        <v>0</v>
      </c>
      <c r="G123" s="55">
        <v>0</v>
      </c>
      <c r="H123" s="55">
        <v>772</v>
      </c>
      <c r="I123" s="55"/>
      <c r="J123" s="54">
        <f>SUM(K123:P123)</f>
        <v>5</v>
      </c>
      <c r="K123" s="55">
        <v>1</v>
      </c>
      <c r="L123" s="55">
        <v>1</v>
      </c>
      <c r="M123" s="55">
        <v>1</v>
      </c>
      <c r="N123" s="55">
        <v>0</v>
      </c>
      <c r="O123" s="55">
        <v>0</v>
      </c>
      <c r="P123" s="55">
        <v>2</v>
      </c>
      <c r="R123" s="61">
        <f>SUM(C123/B123)</f>
        <v>0.14832285115303984</v>
      </c>
      <c r="S123" s="61">
        <f>SUM(D123/B123)</f>
        <v>0.19392033542976939</v>
      </c>
      <c r="T123" s="61">
        <f>SUM(E123/B123)</f>
        <v>0.25314465408805031</v>
      </c>
      <c r="U123" s="61">
        <f>SUM(F123/B123)</f>
        <v>0</v>
      </c>
      <c r="V123" s="61">
        <f>SUM(G123/B123)</f>
        <v>0</v>
      </c>
      <c r="W123" s="61">
        <f>SUM(H123/B123)</f>
        <v>0.40461215932914046</v>
      </c>
    </row>
    <row r="124" spans="1:23">
      <c r="A124" s="56" t="s">
        <v>1629</v>
      </c>
      <c r="B124" s="54">
        <f>SUM(C124:H124)</f>
        <v>1679</v>
      </c>
      <c r="C124" s="55">
        <v>565</v>
      </c>
      <c r="D124" s="55">
        <v>608</v>
      </c>
      <c r="E124" s="55">
        <v>0</v>
      </c>
      <c r="F124" s="55">
        <v>0</v>
      </c>
      <c r="G124" s="55">
        <v>0</v>
      </c>
      <c r="H124" s="55">
        <v>506</v>
      </c>
      <c r="J124" s="54">
        <f>SUM(K124:P124)</f>
        <v>5</v>
      </c>
      <c r="K124" s="55">
        <v>2</v>
      </c>
      <c r="L124" s="55">
        <v>2</v>
      </c>
      <c r="M124" s="55">
        <v>0</v>
      </c>
      <c r="N124" s="55">
        <v>0</v>
      </c>
      <c r="O124" s="55">
        <v>0</v>
      </c>
      <c r="P124" s="55">
        <v>1</v>
      </c>
      <c r="R124" s="61">
        <f>SUM(C124/B124)</f>
        <v>0.33650982727814177</v>
      </c>
      <c r="S124" s="61">
        <f>SUM(D124/B124)</f>
        <v>0.36212030970815962</v>
      </c>
      <c r="T124" s="61">
        <f>SUM(E124/B124)</f>
        <v>0</v>
      </c>
      <c r="U124" s="61">
        <f>SUM(F124/B124)</f>
        <v>0</v>
      </c>
      <c r="V124" s="61">
        <f>SUM(G124/B124)</f>
        <v>0</v>
      </c>
      <c r="W124" s="61">
        <f>SUM(H124/B124)</f>
        <v>0.30136986301369861</v>
      </c>
    </row>
    <row r="125" spans="1:23">
      <c r="A125" s="56" t="s">
        <v>1630</v>
      </c>
      <c r="B125" s="54">
        <f>SUM(C125:H125)</f>
        <v>2488</v>
      </c>
      <c r="C125" s="55">
        <v>0</v>
      </c>
      <c r="D125" s="55">
        <v>218</v>
      </c>
      <c r="E125" s="55">
        <v>882</v>
      </c>
      <c r="F125" s="55">
        <v>454</v>
      </c>
      <c r="G125" s="55">
        <v>0</v>
      </c>
      <c r="H125" s="55">
        <v>934</v>
      </c>
      <c r="J125" s="54">
        <f>SUM(K125:P125)</f>
        <v>5</v>
      </c>
      <c r="K125" s="55">
        <v>0</v>
      </c>
      <c r="L125" s="55">
        <v>0</v>
      </c>
      <c r="M125" s="55">
        <v>2</v>
      </c>
      <c r="N125" s="55">
        <v>1</v>
      </c>
      <c r="O125" s="55">
        <v>0</v>
      </c>
      <c r="P125" s="55">
        <v>2</v>
      </c>
      <c r="R125" s="61">
        <f>SUM(C125/B125)</f>
        <v>0</v>
      </c>
      <c r="S125" s="61">
        <f>SUM(D125/B125)</f>
        <v>8.7620578778135047E-2</v>
      </c>
      <c r="T125" s="61">
        <f>SUM(E125/B125)</f>
        <v>0.35450160771704181</v>
      </c>
      <c r="U125" s="61">
        <f>SUM(F125/B125)</f>
        <v>0.182475884244373</v>
      </c>
      <c r="V125" s="61">
        <f>SUM(G125/B125)</f>
        <v>0</v>
      </c>
      <c r="W125" s="61">
        <f>SUM(H125/B125)</f>
        <v>0.37540192926045018</v>
      </c>
    </row>
    <row r="126" spans="1:23" s="52" customFormat="1">
      <c r="A126" s="53" t="s">
        <v>1631</v>
      </c>
      <c r="B126" s="54">
        <f>SUM(B123:B125)</f>
        <v>6075</v>
      </c>
      <c r="C126" s="54">
        <f t="shared" ref="C126:O126" si="39">SUM(C123:C125)</f>
        <v>848</v>
      </c>
      <c r="D126" s="54">
        <f>SUM(D123:D125)</f>
        <v>1196</v>
      </c>
      <c r="E126" s="54">
        <f t="shared" si="39"/>
        <v>1365</v>
      </c>
      <c r="F126" s="54">
        <f t="shared" si="39"/>
        <v>454</v>
      </c>
      <c r="G126" s="54">
        <f t="shared" si="39"/>
        <v>0</v>
      </c>
      <c r="H126" s="54">
        <f>SUM(H123:H125)</f>
        <v>2212</v>
      </c>
      <c r="I126" s="54"/>
      <c r="J126" s="54">
        <f t="shared" si="39"/>
        <v>15</v>
      </c>
      <c r="K126" s="54">
        <f t="shared" si="39"/>
        <v>3</v>
      </c>
      <c r="L126" s="54">
        <f t="shared" si="39"/>
        <v>3</v>
      </c>
      <c r="M126" s="54">
        <f t="shared" si="39"/>
        <v>3</v>
      </c>
      <c r="N126" s="54">
        <f t="shared" si="39"/>
        <v>1</v>
      </c>
      <c r="O126" s="54">
        <f t="shared" si="39"/>
        <v>0</v>
      </c>
      <c r="P126" s="54">
        <f>SUM(P123:P125)</f>
        <v>5</v>
      </c>
      <c r="R126" s="60">
        <f>SUM(C126/B126)</f>
        <v>0.13958847736625515</v>
      </c>
      <c r="S126" s="60">
        <f>SUM(D126/B126)</f>
        <v>0.1968724279835391</v>
      </c>
      <c r="T126" s="60">
        <f>SUM(E126/B126)</f>
        <v>0.22469135802469137</v>
      </c>
      <c r="U126" s="60">
        <f>SUM(F126/B126)</f>
        <v>7.4732510288065837E-2</v>
      </c>
      <c r="V126" s="60">
        <f>SUM(G126/B126)</f>
        <v>0</v>
      </c>
      <c r="W126" s="60">
        <f>SUM(H126/B126)</f>
        <v>0.36411522633744858</v>
      </c>
    </row>
    <row r="127" spans="1:23">
      <c r="A127" s="53"/>
      <c r="B127" s="54"/>
      <c r="C127" s="55"/>
      <c r="D127" s="55"/>
      <c r="E127" s="55"/>
      <c r="F127" s="55"/>
      <c r="G127" s="55"/>
      <c r="H127" s="55"/>
      <c r="J127" s="54"/>
      <c r="K127" s="55"/>
      <c r="L127" s="55"/>
      <c r="M127" s="55"/>
      <c r="N127" s="55"/>
      <c r="O127" s="55"/>
      <c r="P127" s="55"/>
    </row>
    <row r="128" spans="1:23">
      <c r="A128" s="56" t="s">
        <v>1632</v>
      </c>
      <c r="B128" s="54">
        <f>SUM(C128:H128)</f>
        <v>3083</v>
      </c>
      <c r="C128" s="55">
        <v>1000</v>
      </c>
      <c r="D128" s="55">
        <v>782</v>
      </c>
      <c r="E128" s="55">
        <v>409</v>
      </c>
      <c r="F128" s="55">
        <v>0</v>
      </c>
      <c r="G128" s="55">
        <v>317</v>
      </c>
      <c r="H128" s="55">
        <v>575</v>
      </c>
      <c r="J128" s="54">
        <f>SUM(K128:P128)</f>
        <v>5</v>
      </c>
      <c r="K128" s="55">
        <v>2</v>
      </c>
      <c r="L128" s="55">
        <v>1</v>
      </c>
      <c r="M128" s="55">
        <v>1</v>
      </c>
      <c r="N128" s="55">
        <v>0</v>
      </c>
      <c r="O128" s="55">
        <v>0</v>
      </c>
      <c r="P128" s="55">
        <v>1</v>
      </c>
      <c r="R128" s="61">
        <f>SUM(C128/B128)</f>
        <v>0.3243593902043464</v>
      </c>
      <c r="S128" s="61">
        <f>SUM(D128/B128)</f>
        <v>0.25364904313979891</v>
      </c>
      <c r="T128" s="61">
        <f>SUM(E128/B128)</f>
        <v>0.1326629905935777</v>
      </c>
      <c r="U128" s="61">
        <f>SUM(F128/B128)</f>
        <v>0</v>
      </c>
      <c r="V128" s="61">
        <f>SUM(G128/B128)</f>
        <v>0.10282192669477781</v>
      </c>
      <c r="W128" s="61">
        <f>SUM(H128/B128)</f>
        <v>0.18650664936749919</v>
      </c>
    </row>
    <row r="129" spans="1:23">
      <c r="A129" s="56" t="s">
        <v>1633</v>
      </c>
      <c r="B129" s="54">
        <f>SUM(C129:H129)</f>
        <v>3330</v>
      </c>
      <c r="C129" s="55">
        <v>1845</v>
      </c>
      <c r="D129" s="55">
        <v>843</v>
      </c>
      <c r="E129" s="55">
        <v>0</v>
      </c>
      <c r="F129" s="55">
        <v>0</v>
      </c>
      <c r="G129" s="55">
        <v>526</v>
      </c>
      <c r="H129" s="55">
        <v>116</v>
      </c>
      <c r="J129" s="54">
        <f>SUM(K129:P129)</f>
        <v>5</v>
      </c>
      <c r="K129" s="55">
        <v>3</v>
      </c>
      <c r="L129" s="55">
        <v>1</v>
      </c>
      <c r="M129" s="55">
        <v>0</v>
      </c>
      <c r="N129" s="55">
        <v>0</v>
      </c>
      <c r="O129" s="55">
        <v>1</v>
      </c>
      <c r="P129" s="55">
        <v>0</v>
      </c>
      <c r="R129" s="61">
        <f>SUM(C129/B129)</f>
        <v>0.55405405405405406</v>
      </c>
      <c r="S129" s="61">
        <f>SUM(D129/B129)</f>
        <v>0.25315315315315318</v>
      </c>
      <c r="T129" s="61">
        <f>SUM(E129/B129)</f>
        <v>0</v>
      </c>
      <c r="U129" s="61">
        <f>SUM(F129/B129)</f>
        <v>0</v>
      </c>
      <c r="V129" s="61">
        <f>SUM(G129/B129)</f>
        <v>0.15795795795795795</v>
      </c>
      <c r="W129" s="61">
        <f>SUM(H129/B129)</f>
        <v>3.4834834834834835E-2</v>
      </c>
    </row>
    <row r="130" spans="1:23">
      <c r="A130" s="56" t="s">
        <v>1634</v>
      </c>
      <c r="B130" s="54">
        <f>SUM(C130:H130)</f>
        <v>3289</v>
      </c>
      <c r="C130" s="55">
        <v>687</v>
      </c>
      <c r="D130" s="55">
        <v>754</v>
      </c>
      <c r="E130" s="55">
        <v>0</v>
      </c>
      <c r="F130" s="55">
        <v>0</v>
      </c>
      <c r="G130" s="55">
        <v>336</v>
      </c>
      <c r="H130" s="55">
        <v>1512</v>
      </c>
      <c r="J130" s="54">
        <f>SUM(K130:P130)</f>
        <v>5</v>
      </c>
      <c r="K130" s="55">
        <v>1</v>
      </c>
      <c r="L130" s="55">
        <v>1</v>
      </c>
      <c r="M130" s="55">
        <v>0</v>
      </c>
      <c r="N130" s="55">
        <v>0</v>
      </c>
      <c r="O130" s="55">
        <v>0</v>
      </c>
      <c r="P130" s="55">
        <v>3</v>
      </c>
      <c r="R130" s="61">
        <f>SUM(C130/B130)</f>
        <v>0.20887807844329584</v>
      </c>
      <c r="S130" s="61">
        <f>SUM(D130/B130)</f>
        <v>0.22924901185770752</v>
      </c>
      <c r="T130" s="61">
        <f>SUM(E130/B130)</f>
        <v>0</v>
      </c>
      <c r="U130" s="61">
        <f>SUM(F130/B130)</f>
        <v>0</v>
      </c>
      <c r="V130" s="61">
        <f>SUM(G130/B130)</f>
        <v>0.10215871085436302</v>
      </c>
      <c r="W130" s="61">
        <f>SUM(H130/B130)</f>
        <v>0.4597141988446336</v>
      </c>
    </row>
    <row r="131" spans="1:23" s="52" customFormat="1">
      <c r="A131" s="53" t="s">
        <v>1635</v>
      </c>
      <c r="B131" s="54">
        <f>SUM(B128:B130)</f>
        <v>9702</v>
      </c>
      <c r="C131" s="54">
        <f t="shared" ref="C131:O131" si="40">SUM(C128:C130)</f>
        <v>3532</v>
      </c>
      <c r="D131" s="54">
        <f>SUM(D128:D130)</f>
        <v>2379</v>
      </c>
      <c r="E131" s="54">
        <f t="shared" si="40"/>
        <v>409</v>
      </c>
      <c r="F131" s="54">
        <f t="shared" si="40"/>
        <v>0</v>
      </c>
      <c r="G131" s="54">
        <f t="shared" si="40"/>
        <v>1179</v>
      </c>
      <c r="H131" s="54">
        <f>SUM(H128:H130)</f>
        <v>2203</v>
      </c>
      <c r="I131" s="54"/>
      <c r="J131" s="54">
        <f t="shared" si="40"/>
        <v>15</v>
      </c>
      <c r="K131" s="54">
        <f t="shared" si="40"/>
        <v>6</v>
      </c>
      <c r="L131" s="54">
        <f t="shared" si="40"/>
        <v>3</v>
      </c>
      <c r="M131" s="54">
        <f t="shared" si="40"/>
        <v>1</v>
      </c>
      <c r="N131" s="54">
        <f t="shared" si="40"/>
        <v>0</v>
      </c>
      <c r="O131" s="54">
        <f t="shared" si="40"/>
        <v>1</v>
      </c>
      <c r="P131" s="54">
        <f>SUM(P128:P130)</f>
        <v>4</v>
      </c>
      <c r="R131" s="60">
        <f>SUM(C131/B131)</f>
        <v>0.36404864976293549</v>
      </c>
      <c r="S131" s="60">
        <f>SUM(D131/B131)</f>
        <v>0.24520717377860235</v>
      </c>
      <c r="T131" s="60">
        <f>SUM(E131/B131)</f>
        <v>4.2156256441970727E-2</v>
      </c>
      <c r="U131" s="60">
        <f>SUM(F131/B131)</f>
        <v>0</v>
      </c>
      <c r="V131" s="60">
        <f>SUM(G131/B131)</f>
        <v>0.12152133580705009</v>
      </c>
      <c r="W131" s="60">
        <f>SUM(H131/B131)</f>
        <v>0.22706658420944134</v>
      </c>
    </row>
    <row r="132" spans="1:23">
      <c r="A132" s="53"/>
      <c r="B132" s="54"/>
      <c r="C132" s="55"/>
      <c r="D132" s="55"/>
      <c r="E132" s="55"/>
      <c r="F132" s="55"/>
      <c r="G132" s="55"/>
      <c r="H132" s="55"/>
      <c r="J132" s="54"/>
      <c r="K132" s="55"/>
      <c r="L132" s="55"/>
      <c r="M132" s="55"/>
      <c r="N132" s="55"/>
      <c r="O132" s="55"/>
      <c r="P132" s="55"/>
    </row>
    <row r="133" spans="1:23">
      <c r="A133" s="56" t="s">
        <v>1636</v>
      </c>
      <c r="B133" s="54">
        <f>SUM(C133:H133)</f>
        <v>3764</v>
      </c>
      <c r="C133" s="55">
        <v>1131</v>
      </c>
      <c r="D133" s="55">
        <v>916</v>
      </c>
      <c r="E133" s="55">
        <v>0</v>
      </c>
      <c r="F133" s="55">
        <v>0</v>
      </c>
      <c r="G133" s="55">
        <v>1076</v>
      </c>
      <c r="H133" s="55">
        <v>641</v>
      </c>
      <c r="J133" s="54">
        <f>SUM(K133:P133)</f>
        <v>6</v>
      </c>
      <c r="K133" s="55">
        <v>2</v>
      </c>
      <c r="L133" s="55">
        <v>1</v>
      </c>
      <c r="M133" s="55">
        <v>0</v>
      </c>
      <c r="N133" s="55">
        <v>0</v>
      </c>
      <c r="O133" s="55">
        <v>2</v>
      </c>
      <c r="P133" s="55">
        <v>1</v>
      </c>
      <c r="R133" s="61">
        <f>SUM(C133/B133)</f>
        <v>0.30047821466524971</v>
      </c>
      <c r="S133" s="61">
        <f>SUM(D133/B133)</f>
        <v>0.24335812964930925</v>
      </c>
      <c r="T133" s="61">
        <f>SUM(E133/B133)</f>
        <v>0</v>
      </c>
      <c r="U133" s="61">
        <f>SUM(F133/B133)</f>
        <v>0</v>
      </c>
      <c r="V133" s="61">
        <f>SUM(G133/B133)</f>
        <v>0.28586609989373007</v>
      </c>
      <c r="W133" s="61">
        <f>SUM(H133/B133)</f>
        <v>0.17029755579171094</v>
      </c>
    </row>
    <row r="134" spans="1:23">
      <c r="A134" s="56" t="s">
        <v>1637</v>
      </c>
      <c r="B134" s="54">
        <f>SUM(C134:H134)</f>
        <v>2758</v>
      </c>
      <c r="C134" s="55">
        <v>466</v>
      </c>
      <c r="D134" s="55">
        <v>626</v>
      </c>
      <c r="E134" s="55">
        <v>0</v>
      </c>
      <c r="F134" s="55">
        <v>0</v>
      </c>
      <c r="G134" s="55">
        <v>795</v>
      </c>
      <c r="H134" s="55">
        <v>871</v>
      </c>
      <c r="J134" s="54">
        <f>SUM(K134:P134)</f>
        <v>5</v>
      </c>
      <c r="K134" s="55">
        <v>1</v>
      </c>
      <c r="L134" s="55">
        <v>1</v>
      </c>
      <c r="M134" s="55">
        <v>0</v>
      </c>
      <c r="N134" s="55">
        <v>0</v>
      </c>
      <c r="O134" s="55">
        <v>1</v>
      </c>
      <c r="P134" s="55">
        <v>2</v>
      </c>
      <c r="R134" s="61">
        <f>SUM(C134/B134)</f>
        <v>0.16896301667875271</v>
      </c>
      <c r="S134" s="61">
        <f>SUM(D134/B134)</f>
        <v>0.22697606961566352</v>
      </c>
      <c r="T134" s="61">
        <f>SUM(E134/B134)</f>
        <v>0</v>
      </c>
      <c r="U134" s="61">
        <f>SUM(F134/B134)</f>
        <v>0</v>
      </c>
      <c r="V134" s="61">
        <f>SUM(G134/B134)</f>
        <v>0.28825235678027555</v>
      </c>
      <c r="W134" s="61">
        <f>SUM(H134/B134)</f>
        <v>0.31580855692530818</v>
      </c>
    </row>
    <row r="135" spans="1:23">
      <c r="A135" s="56" t="s">
        <v>1638</v>
      </c>
      <c r="B135" s="54">
        <f>SUM(C135:H135)</f>
        <v>4261</v>
      </c>
      <c r="C135" s="55">
        <v>733</v>
      </c>
      <c r="D135" s="55">
        <v>618</v>
      </c>
      <c r="E135" s="55">
        <v>0</v>
      </c>
      <c r="F135" s="55">
        <v>0</v>
      </c>
      <c r="G135" s="55">
        <v>1085</v>
      </c>
      <c r="H135" s="55">
        <v>1825</v>
      </c>
      <c r="J135" s="54">
        <f>SUM(K135:P135)</f>
        <v>6</v>
      </c>
      <c r="K135" s="55">
        <v>1</v>
      </c>
      <c r="L135" s="55">
        <v>1</v>
      </c>
      <c r="M135" s="55">
        <v>0</v>
      </c>
      <c r="N135" s="55">
        <v>0</v>
      </c>
      <c r="O135" s="55">
        <v>2</v>
      </c>
      <c r="P135" s="55">
        <v>2</v>
      </c>
      <c r="R135" s="61">
        <f>SUM(C135/B135)</f>
        <v>0.17202534616287257</v>
      </c>
      <c r="S135" s="61">
        <f>SUM(D135/B135)</f>
        <v>0.14503637643745598</v>
      </c>
      <c r="T135" s="61">
        <f>SUM(E135/B135)</f>
        <v>0</v>
      </c>
      <c r="U135" s="61">
        <f>SUM(F135/B135)</f>
        <v>0</v>
      </c>
      <c r="V135" s="61">
        <f>SUM(G135/B135)</f>
        <v>0.25463506219197374</v>
      </c>
      <c r="W135" s="61">
        <f>SUM(H135/B135)</f>
        <v>0.42830321520769771</v>
      </c>
    </row>
    <row r="136" spans="1:23" s="52" customFormat="1">
      <c r="A136" s="53" t="s">
        <v>1639</v>
      </c>
      <c r="B136" s="54">
        <f>SUM(B133:B135)</f>
        <v>10783</v>
      </c>
      <c r="C136" s="54">
        <f t="shared" ref="C136:O136" si="41">SUM(C133:C135)</f>
        <v>2330</v>
      </c>
      <c r="D136" s="54">
        <f>SUM(D133:D135)</f>
        <v>2160</v>
      </c>
      <c r="E136" s="54">
        <f t="shared" si="41"/>
        <v>0</v>
      </c>
      <c r="F136" s="54">
        <f t="shared" si="41"/>
        <v>0</v>
      </c>
      <c r="G136" s="54">
        <f t="shared" si="41"/>
        <v>2956</v>
      </c>
      <c r="H136" s="54">
        <f>SUM(H133:H135)</f>
        <v>3337</v>
      </c>
      <c r="I136" s="54"/>
      <c r="J136" s="54">
        <f t="shared" si="41"/>
        <v>17</v>
      </c>
      <c r="K136" s="54">
        <f t="shared" si="41"/>
        <v>4</v>
      </c>
      <c r="L136" s="54">
        <f t="shared" si="41"/>
        <v>3</v>
      </c>
      <c r="M136" s="54">
        <f t="shared" si="41"/>
        <v>0</v>
      </c>
      <c r="N136" s="54">
        <f t="shared" si="41"/>
        <v>0</v>
      </c>
      <c r="O136" s="54">
        <f t="shared" si="41"/>
        <v>5</v>
      </c>
      <c r="P136" s="54">
        <f>SUM(P133:P135)</f>
        <v>5</v>
      </c>
      <c r="R136" s="60">
        <f>SUM(C136/B136)</f>
        <v>0.21608086803301493</v>
      </c>
      <c r="S136" s="60">
        <f>SUM(D136/B136)</f>
        <v>0.20031531113790224</v>
      </c>
      <c r="T136" s="60">
        <f>SUM(E136/B136)</f>
        <v>0</v>
      </c>
      <c r="U136" s="60">
        <f>SUM(F136/B136)</f>
        <v>0</v>
      </c>
      <c r="V136" s="60">
        <f>SUM(G136/B136)</f>
        <v>0.27413521283501807</v>
      </c>
      <c r="W136" s="60">
        <f>SUM(H136/B136)</f>
        <v>0.30946860799406473</v>
      </c>
    </row>
    <row r="137" spans="1:23">
      <c r="A137" s="53"/>
      <c r="B137" s="54"/>
      <c r="C137" s="55"/>
      <c r="D137" s="55"/>
      <c r="E137" s="55"/>
      <c r="F137" s="55"/>
      <c r="G137" s="55"/>
      <c r="H137" s="55"/>
      <c r="J137" s="54"/>
      <c r="K137" s="55"/>
      <c r="L137" s="55"/>
      <c r="M137" s="55"/>
      <c r="N137" s="55"/>
      <c r="O137" s="55"/>
      <c r="P137" s="55"/>
    </row>
    <row r="138" spans="1:23">
      <c r="A138" s="56" t="s">
        <v>1640</v>
      </c>
      <c r="B138" s="54">
        <f>SUM(C138:H138)</f>
        <v>6879</v>
      </c>
      <c r="C138" s="55">
        <v>2617</v>
      </c>
      <c r="D138" s="55">
        <v>647</v>
      </c>
      <c r="E138" s="55">
        <v>1500</v>
      </c>
      <c r="F138" s="55">
        <v>0</v>
      </c>
      <c r="G138" s="55">
        <v>829</v>
      </c>
      <c r="H138" s="55">
        <v>1286</v>
      </c>
      <c r="I138" s="55"/>
      <c r="J138" s="54">
        <f>SUM(K138:P138)</f>
        <v>7</v>
      </c>
      <c r="K138" s="55">
        <v>3</v>
      </c>
      <c r="L138" s="55">
        <v>1</v>
      </c>
      <c r="M138" s="55">
        <v>1</v>
      </c>
      <c r="N138" s="55">
        <v>0</v>
      </c>
      <c r="O138" s="55">
        <v>1</v>
      </c>
      <c r="P138" s="55">
        <v>1</v>
      </c>
      <c r="R138" s="61">
        <f>SUM(C138/B138)</f>
        <v>0.38043320250036344</v>
      </c>
      <c r="S138" s="61">
        <f>SUM(D138/B138)</f>
        <v>9.405436836749527E-2</v>
      </c>
      <c r="T138" s="61">
        <f>SUM(E138/B138)</f>
        <v>0.21805494984736154</v>
      </c>
      <c r="U138" s="61">
        <f>SUM(F138/B138)</f>
        <v>0</v>
      </c>
      <c r="V138" s="61">
        <f>SUM(G138/B138)</f>
        <v>0.12051170228230848</v>
      </c>
      <c r="W138" s="61">
        <f>SUM(H138/B138)</f>
        <v>0.18694577700247128</v>
      </c>
    </row>
    <row r="139" spans="1:23">
      <c r="A139" s="56" t="s">
        <v>1641</v>
      </c>
      <c r="B139" s="54">
        <f>SUM(C139:H139)</f>
        <v>3955</v>
      </c>
      <c r="C139" s="55">
        <v>1686</v>
      </c>
      <c r="D139" s="55">
        <v>705</v>
      </c>
      <c r="E139" s="55">
        <v>0</v>
      </c>
      <c r="F139" s="55">
        <v>0</v>
      </c>
      <c r="G139" s="55">
        <v>586</v>
      </c>
      <c r="H139" s="55">
        <v>978</v>
      </c>
      <c r="J139" s="54">
        <f>SUM(K139:P139)</f>
        <v>5</v>
      </c>
      <c r="K139" s="55">
        <v>3</v>
      </c>
      <c r="L139" s="55">
        <v>1</v>
      </c>
      <c r="M139" s="55">
        <v>0</v>
      </c>
      <c r="N139" s="55">
        <v>0</v>
      </c>
      <c r="O139" s="55">
        <v>1</v>
      </c>
      <c r="P139" s="55">
        <v>0</v>
      </c>
      <c r="R139" s="61">
        <f>SUM(C139/B139)</f>
        <v>0.42629582806573957</v>
      </c>
      <c r="S139" s="61">
        <f>SUM(D139/B139)</f>
        <v>0.17825537294563842</v>
      </c>
      <c r="T139" s="61">
        <f>SUM(E139/B139)</f>
        <v>0</v>
      </c>
      <c r="U139" s="61">
        <f>SUM(F139/B139)</f>
        <v>0</v>
      </c>
      <c r="V139" s="61">
        <f>SUM(G139/B139)</f>
        <v>0.1481668773704172</v>
      </c>
      <c r="W139" s="61">
        <f>SUM(H139/B139)</f>
        <v>0.24728192161820481</v>
      </c>
    </row>
    <row r="140" spans="1:23">
      <c r="A140" s="56" t="s">
        <v>1642</v>
      </c>
      <c r="B140" s="54">
        <f>SUM(C140:H140)</f>
        <v>5182</v>
      </c>
      <c r="C140" s="55">
        <v>817</v>
      </c>
      <c r="D140" s="55">
        <v>470</v>
      </c>
      <c r="E140" s="55">
        <v>0</v>
      </c>
      <c r="F140" s="55">
        <v>0</v>
      </c>
      <c r="G140" s="55">
        <v>119</v>
      </c>
      <c r="H140" s="55">
        <v>3776</v>
      </c>
      <c r="J140" s="54">
        <f>SUM(K140:P140)</f>
        <v>6</v>
      </c>
      <c r="K140" s="55">
        <v>1</v>
      </c>
      <c r="L140" s="55">
        <v>0</v>
      </c>
      <c r="M140" s="55">
        <v>0</v>
      </c>
      <c r="N140" s="55">
        <v>0</v>
      </c>
      <c r="O140" s="55">
        <v>0</v>
      </c>
      <c r="P140" s="55">
        <v>5</v>
      </c>
      <c r="R140" s="61">
        <f>SUM(C140/B140)</f>
        <v>0.15766113469702817</v>
      </c>
      <c r="S140" s="61">
        <f>SUM(D140/B140)</f>
        <v>9.0698571979930531E-2</v>
      </c>
      <c r="T140" s="61">
        <f>SUM(E140/B140)</f>
        <v>0</v>
      </c>
      <c r="U140" s="61">
        <f>SUM(F140/B140)</f>
        <v>0</v>
      </c>
      <c r="V140" s="61">
        <f>SUM(G140/B140)</f>
        <v>2.2964106522578156E-2</v>
      </c>
      <c r="W140" s="61">
        <f>SUM(H140/B140)</f>
        <v>0.72867618680046309</v>
      </c>
    </row>
    <row r="141" spans="1:23">
      <c r="A141" s="56" t="s">
        <v>1643</v>
      </c>
      <c r="B141" s="54">
        <f>SUM(C141:H141)</f>
        <v>6646</v>
      </c>
      <c r="C141" s="55">
        <v>1773</v>
      </c>
      <c r="D141" s="55">
        <v>632</v>
      </c>
      <c r="E141" s="55">
        <v>0</v>
      </c>
      <c r="F141" s="55">
        <v>0</v>
      </c>
      <c r="G141" s="55">
        <v>830</v>
      </c>
      <c r="H141" s="55">
        <v>3411</v>
      </c>
      <c r="J141" s="54">
        <f>SUM(K141:P141)</f>
        <v>7</v>
      </c>
      <c r="K141" s="55">
        <v>3</v>
      </c>
      <c r="L141" s="55">
        <v>0</v>
      </c>
      <c r="M141" s="55">
        <v>0</v>
      </c>
      <c r="N141" s="55">
        <v>0</v>
      </c>
      <c r="O141" s="55">
        <v>1</v>
      </c>
      <c r="P141" s="55">
        <v>3</v>
      </c>
      <c r="R141" s="61">
        <f>SUM(C141/B141)</f>
        <v>0.26677700872705384</v>
      </c>
      <c r="S141" s="61">
        <f>SUM(D141/B141)</f>
        <v>9.5094793860969001E-2</v>
      </c>
      <c r="T141" s="61">
        <f>SUM(E141/B141)</f>
        <v>0</v>
      </c>
      <c r="U141" s="61">
        <f>SUM(F141/B141)</f>
        <v>0</v>
      </c>
      <c r="V141" s="61">
        <f>SUM(G141/B141)</f>
        <v>0.12488715016551309</v>
      </c>
      <c r="W141" s="61">
        <f>SUM(H141/B141)</f>
        <v>0.51324104724646402</v>
      </c>
    </row>
    <row r="142" spans="1:23" s="52" customFormat="1">
      <c r="A142" s="53" t="s">
        <v>1644</v>
      </c>
      <c r="B142" s="54">
        <f>SUM(B138:B141)</f>
        <v>22662</v>
      </c>
      <c r="C142" s="54">
        <f t="shared" ref="C142:O142" si="42">SUM(C138:C141)</f>
        <v>6893</v>
      </c>
      <c r="D142" s="54">
        <f>SUM(D138:D141)</f>
        <v>2454</v>
      </c>
      <c r="E142" s="54">
        <f t="shared" si="42"/>
        <v>1500</v>
      </c>
      <c r="F142" s="54">
        <f t="shared" si="42"/>
        <v>0</v>
      </c>
      <c r="G142" s="54">
        <f t="shared" si="42"/>
        <v>2364</v>
      </c>
      <c r="H142" s="54">
        <f>SUM(H138:H141)</f>
        <v>9451</v>
      </c>
      <c r="I142" s="54"/>
      <c r="J142" s="54">
        <f t="shared" si="42"/>
        <v>25</v>
      </c>
      <c r="K142" s="54">
        <f t="shared" si="42"/>
        <v>10</v>
      </c>
      <c r="L142" s="54">
        <f t="shared" si="42"/>
        <v>2</v>
      </c>
      <c r="M142" s="54">
        <f t="shared" si="42"/>
        <v>1</v>
      </c>
      <c r="N142" s="54">
        <f t="shared" si="42"/>
        <v>0</v>
      </c>
      <c r="O142" s="54">
        <f t="shared" si="42"/>
        <v>3</v>
      </c>
      <c r="P142" s="54">
        <f>SUM(P138:P141)</f>
        <v>9</v>
      </c>
      <c r="R142" s="60">
        <f>SUM(C142/B142)</f>
        <v>0.30416556349836732</v>
      </c>
      <c r="S142" s="60">
        <f>SUM(D142/B142)</f>
        <v>0.10828700026476039</v>
      </c>
      <c r="T142" s="60">
        <f>SUM(E142/B142)</f>
        <v>6.6190097961344979E-2</v>
      </c>
      <c r="U142" s="60">
        <f>SUM(F142/B142)</f>
        <v>0</v>
      </c>
      <c r="V142" s="60">
        <f>SUM(G142/B142)</f>
        <v>0.1043155943870797</v>
      </c>
      <c r="W142" s="60">
        <f>SUM(H142/B142)</f>
        <v>0.41704174388844761</v>
      </c>
    </row>
    <row r="143" spans="1:23">
      <c r="A143" s="53"/>
      <c r="B143" s="54"/>
      <c r="C143" s="55"/>
      <c r="D143" s="55"/>
      <c r="E143" s="55"/>
      <c r="F143" s="55"/>
      <c r="G143" s="55"/>
      <c r="H143" s="55"/>
      <c r="J143" s="54"/>
      <c r="K143" s="55"/>
      <c r="L143" s="55"/>
      <c r="M143" s="55"/>
      <c r="N143" s="55"/>
      <c r="O143" s="55"/>
      <c r="P143" s="55"/>
    </row>
    <row r="144" spans="1:23">
      <c r="A144" s="56" t="s">
        <v>1645</v>
      </c>
      <c r="B144" s="54">
        <f t="shared" ref="B144:B152" si="43">SUM(C144:H144)</f>
        <v>9350</v>
      </c>
      <c r="C144" s="55">
        <v>2598</v>
      </c>
      <c r="D144" s="55">
        <v>1781</v>
      </c>
      <c r="E144" s="55">
        <v>0</v>
      </c>
      <c r="F144" s="55">
        <v>0</v>
      </c>
      <c r="G144" s="55">
        <v>144</v>
      </c>
      <c r="H144" s="55">
        <v>4827</v>
      </c>
      <c r="J144" s="54">
        <f t="shared" ref="J144:J152" si="44">SUM(K144:P144)</f>
        <v>5</v>
      </c>
      <c r="K144" s="55">
        <v>2</v>
      </c>
      <c r="L144" s="55">
        <v>1</v>
      </c>
      <c r="M144" s="55">
        <v>0</v>
      </c>
      <c r="N144" s="55">
        <v>0</v>
      </c>
      <c r="O144" s="55">
        <v>0</v>
      </c>
      <c r="P144" s="55">
        <v>2</v>
      </c>
      <c r="R144" s="61">
        <f t="shared" ref="R144:R153" si="45">SUM(C144/B144)</f>
        <v>0.27786096256684489</v>
      </c>
      <c r="S144" s="61">
        <f t="shared" ref="S144:S153" si="46">SUM(D144/B144)</f>
        <v>0.1904812834224599</v>
      </c>
      <c r="T144" s="61">
        <f t="shared" ref="T144:T153" si="47">SUM(E144/B144)</f>
        <v>0</v>
      </c>
      <c r="U144" s="61">
        <f t="shared" ref="U144:U153" si="48">SUM(F144/B144)</f>
        <v>0</v>
      </c>
      <c r="V144" s="61">
        <f t="shared" ref="V144:V153" si="49">SUM(G144/B144)</f>
        <v>1.5401069518716578E-2</v>
      </c>
      <c r="W144" s="61">
        <f t="shared" ref="W144:W153" si="50">SUM(H144/B144)</f>
        <v>0.51625668449197859</v>
      </c>
    </row>
    <row r="145" spans="1:23">
      <c r="A145" s="56" t="s">
        <v>1646</v>
      </c>
      <c r="B145" s="54">
        <f t="shared" si="43"/>
        <v>11361</v>
      </c>
      <c r="C145" s="55">
        <v>3328</v>
      </c>
      <c r="D145" s="55">
        <v>3012</v>
      </c>
      <c r="E145" s="55">
        <v>309</v>
      </c>
      <c r="F145" s="55">
        <v>978</v>
      </c>
      <c r="G145" s="55">
        <v>870</v>
      </c>
      <c r="H145" s="55">
        <v>2864</v>
      </c>
      <c r="J145" s="54">
        <f t="shared" si="44"/>
        <v>6</v>
      </c>
      <c r="K145" s="55">
        <v>2</v>
      </c>
      <c r="L145" s="55">
        <v>2</v>
      </c>
      <c r="M145" s="55">
        <v>0</v>
      </c>
      <c r="N145" s="55">
        <v>0</v>
      </c>
      <c r="O145" s="55">
        <v>1</v>
      </c>
      <c r="P145" s="55">
        <v>1</v>
      </c>
      <c r="R145" s="61">
        <f t="shared" si="45"/>
        <v>0.2929319602147698</v>
      </c>
      <c r="S145" s="61">
        <f t="shared" si="46"/>
        <v>0.2651175072616847</v>
      </c>
      <c r="T145" s="61">
        <f t="shared" si="47"/>
        <v>2.7198310007921837E-2</v>
      </c>
      <c r="U145" s="61">
        <f t="shared" si="48"/>
        <v>8.6083971481383678E-2</v>
      </c>
      <c r="V145" s="61">
        <f t="shared" si="49"/>
        <v>7.6577766041721673E-2</v>
      </c>
      <c r="W145" s="61">
        <f t="shared" si="50"/>
        <v>0.25209048499251824</v>
      </c>
    </row>
    <row r="146" spans="1:23">
      <c r="A146" s="56" t="s">
        <v>1647</v>
      </c>
      <c r="B146" s="54">
        <f t="shared" si="43"/>
        <v>12822</v>
      </c>
      <c r="C146" s="55">
        <v>4067</v>
      </c>
      <c r="D146" s="55">
        <v>3959</v>
      </c>
      <c r="E146" s="55">
        <v>0</v>
      </c>
      <c r="F146" s="55">
        <v>0</v>
      </c>
      <c r="G146" s="55">
        <v>3996</v>
      </c>
      <c r="H146" s="55">
        <v>800</v>
      </c>
      <c r="J146" s="54">
        <f t="shared" si="44"/>
        <v>7</v>
      </c>
      <c r="K146" s="55">
        <v>2</v>
      </c>
      <c r="L146" s="55">
        <v>2</v>
      </c>
      <c r="M146" s="55">
        <v>0</v>
      </c>
      <c r="N146" s="55">
        <v>0</v>
      </c>
      <c r="O146" s="55">
        <v>2</v>
      </c>
      <c r="P146" s="55">
        <v>1</v>
      </c>
      <c r="R146" s="61">
        <f t="shared" si="45"/>
        <v>0.31718920605209794</v>
      </c>
      <c r="S146" s="61">
        <f t="shared" si="46"/>
        <v>0.30876618312275778</v>
      </c>
      <c r="T146" s="61">
        <f t="shared" si="47"/>
        <v>0</v>
      </c>
      <c r="U146" s="61">
        <f t="shared" si="48"/>
        <v>0</v>
      </c>
      <c r="V146" s="61">
        <f t="shared" si="49"/>
        <v>0.31165184838558729</v>
      </c>
      <c r="W146" s="61">
        <f t="shared" si="50"/>
        <v>6.2392762439557013E-2</v>
      </c>
    </row>
    <row r="147" spans="1:23">
      <c r="A147" s="56" t="s">
        <v>1648</v>
      </c>
      <c r="B147" s="54">
        <f t="shared" si="43"/>
        <v>11368</v>
      </c>
      <c r="C147" s="55">
        <v>3582</v>
      </c>
      <c r="D147" s="55">
        <v>1578</v>
      </c>
      <c r="E147" s="55">
        <v>2963</v>
      </c>
      <c r="F147" s="55">
        <v>0</v>
      </c>
      <c r="G147" s="55">
        <v>1929</v>
      </c>
      <c r="H147" s="55">
        <v>1316</v>
      </c>
      <c r="J147" s="54">
        <f t="shared" si="44"/>
        <v>6</v>
      </c>
      <c r="K147" s="55">
        <v>2</v>
      </c>
      <c r="L147" s="55">
        <v>1</v>
      </c>
      <c r="M147" s="55">
        <v>2</v>
      </c>
      <c r="N147" s="55">
        <v>0</v>
      </c>
      <c r="O147" s="55">
        <v>1</v>
      </c>
      <c r="P147" s="55">
        <v>0</v>
      </c>
      <c r="R147" s="61">
        <f t="shared" si="45"/>
        <v>0.31509500351864883</v>
      </c>
      <c r="S147" s="61">
        <f t="shared" si="46"/>
        <v>0.13881069669247009</v>
      </c>
      <c r="T147" s="61">
        <f t="shared" si="47"/>
        <v>0.26064391273750881</v>
      </c>
      <c r="U147" s="61">
        <f t="shared" si="48"/>
        <v>0</v>
      </c>
      <c r="V147" s="61">
        <f t="shared" si="49"/>
        <v>0.16968684025334271</v>
      </c>
      <c r="W147" s="61">
        <f t="shared" si="50"/>
        <v>0.11576354679802955</v>
      </c>
    </row>
    <row r="148" spans="1:23">
      <c r="A148" s="56" t="s">
        <v>1649</v>
      </c>
      <c r="B148" s="54">
        <f t="shared" si="43"/>
        <v>11952</v>
      </c>
      <c r="C148" s="55">
        <v>3224</v>
      </c>
      <c r="D148" s="55">
        <v>2944</v>
      </c>
      <c r="E148" s="55">
        <v>2501</v>
      </c>
      <c r="F148" s="55">
        <v>1362</v>
      </c>
      <c r="G148" s="55">
        <v>1417</v>
      </c>
      <c r="H148" s="55">
        <v>504</v>
      </c>
      <c r="J148" s="54">
        <f t="shared" si="44"/>
        <v>6</v>
      </c>
      <c r="K148" s="55">
        <v>2</v>
      </c>
      <c r="L148" s="55">
        <v>1</v>
      </c>
      <c r="M148" s="55">
        <v>1</v>
      </c>
      <c r="N148" s="55">
        <v>1</v>
      </c>
      <c r="O148" s="55">
        <v>1</v>
      </c>
      <c r="P148" s="55">
        <v>0</v>
      </c>
      <c r="R148" s="61">
        <f t="shared" si="45"/>
        <v>0.26974564926372158</v>
      </c>
      <c r="S148" s="61">
        <f t="shared" si="46"/>
        <v>0.24631860776439091</v>
      </c>
      <c r="T148" s="61">
        <f t="shared" si="47"/>
        <v>0.2092536813922356</v>
      </c>
      <c r="U148" s="61">
        <f t="shared" si="48"/>
        <v>0.11395582329317269</v>
      </c>
      <c r="V148" s="61">
        <f t="shared" si="49"/>
        <v>0.11855756358768407</v>
      </c>
      <c r="W148" s="61">
        <f t="shared" si="50"/>
        <v>4.2168674698795178E-2</v>
      </c>
    </row>
    <row r="149" spans="1:23">
      <c r="A149" s="56" t="s">
        <v>1650</v>
      </c>
      <c r="B149" s="54">
        <f t="shared" si="43"/>
        <v>14127</v>
      </c>
      <c r="C149" s="55">
        <v>2302</v>
      </c>
      <c r="D149" s="55">
        <v>659</v>
      </c>
      <c r="E149" s="55">
        <v>2306</v>
      </c>
      <c r="F149" s="55">
        <v>6320</v>
      </c>
      <c r="G149" s="55">
        <v>177</v>
      </c>
      <c r="H149" s="55">
        <v>2363</v>
      </c>
      <c r="J149" s="54">
        <f t="shared" si="44"/>
        <v>6</v>
      </c>
      <c r="K149" s="55">
        <v>1</v>
      </c>
      <c r="L149" s="55">
        <v>0</v>
      </c>
      <c r="M149" s="55">
        <v>1</v>
      </c>
      <c r="N149" s="55">
        <v>3</v>
      </c>
      <c r="O149" s="55">
        <v>0</v>
      </c>
      <c r="P149" s="55">
        <v>1</v>
      </c>
      <c r="R149" s="61">
        <f t="shared" si="45"/>
        <v>0.16295037870743964</v>
      </c>
      <c r="S149" s="61">
        <f t="shared" si="46"/>
        <v>4.6648262192963828E-2</v>
      </c>
      <c r="T149" s="61">
        <f t="shared" si="47"/>
        <v>0.1632335244567141</v>
      </c>
      <c r="U149" s="61">
        <f t="shared" si="48"/>
        <v>0.44737028385361366</v>
      </c>
      <c r="V149" s="61">
        <f t="shared" si="49"/>
        <v>1.2529199405393926E-2</v>
      </c>
      <c r="W149" s="61">
        <f t="shared" si="50"/>
        <v>0.16726835138387486</v>
      </c>
    </row>
    <row r="150" spans="1:23">
      <c r="A150" s="56" t="s">
        <v>1651</v>
      </c>
      <c r="B150" s="54">
        <f t="shared" si="43"/>
        <v>9176</v>
      </c>
      <c r="C150" s="55">
        <v>2303</v>
      </c>
      <c r="D150" s="55">
        <v>473</v>
      </c>
      <c r="E150" s="55">
        <v>2516</v>
      </c>
      <c r="F150" s="55">
        <v>1388</v>
      </c>
      <c r="G150" s="55">
        <v>1118</v>
      </c>
      <c r="H150" s="55">
        <v>1378</v>
      </c>
      <c r="J150" s="54">
        <f t="shared" si="44"/>
        <v>5</v>
      </c>
      <c r="K150" s="55">
        <v>2</v>
      </c>
      <c r="L150" s="55">
        <v>0</v>
      </c>
      <c r="M150" s="55">
        <v>1</v>
      </c>
      <c r="N150" s="55">
        <v>1</v>
      </c>
      <c r="O150" s="55">
        <v>1</v>
      </c>
      <c r="P150" s="55">
        <v>0</v>
      </c>
      <c r="R150" s="61">
        <f t="shared" si="45"/>
        <v>0.25098081952920664</v>
      </c>
      <c r="S150" s="61">
        <f t="shared" si="46"/>
        <v>5.1547515257192679E-2</v>
      </c>
      <c r="T150" s="61">
        <f t="shared" si="47"/>
        <v>0.27419354838709675</v>
      </c>
      <c r="U150" s="61">
        <f t="shared" si="48"/>
        <v>0.15126416739319964</v>
      </c>
      <c r="V150" s="61">
        <f t="shared" si="49"/>
        <v>0.12183958151700088</v>
      </c>
      <c r="W150" s="61">
        <f t="shared" si="50"/>
        <v>0.1501743679163034</v>
      </c>
    </row>
    <row r="151" spans="1:23">
      <c r="A151" s="56" t="s">
        <v>1652</v>
      </c>
      <c r="B151" s="54">
        <f t="shared" si="43"/>
        <v>13982</v>
      </c>
      <c r="C151" s="55">
        <v>0</v>
      </c>
      <c r="D151" s="55">
        <v>201</v>
      </c>
      <c r="E151" s="55">
        <v>4067</v>
      </c>
      <c r="F151" s="55">
        <v>9519</v>
      </c>
      <c r="G151" s="55">
        <v>85</v>
      </c>
      <c r="H151" s="55">
        <v>110</v>
      </c>
      <c r="I151" s="55"/>
      <c r="J151" s="54">
        <f t="shared" si="44"/>
        <v>5</v>
      </c>
      <c r="K151" s="55">
        <v>0</v>
      </c>
      <c r="L151" s="55">
        <v>0</v>
      </c>
      <c r="M151" s="55">
        <v>1</v>
      </c>
      <c r="N151" s="55">
        <v>4</v>
      </c>
      <c r="O151" s="55">
        <v>0</v>
      </c>
      <c r="P151" s="55">
        <v>0</v>
      </c>
      <c r="R151" s="61">
        <f t="shared" si="45"/>
        <v>0</v>
      </c>
      <c r="S151" s="61">
        <f t="shared" si="46"/>
        <v>1.4375625804605921E-2</v>
      </c>
      <c r="T151" s="61">
        <f t="shared" si="47"/>
        <v>0.29087398083249894</v>
      </c>
      <c r="U151" s="61">
        <f t="shared" si="48"/>
        <v>0.68080389071663572</v>
      </c>
      <c r="V151" s="61">
        <f t="shared" si="49"/>
        <v>6.0792447432413107E-3</v>
      </c>
      <c r="W151" s="61">
        <f t="shared" si="50"/>
        <v>7.8672579030181662E-3</v>
      </c>
    </row>
    <row r="152" spans="1:23">
      <c r="A152" s="56" t="s">
        <v>1653</v>
      </c>
      <c r="B152" s="54">
        <f t="shared" si="43"/>
        <v>12306</v>
      </c>
      <c r="C152" s="55">
        <v>0</v>
      </c>
      <c r="D152" s="55">
        <v>0</v>
      </c>
      <c r="E152" s="55">
        <v>1981</v>
      </c>
      <c r="F152" s="55">
        <v>9812</v>
      </c>
      <c r="G152" s="55">
        <v>45</v>
      </c>
      <c r="H152" s="55">
        <v>468</v>
      </c>
      <c r="J152" s="54">
        <f t="shared" si="44"/>
        <v>5</v>
      </c>
      <c r="K152" s="55">
        <v>0</v>
      </c>
      <c r="L152" s="55">
        <v>0</v>
      </c>
      <c r="M152" s="55">
        <v>1</v>
      </c>
      <c r="N152" s="55">
        <v>4</v>
      </c>
      <c r="O152" s="55">
        <v>0</v>
      </c>
      <c r="P152" s="55">
        <v>0</v>
      </c>
      <c r="R152" s="61">
        <f t="shared" si="45"/>
        <v>0</v>
      </c>
      <c r="S152" s="61">
        <f t="shared" si="46"/>
        <v>0</v>
      </c>
      <c r="T152" s="61">
        <f t="shared" si="47"/>
        <v>0.16097838452787258</v>
      </c>
      <c r="U152" s="61">
        <f t="shared" si="48"/>
        <v>0.79733463351210787</v>
      </c>
      <c r="V152" s="61">
        <f t="shared" si="49"/>
        <v>3.6567528035104826E-3</v>
      </c>
      <c r="W152" s="61">
        <f t="shared" si="50"/>
        <v>3.803022915650902E-2</v>
      </c>
    </row>
    <row r="153" spans="1:23" s="52" customFormat="1">
      <c r="A153" s="53" t="s">
        <v>1654</v>
      </c>
      <c r="B153" s="54">
        <f>SUM(B144:B152)</f>
        <v>106444</v>
      </c>
      <c r="C153" s="54">
        <f t="shared" ref="C153:O153" si="51">SUM(C144:C152)</f>
        <v>21404</v>
      </c>
      <c r="D153" s="54">
        <f>SUM(D144:D152)</f>
        <v>14607</v>
      </c>
      <c r="E153" s="54">
        <f t="shared" si="51"/>
        <v>16643</v>
      </c>
      <c r="F153" s="54">
        <f t="shared" si="51"/>
        <v>29379</v>
      </c>
      <c r="G153" s="54">
        <f t="shared" si="51"/>
        <v>9781</v>
      </c>
      <c r="H153" s="54">
        <f>SUM(H144:H152)</f>
        <v>14630</v>
      </c>
      <c r="I153" s="54"/>
      <c r="J153" s="54">
        <f t="shared" si="51"/>
        <v>51</v>
      </c>
      <c r="K153" s="54">
        <f t="shared" si="51"/>
        <v>13</v>
      </c>
      <c r="L153" s="54">
        <f t="shared" si="51"/>
        <v>7</v>
      </c>
      <c r="M153" s="54">
        <f t="shared" si="51"/>
        <v>7</v>
      </c>
      <c r="N153" s="54">
        <f t="shared" si="51"/>
        <v>13</v>
      </c>
      <c r="O153" s="54">
        <f t="shared" si="51"/>
        <v>6</v>
      </c>
      <c r="P153" s="54">
        <f>SUM(P144:P152)</f>
        <v>5</v>
      </c>
      <c r="R153" s="60">
        <f t="shared" si="45"/>
        <v>0.20108225921611364</v>
      </c>
      <c r="S153" s="60">
        <f t="shared" si="46"/>
        <v>0.13722708654315885</v>
      </c>
      <c r="T153" s="60">
        <f t="shared" si="47"/>
        <v>0.15635451505016723</v>
      </c>
      <c r="U153" s="60">
        <f t="shared" si="48"/>
        <v>0.27600428394273047</v>
      </c>
      <c r="V153" s="60">
        <f t="shared" si="49"/>
        <v>9.1888692645898315E-2</v>
      </c>
      <c r="W153" s="60">
        <f t="shared" si="50"/>
        <v>0.13744316260193154</v>
      </c>
    </row>
    <row r="154" spans="1:23">
      <c r="A154" s="53"/>
      <c r="B154" s="54"/>
      <c r="C154" s="55"/>
      <c r="D154" s="55"/>
      <c r="E154" s="55"/>
      <c r="F154" s="55"/>
      <c r="G154" s="55"/>
      <c r="H154" s="55"/>
      <c r="J154" s="54"/>
      <c r="K154" s="55"/>
      <c r="L154" s="55"/>
      <c r="M154" s="55"/>
      <c r="N154" s="55"/>
      <c r="O154" s="55"/>
      <c r="P154" s="55"/>
    </row>
    <row r="155" spans="1:23" s="52" customFormat="1">
      <c r="A155" s="53" t="s">
        <v>1255</v>
      </c>
      <c r="B155" s="54">
        <f>SUM(B153+B142+B136+B131+B126+B121+B116+B110+B105+B99+B93+B87+B80+B74+B69+B63+B56+B50+B44+B39+B32+B27+B22+B16+B11+B6)</f>
        <v>631659</v>
      </c>
      <c r="C155" s="54">
        <f t="shared" ref="C155:O155" si="52">SUM(C153+C142+C136+C131+C126+C121+C116+C110+C105+C99+C93+C87+C80+C74+C69+C63+C56+C50+C44+C39+C32+C27+C22+C16+C11+C6)</f>
        <v>175609</v>
      </c>
      <c r="D155" s="54">
        <f>SUM(D153+D142+D136+D131+D126+D121+D116+D110+D105+D99+D93+D87+D80+D74+D69+D63+D56+D50+D44+D39+D32+D27+D22+D16+D11+D6)</f>
        <v>100379</v>
      </c>
      <c r="E155" s="54">
        <f t="shared" si="52"/>
        <v>130908</v>
      </c>
      <c r="F155" s="54">
        <f t="shared" si="52"/>
        <v>106988</v>
      </c>
      <c r="G155" s="54">
        <f t="shared" si="52"/>
        <v>41224</v>
      </c>
      <c r="H155" s="54">
        <f>SUM(H153+H142+H136+H131+H126+H121+H116+H110+H105+H99+H93+H87+H80+H74+H69+H63+H56+H50+H44+H39+H32+H27+H22+H16+H11+H6)</f>
        <v>76551</v>
      </c>
      <c r="I155" s="54"/>
      <c r="J155" s="54">
        <f t="shared" si="52"/>
        <v>582</v>
      </c>
      <c r="K155" s="54">
        <f t="shared" si="52"/>
        <v>185</v>
      </c>
      <c r="L155" s="54">
        <f t="shared" si="52"/>
        <v>91</v>
      </c>
      <c r="M155" s="54">
        <f t="shared" si="52"/>
        <v>120</v>
      </c>
      <c r="N155" s="54">
        <f t="shared" si="52"/>
        <v>74</v>
      </c>
      <c r="O155" s="54">
        <f t="shared" si="52"/>
        <v>41</v>
      </c>
      <c r="P155" s="54">
        <f>SUM(P153+P142+P136+P131+P126+P121+P116+P110+P105+P99+P93+P87+P80+P74+P69+P63+P56+P50+P44+P39+P32+P27+P22+P16+P11+P6)</f>
        <v>71</v>
      </c>
      <c r="R155" s="60">
        <f>SUM(C155/B155)</f>
        <v>0.27801234526857055</v>
      </c>
      <c r="S155" s="60">
        <f>SUM(D155/B155)</f>
        <v>0.1589132744091353</v>
      </c>
      <c r="T155" s="60">
        <f>SUM(E155/B155)</f>
        <v>0.20724473173025318</v>
      </c>
      <c r="U155" s="60">
        <f>SUM(F155/B155)</f>
        <v>0.16937619823354055</v>
      </c>
      <c r="V155" s="60">
        <f>SUM(G155/B155)</f>
        <v>6.5263061240321121E-2</v>
      </c>
      <c r="W155" s="60">
        <f>SUM(H155/B155)</f>
        <v>0.12119038911817927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 codeName="Sheet6"/>
  <dimension ref="A1:W155"/>
  <sheetViews>
    <sheetView workbookViewId="0">
      <pane ySplit="1" topLeftCell="A130" activePane="bottomLeft" state="frozen"/>
      <selection pane="bottomLeft" activeCell="I154" sqref="I154"/>
    </sheetView>
  </sheetViews>
  <sheetFormatPr defaultRowHeight="15"/>
  <cols>
    <col min="1" max="1" width="23.85546875" style="47" customWidth="1"/>
    <col min="2" max="2" width="8.7109375" style="47" customWidth="1"/>
    <col min="3" max="6" width="8.7109375" customWidth="1"/>
    <col min="7" max="7" width="7.7109375" customWidth="1"/>
    <col min="8" max="8" width="7.85546875" customWidth="1"/>
    <col min="9" max="9" width="3.7109375" customWidth="1"/>
    <col min="10" max="10" width="6.7109375" style="47" customWidth="1"/>
    <col min="11" max="16" width="5.7109375" customWidth="1"/>
    <col min="17" max="17" width="3.7109375" customWidth="1"/>
    <col min="18" max="23" width="7.7109375" style="61" customWidth="1"/>
  </cols>
  <sheetData>
    <row r="1" spans="1:23">
      <c r="A1" s="47" t="s">
        <v>1528</v>
      </c>
      <c r="B1" s="47" t="s">
        <v>1248</v>
      </c>
      <c r="C1" s="49" t="s">
        <v>1257</v>
      </c>
      <c r="D1" s="50" t="s">
        <v>1258</v>
      </c>
      <c r="E1" s="48" t="s">
        <v>1261</v>
      </c>
      <c r="F1" s="65" t="s">
        <v>1247</v>
      </c>
      <c r="G1" s="66" t="s">
        <v>1529</v>
      </c>
      <c r="H1" s="52" t="s">
        <v>1254</v>
      </c>
      <c r="I1" s="47"/>
      <c r="J1" s="47" t="s">
        <v>1250</v>
      </c>
      <c r="K1" s="49" t="s">
        <v>1257</v>
      </c>
      <c r="L1" s="50" t="s">
        <v>1258</v>
      </c>
      <c r="M1" s="48" t="s">
        <v>1261</v>
      </c>
      <c r="N1" s="65" t="s">
        <v>1247</v>
      </c>
      <c r="O1" s="66" t="s">
        <v>1269</v>
      </c>
      <c r="P1" s="52" t="s">
        <v>1254</v>
      </c>
      <c r="R1" s="49" t="s">
        <v>1257</v>
      </c>
      <c r="S1" s="50" t="s">
        <v>1258</v>
      </c>
      <c r="T1" s="48" t="s">
        <v>1261</v>
      </c>
      <c r="U1" s="65" t="s">
        <v>1247</v>
      </c>
      <c r="V1" s="66" t="s">
        <v>1529</v>
      </c>
      <c r="W1" s="60" t="s">
        <v>1254</v>
      </c>
    </row>
    <row r="2" spans="1:23">
      <c r="A2" s="56" t="s">
        <v>1534</v>
      </c>
      <c r="B2" s="54">
        <f>SUM(C2:H2)</f>
        <v>8220</v>
      </c>
      <c r="C2" s="55">
        <v>3008</v>
      </c>
      <c r="D2" s="55">
        <v>431</v>
      </c>
      <c r="E2" s="55">
        <v>1398</v>
      </c>
      <c r="F2" s="55">
        <v>2098</v>
      </c>
      <c r="G2" s="55">
        <v>0</v>
      </c>
      <c r="H2" s="55">
        <v>1285</v>
      </c>
      <c r="J2" s="54">
        <f>SUM(K2:P2)</f>
        <v>6</v>
      </c>
      <c r="K2" s="55">
        <v>3</v>
      </c>
      <c r="L2" s="55">
        <v>0</v>
      </c>
      <c r="M2" s="55">
        <v>1</v>
      </c>
      <c r="N2" s="55">
        <v>1</v>
      </c>
      <c r="O2" s="55">
        <v>0</v>
      </c>
      <c r="P2" s="55">
        <v>1</v>
      </c>
      <c r="R2" s="61">
        <f>SUM(C2/B2)</f>
        <v>0.3659367396593674</v>
      </c>
      <c r="S2" s="61">
        <f>SUM(D2/B2)</f>
        <v>5.24330900243309E-2</v>
      </c>
      <c r="T2" s="61">
        <f>SUM(E2/B2)</f>
        <v>0.17007299270072992</v>
      </c>
      <c r="U2" s="61">
        <f>SUM(F2/B2)</f>
        <v>0.25523114355231141</v>
      </c>
      <c r="V2" s="61">
        <f>SUM(G2/B2)</f>
        <v>0</v>
      </c>
      <c r="W2" s="61">
        <f>SUM(H2/B2)</f>
        <v>0.15632603406326034</v>
      </c>
    </row>
    <row r="3" spans="1:23">
      <c r="A3" s="56" t="s">
        <v>1535</v>
      </c>
      <c r="B3" s="54">
        <f>SUM(C3:H3)</f>
        <v>6058</v>
      </c>
      <c r="C3" s="55">
        <v>2597</v>
      </c>
      <c r="D3" s="55">
        <v>1224</v>
      </c>
      <c r="E3" s="55">
        <v>1816</v>
      </c>
      <c r="F3" s="55">
        <v>421</v>
      </c>
      <c r="G3" s="55">
        <v>0</v>
      </c>
      <c r="H3" s="55">
        <v>0</v>
      </c>
      <c r="J3" s="54">
        <f>SUM(K3:P3)</f>
        <v>5</v>
      </c>
      <c r="K3" s="55">
        <v>2</v>
      </c>
      <c r="L3" s="55">
        <v>1</v>
      </c>
      <c r="M3" s="55">
        <v>2</v>
      </c>
      <c r="N3" s="55">
        <v>0</v>
      </c>
      <c r="O3" s="55">
        <v>0</v>
      </c>
      <c r="P3" s="55">
        <v>0</v>
      </c>
      <c r="R3" s="61">
        <f>SUM(C3/B3)</f>
        <v>0.42868933641465828</v>
      </c>
      <c r="S3" s="61">
        <f>SUM(D3/B3)</f>
        <v>0.20204688015846814</v>
      </c>
      <c r="T3" s="61">
        <f>SUM(E3/B3)</f>
        <v>0.29976890062726974</v>
      </c>
      <c r="U3" s="61">
        <f>SUM(F3/B3)</f>
        <v>6.9494882799603835E-2</v>
      </c>
      <c r="V3" s="61">
        <f>SUM(G3/B3)</f>
        <v>0</v>
      </c>
      <c r="W3" s="61">
        <f>SUM(H3/B3)</f>
        <v>0</v>
      </c>
    </row>
    <row r="4" spans="1:23">
      <c r="A4" s="56" t="s">
        <v>1536</v>
      </c>
      <c r="B4" s="54">
        <f>SUM(C4:H4)</f>
        <v>6885</v>
      </c>
      <c r="C4" s="55">
        <v>2108</v>
      </c>
      <c r="D4" s="55">
        <v>207</v>
      </c>
      <c r="E4" s="55">
        <v>1039</v>
      </c>
      <c r="F4" s="55">
        <v>1528</v>
      </c>
      <c r="G4" s="55">
        <v>0</v>
      </c>
      <c r="H4" s="55">
        <v>2003</v>
      </c>
      <c r="J4" s="54">
        <f>SUM(K4:P4)</f>
        <v>5</v>
      </c>
      <c r="K4" s="55">
        <v>2</v>
      </c>
      <c r="L4" s="55">
        <v>0</v>
      </c>
      <c r="M4" s="55">
        <v>1</v>
      </c>
      <c r="N4" s="55">
        <v>1</v>
      </c>
      <c r="O4" s="55">
        <v>0</v>
      </c>
      <c r="P4" s="55">
        <v>1</v>
      </c>
      <c r="R4" s="61">
        <f>SUM(C4/B4)</f>
        <v>0.30617283950617286</v>
      </c>
      <c r="S4" s="61">
        <f>SUM(D4/B4)</f>
        <v>3.0065359477124184E-2</v>
      </c>
      <c r="T4" s="61">
        <f>SUM(E4/B4)</f>
        <v>0.15090777051561366</v>
      </c>
      <c r="U4" s="61">
        <f>SUM(F4/B4)</f>
        <v>0.22193173565722585</v>
      </c>
      <c r="V4" s="61">
        <f>SUM(G4/B4)</f>
        <v>0</v>
      </c>
      <c r="W4" s="61">
        <f>SUM(H4/B4)</f>
        <v>0.29092229484386345</v>
      </c>
    </row>
    <row r="5" spans="1:23">
      <c r="A5" s="56" t="s">
        <v>1537</v>
      </c>
      <c r="B5" s="54">
        <f>SUM(C5:H5)</f>
        <v>7977</v>
      </c>
      <c r="C5" s="55">
        <v>3799</v>
      </c>
      <c r="D5" s="55">
        <v>871</v>
      </c>
      <c r="E5" s="55">
        <v>1376</v>
      </c>
      <c r="F5" s="55">
        <v>978</v>
      </c>
      <c r="G5" s="55">
        <v>0</v>
      </c>
      <c r="H5" s="55">
        <v>953</v>
      </c>
      <c r="I5" s="55"/>
      <c r="J5" s="54">
        <f>SUM(K5:P5)</f>
        <v>7</v>
      </c>
      <c r="K5" s="55">
        <v>3</v>
      </c>
      <c r="L5" s="55">
        <v>1</v>
      </c>
      <c r="M5" s="55">
        <v>1</v>
      </c>
      <c r="N5" s="55">
        <v>1</v>
      </c>
      <c r="O5" s="55">
        <v>0</v>
      </c>
      <c r="P5" s="55">
        <v>1</v>
      </c>
      <c r="R5" s="61">
        <f>SUM(C5/B5)</f>
        <v>0.47624420208098284</v>
      </c>
      <c r="S5" s="61">
        <f>SUM(D5/B5)</f>
        <v>0.10918891813965149</v>
      </c>
      <c r="T5" s="61">
        <f>SUM(E5/B5)</f>
        <v>0.17249592578663658</v>
      </c>
      <c r="U5" s="61">
        <f>SUM(F5/B5)</f>
        <v>0.1226024821361414</v>
      </c>
      <c r="V5" s="61">
        <f>SUM(G5/B5)</f>
        <v>0</v>
      </c>
      <c r="W5" s="61">
        <f>SUM(H5/B5)</f>
        <v>0.1194684718565877</v>
      </c>
    </row>
    <row r="6" spans="1:23" s="52" customFormat="1">
      <c r="A6" s="53" t="s">
        <v>1532</v>
      </c>
      <c r="B6" s="54">
        <f>SUM(B2:B5)</f>
        <v>29140</v>
      </c>
      <c r="C6" s="54">
        <f t="shared" ref="C6:O6" si="0">SUM(C2:C5)</f>
        <v>11512</v>
      </c>
      <c r="D6" s="54">
        <f>SUM(D2:D5)</f>
        <v>2733</v>
      </c>
      <c r="E6" s="54">
        <f t="shared" si="0"/>
        <v>5629</v>
      </c>
      <c r="F6" s="54">
        <f t="shared" si="0"/>
        <v>5025</v>
      </c>
      <c r="G6" s="54">
        <f t="shared" si="0"/>
        <v>0</v>
      </c>
      <c r="H6" s="54">
        <f>SUM(H2:H5)</f>
        <v>4241</v>
      </c>
      <c r="I6" s="54"/>
      <c r="J6" s="54">
        <f t="shared" si="0"/>
        <v>23</v>
      </c>
      <c r="K6" s="54">
        <f t="shared" si="0"/>
        <v>10</v>
      </c>
      <c r="L6" s="54">
        <f t="shared" si="0"/>
        <v>2</v>
      </c>
      <c r="M6" s="54">
        <f t="shared" si="0"/>
        <v>5</v>
      </c>
      <c r="N6" s="54">
        <f t="shared" si="0"/>
        <v>3</v>
      </c>
      <c r="O6" s="54">
        <f t="shared" si="0"/>
        <v>0</v>
      </c>
      <c r="P6" s="54">
        <f>SUM(P2:P5)</f>
        <v>3</v>
      </c>
      <c r="R6" s="60">
        <f>SUM(C6/B6)</f>
        <v>0.39505833905284832</v>
      </c>
      <c r="S6" s="60">
        <f>SUM(D6/B6)</f>
        <v>9.3788606726149623E-2</v>
      </c>
      <c r="T6" s="60">
        <f>SUM(E6/B6)</f>
        <v>0.19317089910775567</v>
      </c>
      <c r="U6" s="60">
        <f>SUM(F6/B6)</f>
        <v>0.17244337680164723</v>
      </c>
      <c r="V6" s="60">
        <f>SUM(G6/B6)</f>
        <v>0</v>
      </c>
      <c r="W6" s="60">
        <f>SUM(H6/B6)</f>
        <v>0.14553877831159917</v>
      </c>
    </row>
    <row r="7" spans="1:23">
      <c r="A7" s="53"/>
      <c r="B7" s="54"/>
      <c r="C7" s="55"/>
      <c r="D7" s="55"/>
      <c r="E7" s="55"/>
      <c r="F7" s="55"/>
      <c r="G7" s="55"/>
      <c r="H7" s="55"/>
      <c r="J7" s="54"/>
      <c r="K7" s="55"/>
      <c r="L7" s="55"/>
      <c r="M7" s="55"/>
      <c r="N7" s="55"/>
      <c r="O7" s="55"/>
      <c r="P7" s="55"/>
    </row>
    <row r="8" spans="1:23">
      <c r="A8" s="56" t="s">
        <v>1538</v>
      </c>
      <c r="B8" s="54">
        <f>SUM(C8:H8)</f>
        <v>7643</v>
      </c>
      <c r="C8" s="55">
        <v>2033</v>
      </c>
      <c r="D8" s="55">
        <v>1194</v>
      </c>
      <c r="E8" s="55">
        <v>2275</v>
      </c>
      <c r="F8" s="55">
        <v>1597</v>
      </c>
      <c r="G8" s="55">
        <v>176</v>
      </c>
      <c r="H8" s="55">
        <v>368</v>
      </c>
      <c r="J8" s="54">
        <f>SUM(K8:P8)</f>
        <v>7</v>
      </c>
      <c r="K8" s="55">
        <v>2</v>
      </c>
      <c r="L8" s="55">
        <v>1</v>
      </c>
      <c r="M8" s="55">
        <v>2</v>
      </c>
      <c r="N8" s="55">
        <v>2</v>
      </c>
      <c r="O8" s="55">
        <v>0</v>
      </c>
      <c r="P8" s="55">
        <v>0</v>
      </c>
      <c r="R8" s="61">
        <f>SUM(C8/B8)</f>
        <v>0.26599502813031534</v>
      </c>
      <c r="S8" s="61">
        <f>SUM(D8/B8)</f>
        <v>0.15622137903964411</v>
      </c>
      <c r="T8" s="61">
        <f>SUM(E8/B8)</f>
        <v>0.29765798770116447</v>
      </c>
      <c r="U8" s="61">
        <f>SUM(F8/B8)</f>
        <v>0.20894936543242182</v>
      </c>
      <c r="V8" s="61">
        <f>SUM(G8/B8)</f>
        <v>2.302760696061756E-2</v>
      </c>
      <c r="W8" s="61">
        <f>SUM(H8/B8)</f>
        <v>4.8148632735836715E-2</v>
      </c>
    </row>
    <row r="9" spans="1:23">
      <c r="A9" s="56" t="s">
        <v>1539</v>
      </c>
      <c r="B9" s="54">
        <f>SUM(C9:H9)</f>
        <v>7649</v>
      </c>
      <c r="C9" s="55">
        <v>1296</v>
      </c>
      <c r="D9" s="55">
        <v>814</v>
      </c>
      <c r="E9" s="55">
        <v>1427</v>
      </c>
      <c r="F9" s="55">
        <v>2934</v>
      </c>
      <c r="G9" s="55">
        <v>138</v>
      </c>
      <c r="H9" s="55">
        <v>1040</v>
      </c>
      <c r="J9" s="54">
        <f>SUM(K9:P9)</f>
        <v>7</v>
      </c>
      <c r="K9" s="55">
        <v>1</v>
      </c>
      <c r="L9" s="55">
        <v>1</v>
      </c>
      <c r="M9" s="55">
        <v>1</v>
      </c>
      <c r="N9" s="55">
        <v>3</v>
      </c>
      <c r="O9" s="55">
        <v>0</v>
      </c>
      <c r="P9" s="55">
        <v>1</v>
      </c>
      <c r="R9" s="61">
        <f>SUM(C9/B9)</f>
        <v>0.16943391292979473</v>
      </c>
      <c r="S9" s="61">
        <f>SUM(D9/B9)</f>
        <v>0.10641913975683095</v>
      </c>
      <c r="T9" s="61">
        <f>SUM(E9/B9)</f>
        <v>0.18656033468427247</v>
      </c>
      <c r="U9" s="61">
        <f>SUM(F9/B9)</f>
        <v>0.38357955288272977</v>
      </c>
      <c r="V9" s="61">
        <f>SUM(G9/B9)</f>
        <v>1.8041574061968886E-2</v>
      </c>
      <c r="W9" s="61">
        <f>SUM(H9/B9)</f>
        <v>0.1359654856844032</v>
      </c>
    </row>
    <row r="10" spans="1:23">
      <c r="A10" s="56" t="s">
        <v>1530</v>
      </c>
      <c r="B10" s="54">
        <f>SUM(C10:H10)</f>
        <v>6708</v>
      </c>
      <c r="C10" s="55">
        <v>1079</v>
      </c>
      <c r="D10" s="55">
        <v>1385</v>
      </c>
      <c r="E10" s="55">
        <v>1684</v>
      </c>
      <c r="F10" s="55">
        <v>807</v>
      </c>
      <c r="G10" s="55">
        <v>778</v>
      </c>
      <c r="H10" s="55">
        <v>975</v>
      </c>
      <c r="J10" s="54">
        <f>SUM(K10:P10)</f>
        <v>7</v>
      </c>
      <c r="K10" s="55">
        <v>1</v>
      </c>
      <c r="L10" s="55">
        <v>1</v>
      </c>
      <c r="M10" s="55">
        <v>2</v>
      </c>
      <c r="N10" s="55">
        <v>1</v>
      </c>
      <c r="O10" s="55">
        <v>1</v>
      </c>
      <c r="P10" s="55">
        <v>1</v>
      </c>
      <c r="R10" s="61">
        <f>SUM(C10/B10)</f>
        <v>0.16085271317829458</v>
      </c>
      <c r="S10" s="61">
        <f>SUM(D10/B10)</f>
        <v>0.20646988670244484</v>
      </c>
      <c r="T10" s="61">
        <f>SUM(E10/B10)</f>
        <v>0.25104353011329755</v>
      </c>
      <c r="U10" s="61">
        <f>SUM(F10/B10)</f>
        <v>0.120304114490161</v>
      </c>
      <c r="V10" s="61">
        <f>SUM(G10/B10)</f>
        <v>0.1159809183064997</v>
      </c>
      <c r="W10" s="61">
        <f>SUM(H10/B10)</f>
        <v>0.14534883720930233</v>
      </c>
    </row>
    <row r="11" spans="1:23" s="52" customFormat="1">
      <c r="A11" s="53" t="s">
        <v>1531</v>
      </c>
      <c r="B11" s="54">
        <f>SUM(B8:B10)</f>
        <v>22000</v>
      </c>
      <c r="C11" s="54">
        <f t="shared" ref="C11:O11" si="1">SUM(C8:C10)</f>
        <v>4408</v>
      </c>
      <c r="D11" s="54">
        <f>SUM(D8:D10)</f>
        <v>3393</v>
      </c>
      <c r="E11" s="54">
        <f t="shared" si="1"/>
        <v>5386</v>
      </c>
      <c r="F11" s="54">
        <f t="shared" si="1"/>
        <v>5338</v>
      </c>
      <c r="G11" s="54">
        <f t="shared" si="1"/>
        <v>1092</v>
      </c>
      <c r="H11" s="54">
        <f>SUM(H8:H10)</f>
        <v>2383</v>
      </c>
      <c r="I11" s="54"/>
      <c r="J11" s="54">
        <f t="shared" si="1"/>
        <v>21</v>
      </c>
      <c r="K11" s="54">
        <f t="shared" si="1"/>
        <v>4</v>
      </c>
      <c r="L11" s="54">
        <f t="shared" si="1"/>
        <v>3</v>
      </c>
      <c r="M11" s="54">
        <f t="shared" si="1"/>
        <v>5</v>
      </c>
      <c r="N11" s="54">
        <f t="shared" si="1"/>
        <v>6</v>
      </c>
      <c r="O11" s="54">
        <f t="shared" si="1"/>
        <v>1</v>
      </c>
      <c r="P11" s="54">
        <f>SUM(P8:P10)</f>
        <v>2</v>
      </c>
      <c r="R11" s="60">
        <f>SUM(C11/B11)</f>
        <v>0.20036363636363635</v>
      </c>
      <c r="S11" s="60">
        <f>SUM(D11/B11)</f>
        <v>0.15422727272727274</v>
      </c>
      <c r="T11" s="60">
        <f>SUM(E11/B11)</f>
        <v>0.24481818181818182</v>
      </c>
      <c r="U11" s="60">
        <f>SUM(F11/B11)</f>
        <v>0.24263636363636365</v>
      </c>
      <c r="V11" s="60">
        <f>SUM(G11/B11)</f>
        <v>4.9636363636363638E-2</v>
      </c>
      <c r="W11" s="60">
        <f>SUM(H11/B11)</f>
        <v>0.10831818181818181</v>
      </c>
    </row>
    <row r="12" spans="1:23">
      <c r="A12" s="53"/>
      <c r="B12" s="54"/>
      <c r="C12" s="55"/>
      <c r="D12" s="55"/>
      <c r="E12" s="55"/>
      <c r="F12" s="55"/>
      <c r="G12" s="55"/>
      <c r="H12" s="55"/>
      <c r="J12" s="54"/>
      <c r="K12" s="55"/>
      <c r="L12" s="55"/>
      <c r="M12" s="55"/>
      <c r="N12" s="55"/>
      <c r="O12" s="55"/>
      <c r="P12" s="55"/>
    </row>
    <row r="13" spans="1:23">
      <c r="A13" s="56" t="s">
        <v>1540</v>
      </c>
      <c r="B13" s="54">
        <f>SUM(C13:H13)</f>
        <v>5668</v>
      </c>
      <c r="C13" s="55">
        <v>1075</v>
      </c>
      <c r="D13" s="55">
        <v>1483</v>
      </c>
      <c r="E13" s="55">
        <v>1131</v>
      </c>
      <c r="F13" s="55">
        <v>1379</v>
      </c>
      <c r="G13" s="55">
        <v>0</v>
      </c>
      <c r="H13" s="55">
        <v>600</v>
      </c>
      <c r="J13" s="54">
        <f>SUM(K13:P13)</f>
        <v>5</v>
      </c>
      <c r="K13" s="55">
        <v>1</v>
      </c>
      <c r="L13" s="55">
        <v>1</v>
      </c>
      <c r="M13" s="55">
        <v>1</v>
      </c>
      <c r="N13" s="55">
        <v>1</v>
      </c>
      <c r="O13" s="55">
        <v>0</v>
      </c>
      <c r="P13" s="55">
        <v>1</v>
      </c>
      <c r="R13" s="61">
        <f>SUM(C13/B13)</f>
        <v>0.18966125617501764</v>
      </c>
      <c r="S13" s="61">
        <f>SUM(D13/B13)</f>
        <v>0.2616443189837685</v>
      </c>
      <c r="T13" s="61">
        <f>SUM(E13/B13)</f>
        <v>0.19954128440366972</v>
      </c>
      <c r="U13" s="61">
        <f>SUM(F13/B13)</f>
        <v>0.24329569513055752</v>
      </c>
      <c r="V13" s="61">
        <f>SUM(G13/B13)</f>
        <v>0</v>
      </c>
      <c r="W13" s="61">
        <f>SUM(H13/B13)</f>
        <v>0.1058574453069866</v>
      </c>
    </row>
    <row r="14" spans="1:23">
      <c r="A14" s="56" t="s">
        <v>1541</v>
      </c>
      <c r="B14" s="54">
        <f>SUM(C14:H14)</f>
        <v>5265</v>
      </c>
      <c r="C14" s="55">
        <v>1311</v>
      </c>
      <c r="D14" s="55">
        <v>1878</v>
      </c>
      <c r="E14" s="55">
        <v>1205</v>
      </c>
      <c r="F14" s="55">
        <v>465</v>
      </c>
      <c r="G14" s="55">
        <v>367</v>
      </c>
      <c r="H14" s="55">
        <v>39</v>
      </c>
      <c r="J14" s="54">
        <f>SUM(K14:P14)</f>
        <v>5</v>
      </c>
      <c r="K14" s="55">
        <v>2</v>
      </c>
      <c r="L14" s="55">
        <v>2</v>
      </c>
      <c r="M14" s="55">
        <v>1</v>
      </c>
      <c r="N14" s="55">
        <v>0</v>
      </c>
      <c r="O14" s="55">
        <v>0</v>
      </c>
      <c r="P14" s="55">
        <v>0</v>
      </c>
      <c r="R14" s="61">
        <f>SUM(C14/B14)</f>
        <v>0.249002849002849</v>
      </c>
      <c r="S14" s="61">
        <f>SUM(D14/B14)</f>
        <v>0.35669515669515667</v>
      </c>
      <c r="T14" s="61">
        <f>SUM(E14/B14)</f>
        <v>0.2288698955365622</v>
      </c>
      <c r="U14" s="61">
        <f>SUM(F14/B14)</f>
        <v>8.8319088319088315E-2</v>
      </c>
      <c r="V14" s="61">
        <f>SUM(G14/B14)</f>
        <v>6.9705603038936373E-2</v>
      </c>
      <c r="W14" s="61">
        <f>SUM(H14/B14)</f>
        <v>7.4074074074074077E-3</v>
      </c>
    </row>
    <row r="15" spans="1:23">
      <c r="A15" s="56" t="s">
        <v>1655</v>
      </c>
      <c r="B15" s="54">
        <f>SUM(C15:H15)</f>
        <v>5920</v>
      </c>
      <c r="C15" s="55">
        <v>963</v>
      </c>
      <c r="D15" s="55">
        <v>0</v>
      </c>
      <c r="E15" s="55">
        <v>2267</v>
      </c>
      <c r="F15" s="55">
        <v>1717</v>
      </c>
      <c r="G15" s="55">
        <v>0</v>
      </c>
      <c r="H15" s="55">
        <v>973</v>
      </c>
      <c r="J15" s="54">
        <f>SUM(K15:P15)</f>
        <v>6</v>
      </c>
      <c r="K15" s="55">
        <v>1</v>
      </c>
      <c r="L15" s="55">
        <v>0</v>
      </c>
      <c r="M15" s="55">
        <v>3</v>
      </c>
      <c r="N15" s="55">
        <v>1</v>
      </c>
      <c r="O15" s="55">
        <v>0</v>
      </c>
      <c r="P15" s="55">
        <v>1</v>
      </c>
      <c r="R15" s="61">
        <f>SUM(C15/B15)</f>
        <v>0.16266891891891891</v>
      </c>
      <c r="S15" s="61">
        <f>SUM(D15/B15)</f>
        <v>0</v>
      </c>
      <c r="T15" s="61">
        <f>SUM(E15/B15)</f>
        <v>0.38293918918918918</v>
      </c>
      <c r="U15" s="61">
        <f>SUM(F15/B15)</f>
        <v>0.29003378378378381</v>
      </c>
      <c r="V15" s="61">
        <f>SUM(G15/B15)</f>
        <v>0</v>
      </c>
      <c r="W15" s="61">
        <f>SUM(H15/B15)</f>
        <v>0.16435810810810811</v>
      </c>
    </row>
    <row r="16" spans="1:23" s="52" customFormat="1">
      <c r="A16" s="53" t="s">
        <v>1533</v>
      </c>
      <c r="B16" s="54">
        <f>SUM(B13:B15)</f>
        <v>16853</v>
      </c>
      <c r="C16" s="54">
        <f t="shared" ref="C16:O16" si="2">SUM(C13:C15)</f>
        <v>3349</v>
      </c>
      <c r="D16" s="54">
        <f>SUM(D13:D15)</f>
        <v>3361</v>
      </c>
      <c r="E16" s="54">
        <f t="shared" si="2"/>
        <v>4603</v>
      </c>
      <c r="F16" s="54">
        <f t="shared" si="2"/>
        <v>3561</v>
      </c>
      <c r="G16" s="54">
        <f t="shared" si="2"/>
        <v>367</v>
      </c>
      <c r="H16" s="54">
        <f>SUM(H13:H15)</f>
        <v>1612</v>
      </c>
      <c r="I16" s="54"/>
      <c r="J16" s="54">
        <f t="shared" si="2"/>
        <v>16</v>
      </c>
      <c r="K16" s="54">
        <f t="shared" si="2"/>
        <v>4</v>
      </c>
      <c r="L16" s="54">
        <f t="shared" si="2"/>
        <v>3</v>
      </c>
      <c r="M16" s="54">
        <f t="shared" si="2"/>
        <v>5</v>
      </c>
      <c r="N16" s="54">
        <f t="shared" si="2"/>
        <v>2</v>
      </c>
      <c r="O16" s="54">
        <f t="shared" si="2"/>
        <v>0</v>
      </c>
      <c r="P16" s="54">
        <f>SUM(P13:P15)</f>
        <v>2</v>
      </c>
      <c r="R16" s="60">
        <f>SUM(C16/B16)</f>
        <v>0.19871832908087581</v>
      </c>
      <c r="S16" s="60">
        <f>SUM(D16/B16)</f>
        <v>0.19943036848038925</v>
      </c>
      <c r="T16" s="60">
        <f>SUM(E16/B16)</f>
        <v>0.27312644633003025</v>
      </c>
      <c r="U16" s="60">
        <f>SUM(F16/B16)</f>
        <v>0.21129769180561325</v>
      </c>
      <c r="V16" s="60">
        <f>SUM(G16/B16)</f>
        <v>2.1776538301786032E-2</v>
      </c>
      <c r="W16" s="60">
        <f>SUM(H16/B16)</f>
        <v>9.5650626001305403E-2</v>
      </c>
    </row>
    <row r="17" spans="1:23">
      <c r="A17" s="53"/>
      <c r="B17" s="54"/>
      <c r="C17" s="55"/>
      <c r="D17" s="55"/>
      <c r="E17" s="55"/>
      <c r="F17" s="55"/>
      <c r="G17" s="55"/>
      <c r="H17" s="55"/>
      <c r="J17" s="54"/>
      <c r="K17" s="55"/>
      <c r="L17" s="55"/>
      <c r="M17" s="55"/>
      <c r="N17" s="55"/>
      <c r="O17" s="55"/>
      <c r="P17" s="55"/>
    </row>
    <row r="18" spans="1:23">
      <c r="A18" s="56" t="s">
        <v>1542</v>
      </c>
      <c r="B18" s="54">
        <f>SUM(C18:H18)</f>
        <v>5865</v>
      </c>
      <c r="C18" s="55">
        <v>1968</v>
      </c>
      <c r="D18" s="55">
        <v>1060</v>
      </c>
      <c r="E18" s="55">
        <v>1696</v>
      </c>
      <c r="F18" s="55">
        <v>1141</v>
      </c>
      <c r="G18" s="55">
        <v>0</v>
      </c>
      <c r="H18" s="55">
        <v>0</v>
      </c>
      <c r="J18" s="54">
        <f>SUM(K18:P18)</f>
        <v>5</v>
      </c>
      <c r="K18" s="55">
        <v>2</v>
      </c>
      <c r="L18" s="55">
        <v>1</v>
      </c>
      <c r="M18" s="55">
        <v>1</v>
      </c>
      <c r="N18" s="55">
        <v>1</v>
      </c>
      <c r="O18" s="55">
        <v>0</v>
      </c>
      <c r="P18" s="55">
        <v>0</v>
      </c>
      <c r="R18" s="61">
        <f>SUM(C18/B18)</f>
        <v>0.33554987212276216</v>
      </c>
      <c r="S18" s="61">
        <f>SUM(D18/B18)</f>
        <v>0.18073316283034954</v>
      </c>
      <c r="T18" s="61">
        <f>SUM(E18/B18)</f>
        <v>0.28917306052855923</v>
      </c>
      <c r="U18" s="61">
        <f>SUM(F18/B18)</f>
        <v>0.19454390451832906</v>
      </c>
      <c r="V18" s="61">
        <f>SUM(G18/B18)</f>
        <v>0</v>
      </c>
      <c r="W18" s="61">
        <f>SUM(H18/B18)</f>
        <v>0</v>
      </c>
    </row>
    <row r="19" spans="1:23">
      <c r="A19" s="56" t="s">
        <v>1543</v>
      </c>
      <c r="B19" s="54">
        <f>SUM(C19:H19)</f>
        <v>5587</v>
      </c>
      <c r="C19" s="55">
        <v>2440</v>
      </c>
      <c r="D19" s="55">
        <v>1597</v>
      </c>
      <c r="E19" s="55">
        <v>1017</v>
      </c>
      <c r="F19" s="55">
        <v>533</v>
      </c>
      <c r="G19" s="55">
        <v>0</v>
      </c>
      <c r="H19" s="55">
        <v>0</v>
      </c>
      <c r="J19" s="54">
        <f>SUM(K19:P19)</f>
        <v>5</v>
      </c>
      <c r="K19" s="55">
        <v>3</v>
      </c>
      <c r="L19" s="55">
        <v>1</v>
      </c>
      <c r="M19" s="55">
        <v>1</v>
      </c>
      <c r="N19" s="55">
        <v>0</v>
      </c>
      <c r="O19" s="55">
        <v>0</v>
      </c>
      <c r="P19" s="55">
        <v>0</v>
      </c>
      <c r="R19" s="61">
        <f>SUM(C19/B19)</f>
        <v>0.43672811884732415</v>
      </c>
      <c r="S19" s="61">
        <f>SUM(D19/B19)</f>
        <v>0.28584213352425275</v>
      </c>
      <c r="T19" s="61">
        <f>SUM(E19/B19)</f>
        <v>0.18202971183103633</v>
      </c>
      <c r="U19" s="61">
        <f>SUM(F19/B19)</f>
        <v>9.540003579738679E-2</v>
      </c>
      <c r="V19" s="61">
        <f>SUM(G19/B19)</f>
        <v>0</v>
      </c>
      <c r="W19" s="61">
        <f>SUM(H19/B19)</f>
        <v>0</v>
      </c>
    </row>
    <row r="20" spans="1:23">
      <c r="A20" s="56" t="s">
        <v>1544</v>
      </c>
      <c r="B20" s="54">
        <f>SUM(C20:H20)</f>
        <v>5798</v>
      </c>
      <c r="C20" s="55">
        <v>1952</v>
      </c>
      <c r="D20" s="55">
        <v>905</v>
      </c>
      <c r="E20" s="55">
        <v>714</v>
      </c>
      <c r="F20" s="55">
        <v>1180</v>
      </c>
      <c r="G20" s="55">
        <v>0</v>
      </c>
      <c r="H20" s="55">
        <v>1047</v>
      </c>
      <c r="J20" s="54">
        <f>SUM(K20:P20)</f>
        <v>6</v>
      </c>
      <c r="K20" s="55">
        <v>2</v>
      </c>
      <c r="L20" s="55">
        <v>1</v>
      </c>
      <c r="M20" s="55">
        <v>1</v>
      </c>
      <c r="N20" s="55">
        <v>1</v>
      </c>
      <c r="O20" s="55">
        <v>0</v>
      </c>
      <c r="P20" s="55">
        <v>1</v>
      </c>
      <c r="R20" s="61">
        <f>SUM(C20/B20)</f>
        <v>0.33666781648844429</v>
      </c>
      <c r="S20" s="61">
        <f>SUM(D20/B20)</f>
        <v>0.15608830631252155</v>
      </c>
      <c r="T20" s="61">
        <f>SUM(E20/B20)</f>
        <v>0.12314591238358054</v>
      </c>
      <c r="U20" s="61">
        <f>SUM(F20/B20)</f>
        <v>0.20351845463953086</v>
      </c>
      <c r="V20" s="61">
        <f>SUM(G20/B20)</f>
        <v>0</v>
      </c>
      <c r="W20" s="61">
        <f>SUM(H20/B20)</f>
        <v>0.18057951017592272</v>
      </c>
    </row>
    <row r="21" spans="1:23">
      <c r="A21" s="56" t="s">
        <v>1545</v>
      </c>
      <c r="B21" s="54">
        <f>SUM(C21:H21)</f>
        <v>6886</v>
      </c>
      <c r="C21" s="55">
        <v>1320</v>
      </c>
      <c r="D21" s="55">
        <v>0</v>
      </c>
      <c r="E21" s="55">
        <v>1507</v>
      </c>
      <c r="F21" s="55">
        <v>2964</v>
      </c>
      <c r="G21" s="55">
        <v>0</v>
      </c>
      <c r="H21" s="55">
        <v>1095</v>
      </c>
      <c r="J21" s="54">
        <f>SUM(K21:P21)</f>
        <v>6</v>
      </c>
      <c r="K21" s="55">
        <v>1</v>
      </c>
      <c r="L21" s="55">
        <v>0</v>
      </c>
      <c r="M21" s="55">
        <v>1</v>
      </c>
      <c r="N21" s="55">
        <v>3</v>
      </c>
      <c r="O21" s="55">
        <v>0</v>
      </c>
      <c r="P21" s="55">
        <v>1</v>
      </c>
      <c r="R21" s="61">
        <f>SUM(C21/B21)</f>
        <v>0.19169329073482427</v>
      </c>
      <c r="S21" s="61">
        <f>SUM(D21/B21)</f>
        <v>0</v>
      </c>
      <c r="T21" s="61">
        <f>SUM(E21/B21)</f>
        <v>0.21884984025559107</v>
      </c>
      <c r="U21" s="61">
        <f>SUM(F21/B21)</f>
        <v>0.43043857101365091</v>
      </c>
      <c r="V21" s="61">
        <f>SUM(G21/B21)</f>
        <v>0</v>
      </c>
      <c r="W21" s="61">
        <f>SUM(H21/B21)</f>
        <v>0.15901829799593378</v>
      </c>
    </row>
    <row r="22" spans="1:23" s="52" customFormat="1">
      <c r="A22" s="53" t="s">
        <v>1546</v>
      </c>
      <c r="B22" s="54">
        <f>SUM(B18:B21)</f>
        <v>24136</v>
      </c>
      <c r="C22" s="54">
        <f t="shared" ref="C22:O22" si="3">SUM(C18:C21)</f>
        <v>7680</v>
      </c>
      <c r="D22" s="54">
        <f>SUM(D18:D21)</f>
        <v>3562</v>
      </c>
      <c r="E22" s="54">
        <f t="shared" si="3"/>
        <v>4934</v>
      </c>
      <c r="F22" s="54">
        <f t="shared" si="3"/>
        <v>5818</v>
      </c>
      <c r="G22" s="54">
        <f t="shared" si="3"/>
        <v>0</v>
      </c>
      <c r="H22" s="54">
        <f>SUM(H18:H21)</f>
        <v>2142</v>
      </c>
      <c r="I22" s="54"/>
      <c r="J22" s="54">
        <f t="shared" si="3"/>
        <v>22</v>
      </c>
      <c r="K22" s="54">
        <f t="shared" si="3"/>
        <v>8</v>
      </c>
      <c r="L22" s="54">
        <f t="shared" si="3"/>
        <v>3</v>
      </c>
      <c r="M22" s="54">
        <f t="shared" si="3"/>
        <v>4</v>
      </c>
      <c r="N22" s="54">
        <f t="shared" si="3"/>
        <v>5</v>
      </c>
      <c r="O22" s="54">
        <f t="shared" si="3"/>
        <v>0</v>
      </c>
      <c r="P22" s="54">
        <f>SUM(P18:P21)</f>
        <v>2</v>
      </c>
      <c r="R22" s="60">
        <f>SUM(C22/B22)</f>
        <v>0.31819688432217436</v>
      </c>
      <c r="S22" s="60">
        <f>SUM(D22/B22)</f>
        <v>0.14758037785880013</v>
      </c>
      <c r="T22" s="60">
        <f>SUM(E22/B22)</f>
        <v>0.20442492542260524</v>
      </c>
      <c r="U22" s="60">
        <f>SUM(F22/B22)</f>
        <v>0.24105071262843886</v>
      </c>
      <c r="V22" s="60">
        <f>SUM(G22/B22)</f>
        <v>0</v>
      </c>
      <c r="W22" s="60">
        <f>SUM(H22/B22)</f>
        <v>8.8747099767981438E-2</v>
      </c>
    </row>
    <row r="23" spans="1:23">
      <c r="A23" s="53"/>
      <c r="B23" s="54"/>
      <c r="C23" s="55"/>
      <c r="D23" s="55"/>
      <c r="E23" s="55"/>
      <c r="F23" s="55"/>
      <c r="G23" s="55"/>
      <c r="H23" s="55"/>
      <c r="J23" s="54"/>
      <c r="K23" s="55"/>
      <c r="L23" s="55"/>
      <c r="M23" s="55"/>
      <c r="N23" s="55"/>
      <c r="O23" s="55"/>
      <c r="P23" s="55"/>
    </row>
    <row r="24" spans="1:23">
      <c r="A24" s="56" t="s">
        <v>1547</v>
      </c>
      <c r="B24" s="54">
        <f>SUM(C24:H24)</f>
        <v>6554</v>
      </c>
      <c r="C24" s="55">
        <v>1375</v>
      </c>
      <c r="D24" s="55">
        <v>1483</v>
      </c>
      <c r="E24" s="55">
        <v>2162</v>
      </c>
      <c r="F24" s="55">
        <v>1534</v>
      </c>
      <c r="G24" s="55">
        <v>0</v>
      </c>
      <c r="H24" s="55">
        <v>0</v>
      </c>
      <c r="J24" s="54">
        <f>SUM(K24:P24)</f>
        <v>6</v>
      </c>
      <c r="K24" s="55">
        <v>2</v>
      </c>
      <c r="L24" s="55">
        <v>1</v>
      </c>
      <c r="M24" s="55">
        <v>2</v>
      </c>
      <c r="N24" s="55">
        <v>1</v>
      </c>
      <c r="O24" s="55">
        <v>0</v>
      </c>
      <c r="P24" s="55">
        <v>0</v>
      </c>
      <c r="R24" s="61">
        <f>SUM(C24/B24)</f>
        <v>0.20979554470552333</v>
      </c>
      <c r="S24" s="61">
        <f>SUM(D24/B24)</f>
        <v>0.2262740311260299</v>
      </c>
      <c r="T24" s="61">
        <f>SUM(E24/B24)</f>
        <v>0.32987488556606653</v>
      </c>
      <c r="U24" s="61">
        <f>SUM(F24/B24)</f>
        <v>0.23405553860238024</v>
      </c>
      <c r="V24" s="61">
        <f>SUM(G24/B24)</f>
        <v>0</v>
      </c>
      <c r="W24" s="61">
        <f>SUM(H24/B24)</f>
        <v>0</v>
      </c>
    </row>
    <row r="25" spans="1:23">
      <c r="A25" s="56" t="s">
        <v>1548</v>
      </c>
      <c r="B25" s="54">
        <f>SUM(C25:H25)</f>
        <v>5272</v>
      </c>
      <c r="C25" s="55">
        <v>1183</v>
      </c>
      <c r="D25" s="55">
        <v>665</v>
      </c>
      <c r="E25" s="55">
        <v>1348</v>
      </c>
      <c r="F25" s="55">
        <v>1258</v>
      </c>
      <c r="G25" s="55">
        <v>0</v>
      </c>
      <c r="H25" s="55">
        <v>818</v>
      </c>
      <c r="J25" s="54">
        <f>SUM(K25:P25)</f>
        <v>5</v>
      </c>
      <c r="K25" s="55">
        <v>1</v>
      </c>
      <c r="L25" s="55">
        <v>1</v>
      </c>
      <c r="M25" s="55">
        <v>1</v>
      </c>
      <c r="N25" s="55">
        <v>1</v>
      </c>
      <c r="O25" s="55">
        <v>0</v>
      </c>
      <c r="P25" s="55">
        <v>1</v>
      </c>
      <c r="R25" s="61">
        <f>SUM(C25/B25)</f>
        <v>0.22439301972685888</v>
      </c>
      <c r="S25" s="61">
        <f>SUM(D25/B25)</f>
        <v>0.1261380880121396</v>
      </c>
      <c r="T25" s="61">
        <f>SUM(E25/B25)</f>
        <v>0.25569044006069802</v>
      </c>
      <c r="U25" s="61">
        <f>SUM(F25/B25)</f>
        <v>0.23861911987860396</v>
      </c>
      <c r="V25" s="61">
        <f>SUM(G25/B25)</f>
        <v>0</v>
      </c>
      <c r="W25" s="61">
        <f>SUM(H25/B25)</f>
        <v>0.15515933232169954</v>
      </c>
    </row>
    <row r="26" spans="1:23">
      <c r="A26" s="56" t="s">
        <v>1549</v>
      </c>
      <c r="B26" s="54">
        <f>SUM(C26:H26)</f>
        <v>5098</v>
      </c>
      <c r="C26" s="55">
        <v>1919</v>
      </c>
      <c r="D26" s="55">
        <v>806</v>
      </c>
      <c r="E26" s="55">
        <v>1574</v>
      </c>
      <c r="F26" s="55">
        <v>704</v>
      </c>
      <c r="G26" s="55">
        <v>0</v>
      </c>
      <c r="H26" s="55">
        <v>95</v>
      </c>
      <c r="J26" s="54">
        <f>SUM(K26:P26)</f>
        <v>5</v>
      </c>
      <c r="K26" s="55">
        <v>2</v>
      </c>
      <c r="L26" s="55">
        <v>1</v>
      </c>
      <c r="M26" s="55">
        <v>2</v>
      </c>
      <c r="N26" s="55">
        <v>0</v>
      </c>
      <c r="O26" s="55">
        <v>0</v>
      </c>
      <c r="P26" s="55">
        <v>0</v>
      </c>
      <c r="R26" s="61">
        <f>SUM(C26/B26)</f>
        <v>0.37642212632404864</v>
      </c>
      <c r="S26" s="61">
        <f>SUM(D26/B26)</f>
        <v>0.15810121616320125</v>
      </c>
      <c r="T26" s="61">
        <f>SUM(E26/B26)</f>
        <v>0.30874852883483717</v>
      </c>
      <c r="U26" s="61">
        <f>SUM(F26/B26)</f>
        <v>0.13809336994899959</v>
      </c>
      <c r="V26" s="61">
        <f>SUM(G26/B26)</f>
        <v>0</v>
      </c>
      <c r="W26" s="61">
        <f>SUM(H26/B26)</f>
        <v>1.8634758728913299E-2</v>
      </c>
    </row>
    <row r="27" spans="1:23" s="52" customFormat="1">
      <c r="A27" s="53" t="s">
        <v>1550</v>
      </c>
      <c r="B27" s="54">
        <f>SUM(B24:B26)</f>
        <v>16924</v>
      </c>
      <c r="C27" s="54">
        <f t="shared" ref="C27:O27" si="4">SUM(C24:C26)</f>
        <v>4477</v>
      </c>
      <c r="D27" s="54">
        <f>SUM(D24:D26)</f>
        <v>2954</v>
      </c>
      <c r="E27" s="54">
        <f t="shared" si="4"/>
        <v>5084</v>
      </c>
      <c r="F27" s="54">
        <f t="shared" si="4"/>
        <v>3496</v>
      </c>
      <c r="G27" s="54">
        <f t="shared" si="4"/>
        <v>0</v>
      </c>
      <c r="H27" s="54">
        <f>SUM(H24:H26)</f>
        <v>913</v>
      </c>
      <c r="I27" s="54"/>
      <c r="J27" s="54">
        <f t="shared" si="4"/>
        <v>16</v>
      </c>
      <c r="K27" s="54">
        <f t="shared" si="4"/>
        <v>5</v>
      </c>
      <c r="L27" s="54">
        <f t="shared" si="4"/>
        <v>3</v>
      </c>
      <c r="M27" s="54">
        <f t="shared" si="4"/>
        <v>5</v>
      </c>
      <c r="N27" s="54">
        <f t="shared" si="4"/>
        <v>2</v>
      </c>
      <c r="O27" s="54">
        <f t="shared" si="4"/>
        <v>0</v>
      </c>
      <c r="P27" s="54">
        <f>SUM(P24:P26)</f>
        <v>1</v>
      </c>
      <c r="R27" s="60">
        <f>SUM(C27/B27)</f>
        <v>0.26453557078704798</v>
      </c>
      <c r="S27" s="60">
        <f>SUM(D27/B27)</f>
        <v>0.17454502481682818</v>
      </c>
      <c r="T27" s="60">
        <f>SUM(E27/B27)</f>
        <v>0.30040179626565822</v>
      </c>
      <c r="U27" s="60">
        <f>SUM(F27/B27)</f>
        <v>0.20657055069723471</v>
      </c>
      <c r="V27" s="60">
        <f>SUM(G27/B27)</f>
        <v>0</v>
      </c>
      <c r="W27" s="60">
        <f>SUM(H27/B27)</f>
        <v>5.3947057433230916E-2</v>
      </c>
    </row>
    <row r="28" spans="1:23">
      <c r="A28" s="53"/>
      <c r="B28" s="54"/>
      <c r="C28" s="55"/>
      <c r="D28" s="55"/>
      <c r="E28" s="55"/>
      <c r="F28" s="55"/>
      <c r="G28" s="55"/>
      <c r="H28" s="55"/>
      <c r="J28" s="54"/>
      <c r="K28" s="55"/>
      <c r="L28" s="55"/>
      <c r="M28" s="55"/>
      <c r="N28" s="55"/>
      <c r="O28" s="55"/>
      <c r="P28" s="55"/>
    </row>
    <row r="29" spans="1:23">
      <c r="A29" s="56" t="s">
        <v>1551</v>
      </c>
      <c r="B29" s="54">
        <f>SUM(C29:H29)</f>
        <v>6751</v>
      </c>
      <c r="C29" s="55">
        <v>1231</v>
      </c>
      <c r="D29" s="55">
        <v>2262</v>
      </c>
      <c r="E29" s="55">
        <v>2144</v>
      </c>
      <c r="F29" s="55">
        <v>1114</v>
      </c>
      <c r="G29" s="55">
        <v>0</v>
      </c>
      <c r="H29" s="55">
        <v>0</v>
      </c>
      <c r="J29" s="54">
        <f>SUM(K29:P29)</f>
        <v>6</v>
      </c>
      <c r="K29" s="55">
        <v>1</v>
      </c>
      <c r="L29" s="55">
        <v>2</v>
      </c>
      <c r="M29" s="55">
        <v>2</v>
      </c>
      <c r="N29" s="55">
        <v>1</v>
      </c>
      <c r="O29" s="55">
        <v>0</v>
      </c>
      <c r="P29" s="55">
        <v>0</v>
      </c>
      <c r="R29" s="61">
        <f>SUM(C29/B29)</f>
        <v>0.18234335653977188</v>
      </c>
      <c r="S29" s="61">
        <f>SUM(D29/B29)</f>
        <v>0.33506147237446304</v>
      </c>
      <c r="T29" s="61">
        <f>SUM(E29/B29)</f>
        <v>0.31758258035846543</v>
      </c>
      <c r="U29" s="61">
        <f>SUM(F29/B29)</f>
        <v>0.16501259072729965</v>
      </c>
      <c r="V29" s="61">
        <f>SUM(G29/B29)</f>
        <v>0</v>
      </c>
      <c r="W29" s="61">
        <f>SUM(H29/B29)</f>
        <v>0</v>
      </c>
    </row>
    <row r="30" spans="1:23">
      <c r="A30" s="56" t="s">
        <v>1552</v>
      </c>
      <c r="B30" s="54">
        <f>SUM(C30:H30)</f>
        <v>5745</v>
      </c>
      <c r="C30" s="55">
        <v>1486</v>
      </c>
      <c r="D30" s="55">
        <v>1343</v>
      </c>
      <c r="E30" s="55">
        <v>1538</v>
      </c>
      <c r="F30" s="55">
        <v>1236</v>
      </c>
      <c r="G30" s="55">
        <v>0</v>
      </c>
      <c r="H30" s="55">
        <v>142</v>
      </c>
      <c r="J30" s="54">
        <f>SUM(K30:P30)</f>
        <v>5</v>
      </c>
      <c r="K30" s="55">
        <v>1</v>
      </c>
      <c r="L30" s="55">
        <v>2</v>
      </c>
      <c r="M30" s="55">
        <v>1</v>
      </c>
      <c r="N30" s="55">
        <v>1</v>
      </c>
      <c r="O30" s="55">
        <v>0</v>
      </c>
      <c r="P30" s="55">
        <v>0</v>
      </c>
      <c r="R30" s="61">
        <f>SUM(C30/B30)</f>
        <v>0.25865970409051348</v>
      </c>
      <c r="S30" s="61">
        <f>SUM(D30/B30)</f>
        <v>0.23376849434290686</v>
      </c>
      <c r="T30" s="61">
        <f>SUM(E30/B30)</f>
        <v>0.26771105308964316</v>
      </c>
      <c r="U30" s="61">
        <f>SUM(F30/B30)</f>
        <v>0.21514360313315928</v>
      </c>
      <c r="V30" s="61">
        <f>SUM(G30/B30)</f>
        <v>0</v>
      </c>
      <c r="W30" s="61">
        <f>SUM(H30/B30)</f>
        <v>2.4717145343777197E-2</v>
      </c>
    </row>
    <row r="31" spans="1:23">
      <c r="A31" s="56" t="s">
        <v>1553</v>
      </c>
      <c r="B31" s="54">
        <f>SUM(C31:H31)</f>
        <v>6148</v>
      </c>
      <c r="C31" s="55">
        <v>1064</v>
      </c>
      <c r="D31" s="55">
        <v>384</v>
      </c>
      <c r="E31" s="55">
        <v>2455</v>
      </c>
      <c r="F31" s="55">
        <v>2024</v>
      </c>
      <c r="G31" s="55">
        <v>0</v>
      </c>
      <c r="H31" s="55">
        <v>221</v>
      </c>
      <c r="J31" s="54">
        <f>SUM(K31:P31)</f>
        <v>5</v>
      </c>
      <c r="K31" s="55">
        <v>1</v>
      </c>
      <c r="L31" s="55">
        <v>0</v>
      </c>
      <c r="M31" s="55">
        <v>2</v>
      </c>
      <c r="N31" s="55">
        <v>2</v>
      </c>
      <c r="O31" s="55">
        <v>0</v>
      </c>
      <c r="P31" s="55">
        <v>0</v>
      </c>
      <c r="R31" s="61">
        <f>SUM(C31/B31)</f>
        <v>0.1730644111906311</v>
      </c>
      <c r="S31" s="61">
        <f>SUM(D31/B31)</f>
        <v>6.2459336369551074E-2</v>
      </c>
      <c r="T31" s="61">
        <f>SUM(E31/B31)</f>
        <v>0.39931685100845804</v>
      </c>
      <c r="U31" s="61">
        <f>SUM(F31/B31)</f>
        <v>0.32921275211450879</v>
      </c>
      <c r="V31" s="61">
        <f>SUM(G31/B31)</f>
        <v>0</v>
      </c>
      <c r="W31" s="61">
        <f>SUM(H31/B31)</f>
        <v>3.5946649316851008E-2</v>
      </c>
    </row>
    <row r="32" spans="1:23" s="52" customFormat="1">
      <c r="A32" s="53" t="s">
        <v>1554</v>
      </c>
      <c r="B32" s="54">
        <f>SUM(B29:B31)</f>
        <v>18644</v>
      </c>
      <c r="C32" s="54">
        <f t="shared" ref="C32:O32" si="5">SUM(C29:C31)</f>
        <v>3781</v>
      </c>
      <c r="D32" s="54">
        <f>SUM(D29:D31)</f>
        <v>3989</v>
      </c>
      <c r="E32" s="54">
        <f t="shared" si="5"/>
        <v>6137</v>
      </c>
      <c r="F32" s="54">
        <f t="shared" si="5"/>
        <v>4374</v>
      </c>
      <c r="G32" s="54">
        <f t="shared" si="5"/>
        <v>0</v>
      </c>
      <c r="H32" s="54">
        <f>SUM(H29:H31)</f>
        <v>363</v>
      </c>
      <c r="I32" s="54"/>
      <c r="J32" s="54">
        <f t="shared" si="5"/>
        <v>16</v>
      </c>
      <c r="K32" s="54">
        <f t="shared" si="5"/>
        <v>3</v>
      </c>
      <c r="L32" s="54">
        <f t="shared" si="5"/>
        <v>4</v>
      </c>
      <c r="M32" s="54">
        <f t="shared" si="5"/>
        <v>5</v>
      </c>
      <c r="N32" s="54">
        <f t="shared" si="5"/>
        <v>4</v>
      </c>
      <c r="O32" s="54">
        <f t="shared" si="5"/>
        <v>0</v>
      </c>
      <c r="P32" s="54">
        <f>SUM(P29:P31)</f>
        <v>0</v>
      </c>
      <c r="R32" s="60">
        <f>SUM(C32/B32)</f>
        <v>0.20279982836301222</v>
      </c>
      <c r="S32" s="60">
        <f>SUM(D32/B32)</f>
        <v>0.21395623256811844</v>
      </c>
      <c r="T32" s="60">
        <f>SUM(E32/B32)</f>
        <v>0.32916756060931129</v>
      </c>
      <c r="U32" s="60">
        <f>SUM(F32/B32)</f>
        <v>0.23460630765930057</v>
      </c>
      <c r="V32" s="60">
        <f>SUM(G32/B32)</f>
        <v>0</v>
      </c>
      <c r="W32" s="60">
        <f>SUM(H32/B32)</f>
        <v>1.9470070800257457E-2</v>
      </c>
    </row>
    <row r="33" spans="1:23">
      <c r="A33" s="53"/>
      <c r="B33" s="54"/>
      <c r="C33" s="55"/>
      <c r="D33" s="55"/>
      <c r="E33" s="55"/>
      <c r="F33" s="55"/>
      <c r="G33" s="55"/>
      <c r="H33" s="55"/>
      <c r="J33" s="54"/>
      <c r="K33" s="55"/>
      <c r="L33" s="55"/>
      <c r="M33" s="55"/>
      <c r="N33" s="55"/>
      <c r="O33" s="55"/>
      <c r="P33" s="55"/>
    </row>
    <row r="34" spans="1:23">
      <c r="A34" s="56" t="s">
        <v>1555</v>
      </c>
      <c r="B34" s="54">
        <f>SUM(C34:H34)</f>
        <v>7525</v>
      </c>
      <c r="C34" s="55">
        <v>1681</v>
      </c>
      <c r="D34" s="55">
        <v>1577</v>
      </c>
      <c r="E34" s="55">
        <v>3817</v>
      </c>
      <c r="F34" s="55">
        <v>450</v>
      </c>
      <c r="G34" s="55">
        <v>0</v>
      </c>
      <c r="H34" s="55">
        <v>0</v>
      </c>
      <c r="J34" s="54">
        <f>SUM(K34:P34)</f>
        <v>6</v>
      </c>
      <c r="K34" s="55">
        <v>1</v>
      </c>
      <c r="L34" s="55">
        <v>2</v>
      </c>
      <c r="M34" s="55">
        <v>3</v>
      </c>
      <c r="N34" s="55">
        <v>0</v>
      </c>
      <c r="O34" s="55">
        <v>0</v>
      </c>
      <c r="P34" s="55">
        <v>0</v>
      </c>
      <c r="R34" s="61">
        <f t="shared" ref="R34:R39" si="6">SUM(C34/B34)</f>
        <v>0.22338870431893687</v>
      </c>
      <c r="S34" s="61">
        <f t="shared" ref="S34:S39" si="7">SUM(D34/B34)</f>
        <v>0.20956810631229236</v>
      </c>
      <c r="T34" s="61">
        <f t="shared" ref="T34:T39" si="8">SUM(E34/B34)</f>
        <v>0.50724252491694355</v>
      </c>
      <c r="U34" s="61">
        <f t="shared" ref="U34:U39" si="9">SUM(F34/B34)</f>
        <v>5.9800664451827246E-2</v>
      </c>
      <c r="V34" s="61">
        <f t="shared" ref="V34:V39" si="10">SUM(G34/B34)</f>
        <v>0</v>
      </c>
      <c r="W34" s="61">
        <f t="shared" ref="W34:W39" si="11">SUM(H34/B34)</f>
        <v>0</v>
      </c>
    </row>
    <row r="35" spans="1:23">
      <c r="A35" s="56" t="s">
        <v>1556</v>
      </c>
      <c r="B35" s="54">
        <f>SUM(C35:H35)</f>
        <v>9112</v>
      </c>
      <c r="C35" s="55">
        <v>1632</v>
      </c>
      <c r="D35" s="55">
        <v>3369</v>
      </c>
      <c r="E35" s="55">
        <v>1712</v>
      </c>
      <c r="F35" s="55">
        <v>780</v>
      </c>
      <c r="G35" s="55">
        <v>253</v>
      </c>
      <c r="H35" s="55">
        <v>1366</v>
      </c>
      <c r="J35" s="54">
        <f>SUM(K35:P35)</f>
        <v>7</v>
      </c>
      <c r="K35" s="55">
        <v>1</v>
      </c>
      <c r="L35" s="55">
        <v>3</v>
      </c>
      <c r="M35" s="55">
        <v>2</v>
      </c>
      <c r="N35" s="55">
        <v>0</v>
      </c>
      <c r="O35" s="55">
        <v>0</v>
      </c>
      <c r="P35" s="55">
        <v>1</v>
      </c>
      <c r="R35" s="61">
        <f t="shared" si="6"/>
        <v>0.17910447761194029</v>
      </c>
      <c r="S35" s="61">
        <f t="shared" si="7"/>
        <v>0.36973222124670763</v>
      </c>
      <c r="T35" s="61">
        <f t="shared" si="8"/>
        <v>0.18788410886742757</v>
      </c>
      <c r="U35" s="61">
        <f t="shared" si="9"/>
        <v>8.5601404741000878E-2</v>
      </c>
      <c r="V35" s="61">
        <f t="shared" si="10"/>
        <v>2.7765583845478489E-2</v>
      </c>
      <c r="W35" s="61">
        <f t="shared" si="11"/>
        <v>0.14991220368744512</v>
      </c>
    </row>
    <row r="36" spans="1:23">
      <c r="A36" s="56" t="s">
        <v>1557</v>
      </c>
      <c r="B36" s="54">
        <f>SUM(C36:H36)</f>
        <v>9385</v>
      </c>
      <c r="C36" s="55">
        <v>231</v>
      </c>
      <c r="D36" s="55">
        <v>0</v>
      </c>
      <c r="E36" s="55">
        <v>5308</v>
      </c>
      <c r="F36" s="55">
        <v>2138</v>
      </c>
      <c r="G36" s="55">
        <v>116</v>
      </c>
      <c r="H36" s="55">
        <v>1592</v>
      </c>
      <c r="I36" s="55"/>
      <c r="J36" s="54">
        <f>SUM(K36:P36)</f>
        <v>7</v>
      </c>
      <c r="K36" s="55">
        <v>0</v>
      </c>
      <c r="L36" s="55">
        <v>0</v>
      </c>
      <c r="M36" s="55">
        <v>5</v>
      </c>
      <c r="N36" s="55">
        <v>2</v>
      </c>
      <c r="O36" s="55">
        <v>0</v>
      </c>
      <c r="P36" s="55">
        <v>0</v>
      </c>
      <c r="R36" s="61">
        <f t="shared" si="6"/>
        <v>2.4613745338305806E-2</v>
      </c>
      <c r="S36" s="61">
        <f t="shared" si="7"/>
        <v>0</v>
      </c>
      <c r="T36" s="61">
        <f t="shared" si="8"/>
        <v>0.56558337773042089</v>
      </c>
      <c r="U36" s="61">
        <f t="shared" si="9"/>
        <v>0.22781033564198189</v>
      </c>
      <c r="V36" s="61">
        <f t="shared" si="10"/>
        <v>1.2360149174214172E-2</v>
      </c>
      <c r="W36" s="61">
        <f t="shared" si="11"/>
        <v>0.16963239211507725</v>
      </c>
    </row>
    <row r="37" spans="1:23">
      <c r="A37" s="56" t="s">
        <v>1558</v>
      </c>
      <c r="B37" s="54">
        <f>SUM(C37:H37)</f>
        <v>6025</v>
      </c>
      <c r="C37" s="55">
        <v>0</v>
      </c>
      <c r="D37" s="55">
        <v>0</v>
      </c>
      <c r="E37" s="55">
        <v>3010</v>
      </c>
      <c r="F37" s="55">
        <v>2691</v>
      </c>
      <c r="G37" s="55">
        <v>0</v>
      </c>
      <c r="H37" s="55">
        <v>324</v>
      </c>
      <c r="J37" s="54">
        <f>SUM(K37:P37)</f>
        <v>5</v>
      </c>
      <c r="K37" s="55">
        <v>0</v>
      </c>
      <c r="L37" s="55">
        <v>0</v>
      </c>
      <c r="M37" s="55">
        <v>3</v>
      </c>
      <c r="N37" s="55">
        <v>2</v>
      </c>
      <c r="O37" s="55">
        <v>0</v>
      </c>
      <c r="P37" s="55">
        <v>0</v>
      </c>
      <c r="R37" s="61">
        <f t="shared" si="6"/>
        <v>0</v>
      </c>
      <c r="S37" s="61">
        <f t="shared" si="7"/>
        <v>0</v>
      </c>
      <c r="T37" s="61">
        <f t="shared" si="8"/>
        <v>0.4995850622406639</v>
      </c>
      <c r="U37" s="61">
        <f t="shared" si="9"/>
        <v>0.44663900414937757</v>
      </c>
      <c r="V37" s="61">
        <f t="shared" si="10"/>
        <v>0</v>
      </c>
      <c r="W37" s="61">
        <f t="shared" si="11"/>
        <v>5.3775933609958505E-2</v>
      </c>
    </row>
    <row r="38" spans="1:23">
      <c r="A38" s="56" t="s">
        <v>1559</v>
      </c>
      <c r="B38" s="54">
        <f>SUM(C38:H38)</f>
        <v>6470</v>
      </c>
      <c r="C38" s="55">
        <v>0</v>
      </c>
      <c r="D38" s="55">
        <v>196</v>
      </c>
      <c r="E38" s="55">
        <v>4206</v>
      </c>
      <c r="F38" s="55">
        <v>1719</v>
      </c>
      <c r="G38" s="55">
        <v>0</v>
      </c>
      <c r="H38" s="55">
        <v>349</v>
      </c>
      <c r="J38" s="54">
        <f>SUM(K38:P38)</f>
        <v>5</v>
      </c>
      <c r="K38" s="55">
        <v>0</v>
      </c>
      <c r="L38" s="55">
        <v>0</v>
      </c>
      <c r="M38" s="55">
        <v>4</v>
      </c>
      <c r="N38" s="55">
        <v>1</v>
      </c>
      <c r="O38" s="55">
        <v>0</v>
      </c>
      <c r="P38" s="55">
        <v>0</v>
      </c>
      <c r="R38" s="61">
        <f t="shared" si="6"/>
        <v>0</v>
      </c>
      <c r="S38" s="61">
        <f t="shared" si="7"/>
        <v>3.0293663060278208E-2</v>
      </c>
      <c r="T38" s="61">
        <f t="shared" si="8"/>
        <v>0.6500772797527048</v>
      </c>
      <c r="U38" s="61">
        <f t="shared" si="9"/>
        <v>0.26568778979907265</v>
      </c>
      <c r="V38" s="61">
        <f t="shared" si="10"/>
        <v>0</v>
      </c>
      <c r="W38" s="61">
        <f t="shared" si="11"/>
        <v>5.3941267387944358E-2</v>
      </c>
    </row>
    <row r="39" spans="1:23" s="52" customFormat="1">
      <c r="A39" s="53" t="s">
        <v>1560</v>
      </c>
      <c r="B39" s="54">
        <f>SUM(B34:B38)</f>
        <v>38517</v>
      </c>
      <c r="C39" s="54">
        <f t="shared" ref="C39:O39" si="12">SUM(C34:C38)</f>
        <v>3544</v>
      </c>
      <c r="D39" s="54">
        <f>SUM(D34:D38)</f>
        <v>5142</v>
      </c>
      <c r="E39" s="54">
        <f t="shared" si="12"/>
        <v>18053</v>
      </c>
      <c r="F39" s="54">
        <f t="shared" si="12"/>
        <v>7778</v>
      </c>
      <c r="G39" s="54">
        <f t="shared" si="12"/>
        <v>369</v>
      </c>
      <c r="H39" s="54">
        <f>SUM(H34:H38)</f>
        <v>3631</v>
      </c>
      <c r="I39" s="54"/>
      <c r="J39" s="54">
        <f t="shared" si="12"/>
        <v>30</v>
      </c>
      <c r="K39" s="54">
        <f t="shared" si="12"/>
        <v>2</v>
      </c>
      <c r="L39" s="54">
        <f t="shared" si="12"/>
        <v>5</v>
      </c>
      <c r="M39" s="54">
        <f t="shared" si="12"/>
        <v>17</v>
      </c>
      <c r="N39" s="54">
        <f t="shared" si="12"/>
        <v>5</v>
      </c>
      <c r="O39" s="54">
        <f t="shared" si="12"/>
        <v>0</v>
      </c>
      <c r="P39" s="54">
        <f>SUM(P34:P38)</f>
        <v>1</v>
      </c>
      <c r="R39" s="60">
        <f t="shared" si="6"/>
        <v>9.2011319677025735E-2</v>
      </c>
      <c r="S39" s="60">
        <f t="shared" si="7"/>
        <v>0.13349949373004127</v>
      </c>
      <c r="T39" s="60">
        <f t="shared" si="8"/>
        <v>0.46870213152633899</v>
      </c>
      <c r="U39" s="60">
        <f t="shared" si="9"/>
        <v>0.20193680712412701</v>
      </c>
      <c r="V39" s="60">
        <f t="shared" si="10"/>
        <v>9.5801853726925779E-3</v>
      </c>
      <c r="W39" s="60">
        <f t="shared" si="11"/>
        <v>9.4270062569774382E-2</v>
      </c>
    </row>
    <row r="40" spans="1:23">
      <c r="A40" s="53"/>
      <c r="B40" s="54"/>
      <c r="C40" s="55"/>
      <c r="D40" s="55"/>
      <c r="E40" s="55"/>
      <c r="F40" s="55"/>
      <c r="G40" s="55"/>
      <c r="H40" s="55"/>
      <c r="J40" s="54"/>
      <c r="K40" s="55"/>
      <c r="L40" s="55"/>
      <c r="M40" s="55"/>
      <c r="N40" s="55"/>
      <c r="O40" s="55"/>
      <c r="P40" s="55"/>
    </row>
    <row r="41" spans="1:23">
      <c r="A41" s="56" t="s">
        <v>1562</v>
      </c>
      <c r="B41" s="54">
        <f>SUM(C41:H41)</f>
        <v>4108</v>
      </c>
      <c r="C41" s="55">
        <v>1514</v>
      </c>
      <c r="D41" s="55">
        <v>388</v>
      </c>
      <c r="E41" s="55">
        <v>2206</v>
      </c>
      <c r="F41" s="55">
        <v>0</v>
      </c>
      <c r="G41" s="55">
        <v>0</v>
      </c>
      <c r="H41" s="55">
        <v>0</v>
      </c>
      <c r="J41" s="54">
        <f>SUM(K41:P41)</f>
        <v>5</v>
      </c>
      <c r="K41" s="55">
        <v>2</v>
      </c>
      <c r="L41" s="55">
        <v>0</v>
      </c>
      <c r="M41" s="55">
        <v>3</v>
      </c>
      <c r="N41" s="55">
        <v>0</v>
      </c>
      <c r="O41" s="55">
        <v>0</v>
      </c>
      <c r="P41" s="55">
        <v>0</v>
      </c>
      <c r="R41" s="61">
        <f>SUM(C41/B41)</f>
        <v>0.3685491723466407</v>
      </c>
      <c r="S41" s="61">
        <f>SUM(D41/B41)</f>
        <v>9.4449853943524828E-2</v>
      </c>
      <c r="T41" s="61">
        <f>SUM(E41/B41)</f>
        <v>0.53700097370983446</v>
      </c>
      <c r="U41" s="61">
        <f>SUM(F41/B41)</f>
        <v>0</v>
      </c>
      <c r="V41" s="61">
        <f>SUM(G41/B41)</f>
        <v>0</v>
      </c>
      <c r="W41" s="61">
        <f>SUM(H41/B41)</f>
        <v>0</v>
      </c>
    </row>
    <row r="42" spans="1:23">
      <c r="A42" s="56" t="s">
        <v>1563</v>
      </c>
      <c r="B42" s="54">
        <f>SUM(C42:H42)</f>
        <v>3879</v>
      </c>
      <c r="C42" s="55">
        <v>1457</v>
      </c>
      <c r="D42" s="55">
        <v>0</v>
      </c>
      <c r="E42" s="55">
        <v>1293</v>
      </c>
      <c r="F42" s="55">
        <v>1129</v>
      </c>
      <c r="G42" s="55">
        <v>0</v>
      </c>
      <c r="H42" s="55">
        <v>0</v>
      </c>
      <c r="J42" s="54">
        <f>SUM(K42:P42)</f>
        <v>5</v>
      </c>
      <c r="K42" s="55">
        <v>2</v>
      </c>
      <c r="L42" s="55">
        <v>0</v>
      </c>
      <c r="M42" s="55">
        <v>2</v>
      </c>
      <c r="N42" s="55">
        <v>1</v>
      </c>
      <c r="O42" s="55">
        <v>0</v>
      </c>
      <c r="P42" s="55">
        <v>0</v>
      </c>
      <c r="R42" s="61">
        <f>SUM(C42/B42)</f>
        <v>0.37561227120391855</v>
      </c>
      <c r="S42" s="61">
        <f>SUM(D42/B42)</f>
        <v>0</v>
      </c>
      <c r="T42" s="61">
        <f>SUM(E42/B42)</f>
        <v>0.33333333333333331</v>
      </c>
      <c r="U42" s="61">
        <f>SUM(F42/B42)</f>
        <v>0.29105439546274814</v>
      </c>
      <c r="V42" s="61">
        <f>SUM(G42/B42)</f>
        <v>0</v>
      </c>
      <c r="W42" s="61">
        <f>SUM(H42/B42)</f>
        <v>0</v>
      </c>
    </row>
    <row r="43" spans="1:23">
      <c r="A43" s="56" t="s">
        <v>1564</v>
      </c>
      <c r="B43" s="54">
        <f>SUM(C43:H43)</f>
        <v>4557</v>
      </c>
      <c r="C43" s="55">
        <v>2032</v>
      </c>
      <c r="D43" s="55">
        <v>970</v>
      </c>
      <c r="E43" s="55">
        <v>1555</v>
      </c>
      <c r="F43" s="55">
        <v>0</v>
      </c>
      <c r="G43" s="55">
        <v>0</v>
      </c>
      <c r="H43" s="55">
        <v>0</v>
      </c>
      <c r="J43" s="54">
        <f>SUM(K43:P43)</f>
        <v>5</v>
      </c>
      <c r="K43" s="55">
        <v>2</v>
      </c>
      <c r="L43" s="55">
        <v>1</v>
      </c>
      <c r="M43" s="55">
        <v>2</v>
      </c>
      <c r="N43" s="55">
        <v>0</v>
      </c>
      <c r="O43" s="55">
        <v>0</v>
      </c>
      <c r="P43" s="55">
        <v>0</v>
      </c>
      <c r="R43" s="61">
        <f>SUM(C43/B43)</f>
        <v>0.44590739521615097</v>
      </c>
      <c r="S43" s="61">
        <f>SUM(D43/B43)</f>
        <v>0.21285933728330042</v>
      </c>
      <c r="T43" s="61">
        <f>SUM(E43/B43)</f>
        <v>0.34123326750054861</v>
      </c>
      <c r="U43" s="61">
        <f>SUM(F43/B43)</f>
        <v>0</v>
      </c>
      <c r="V43" s="61">
        <f>SUM(G43/B43)</f>
        <v>0</v>
      </c>
      <c r="W43" s="61">
        <f>SUM(H43/B43)</f>
        <v>0</v>
      </c>
    </row>
    <row r="44" spans="1:23" s="52" customFormat="1">
      <c r="A44" s="53" t="s">
        <v>1561</v>
      </c>
      <c r="B44" s="54">
        <f>SUM(B41:B43)</f>
        <v>12544</v>
      </c>
      <c r="C44" s="54">
        <f t="shared" ref="C44:O44" si="13">SUM(C41:C43)</f>
        <v>5003</v>
      </c>
      <c r="D44" s="54">
        <f>SUM(D41:D43)</f>
        <v>1358</v>
      </c>
      <c r="E44" s="54">
        <f t="shared" si="13"/>
        <v>5054</v>
      </c>
      <c r="F44" s="54">
        <f t="shared" si="13"/>
        <v>1129</v>
      </c>
      <c r="G44" s="54">
        <f t="shared" si="13"/>
        <v>0</v>
      </c>
      <c r="H44" s="54">
        <f>SUM(H41:H43)</f>
        <v>0</v>
      </c>
      <c r="I44" s="54"/>
      <c r="J44" s="54">
        <f t="shared" si="13"/>
        <v>15</v>
      </c>
      <c r="K44" s="54">
        <f t="shared" si="13"/>
        <v>6</v>
      </c>
      <c r="L44" s="54">
        <f t="shared" si="13"/>
        <v>1</v>
      </c>
      <c r="M44" s="54">
        <f t="shared" si="13"/>
        <v>7</v>
      </c>
      <c r="N44" s="54">
        <f t="shared" si="13"/>
        <v>1</v>
      </c>
      <c r="O44" s="54">
        <f t="shared" si="13"/>
        <v>0</v>
      </c>
      <c r="P44" s="54">
        <f>SUM(P41:P43)</f>
        <v>0</v>
      </c>
      <c r="R44" s="60">
        <f>SUM(C44/B44)</f>
        <v>0.39883609693877553</v>
      </c>
      <c r="S44" s="60">
        <f>SUM(D44/B44)</f>
        <v>0.10825892857142858</v>
      </c>
      <c r="T44" s="60">
        <f>SUM(E44/B44)</f>
        <v>0.4029017857142857</v>
      </c>
      <c r="U44" s="60">
        <f>SUM(F44/B44)</f>
        <v>9.0003188775510209E-2</v>
      </c>
      <c r="V44" s="60">
        <f>SUM(G44/B44)</f>
        <v>0</v>
      </c>
      <c r="W44" s="60">
        <f>SUM(H44/B44)</f>
        <v>0</v>
      </c>
    </row>
    <row r="45" spans="1:23">
      <c r="A45" s="53"/>
      <c r="B45" s="54"/>
      <c r="C45" s="55"/>
      <c r="D45" s="55"/>
      <c r="E45" s="55"/>
      <c r="F45" s="55"/>
      <c r="G45" s="55"/>
      <c r="H45" s="55"/>
      <c r="J45" s="54"/>
      <c r="K45" s="55"/>
      <c r="L45" s="55"/>
      <c r="M45" s="55"/>
      <c r="N45" s="55"/>
      <c r="O45" s="55"/>
      <c r="P45" s="55"/>
    </row>
    <row r="46" spans="1:23">
      <c r="A46" s="56" t="s">
        <v>1565</v>
      </c>
      <c r="B46" s="54">
        <f>SUM(C46:H46)</f>
        <v>5195</v>
      </c>
      <c r="C46" s="55">
        <v>2383</v>
      </c>
      <c r="D46" s="55">
        <v>1396</v>
      </c>
      <c r="E46" s="55">
        <v>627</v>
      </c>
      <c r="F46" s="55">
        <v>0</v>
      </c>
      <c r="G46" s="55">
        <v>488</v>
      </c>
      <c r="H46" s="55">
        <v>301</v>
      </c>
      <c r="J46" s="54">
        <f>SUM(K46:P46)</f>
        <v>6</v>
      </c>
      <c r="K46" s="55">
        <v>3</v>
      </c>
      <c r="L46" s="55">
        <v>1</v>
      </c>
      <c r="M46" s="55">
        <v>1</v>
      </c>
      <c r="N46" s="55">
        <v>0</v>
      </c>
      <c r="O46" s="55">
        <v>1</v>
      </c>
      <c r="P46" s="55">
        <v>0</v>
      </c>
      <c r="R46" s="61">
        <f>SUM(C46/B46)</f>
        <v>0.45871029836381133</v>
      </c>
      <c r="S46" s="61">
        <f>SUM(D46/B46)</f>
        <v>0.26871992300288738</v>
      </c>
      <c r="T46" s="61">
        <f>SUM(E46/B46)</f>
        <v>0.12069297401347449</v>
      </c>
      <c r="U46" s="61">
        <f>SUM(F46/B46)</f>
        <v>0</v>
      </c>
      <c r="V46" s="61">
        <f>SUM(G46/B46)</f>
        <v>9.3936477382098177E-2</v>
      </c>
      <c r="W46" s="61">
        <f>SUM(H46/B46)</f>
        <v>5.7940327237728587E-2</v>
      </c>
    </row>
    <row r="47" spans="1:23">
      <c r="A47" s="56" t="s">
        <v>1566</v>
      </c>
      <c r="B47" s="54">
        <f>SUM(C47:H47)</f>
        <v>3611</v>
      </c>
      <c r="C47" s="55">
        <v>2089</v>
      </c>
      <c r="D47" s="55">
        <v>1072</v>
      </c>
      <c r="E47" s="55">
        <v>0</v>
      </c>
      <c r="F47" s="55">
        <v>0</v>
      </c>
      <c r="G47" s="55">
        <v>369</v>
      </c>
      <c r="H47" s="55">
        <v>81</v>
      </c>
      <c r="J47" s="54">
        <f>SUM(K47:P47)</f>
        <v>5</v>
      </c>
      <c r="K47" s="55">
        <v>3</v>
      </c>
      <c r="L47" s="55">
        <v>2</v>
      </c>
      <c r="M47" s="55">
        <v>0</v>
      </c>
      <c r="N47" s="55">
        <v>0</v>
      </c>
      <c r="O47" s="55">
        <v>0</v>
      </c>
      <c r="P47" s="55">
        <v>0</v>
      </c>
      <c r="R47" s="61">
        <f>SUM(C47/B47)</f>
        <v>0.57851010800332314</v>
      </c>
      <c r="S47" s="61">
        <f>SUM(D47/B47)</f>
        <v>0.29687067294378289</v>
      </c>
      <c r="T47" s="61">
        <f>SUM(E47/B47)</f>
        <v>0</v>
      </c>
      <c r="U47" s="61">
        <f>SUM(F47/B47)</f>
        <v>0</v>
      </c>
      <c r="V47" s="61">
        <f>SUM(G47/B47)</f>
        <v>0.10218775962337302</v>
      </c>
      <c r="W47" s="61">
        <f>SUM(H47/B47)</f>
        <v>2.2431459429520909E-2</v>
      </c>
    </row>
    <row r="48" spans="1:23">
      <c r="A48" s="56" t="s">
        <v>1567</v>
      </c>
      <c r="B48" s="54">
        <f>SUM(C48:H48)</f>
        <v>6337</v>
      </c>
      <c r="C48" s="55">
        <v>3535</v>
      </c>
      <c r="D48" s="55">
        <v>782</v>
      </c>
      <c r="E48" s="55">
        <v>1849</v>
      </c>
      <c r="F48" s="55">
        <v>0</v>
      </c>
      <c r="G48" s="55">
        <v>171</v>
      </c>
      <c r="H48" s="55">
        <v>0</v>
      </c>
      <c r="J48" s="54">
        <f>SUM(K48:P48)</f>
        <v>6</v>
      </c>
      <c r="K48" s="55">
        <v>3</v>
      </c>
      <c r="L48" s="55">
        <v>1</v>
      </c>
      <c r="M48" s="55">
        <v>2</v>
      </c>
      <c r="N48" s="55">
        <v>0</v>
      </c>
      <c r="O48" s="55">
        <v>0</v>
      </c>
      <c r="P48" s="55">
        <v>0</v>
      </c>
      <c r="R48" s="61">
        <f>SUM(C48/B48)</f>
        <v>0.55783493766766612</v>
      </c>
      <c r="S48" s="61">
        <f>SUM(D48/B48)</f>
        <v>0.12340224080795328</v>
      </c>
      <c r="T48" s="61">
        <f>SUM(E48/B48)</f>
        <v>0.29177844405870285</v>
      </c>
      <c r="U48" s="61">
        <f>SUM(F48/B48)</f>
        <v>0</v>
      </c>
      <c r="V48" s="61">
        <f>SUM(G48/B48)</f>
        <v>2.6984377465677764E-2</v>
      </c>
      <c r="W48" s="61">
        <f>SUM(H48/B48)</f>
        <v>0</v>
      </c>
    </row>
    <row r="49" spans="1:23">
      <c r="A49" s="56" t="s">
        <v>1568</v>
      </c>
      <c r="B49" s="54">
        <f>SUM(C49:H49)</f>
        <v>4352</v>
      </c>
      <c r="C49" s="55">
        <v>1826</v>
      </c>
      <c r="D49" s="55">
        <v>1007</v>
      </c>
      <c r="E49" s="55">
        <v>0</v>
      </c>
      <c r="F49" s="55">
        <v>0</v>
      </c>
      <c r="G49" s="55">
        <v>1269</v>
      </c>
      <c r="H49" s="55">
        <v>250</v>
      </c>
      <c r="J49" s="54">
        <f>SUM(K49:P49)</f>
        <v>5</v>
      </c>
      <c r="K49" s="55">
        <v>3</v>
      </c>
      <c r="L49" s="55">
        <v>1</v>
      </c>
      <c r="M49" s="55">
        <v>0</v>
      </c>
      <c r="N49" s="55">
        <v>0</v>
      </c>
      <c r="O49" s="55">
        <v>1</v>
      </c>
      <c r="P49" s="55">
        <v>0</v>
      </c>
      <c r="R49" s="61">
        <f>SUM(C49/B49)</f>
        <v>0.41957720588235292</v>
      </c>
      <c r="S49" s="61">
        <f>SUM(D49/B49)</f>
        <v>0.23138786764705882</v>
      </c>
      <c r="T49" s="61">
        <f>SUM(E49/B49)</f>
        <v>0</v>
      </c>
      <c r="U49" s="61">
        <f>SUM(F49/B49)</f>
        <v>0</v>
      </c>
      <c r="V49" s="61">
        <f>SUM(G49/B49)</f>
        <v>0.29159007352941174</v>
      </c>
      <c r="W49" s="61">
        <f>SUM(H49/B49)</f>
        <v>5.7444852941176468E-2</v>
      </c>
    </row>
    <row r="50" spans="1:23" s="52" customFormat="1">
      <c r="A50" s="53" t="s">
        <v>1569</v>
      </c>
      <c r="B50" s="54">
        <f>SUM(B46:B49)</f>
        <v>19495</v>
      </c>
      <c r="C50" s="54">
        <f t="shared" ref="C50:O50" si="14">SUM(C46:C49)</f>
        <v>9833</v>
      </c>
      <c r="D50" s="54">
        <f>SUM(D46:D49)</f>
        <v>4257</v>
      </c>
      <c r="E50" s="54">
        <f t="shared" si="14"/>
        <v>2476</v>
      </c>
      <c r="F50" s="54">
        <f t="shared" si="14"/>
        <v>0</v>
      </c>
      <c r="G50" s="54">
        <f t="shared" si="14"/>
        <v>2297</v>
      </c>
      <c r="H50" s="54">
        <f>SUM(H46:H49)</f>
        <v>632</v>
      </c>
      <c r="I50" s="54"/>
      <c r="J50" s="54">
        <f t="shared" si="14"/>
        <v>22</v>
      </c>
      <c r="K50" s="54">
        <f t="shared" si="14"/>
        <v>12</v>
      </c>
      <c r="L50" s="54">
        <f t="shared" si="14"/>
        <v>5</v>
      </c>
      <c r="M50" s="54">
        <f t="shared" si="14"/>
        <v>3</v>
      </c>
      <c r="N50" s="54">
        <f t="shared" si="14"/>
        <v>0</v>
      </c>
      <c r="O50" s="54">
        <f t="shared" si="14"/>
        <v>2</v>
      </c>
      <c r="P50" s="54">
        <f>SUM(P46:P49)</f>
        <v>0</v>
      </c>
      <c r="R50" s="60">
        <f>SUM(C50/B50)</f>
        <v>0.50438573993331626</v>
      </c>
      <c r="S50" s="60">
        <f>SUM(D50/B50)</f>
        <v>0.21836368299563991</v>
      </c>
      <c r="T50" s="60">
        <f>SUM(E50/B50)</f>
        <v>0.12700692485252629</v>
      </c>
      <c r="U50" s="60">
        <f>SUM(F50/B50)</f>
        <v>0</v>
      </c>
      <c r="V50" s="60">
        <f>SUM(G50/B50)</f>
        <v>0.11782508335470633</v>
      </c>
      <c r="W50" s="60">
        <f>SUM(H50/B50)</f>
        <v>3.2418568863811233E-2</v>
      </c>
    </row>
    <row r="51" spans="1:23">
      <c r="A51" s="53"/>
      <c r="B51" s="54"/>
      <c r="C51" s="55"/>
      <c r="D51" s="55"/>
      <c r="E51" s="55"/>
      <c r="F51" s="55"/>
      <c r="G51" s="55"/>
      <c r="H51" s="55"/>
      <c r="I51" s="55"/>
      <c r="J51" s="54"/>
      <c r="K51" s="55"/>
      <c r="L51" s="55"/>
      <c r="M51" s="55"/>
      <c r="N51" s="55"/>
      <c r="O51" s="55"/>
      <c r="P51" s="55"/>
    </row>
    <row r="52" spans="1:23">
      <c r="A52" s="56" t="s">
        <v>1570</v>
      </c>
      <c r="B52" s="54">
        <f>SUM(C52:H52)</f>
        <v>6165</v>
      </c>
      <c r="C52" s="55">
        <v>1636</v>
      </c>
      <c r="D52" s="55">
        <v>690</v>
      </c>
      <c r="E52" s="55">
        <v>2878</v>
      </c>
      <c r="F52" s="55">
        <v>961</v>
      </c>
      <c r="G52" s="55">
        <v>0</v>
      </c>
      <c r="H52" s="55">
        <v>0</v>
      </c>
      <c r="J52" s="54">
        <f>SUM(K52:P52)</f>
        <v>6</v>
      </c>
      <c r="K52" s="55">
        <v>2</v>
      </c>
      <c r="L52" s="55">
        <v>0</v>
      </c>
      <c r="M52" s="55">
        <v>3</v>
      </c>
      <c r="N52" s="55">
        <v>1</v>
      </c>
      <c r="O52" s="55">
        <v>0</v>
      </c>
      <c r="P52" s="55">
        <v>0</v>
      </c>
      <c r="R52" s="61">
        <f>SUM(C52/B52)</f>
        <v>0.26536901865369017</v>
      </c>
      <c r="S52" s="61">
        <f>SUM(D52/B52)</f>
        <v>0.11192214111922141</v>
      </c>
      <c r="T52" s="61">
        <f>SUM(E52/B52)</f>
        <v>0.46682887266828871</v>
      </c>
      <c r="U52" s="61">
        <f>SUM(F52/B52)</f>
        <v>0.15587996755879968</v>
      </c>
      <c r="V52" s="61">
        <f>SUM(G52/B52)</f>
        <v>0</v>
      </c>
      <c r="W52" s="61">
        <f>SUM(H52/B52)</f>
        <v>0</v>
      </c>
    </row>
    <row r="53" spans="1:23">
      <c r="A53" s="56" t="s">
        <v>1571</v>
      </c>
      <c r="B53" s="54">
        <f>SUM(C53:H53)</f>
        <v>6030</v>
      </c>
      <c r="C53" s="55">
        <v>1868</v>
      </c>
      <c r="D53" s="55">
        <v>0</v>
      </c>
      <c r="E53" s="55">
        <v>3600</v>
      </c>
      <c r="F53" s="55">
        <v>562</v>
      </c>
      <c r="G53" s="55">
        <v>0</v>
      </c>
      <c r="H53" s="55">
        <v>0</v>
      </c>
      <c r="J53" s="54">
        <f>SUM(K53:P53)</f>
        <v>5</v>
      </c>
      <c r="K53" s="55">
        <v>1</v>
      </c>
      <c r="L53" s="55">
        <v>0</v>
      </c>
      <c r="M53" s="55">
        <v>4</v>
      </c>
      <c r="N53" s="55">
        <v>0</v>
      </c>
      <c r="O53" s="55">
        <v>0</v>
      </c>
      <c r="P53" s="55">
        <v>0</v>
      </c>
      <c r="R53" s="61">
        <f>SUM(C53/B53)</f>
        <v>0.30978441127694861</v>
      </c>
      <c r="S53" s="61">
        <f>SUM(D53/B53)</f>
        <v>0</v>
      </c>
      <c r="T53" s="61">
        <f>SUM(E53/B53)</f>
        <v>0.59701492537313428</v>
      </c>
      <c r="U53" s="61">
        <f>SUM(F53/B53)</f>
        <v>9.3200663349917084E-2</v>
      </c>
      <c r="V53" s="61">
        <f>SUM(G53/B53)</f>
        <v>0</v>
      </c>
      <c r="W53" s="61">
        <f>SUM(H53/B53)</f>
        <v>0</v>
      </c>
    </row>
    <row r="54" spans="1:23">
      <c r="A54" s="56" t="s">
        <v>1572</v>
      </c>
      <c r="B54" s="54">
        <f>SUM(C54:H54)</f>
        <v>7345</v>
      </c>
      <c r="C54" s="55">
        <v>4881</v>
      </c>
      <c r="D54" s="55">
        <v>1050</v>
      </c>
      <c r="E54" s="55">
        <v>1164</v>
      </c>
      <c r="F54" s="55">
        <v>250</v>
      </c>
      <c r="G54" s="55">
        <v>0</v>
      </c>
      <c r="H54" s="55">
        <v>0</v>
      </c>
      <c r="J54" s="54">
        <f>SUM(K54:P54)</f>
        <v>6</v>
      </c>
      <c r="K54" s="55">
        <v>4</v>
      </c>
      <c r="L54" s="55">
        <v>1</v>
      </c>
      <c r="M54" s="55">
        <v>1</v>
      </c>
      <c r="N54" s="55">
        <v>0</v>
      </c>
      <c r="O54" s="55">
        <v>0</v>
      </c>
      <c r="P54" s="55">
        <v>0</v>
      </c>
      <c r="R54" s="61">
        <f>SUM(C54/B54)</f>
        <v>0.66453369639210347</v>
      </c>
      <c r="S54" s="61">
        <f>SUM(D54/B54)</f>
        <v>0.14295439074200136</v>
      </c>
      <c r="T54" s="61">
        <f>SUM(E54/B54)</f>
        <v>0.15847515316541866</v>
      </c>
      <c r="U54" s="61">
        <f>SUM(F54/B54)</f>
        <v>3.4036759700476517E-2</v>
      </c>
      <c r="V54" s="61">
        <f>SUM(G54/B54)</f>
        <v>0</v>
      </c>
      <c r="W54" s="61">
        <f>SUM(H54/B54)</f>
        <v>0</v>
      </c>
    </row>
    <row r="55" spans="1:23">
      <c r="A55" s="56" t="s">
        <v>1573</v>
      </c>
      <c r="B55" s="54">
        <f>SUM(C55:H55)</f>
        <v>5856</v>
      </c>
      <c r="C55" s="55">
        <v>2924</v>
      </c>
      <c r="D55" s="55">
        <v>1174</v>
      </c>
      <c r="E55" s="55">
        <v>1410</v>
      </c>
      <c r="F55" s="55">
        <v>348</v>
      </c>
      <c r="G55" s="55">
        <v>0</v>
      </c>
      <c r="H55" s="55">
        <v>0</v>
      </c>
      <c r="J55" s="54">
        <f>SUM(K55:P55)</f>
        <v>5</v>
      </c>
      <c r="K55" s="55">
        <v>3</v>
      </c>
      <c r="L55" s="55">
        <v>1</v>
      </c>
      <c r="M55" s="55">
        <v>1</v>
      </c>
      <c r="N55" s="55">
        <v>0</v>
      </c>
      <c r="O55" s="55">
        <v>0</v>
      </c>
      <c r="P55" s="55">
        <v>0</v>
      </c>
      <c r="R55" s="61">
        <f>SUM(C55/B55)</f>
        <v>0.49931693989071041</v>
      </c>
      <c r="S55" s="61">
        <f>SUM(D55/B55)</f>
        <v>0.20047814207650272</v>
      </c>
      <c r="T55" s="61">
        <f>SUM(E55/B55)</f>
        <v>0.24077868852459017</v>
      </c>
      <c r="U55" s="61">
        <f>SUM(F55/B55)</f>
        <v>5.9426229508196718E-2</v>
      </c>
      <c r="V55" s="61">
        <f>SUM(G55/B55)</f>
        <v>0</v>
      </c>
      <c r="W55" s="61">
        <f>SUM(H55/B55)</f>
        <v>0</v>
      </c>
    </row>
    <row r="56" spans="1:23" s="52" customFormat="1">
      <c r="A56" s="53" t="s">
        <v>1574</v>
      </c>
      <c r="B56" s="54">
        <f>SUM(B52:B55)</f>
        <v>25396</v>
      </c>
      <c r="C56" s="54">
        <f t="shared" ref="C56:O56" si="15">SUM(C52:C55)</f>
        <v>11309</v>
      </c>
      <c r="D56" s="54">
        <f>SUM(D52:D55)</f>
        <v>2914</v>
      </c>
      <c r="E56" s="54">
        <f t="shared" si="15"/>
        <v>9052</v>
      </c>
      <c r="F56" s="54">
        <f t="shared" si="15"/>
        <v>2121</v>
      </c>
      <c r="G56" s="54">
        <f t="shared" si="15"/>
        <v>0</v>
      </c>
      <c r="H56" s="54">
        <f>SUM(H52:H55)</f>
        <v>0</v>
      </c>
      <c r="I56" s="54"/>
      <c r="J56" s="54">
        <f t="shared" si="15"/>
        <v>22</v>
      </c>
      <c r="K56" s="54">
        <f t="shared" si="15"/>
        <v>10</v>
      </c>
      <c r="L56" s="54">
        <f t="shared" si="15"/>
        <v>2</v>
      </c>
      <c r="M56" s="54">
        <f t="shared" si="15"/>
        <v>9</v>
      </c>
      <c r="N56" s="54">
        <f t="shared" si="15"/>
        <v>1</v>
      </c>
      <c r="O56" s="54">
        <f t="shared" si="15"/>
        <v>0</v>
      </c>
      <c r="P56" s="54">
        <f>SUM(P52:P55)</f>
        <v>0</v>
      </c>
      <c r="R56" s="60">
        <f>SUM(C56/B56)</f>
        <v>0.44530634745629233</v>
      </c>
      <c r="S56" s="60">
        <f>SUM(D56/B56)</f>
        <v>0.11474247913057174</v>
      </c>
      <c r="T56" s="60">
        <f>SUM(E56/B56)</f>
        <v>0.35643408410773353</v>
      </c>
      <c r="U56" s="60">
        <f>SUM(F56/B56)</f>
        <v>8.3517089305402428E-2</v>
      </c>
      <c r="V56" s="60">
        <f>SUM(G56/B56)</f>
        <v>0</v>
      </c>
      <c r="W56" s="60">
        <f>SUM(H56/B56)</f>
        <v>0</v>
      </c>
    </row>
    <row r="57" spans="1:23">
      <c r="A57" s="53"/>
      <c r="B57" s="54"/>
      <c r="C57" s="55"/>
      <c r="D57" s="55"/>
      <c r="E57" s="55"/>
      <c r="F57" s="55"/>
      <c r="G57" s="55"/>
      <c r="H57" s="55"/>
      <c r="J57" s="54"/>
      <c r="K57" s="55"/>
      <c r="L57" s="55"/>
      <c r="M57" s="55"/>
      <c r="N57" s="55"/>
      <c r="O57" s="55"/>
      <c r="P57" s="55"/>
    </row>
    <row r="58" spans="1:23">
      <c r="A58" s="56" t="s">
        <v>1575</v>
      </c>
      <c r="B58" s="54">
        <f>SUM(C58:H58)</f>
        <v>6702</v>
      </c>
      <c r="C58" s="55">
        <v>3135</v>
      </c>
      <c r="D58" s="55">
        <v>856</v>
      </c>
      <c r="E58" s="55">
        <v>2469</v>
      </c>
      <c r="F58" s="55">
        <v>242</v>
      </c>
      <c r="G58" s="55">
        <v>0</v>
      </c>
      <c r="H58" s="55">
        <v>0</v>
      </c>
      <c r="J58" s="54">
        <f>SUM(K58:P58)</f>
        <v>5</v>
      </c>
      <c r="K58" s="55">
        <v>2</v>
      </c>
      <c r="L58" s="55">
        <v>1</v>
      </c>
      <c r="M58" s="55">
        <v>2</v>
      </c>
      <c r="N58" s="55">
        <v>0</v>
      </c>
      <c r="O58" s="55">
        <v>0</v>
      </c>
      <c r="P58" s="55">
        <v>0</v>
      </c>
      <c r="R58" s="61">
        <f t="shared" ref="R58:R63" si="16">SUM(C58/B58)</f>
        <v>0.4677708146821844</v>
      </c>
      <c r="S58" s="61">
        <f t="shared" ref="S58:S63" si="17">SUM(D58/B58)</f>
        <v>0.12772306774097283</v>
      </c>
      <c r="T58" s="61">
        <f t="shared" ref="T58:T63" si="18">SUM(E58/B58)</f>
        <v>0.36839749328558641</v>
      </c>
      <c r="U58" s="61">
        <f t="shared" ref="U58:U63" si="19">SUM(F58/B58)</f>
        <v>3.6108624291256344E-2</v>
      </c>
      <c r="V58" s="61">
        <f t="shared" ref="V58:V63" si="20">SUM(G58/B58)</f>
        <v>0</v>
      </c>
      <c r="W58" s="61">
        <f t="shared" ref="W58:W63" si="21">SUM(H58/B58)</f>
        <v>0</v>
      </c>
    </row>
    <row r="59" spans="1:23">
      <c r="A59" s="56" t="s">
        <v>1576</v>
      </c>
      <c r="B59" s="54">
        <f>SUM(C59:H59)</f>
        <v>7012</v>
      </c>
      <c r="C59" s="55">
        <v>2559</v>
      </c>
      <c r="D59" s="55">
        <v>0</v>
      </c>
      <c r="E59" s="55">
        <v>3138</v>
      </c>
      <c r="F59" s="55">
        <v>1315</v>
      </c>
      <c r="G59" s="55">
        <v>0</v>
      </c>
      <c r="H59" s="55">
        <v>0</v>
      </c>
      <c r="J59" s="54">
        <f>SUM(K59:P59)</f>
        <v>6</v>
      </c>
      <c r="K59" s="55">
        <v>2</v>
      </c>
      <c r="L59" s="55">
        <v>0</v>
      </c>
      <c r="M59" s="55">
        <v>3</v>
      </c>
      <c r="N59" s="55">
        <v>1</v>
      </c>
      <c r="O59" s="55">
        <v>0</v>
      </c>
      <c r="P59" s="55">
        <v>0</v>
      </c>
      <c r="R59" s="61">
        <f t="shared" si="16"/>
        <v>0.36494580718767827</v>
      </c>
      <c r="S59" s="61">
        <f t="shared" si="17"/>
        <v>0</v>
      </c>
      <c r="T59" s="61">
        <f t="shared" si="18"/>
        <v>0.4475185396463206</v>
      </c>
      <c r="U59" s="61">
        <f t="shared" si="19"/>
        <v>0.18753565316600115</v>
      </c>
      <c r="V59" s="61">
        <f t="shared" si="20"/>
        <v>0</v>
      </c>
      <c r="W59" s="61">
        <f t="shared" si="21"/>
        <v>0</v>
      </c>
    </row>
    <row r="60" spans="1:23">
      <c r="A60" s="56" t="s">
        <v>1577</v>
      </c>
      <c r="B60" s="54">
        <f>SUM(C60:H60)</f>
        <v>8034</v>
      </c>
      <c r="C60" s="55">
        <v>903</v>
      </c>
      <c r="D60" s="55">
        <v>0</v>
      </c>
      <c r="E60" s="55">
        <v>3507</v>
      </c>
      <c r="F60" s="55">
        <v>1829</v>
      </c>
      <c r="G60" s="55">
        <v>0</v>
      </c>
      <c r="H60" s="55">
        <v>1795</v>
      </c>
      <c r="J60" s="54">
        <f>SUM(K60:P60)</f>
        <v>7</v>
      </c>
      <c r="K60" s="55">
        <v>1</v>
      </c>
      <c r="L60" s="55">
        <v>0</v>
      </c>
      <c r="M60" s="55">
        <v>3</v>
      </c>
      <c r="N60" s="55">
        <v>2</v>
      </c>
      <c r="O60" s="55">
        <v>0</v>
      </c>
      <c r="P60" s="55">
        <v>1</v>
      </c>
      <c r="R60" s="61">
        <f t="shared" si="16"/>
        <v>0.11239731142643763</v>
      </c>
      <c r="S60" s="61">
        <f t="shared" si="17"/>
        <v>0</v>
      </c>
      <c r="T60" s="61">
        <f t="shared" si="18"/>
        <v>0.43651979088872295</v>
      </c>
      <c r="U60" s="61">
        <f t="shared" si="19"/>
        <v>0.22765745581279562</v>
      </c>
      <c r="V60" s="61">
        <f t="shared" si="20"/>
        <v>0</v>
      </c>
      <c r="W60" s="61">
        <f t="shared" si="21"/>
        <v>0.2234254418720438</v>
      </c>
    </row>
    <row r="61" spans="1:23">
      <c r="A61" s="56" t="s">
        <v>1578</v>
      </c>
      <c r="B61" s="54">
        <f>SUM(C61:H61)</f>
        <v>8715</v>
      </c>
      <c r="C61" s="55">
        <v>1058</v>
      </c>
      <c r="D61" s="55">
        <v>0</v>
      </c>
      <c r="E61" s="55">
        <v>5104</v>
      </c>
      <c r="F61" s="55">
        <v>421</v>
      </c>
      <c r="G61" s="55">
        <v>0</v>
      </c>
      <c r="H61" s="55">
        <v>2132</v>
      </c>
      <c r="J61" s="54">
        <f>SUM(K61:P61)</f>
        <v>7</v>
      </c>
      <c r="K61" s="55">
        <v>1</v>
      </c>
      <c r="L61" s="55">
        <v>0</v>
      </c>
      <c r="M61" s="55">
        <v>4</v>
      </c>
      <c r="N61" s="55">
        <v>0</v>
      </c>
      <c r="O61" s="55">
        <v>0</v>
      </c>
      <c r="P61" s="55">
        <v>2</v>
      </c>
      <c r="R61" s="61">
        <f t="shared" si="16"/>
        <v>0.12139988525530694</v>
      </c>
      <c r="S61" s="61">
        <f t="shared" si="17"/>
        <v>0</v>
      </c>
      <c r="T61" s="61">
        <f t="shared" si="18"/>
        <v>0.58565691336775672</v>
      </c>
      <c r="U61" s="61">
        <f t="shared" si="19"/>
        <v>4.8307515777395296E-2</v>
      </c>
      <c r="V61" s="61">
        <f t="shared" si="20"/>
        <v>0</v>
      </c>
      <c r="W61" s="61">
        <f t="shared" si="21"/>
        <v>0.24463568559954102</v>
      </c>
    </row>
    <row r="62" spans="1:23">
      <c r="A62" s="56" t="s">
        <v>1579</v>
      </c>
      <c r="B62" s="54">
        <f>SUM(C62:H62)</f>
        <v>6111</v>
      </c>
      <c r="C62" s="55">
        <v>0</v>
      </c>
      <c r="D62" s="55">
        <v>0</v>
      </c>
      <c r="E62" s="55">
        <v>3299</v>
      </c>
      <c r="F62" s="55">
        <v>2812</v>
      </c>
      <c r="G62" s="55">
        <v>0</v>
      </c>
      <c r="H62" s="55">
        <v>0</v>
      </c>
      <c r="J62" s="54">
        <f>SUM(K62:P62)</f>
        <v>5</v>
      </c>
      <c r="K62" s="55">
        <v>0</v>
      </c>
      <c r="L62" s="55">
        <v>0</v>
      </c>
      <c r="M62" s="55">
        <v>3</v>
      </c>
      <c r="N62" s="55">
        <v>2</v>
      </c>
      <c r="O62" s="55">
        <v>0</v>
      </c>
      <c r="P62" s="55">
        <v>0</v>
      </c>
      <c r="R62" s="61">
        <f t="shared" si="16"/>
        <v>0</v>
      </c>
      <c r="S62" s="61">
        <f t="shared" si="17"/>
        <v>0</v>
      </c>
      <c r="T62" s="61">
        <f t="shared" si="18"/>
        <v>0.53984617902143672</v>
      </c>
      <c r="U62" s="61">
        <f t="shared" si="19"/>
        <v>0.46015382097856322</v>
      </c>
      <c r="V62" s="61">
        <f t="shared" si="20"/>
        <v>0</v>
      </c>
      <c r="W62" s="61">
        <f t="shared" si="21"/>
        <v>0</v>
      </c>
    </row>
    <row r="63" spans="1:23" s="52" customFormat="1">
      <c r="A63" s="53" t="s">
        <v>1580</v>
      </c>
      <c r="B63" s="54">
        <f>SUM(B58:B62)</f>
        <v>36574</v>
      </c>
      <c r="C63" s="54">
        <f t="shared" ref="C63:O63" si="22">SUM(C58:C62)</f>
        <v>7655</v>
      </c>
      <c r="D63" s="54">
        <f>SUM(D58:D62)</f>
        <v>856</v>
      </c>
      <c r="E63" s="54">
        <f t="shared" si="22"/>
        <v>17517</v>
      </c>
      <c r="F63" s="54">
        <f t="shared" si="22"/>
        <v>6619</v>
      </c>
      <c r="G63" s="54">
        <f t="shared" si="22"/>
        <v>0</v>
      </c>
      <c r="H63" s="54">
        <f>SUM(H58:H62)</f>
        <v>3927</v>
      </c>
      <c r="I63" s="54"/>
      <c r="J63" s="54">
        <f t="shared" si="22"/>
        <v>30</v>
      </c>
      <c r="K63" s="54">
        <f t="shared" si="22"/>
        <v>6</v>
      </c>
      <c r="L63" s="54">
        <f t="shared" si="22"/>
        <v>1</v>
      </c>
      <c r="M63" s="54">
        <f t="shared" si="22"/>
        <v>15</v>
      </c>
      <c r="N63" s="54">
        <f t="shared" si="22"/>
        <v>5</v>
      </c>
      <c r="O63" s="54">
        <f t="shared" si="22"/>
        <v>0</v>
      </c>
      <c r="P63" s="54">
        <f>SUM(P58:P62)</f>
        <v>3</v>
      </c>
      <c r="R63" s="60">
        <f t="shared" si="16"/>
        <v>0.2093016897249412</v>
      </c>
      <c r="S63" s="60">
        <f t="shared" si="17"/>
        <v>2.3404604363755674E-2</v>
      </c>
      <c r="T63" s="60">
        <f t="shared" si="18"/>
        <v>0.47894679280363101</v>
      </c>
      <c r="U63" s="60">
        <f t="shared" si="19"/>
        <v>0.1809755564061902</v>
      </c>
      <c r="V63" s="60">
        <f t="shared" si="20"/>
        <v>0</v>
      </c>
      <c r="W63" s="60">
        <f t="shared" si="21"/>
        <v>0.10737135670148193</v>
      </c>
    </row>
    <row r="64" spans="1:23">
      <c r="A64" s="53"/>
      <c r="B64" s="54"/>
      <c r="C64" s="55"/>
      <c r="D64" s="55"/>
      <c r="E64" s="55"/>
      <c r="F64" s="55"/>
      <c r="G64" s="55"/>
      <c r="H64" s="55"/>
      <c r="J64" s="54"/>
      <c r="K64" s="55"/>
      <c r="L64" s="55"/>
      <c r="M64" s="55"/>
      <c r="N64" s="55"/>
      <c r="O64" s="55"/>
      <c r="P64" s="55"/>
    </row>
    <row r="65" spans="1:23">
      <c r="A65" s="56" t="s">
        <v>1581</v>
      </c>
      <c r="B65" s="54">
        <f>SUM(C65:H65)</f>
        <v>7842</v>
      </c>
      <c r="C65" s="55">
        <v>3747</v>
      </c>
      <c r="D65" s="55">
        <v>1617</v>
      </c>
      <c r="E65" s="55">
        <v>719</v>
      </c>
      <c r="F65" s="55">
        <v>0</v>
      </c>
      <c r="G65" s="55">
        <v>586</v>
      </c>
      <c r="H65" s="55">
        <v>1173</v>
      </c>
      <c r="I65" s="55"/>
      <c r="J65" s="54">
        <f>SUM(K65:P65)</f>
        <v>7</v>
      </c>
      <c r="K65" s="55">
        <v>4</v>
      </c>
      <c r="L65" s="55">
        <v>1</v>
      </c>
      <c r="M65" s="55">
        <v>1</v>
      </c>
      <c r="N65" s="55">
        <v>0</v>
      </c>
      <c r="O65" s="55">
        <v>0</v>
      </c>
      <c r="P65" s="55">
        <v>1</v>
      </c>
      <c r="R65" s="61">
        <f>SUM(C65/B65)</f>
        <v>0.47781178270849273</v>
      </c>
      <c r="S65" s="61">
        <f>SUM(D65/B65)</f>
        <v>0.20619739862280032</v>
      </c>
      <c r="T65" s="61">
        <f>SUM(E65/B65)</f>
        <v>9.1685794440193827E-2</v>
      </c>
      <c r="U65" s="61">
        <f>SUM(F65/B65)</f>
        <v>0</v>
      </c>
      <c r="V65" s="61">
        <f>SUM(G65/B65)</f>
        <v>7.4725835246110692E-2</v>
      </c>
      <c r="W65" s="61">
        <f>SUM(H65/B65)</f>
        <v>0.14957918898240244</v>
      </c>
    </row>
    <row r="66" spans="1:23">
      <c r="A66" s="56" t="s">
        <v>1582</v>
      </c>
      <c r="B66" s="54">
        <f>SUM(C66:H66)</f>
        <v>7730</v>
      </c>
      <c r="C66" s="55">
        <v>3299</v>
      </c>
      <c r="D66" s="55">
        <v>1172</v>
      </c>
      <c r="E66" s="55">
        <v>1507</v>
      </c>
      <c r="F66" s="55">
        <v>865</v>
      </c>
      <c r="G66" s="55">
        <v>602</v>
      </c>
      <c r="H66" s="55">
        <v>285</v>
      </c>
      <c r="J66" s="54">
        <f>SUM(K66:P66)</f>
        <v>7</v>
      </c>
      <c r="K66" s="55">
        <v>3</v>
      </c>
      <c r="L66" s="55">
        <v>1</v>
      </c>
      <c r="M66" s="55">
        <v>1</v>
      </c>
      <c r="N66" s="55">
        <v>1</v>
      </c>
      <c r="O66" s="55">
        <v>1</v>
      </c>
      <c r="P66" s="55">
        <v>0</v>
      </c>
      <c r="R66" s="61">
        <f>SUM(C66/B66)</f>
        <v>0.42677878395860286</v>
      </c>
      <c r="S66" s="61">
        <f>SUM(D66/B66)</f>
        <v>0.15161707632600258</v>
      </c>
      <c r="T66" s="61">
        <f>SUM(E66/B66)</f>
        <v>0.19495472186287194</v>
      </c>
      <c r="U66" s="61">
        <f>SUM(F66/B66)</f>
        <v>0.11190168175937905</v>
      </c>
      <c r="V66" s="61">
        <f>SUM(G66/B66)</f>
        <v>7.787839586028461E-2</v>
      </c>
      <c r="W66" s="61">
        <f>SUM(H66/B66)</f>
        <v>3.6869340232858989E-2</v>
      </c>
    </row>
    <row r="67" spans="1:23">
      <c r="A67" s="56" t="s">
        <v>1583</v>
      </c>
      <c r="B67" s="54">
        <f>SUM(C67:H67)</f>
        <v>7486</v>
      </c>
      <c r="C67" s="55">
        <v>3281</v>
      </c>
      <c r="D67" s="55">
        <v>1705</v>
      </c>
      <c r="E67" s="55">
        <v>1377</v>
      </c>
      <c r="F67" s="55">
        <v>523</v>
      </c>
      <c r="G67" s="55">
        <v>600</v>
      </c>
      <c r="H67" s="55">
        <v>0</v>
      </c>
      <c r="J67" s="54">
        <f>SUM(K67:P67)</f>
        <v>7</v>
      </c>
      <c r="K67" s="55">
        <v>3</v>
      </c>
      <c r="L67" s="55">
        <v>2</v>
      </c>
      <c r="M67" s="55">
        <v>1</v>
      </c>
      <c r="N67" s="55">
        <v>0</v>
      </c>
      <c r="O67" s="55">
        <v>1</v>
      </c>
      <c r="P67" s="55">
        <v>0</v>
      </c>
      <c r="R67" s="61">
        <f>SUM(C67/B67)</f>
        <v>0.43828479829014161</v>
      </c>
      <c r="S67" s="61">
        <f>SUM(D67/B67)</f>
        <v>0.22775848250066791</v>
      </c>
      <c r="T67" s="61">
        <f>SUM(E67/B67)</f>
        <v>0.18394336094042213</v>
      </c>
      <c r="U67" s="61">
        <f>SUM(F67/B67)</f>
        <v>6.9863745658562654E-2</v>
      </c>
      <c r="V67" s="61">
        <f>SUM(G67/B67)</f>
        <v>8.0149612610205714E-2</v>
      </c>
      <c r="W67" s="61">
        <f>SUM(H67/B67)</f>
        <v>0</v>
      </c>
    </row>
    <row r="68" spans="1:23">
      <c r="A68" s="56" t="s">
        <v>1584</v>
      </c>
      <c r="B68" s="54">
        <f>SUM(C68:H68)</f>
        <v>5768</v>
      </c>
      <c r="C68" s="55">
        <v>567</v>
      </c>
      <c r="D68" s="55">
        <v>134</v>
      </c>
      <c r="E68" s="55">
        <v>3581</v>
      </c>
      <c r="F68" s="55">
        <v>1261</v>
      </c>
      <c r="G68" s="55">
        <v>0</v>
      </c>
      <c r="H68" s="55">
        <v>225</v>
      </c>
      <c r="J68" s="54">
        <f>SUM(K68:P68)</f>
        <v>5</v>
      </c>
      <c r="K68" s="55">
        <v>0</v>
      </c>
      <c r="L68" s="55">
        <v>0</v>
      </c>
      <c r="M68" s="55">
        <v>3</v>
      </c>
      <c r="N68" s="55">
        <v>1</v>
      </c>
      <c r="O68" s="55">
        <v>0</v>
      </c>
      <c r="P68" s="55">
        <v>1</v>
      </c>
      <c r="R68" s="61">
        <f>SUM(C68/B68)</f>
        <v>9.8300970873786406E-2</v>
      </c>
      <c r="S68" s="61">
        <f>SUM(D68/B68)</f>
        <v>2.3231622746185853E-2</v>
      </c>
      <c r="T68" s="61">
        <f>SUM(E68/B68)</f>
        <v>0.62083911234396671</v>
      </c>
      <c r="U68" s="61">
        <f>SUM(F68/B68)</f>
        <v>0.21861997226074895</v>
      </c>
      <c r="V68" s="61">
        <f>SUM(G68/B68)</f>
        <v>0</v>
      </c>
      <c r="W68" s="61">
        <f>SUM(H68/B68)</f>
        <v>3.9008321775312063E-2</v>
      </c>
    </row>
    <row r="69" spans="1:23" s="52" customFormat="1">
      <c r="A69" s="53" t="s">
        <v>1585</v>
      </c>
      <c r="B69" s="54">
        <f>SUM(B65:B68)</f>
        <v>28826</v>
      </c>
      <c r="C69" s="54">
        <f t="shared" ref="C69:O69" si="23">SUM(C65:C68)</f>
        <v>10894</v>
      </c>
      <c r="D69" s="54">
        <f>SUM(D65:D68)</f>
        <v>4628</v>
      </c>
      <c r="E69" s="54">
        <f t="shared" si="23"/>
        <v>7184</v>
      </c>
      <c r="F69" s="54">
        <f t="shared" si="23"/>
        <v>2649</v>
      </c>
      <c r="G69" s="54">
        <f t="shared" si="23"/>
        <v>1788</v>
      </c>
      <c r="H69" s="54">
        <f>SUM(H65:H68)</f>
        <v>1683</v>
      </c>
      <c r="I69" s="54"/>
      <c r="J69" s="54">
        <f t="shared" si="23"/>
        <v>26</v>
      </c>
      <c r="K69" s="54">
        <f t="shared" si="23"/>
        <v>10</v>
      </c>
      <c r="L69" s="54">
        <f t="shared" si="23"/>
        <v>4</v>
      </c>
      <c r="M69" s="54">
        <f t="shared" si="23"/>
        <v>6</v>
      </c>
      <c r="N69" s="54">
        <f t="shared" si="23"/>
        <v>2</v>
      </c>
      <c r="O69" s="54">
        <f t="shared" si="23"/>
        <v>2</v>
      </c>
      <c r="P69" s="54">
        <f>SUM(P65:P68)</f>
        <v>2</v>
      </c>
      <c r="R69" s="60">
        <f>SUM(C69/B69)</f>
        <v>0.37792270866578781</v>
      </c>
      <c r="S69" s="60">
        <f>SUM(D69/B69)</f>
        <v>0.16054950392007217</v>
      </c>
      <c r="T69" s="60">
        <f>SUM(E69/B69)</f>
        <v>0.24921945465898843</v>
      </c>
      <c r="U69" s="60">
        <f>SUM(F69/B69)</f>
        <v>9.1896204815097485E-2</v>
      </c>
      <c r="V69" s="60">
        <f>SUM(G69/B69)</f>
        <v>6.2027336432387427E-2</v>
      </c>
      <c r="W69" s="60">
        <f>SUM(H69/B69)</f>
        <v>5.8384791507666692E-2</v>
      </c>
    </row>
    <row r="70" spans="1:23">
      <c r="A70" s="53"/>
      <c r="B70" s="54"/>
      <c r="C70" s="55"/>
      <c r="D70" s="55"/>
      <c r="E70" s="55"/>
      <c r="F70" s="55"/>
      <c r="G70" s="55"/>
      <c r="H70" s="55"/>
      <c r="J70" s="54"/>
      <c r="K70" s="55"/>
      <c r="L70" s="55"/>
      <c r="M70" s="55"/>
      <c r="N70" s="55"/>
      <c r="O70" s="55"/>
      <c r="P70" s="55"/>
    </row>
    <row r="71" spans="1:23">
      <c r="A71" s="56" t="s">
        <v>1586</v>
      </c>
      <c r="B71" s="54">
        <f>SUM(C71:H71)</f>
        <v>4993</v>
      </c>
      <c r="C71" s="55">
        <v>3169</v>
      </c>
      <c r="D71" s="55">
        <v>873</v>
      </c>
      <c r="E71" s="55">
        <v>951</v>
      </c>
      <c r="F71" s="55">
        <v>0</v>
      </c>
      <c r="G71" s="55">
        <v>0</v>
      </c>
      <c r="H71" s="55">
        <v>0</v>
      </c>
      <c r="J71" s="54">
        <f>SUM(K71:P71)</f>
        <v>5</v>
      </c>
      <c r="K71" s="55">
        <v>3</v>
      </c>
      <c r="L71" s="55">
        <v>1</v>
      </c>
      <c r="M71" s="55">
        <v>1</v>
      </c>
      <c r="N71" s="55">
        <v>0</v>
      </c>
      <c r="O71" s="55">
        <v>0</v>
      </c>
      <c r="P71" s="55">
        <v>0</v>
      </c>
      <c r="R71" s="61">
        <f>SUM(C71/B71)</f>
        <v>0.6346885639895854</v>
      </c>
      <c r="S71" s="61">
        <f>SUM(D71/B71)</f>
        <v>0.17484478269577408</v>
      </c>
      <c r="T71" s="61">
        <f>SUM(E71/B71)</f>
        <v>0.19046665331464049</v>
      </c>
      <c r="U71" s="61">
        <f>SUM(F71/B71)</f>
        <v>0</v>
      </c>
      <c r="V71" s="61">
        <f>SUM(G71/B71)</f>
        <v>0</v>
      </c>
      <c r="W71" s="61">
        <f>SUM(H71/B71)</f>
        <v>0</v>
      </c>
    </row>
    <row r="72" spans="1:23">
      <c r="A72" s="56" t="s">
        <v>1587</v>
      </c>
      <c r="B72" s="54">
        <f>SUM(C72:H72)</f>
        <v>4926</v>
      </c>
      <c r="C72" s="55">
        <v>3098</v>
      </c>
      <c r="D72" s="55">
        <v>353</v>
      </c>
      <c r="E72" s="55">
        <v>1186</v>
      </c>
      <c r="F72" s="55">
        <v>0</v>
      </c>
      <c r="G72" s="55">
        <v>289</v>
      </c>
      <c r="H72" s="55">
        <v>0</v>
      </c>
      <c r="J72" s="54">
        <f>SUM(K72:P72)</f>
        <v>6</v>
      </c>
      <c r="K72" s="55">
        <v>4</v>
      </c>
      <c r="L72" s="55">
        <v>0</v>
      </c>
      <c r="M72" s="55">
        <v>1</v>
      </c>
      <c r="N72" s="55">
        <v>0</v>
      </c>
      <c r="O72" s="55">
        <v>1</v>
      </c>
      <c r="P72" s="55">
        <v>0</v>
      </c>
      <c r="R72" s="61">
        <f>SUM(C72/B72)</f>
        <v>0.62890783597239142</v>
      </c>
      <c r="S72" s="61">
        <f>SUM(D72/B72)</f>
        <v>7.166057653268372E-2</v>
      </c>
      <c r="T72" s="61">
        <f>SUM(E72/B72)</f>
        <v>0.24076329679252945</v>
      </c>
      <c r="U72" s="61">
        <f>SUM(F72/B72)</f>
        <v>0</v>
      </c>
      <c r="V72" s="61">
        <f>SUM(G72/B72)</f>
        <v>5.8668290702395452E-2</v>
      </c>
      <c r="W72" s="61">
        <f>SUM(H72/B72)</f>
        <v>0</v>
      </c>
    </row>
    <row r="73" spans="1:23">
      <c r="A73" s="56" t="s">
        <v>1588</v>
      </c>
      <c r="B73" s="54">
        <f>SUM(C73:H73)</f>
        <v>6428</v>
      </c>
      <c r="C73" s="55">
        <v>3151</v>
      </c>
      <c r="D73" s="55">
        <v>977</v>
      </c>
      <c r="E73" s="55">
        <v>1568</v>
      </c>
      <c r="F73" s="55">
        <v>0</v>
      </c>
      <c r="G73" s="55">
        <v>0</v>
      </c>
      <c r="H73" s="55">
        <v>732</v>
      </c>
      <c r="J73" s="54">
        <f>SUM(K73:P73)</f>
        <v>6</v>
      </c>
      <c r="K73" s="55">
        <v>3</v>
      </c>
      <c r="L73" s="55">
        <v>1</v>
      </c>
      <c r="M73" s="55">
        <v>1</v>
      </c>
      <c r="N73" s="55">
        <v>0</v>
      </c>
      <c r="O73" s="55">
        <v>0</v>
      </c>
      <c r="P73" s="55">
        <v>1</v>
      </c>
      <c r="R73" s="61">
        <f>SUM(C73/B73)</f>
        <v>0.49019912881144989</v>
      </c>
      <c r="S73" s="61">
        <f>SUM(D73/B73)</f>
        <v>0.15199128811449908</v>
      </c>
      <c r="T73" s="61">
        <f>SUM(E73/B73)</f>
        <v>0.24393279402613566</v>
      </c>
      <c r="U73" s="61">
        <f>SUM(F73/B73)</f>
        <v>0</v>
      </c>
      <c r="V73" s="61">
        <f>SUM(G73/B73)</f>
        <v>0</v>
      </c>
      <c r="W73" s="61">
        <f>SUM(H73/B73)</f>
        <v>0.11387678904791537</v>
      </c>
    </row>
    <row r="74" spans="1:23" s="52" customFormat="1">
      <c r="A74" s="53" t="s">
        <v>1589</v>
      </c>
      <c r="B74" s="54">
        <f>SUM(B71:B73)</f>
        <v>16347</v>
      </c>
      <c r="C74" s="54">
        <f t="shared" ref="C74:O74" si="24">SUM(C71:C73)</f>
        <v>9418</v>
      </c>
      <c r="D74" s="54">
        <f>SUM(D71:D73)</f>
        <v>2203</v>
      </c>
      <c r="E74" s="54">
        <f t="shared" si="24"/>
        <v>3705</v>
      </c>
      <c r="F74" s="54">
        <f t="shared" si="24"/>
        <v>0</v>
      </c>
      <c r="G74" s="54">
        <f t="shared" si="24"/>
        <v>289</v>
      </c>
      <c r="H74" s="54">
        <f>SUM(H71:H73)</f>
        <v>732</v>
      </c>
      <c r="I74" s="54"/>
      <c r="J74" s="54">
        <f t="shared" si="24"/>
        <v>17</v>
      </c>
      <c r="K74" s="54">
        <f t="shared" si="24"/>
        <v>10</v>
      </c>
      <c r="L74" s="54">
        <f t="shared" si="24"/>
        <v>2</v>
      </c>
      <c r="M74" s="54">
        <f t="shared" si="24"/>
        <v>3</v>
      </c>
      <c r="N74" s="54">
        <f t="shared" si="24"/>
        <v>0</v>
      </c>
      <c r="O74" s="54">
        <f t="shared" si="24"/>
        <v>1</v>
      </c>
      <c r="P74" s="54">
        <f>SUM(P71:P73)</f>
        <v>1</v>
      </c>
      <c r="R74" s="60">
        <f>SUM(C74/B74)</f>
        <v>0.57613017679084844</v>
      </c>
      <c r="S74" s="60">
        <f>SUM(D74/B74)</f>
        <v>0.13476478864623478</v>
      </c>
      <c r="T74" s="60">
        <f>SUM(E74/B74)</f>
        <v>0.22664709120939622</v>
      </c>
      <c r="U74" s="60">
        <f>SUM(F74/B74)</f>
        <v>0</v>
      </c>
      <c r="V74" s="60">
        <f>SUM(G74/B74)</f>
        <v>1.7679084847372607E-2</v>
      </c>
      <c r="W74" s="60">
        <f>SUM(H74/B74)</f>
        <v>4.477885850614792E-2</v>
      </c>
    </row>
    <row r="75" spans="1:23">
      <c r="A75" s="53"/>
      <c r="B75" s="54"/>
      <c r="C75" s="55"/>
      <c r="D75" s="55"/>
      <c r="E75" s="55"/>
      <c r="F75" s="55"/>
      <c r="G75" s="55"/>
      <c r="H75" s="55"/>
      <c r="J75" s="54"/>
      <c r="K75" s="55"/>
      <c r="L75" s="55"/>
      <c r="M75" s="55"/>
      <c r="N75" s="55"/>
      <c r="O75" s="55"/>
      <c r="P75" s="55"/>
    </row>
    <row r="76" spans="1:23">
      <c r="A76" s="56" t="s">
        <v>1590</v>
      </c>
      <c r="B76" s="54">
        <f>SUM(C76:H76)</f>
        <v>7519</v>
      </c>
      <c r="C76" s="55">
        <v>1005</v>
      </c>
      <c r="D76" s="55">
        <v>0</v>
      </c>
      <c r="E76" s="55">
        <v>4912</v>
      </c>
      <c r="F76" s="55">
        <v>314</v>
      </c>
      <c r="G76" s="55">
        <v>443</v>
      </c>
      <c r="H76" s="55">
        <v>845</v>
      </c>
      <c r="J76" s="54">
        <f>SUM(K76:P76)</f>
        <v>7</v>
      </c>
      <c r="K76" s="55">
        <v>1</v>
      </c>
      <c r="L76" s="55">
        <v>0</v>
      </c>
      <c r="M76" s="55">
        <v>6</v>
      </c>
      <c r="N76" s="55">
        <v>0</v>
      </c>
      <c r="O76" s="55">
        <v>0</v>
      </c>
      <c r="P76" s="55">
        <v>0</v>
      </c>
      <c r="R76" s="61">
        <f>SUM(C76/B76)</f>
        <v>0.13366139114243916</v>
      </c>
      <c r="S76" s="61">
        <f>SUM(D76/B76)</f>
        <v>0</v>
      </c>
      <c r="T76" s="61">
        <f>SUM(E76/B76)</f>
        <v>0.6532783614842399</v>
      </c>
      <c r="U76" s="61">
        <f>SUM(F76/B76)</f>
        <v>4.1760872456443679E-2</v>
      </c>
      <c r="V76" s="61">
        <f>SUM(G76/B76)</f>
        <v>5.8917409229950791E-2</v>
      </c>
      <c r="W76" s="61">
        <f>SUM(H76/B76)</f>
        <v>0.11238196568692645</v>
      </c>
    </row>
    <row r="77" spans="1:23">
      <c r="A77" s="56" t="s">
        <v>1591</v>
      </c>
      <c r="B77" s="54">
        <f>SUM(C77:H77)</f>
        <v>6436</v>
      </c>
      <c r="C77" s="55">
        <v>1344</v>
      </c>
      <c r="D77" s="55">
        <v>430</v>
      </c>
      <c r="E77" s="55">
        <v>3633</v>
      </c>
      <c r="F77" s="55">
        <v>501</v>
      </c>
      <c r="G77" s="55">
        <v>528</v>
      </c>
      <c r="H77" s="55">
        <v>0</v>
      </c>
      <c r="J77" s="54">
        <f>SUM(K77:P77)</f>
        <v>6</v>
      </c>
      <c r="K77" s="55">
        <v>1</v>
      </c>
      <c r="L77" s="55">
        <v>1</v>
      </c>
      <c r="M77" s="55">
        <v>4</v>
      </c>
      <c r="N77" s="55">
        <v>0</v>
      </c>
      <c r="O77" s="55">
        <v>0</v>
      </c>
      <c r="P77" s="55">
        <v>0</v>
      </c>
      <c r="R77" s="61">
        <f>SUM(C77/B77)</f>
        <v>0.20882535736482288</v>
      </c>
      <c r="S77" s="61">
        <f>SUM(D77/B77)</f>
        <v>6.6811684275947789E-2</v>
      </c>
      <c r="T77" s="61">
        <f>SUM(E77/B77)</f>
        <v>0.56448104412678679</v>
      </c>
      <c r="U77" s="61">
        <f>SUM(F77/B77)</f>
        <v>7.7843380981976379E-2</v>
      </c>
      <c r="V77" s="61">
        <f>SUM(G77/B77)</f>
        <v>8.2038533250466131E-2</v>
      </c>
      <c r="W77" s="61">
        <f>SUM(H77/B77)</f>
        <v>0</v>
      </c>
    </row>
    <row r="78" spans="1:23">
      <c r="A78" s="56" t="s">
        <v>1592</v>
      </c>
      <c r="B78" s="54">
        <f>SUM(C78:H78)</f>
        <v>5798</v>
      </c>
      <c r="C78" s="55">
        <v>3156</v>
      </c>
      <c r="D78" s="55">
        <v>961</v>
      </c>
      <c r="E78" s="55">
        <v>1681</v>
      </c>
      <c r="F78" s="55">
        <v>0</v>
      </c>
      <c r="G78" s="55">
        <v>0</v>
      </c>
      <c r="H78" s="55">
        <v>0</v>
      </c>
      <c r="J78" s="54">
        <f>SUM(K78:P78)</f>
        <v>5</v>
      </c>
      <c r="K78" s="55">
        <v>3</v>
      </c>
      <c r="L78" s="55">
        <v>1</v>
      </c>
      <c r="M78" s="55">
        <v>1</v>
      </c>
      <c r="N78" s="55">
        <v>0</v>
      </c>
      <c r="O78" s="55">
        <v>0</v>
      </c>
      <c r="P78" s="55">
        <v>0</v>
      </c>
      <c r="R78" s="61">
        <f>SUM(C78/B78)</f>
        <v>0.54432562952742325</v>
      </c>
      <c r="S78" s="61">
        <f>SUM(D78/B78)</f>
        <v>0.16574680924456708</v>
      </c>
      <c r="T78" s="61">
        <f>SUM(E78/B78)</f>
        <v>0.28992756122800967</v>
      </c>
      <c r="U78" s="61">
        <f>SUM(F78/B78)</f>
        <v>0</v>
      </c>
      <c r="V78" s="61">
        <f>SUM(G78/B78)</f>
        <v>0</v>
      </c>
      <c r="W78" s="61">
        <f>SUM(H78/B78)</f>
        <v>0</v>
      </c>
    </row>
    <row r="79" spans="1:23">
      <c r="A79" s="56" t="s">
        <v>1593</v>
      </c>
      <c r="B79" s="54">
        <f>SUM(C79:H79)</f>
        <v>5825</v>
      </c>
      <c r="C79" s="55">
        <v>1795</v>
      </c>
      <c r="D79" s="55">
        <v>1154</v>
      </c>
      <c r="E79" s="55">
        <v>2876</v>
      </c>
      <c r="F79" s="55">
        <v>0</v>
      </c>
      <c r="G79" s="55">
        <v>0</v>
      </c>
      <c r="H79" s="55">
        <v>0</v>
      </c>
      <c r="I79" s="55"/>
      <c r="J79" s="54">
        <f>SUM(K79:P79)</f>
        <v>5</v>
      </c>
      <c r="K79" s="55">
        <v>2</v>
      </c>
      <c r="L79" s="55">
        <v>1</v>
      </c>
      <c r="M79" s="55">
        <v>2</v>
      </c>
      <c r="N79" s="55">
        <v>0</v>
      </c>
      <c r="O79" s="55">
        <v>0</v>
      </c>
      <c r="P79" s="55">
        <v>0</v>
      </c>
      <c r="R79" s="61">
        <f>SUM(C79/B79)</f>
        <v>0.30815450643776826</v>
      </c>
      <c r="S79" s="61">
        <f>SUM(D79/B79)</f>
        <v>0.19811158798283263</v>
      </c>
      <c r="T79" s="61">
        <f>SUM(E79/B79)</f>
        <v>0.49373390557939917</v>
      </c>
      <c r="U79" s="61">
        <f>SUM(F79/B79)</f>
        <v>0</v>
      </c>
      <c r="V79" s="61">
        <f>SUM(G79/B79)</f>
        <v>0</v>
      </c>
      <c r="W79" s="61">
        <f>SUM(H79/B79)</f>
        <v>0</v>
      </c>
    </row>
    <row r="80" spans="1:23" s="52" customFormat="1">
      <c r="A80" s="53" t="s">
        <v>1594</v>
      </c>
      <c r="B80" s="54">
        <f>SUM(B76:B79)</f>
        <v>25578</v>
      </c>
      <c r="C80" s="54">
        <f t="shared" ref="C80:O80" si="25">SUM(C76:C79)</f>
        <v>7300</v>
      </c>
      <c r="D80" s="54">
        <f>SUM(D76:D79)</f>
        <v>2545</v>
      </c>
      <c r="E80" s="54">
        <f t="shared" si="25"/>
        <v>13102</v>
      </c>
      <c r="F80" s="54">
        <f t="shared" si="25"/>
        <v>815</v>
      </c>
      <c r="G80" s="54">
        <f t="shared" si="25"/>
        <v>971</v>
      </c>
      <c r="H80" s="54">
        <f>SUM(H76:H79)</f>
        <v>845</v>
      </c>
      <c r="I80" s="54"/>
      <c r="J80" s="54">
        <f t="shared" si="25"/>
        <v>23</v>
      </c>
      <c r="K80" s="54">
        <f t="shared" si="25"/>
        <v>7</v>
      </c>
      <c r="L80" s="54">
        <f t="shared" si="25"/>
        <v>3</v>
      </c>
      <c r="M80" s="54">
        <f t="shared" si="25"/>
        <v>13</v>
      </c>
      <c r="N80" s="54">
        <f t="shared" si="25"/>
        <v>0</v>
      </c>
      <c r="O80" s="54">
        <f t="shared" si="25"/>
        <v>0</v>
      </c>
      <c r="P80" s="54">
        <f>SUM(P76:P79)</f>
        <v>0</v>
      </c>
      <c r="R80" s="60">
        <f>SUM(C80/B80)</f>
        <v>0.28540151692861054</v>
      </c>
      <c r="S80" s="60">
        <f>SUM(D80/B80)</f>
        <v>9.9499569942919697E-2</v>
      </c>
      <c r="T80" s="60">
        <f>SUM(E80/B80)</f>
        <v>0.51223707873954183</v>
      </c>
      <c r="U80" s="60">
        <f>SUM(F80/B80)</f>
        <v>3.1863320040659941E-2</v>
      </c>
      <c r="V80" s="60">
        <f>SUM(G80/B80)</f>
        <v>3.7962311361326141E-2</v>
      </c>
      <c r="W80" s="60">
        <f>SUM(H80/B80)</f>
        <v>3.3036202986941904E-2</v>
      </c>
    </row>
    <row r="81" spans="1:23">
      <c r="A81" s="53"/>
      <c r="B81" s="54"/>
      <c r="C81" s="55"/>
      <c r="D81" s="55"/>
      <c r="E81" s="55"/>
      <c r="F81" s="55"/>
      <c r="G81" s="55"/>
      <c r="H81" s="55"/>
      <c r="J81" s="54"/>
      <c r="K81" s="55"/>
      <c r="L81" s="55"/>
      <c r="M81" s="55"/>
      <c r="N81" s="55"/>
      <c r="O81" s="55"/>
      <c r="P81" s="55"/>
    </row>
    <row r="82" spans="1:23">
      <c r="A82" s="56" t="s">
        <v>1595</v>
      </c>
      <c r="B82" s="54">
        <f>SUM(C82:H82)</f>
        <v>6006</v>
      </c>
      <c r="C82" s="55">
        <v>2501</v>
      </c>
      <c r="D82" s="55">
        <v>1481</v>
      </c>
      <c r="E82" s="55">
        <v>0</v>
      </c>
      <c r="F82" s="55">
        <v>0</v>
      </c>
      <c r="G82" s="55">
        <v>796</v>
      </c>
      <c r="H82" s="55">
        <v>1228</v>
      </c>
      <c r="J82" s="54">
        <f>SUM(K82:P82)</f>
        <v>5</v>
      </c>
      <c r="K82" s="55">
        <v>3</v>
      </c>
      <c r="L82" s="55">
        <v>1</v>
      </c>
      <c r="M82" s="55">
        <v>0</v>
      </c>
      <c r="N82" s="55">
        <v>0</v>
      </c>
      <c r="O82" s="55">
        <v>0</v>
      </c>
      <c r="P82" s="55">
        <v>1</v>
      </c>
      <c r="R82" s="61">
        <f t="shared" ref="R82:R87" si="26">SUM(C82/B82)</f>
        <v>0.41641691641691642</v>
      </c>
      <c r="S82" s="61">
        <f t="shared" ref="S82:S87" si="27">SUM(D82/B82)</f>
        <v>0.24658674658674659</v>
      </c>
      <c r="T82" s="61">
        <f t="shared" ref="T82:T87" si="28">SUM(E82/B82)</f>
        <v>0</v>
      </c>
      <c r="U82" s="61">
        <f t="shared" ref="U82:U87" si="29">SUM(F82/B82)</f>
        <v>0</v>
      </c>
      <c r="V82" s="61">
        <f t="shared" ref="V82:V87" si="30">SUM(G82/B82)</f>
        <v>0.13253413253413254</v>
      </c>
      <c r="W82" s="61">
        <f t="shared" ref="W82:W87" si="31">SUM(H82/B82)</f>
        <v>0.20446220446220445</v>
      </c>
    </row>
    <row r="83" spans="1:23">
      <c r="A83" s="56" t="s">
        <v>1596</v>
      </c>
      <c r="B83" s="54">
        <f>SUM(C83:H83)</f>
        <v>5569</v>
      </c>
      <c r="C83" s="55">
        <v>2693</v>
      </c>
      <c r="D83" s="55">
        <v>1465</v>
      </c>
      <c r="E83" s="55">
        <v>890</v>
      </c>
      <c r="F83" s="55">
        <v>0</v>
      </c>
      <c r="G83" s="55">
        <v>521</v>
      </c>
      <c r="H83" s="55">
        <v>0</v>
      </c>
      <c r="J83" s="54">
        <f>SUM(K83:P83)</f>
        <v>5</v>
      </c>
      <c r="K83" s="55">
        <v>3</v>
      </c>
      <c r="L83" s="55">
        <v>1</v>
      </c>
      <c r="M83" s="55">
        <v>1</v>
      </c>
      <c r="N83" s="55">
        <v>0</v>
      </c>
      <c r="O83" s="55">
        <v>0</v>
      </c>
      <c r="P83" s="55">
        <v>0</v>
      </c>
      <c r="R83" s="61">
        <f t="shared" si="26"/>
        <v>0.48356976117794936</v>
      </c>
      <c r="S83" s="61">
        <f t="shared" si="27"/>
        <v>0.2630633866044173</v>
      </c>
      <c r="T83" s="61">
        <f t="shared" si="28"/>
        <v>0.15981325193032861</v>
      </c>
      <c r="U83" s="61">
        <f t="shared" si="29"/>
        <v>0</v>
      </c>
      <c r="V83" s="61">
        <f t="shared" si="30"/>
        <v>9.3553600287304722E-2</v>
      </c>
      <c r="W83" s="61">
        <f t="shared" si="31"/>
        <v>0</v>
      </c>
    </row>
    <row r="84" spans="1:23">
      <c r="A84" s="56" t="s">
        <v>1597</v>
      </c>
      <c r="B84" s="54">
        <f>SUM(C84:H84)</f>
        <v>7435</v>
      </c>
      <c r="C84" s="55">
        <v>2551</v>
      </c>
      <c r="D84" s="55">
        <v>1406</v>
      </c>
      <c r="E84" s="55">
        <v>0</v>
      </c>
      <c r="F84" s="55">
        <v>0</v>
      </c>
      <c r="G84" s="55">
        <v>1331</v>
      </c>
      <c r="H84" s="55">
        <v>2147</v>
      </c>
      <c r="J84" s="54">
        <f>SUM(K84:P84)</f>
        <v>7</v>
      </c>
      <c r="K84" s="55">
        <v>4</v>
      </c>
      <c r="L84" s="55">
        <v>1</v>
      </c>
      <c r="M84" s="55">
        <v>0</v>
      </c>
      <c r="N84" s="55">
        <v>0</v>
      </c>
      <c r="O84" s="55">
        <v>1</v>
      </c>
      <c r="P84" s="55">
        <v>1</v>
      </c>
      <c r="R84" s="61">
        <f t="shared" si="26"/>
        <v>0.34310692669804976</v>
      </c>
      <c r="S84" s="61">
        <f t="shared" si="27"/>
        <v>0.18910558170813718</v>
      </c>
      <c r="T84" s="61">
        <f t="shared" si="28"/>
        <v>0</v>
      </c>
      <c r="U84" s="61">
        <f t="shared" si="29"/>
        <v>0</v>
      </c>
      <c r="V84" s="61">
        <f t="shared" si="30"/>
        <v>0.17901815736381976</v>
      </c>
      <c r="W84" s="61">
        <f t="shared" si="31"/>
        <v>0.28876933422999329</v>
      </c>
    </row>
    <row r="85" spans="1:23">
      <c r="A85" s="56" t="s">
        <v>1598</v>
      </c>
      <c r="B85" s="54">
        <f>SUM(C85:H85)</f>
        <v>6396</v>
      </c>
      <c r="C85" s="55">
        <v>3580</v>
      </c>
      <c r="D85" s="55">
        <v>535</v>
      </c>
      <c r="E85" s="55">
        <v>0</v>
      </c>
      <c r="F85" s="55">
        <v>0</v>
      </c>
      <c r="G85" s="55">
        <v>1094</v>
      </c>
      <c r="H85" s="55">
        <v>1187</v>
      </c>
      <c r="J85" s="54">
        <f>SUM(K85:P85)</f>
        <v>6</v>
      </c>
      <c r="K85" s="55">
        <v>4</v>
      </c>
      <c r="L85" s="55">
        <v>0</v>
      </c>
      <c r="M85" s="55">
        <v>0</v>
      </c>
      <c r="N85" s="55">
        <v>0</v>
      </c>
      <c r="O85" s="55">
        <v>1</v>
      </c>
      <c r="P85" s="55">
        <v>1</v>
      </c>
      <c r="R85" s="61">
        <f t="shared" si="26"/>
        <v>0.55972482801751089</v>
      </c>
      <c r="S85" s="61">
        <f t="shared" si="27"/>
        <v>8.3646028767979982E-2</v>
      </c>
      <c r="T85" s="61">
        <f t="shared" si="28"/>
        <v>0</v>
      </c>
      <c r="U85" s="61">
        <f t="shared" si="29"/>
        <v>0</v>
      </c>
      <c r="V85" s="61">
        <f t="shared" si="30"/>
        <v>0.17104440275171984</v>
      </c>
      <c r="W85" s="61">
        <f t="shared" si="31"/>
        <v>0.18558474046278925</v>
      </c>
    </row>
    <row r="86" spans="1:23">
      <c r="A86" s="56" t="s">
        <v>1599</v>
      </c>
      <c r="B86" s="54">
        <f>SUM(C86:H86)</f>
        <v>8420</v>
      </c>
      <c r="C86" s="55">
        <v>1891</v>
      </c>
      <c r="D86" s="55">
        <v>463</v>
      </c>
      <c r="E86" s="55">
        <v>1771</v>
      </c>
      <c r="F86" s="55">
        <v>3138</v>
      </c>
      <c r="G86" s="55">
        <v>427</v>
      </c>
      <c r="H86" s="55">
        <v>730</v>
      </c>
      <c r="J86" s="54">
        <f>SUM(K86:P86)</f>
        <v>7</v>
      </c>
      <c r="K86" s="55">
        <v>2</v>
      </c>
      <c r="L86" s="55">
        <v>0</v>
      </c>
      <c r="M86" s="55">
        <v>2</v>
      </c>
      <c r="N86" s="55">
        <v>3</v>
      </c>
      <c r="O86" s="55">
        <v>0</v>
      </c>
      <c r="P86" s="55">
        <v>0</v>
      </c>
      <c r="R86" s="61">
        <f t="shared" si="26"/>
        <v>0.22458432304038004</v>
      </c>
      <c r="S86" s="61">
        <f t="shared" si="27"/>
        <v>5.4988123515439427E-2</v>
      </c>
      <c r="T86" s="61">
        <f t="shared" si="28"/>
        <v>0.21033254156769596</v>
      </c>
      <c r="U86" s="61">
        <f t="shared" si="29"/>
        <v>0.37268408551068882</v>
      </c>
      <c r="V86" s="61">
        <f t="shared" si="30"/>
        <v>5.0712589073634205E-2</v>
      </c>
      <c r="W86" s="61">
        <f t="shared" si="31"/>
        <v>8.6698337292161518E-2</v>
      </c>
    </row>
    <row r="87" spans="1:23" s="52" customFormat="1">
      <c r="A87" s="53" t="s">
        <v>1600</v>
      </c>
      <c r="B87" s="54">
        <f>SUM(B82:B86)</f>
        <v>33826</v>
      </c>
      <c r="C87" s="54">
        <f t="shared" ref="C87:O87" si="32">SUM(C82:C86)</f>
        <v>13216</v>
      </c>
      <c r="D87" s="54">
        <f>SUM(D82:D86)</f>
        <v>5350</v>
      </c>
      <c r="E87" s="54">
        <f t="shared" si="32"/>
        <v>2661</v>
      </c>
      <c r="F87" s="54">
        <f t="shared" si="32"/>
        <v>3138</v>
      </c>
      <c r="G87" s="54">
        <f t="shared" si="32"/>
        <v>4169</v>
      </c>
      <c r="H87" s="54">
        <f>SUM(H82:H86)</f>
        <v>5292</v>
      </c>
      <c r="I87" s="54"/>
      <c r="J87" s="54">
        <f t="shared" si="32"/>
        <v>30</v>
      </c>
      <c r="K87" s="54">
        <f t="shared" si="32"/>
        <v>16</v>
      </c>
      <c r="L87" s="54">
        <f t="shared" si="32"/>
        <v>3</v>
      </c>
      <c r="M87" s="54">
        <f t="shared" si="32"/>
        <v>3</v>
      </c>
      <c r="N87" s="54">
        <f t="shared" si="32"/>
        <v>3</v>
      </c>
      <c r="O87" s="54">
        <f t="shared" si="32"/>
        <v>2</v>
      </c>
      <c r="P87" s="54">
        <f>SUM(P82:P86)</f>
        <v>3</v>
      </c>
      <c r="R87" s="60">
        <f t="shared" si="26"/>
        <v>0.39070537456394488</v>
      </c>
      <c r="S87" s="60">
        <f t="shared" si="27"/>
        <v>0.15816236031455094</v>
      </c>
      <c r="T87" s="60">
        <f t="shared" si="28"/>
        <v>7.8667297345237391E-2</v>
      </c>
      <c r="U87" s="60">
        <f t="shared" si="29"/>
        <v>9.2768876012534737E-2</v>
      </c>
      <c r="V87" s="60">
        <f t="shared" si="30"/>
        <v>0.12324838881333885</v>
      </c>
      <c r="W87" s="60">
        <f t="shared" si="31"/>
        <v>0.15644770295039317</v>
      </c>
    </row>
    <row r="88" spans="1:23">
      <c r="A88" s="53"/>
      <c r="B88" s="54"/>
      <c r="C88" s="55"/>
      <c r="D88" s="55"/>
      <c r="E88" s="55"/>
      <c r="F88" s="55"/>
      <c r="G88" s="55"/>
      <c r="H88" s="55"/>
      <c r="J88" s="54"/>
      <c r="K88" s="55"/>
      <c r="L88" s="55"/>
      <c r="M88" s="55"/>
      <c r="N88" s="55"/>
      <c r="O88" s="55"/>
      <c r="P88" s="55"/>
    </row>
    <row r="89" spans="1:23">
      <c r="A89" s="56" t="s">
        <v>1601</v>
      </c>
      <c r="B89" s="54">
        <f>SUM(C89:H89)</f>
        <v>4773</v>
      </c>
      <c r="C89" s="55">
        <v>974</v>
      </c>
      <c r="D89" s="55">
        <v>1381</v>
      </c>
      <c r="E89" s="55">
        <v>0</v>
      </c>
      <c r="F89" s="55">
        <v>0</v>
      </c>
      <c r="G89" s="55">
        <v>1762</v>
      </c>
      <c r="H89" s="55">
        <v>656</v>
      </c>
      <c r="J89" s="54">
        <f>SUM(K89:P89)</f>
        <v>5</v>
      </c>
      <c r="K89" s="55">
        <v>1</v>
      </c>
      <c r="L89" s="55">
        <v>1</v>
      </c>
      <c r="M89" s="55">
        <v>0</v>
      </c>
      <c r="N89" s="55">
        <v>0</v>
      </c>
      <c r="O89" s="55">
        <v>2</v>
      </c>
      <c r="P89" s="55">
        <v>1</v>
      </c>
      <c r="R89" s="61">
        <f>SUM(C89/B89)</f>
        <v>0.204064529645925</v>
      </c>
      <c r="S89" s="61">
        <f>SUM(D89/B89)</f>
        <v>0.28933584747538238</v>
      </c>
      <c r="T89" s="61">
        <f>SUM(E89/B89)</f>
        <v>0</v>
      </c>
      <c r="U89" s="61">
        <f>SUM(F89/B89)</f>
        <v>0</v>
      </c>
      <c r="V89" s="61">
        <f>SUM(G89/B89)</f>
        <v>0.36915985753195057</v>
      </c>
      <c r="W89" s="61">
        <f>SUM(H89/B89)</f>
        <v>0.1374397653467421</v>
      </c>
    </row>
    <row r="90" spans="1:23">
      <c r="A90" s="56" t="s">
        <v>1602</v>
      </c>
      <c r="B90" s="54">
        <f>SUM(C90:H90)</f>
        <v>4815</v>
      </c>
      <c r="C90" s="55">
        <v>2202</v>
      </c>
      <c r="D90" s="55">
        <v>1527</v>
      </c>
      <c r="E90" s="55">
        <v>0</v>
      </c>
      <c r="F90" s="55">
        <v>0</v>
      </c>
      <c r="G90" s="55">
        <v>721</v>
      </c>
      <c r="H90" s="55">
        <v>365</v>
      </c>
      <c r="J90" s="54">
        <f>SUM(K90:P90)</f>
        <v>6</v>
      </c>
      <c r="K90" s="55">
        <v>3</v>
      </c>
      <c r="L90" s="55">
        <v>2</v>
      </c>
      <c r="M90" s="55">
        <v>0</v>
      </c>
      <c r="N90" s="55">
        <v>0</v>
      </c>
      <c r="O90" s="55">
        <v>1</v>
      </c>
      <c r="P90" s="55">
        <v>0</v>
      </c>
      <c r="R90" s="61">
        <f>SUM(C90/B90)</f>
        <v>0.45732087227414331</v>
      </c>
      <c r="S90" s="61">
        <f>SUM(D90/B90)</f>
        <v>0.31713395638629283</v>
      </c>
      <c r="T90" s="61">
        <f>SUM(E90/B90)</f>
        <v>0</v>
      </c>
      <c r="U90" s="61">
        <f>SUM(F90/B90)</f>
        <v>0</v>
      </c>
      <c r="V90" s="61">
        <f>SUM(G90/B90)</f>
        <v>0.14974039460020769</v>
      </c>
      <c r="W90" s="61">
        <f>SUM(H90/B90)</f>
        <v>7.5804776739356178E-2</v>
      </c>
    </row>
    <row r="91" spans="1:23">
      <c r="A91" s="56" t="s">
        <v>1603</v>
      </c>
      <c r="B91" s="54">
        <f>SUM(C91:H91)</f>
        <v>4991</v>
      </c>
      <c r="C91" s="55">
        <v>2232</v>
      </c>
      <c r="D91" s="55">
        <v>1217</v>
      </c>
      <c r="E91" s="55">
        <v>0</v>
      </c>
      <c r="F91" s="55">
        <v>0</v>
      </c>
      <c r="G91" s="55">
        <v>1250</v>
      </c>
      <c r="H91" s="55">
        <v>292</v>
      </c>
      <c r="J91" s="54">
        <f>SUM(K91:P91)</f>
        <v>6</v>
      </c>
      <c r="K91" s="55">
        <v>3</v>
      </c>
      <c r="L91" s="55">
        <v>1</v>
      </c>
      <c r="M91" s="55">
        <v>0</v>
      </c>
      <c r="N91" s="55">
        <v>0</v>
      </c>
      <c r="O91" s="55">
        <v>2</v>
      </c>
      <c r="P91" s="55">
        <v>0</v>
      </c>
      <c r="R91" s="61">
        <f>SUM(C91/B91)</f>
        <v>0.44720496894409939</v>
      </c>
      <c r="S91" s="61">
        <f>SUM(D91/B91)</f>
        <v>0.24383891003806851</v>
      </c>
      <c r="T91" s="61">
        <f>SUM(E91/B91)</f>
        <v>0</v>
      </c>
      <c r="U91" s="61">
        <f>SUM(F91/B91)</f>
        <v>0</v>
      </c>
      <c r="V91" s="61">
        <f>SUM(G91/B91)</f>
        <v>0.25045081146062914</v>
      </c>
      <c r="W91" s="61">
        <f>SUM(H91/B91)</f>
        <v>5.8505309557202963E-2</v>
      </c>
    </row>
    <row r="92" spans="1:23">
      <c r="A92" s="56" t="s">
        <v>1604</v>
      </c>
      <c r="B92" s="54">
        <f>SUM(C92:H92)</f>
        <v>4656</v>
      </c>
      <c r="C92" s="55">
        <v>1275</v>
      </c>
      <c r="D92" s="55">
        <v>1313</v>
      </c>
      <c r="E92" s="55">
        <v>0</v>
      </c>
      <c r="F92" s="55">
        <v>0</v>
      </c>
      <c r="G92" s="55">
        <v>768</v>
      </c>
      <c r="H92" s="55">
        <v>1300</v>
      </c>
      <c r="J92" s="54">
        <f>SUM(K92:P92)</f>
        <v>6</v>
      </c>
      <c r="K92" s="55">
        <v>2</v>
      </c>
      <c r="L92" s="55">
        <v>2</v>
      </c>
      <c r="M92" s="55">
        <v>0</v>
      </c>
      <c r="N92" s="55">
        <v>0</v>
      </c>
      <c r="O92" s="55">
        <v>1</v>
      </c>
      <c r="P92" s="55">
        <v>1</v>
      </c>
      <c r="R92" s="61">
        <f>SUM(C92/B92)</f>
        <v>0.27384020618556704</v>
      </c>
      <c r="S92" s="61">
        <f>SUM(D92/B92)</f>
        <v>0.28200171821305842</v>
      </c>
      <c r="T92" s="61">
        <f>SUM(E92/B92)</f>
        <v>0</v>
      </c>
      <c r="U92" s="61">
        <f>SUM(F92/B92)</f>
        <v>0</v>
      </c>
      <c r="V92" s="61">
        <f>SUM(G92/B92)</f>
        <v>0.16494845360824742</v>
      </c>
      <c r="W92" s="61">
        <f>SUM(H92/B92)</f>
        <v>0.27920962199312716</v>
      </c>
    </row>
    <row r="93" spans="1:23" s="52" customFormat="1">
      <c r="A93" s="53" t="s">
        <v>1605</v>
      </c>
      <c r="B93" s="54">
        <f>SUM(B89:B92)</f>
        <v>19235</v>
      </c>
      <c r="C93" s="54">
        <f t="shared" ref="C93:O93" si="33">SUM(C89:C92)</f>
        <v>6683</v>
      </c>
      <c r="D93" s="54">
        <f>SUM(D89:D92)</f>
        <v>5438</v>
      </c>
      <c r="E93" s="54">
        <f t="shared" si="33"/>
        <v>0</v>
      </c>
      <c r="F93" s="54">
        <f t="shared" si="33"/>
        <v>0</v>
      </c>
      <c r="G93" s="54">
        <f t="shared" si="33"/>
        <v>4501</v>
      </c>
      <c r="H93" s="54">
        <f>SUM(H89:H92)</f>
        <v>2613</v>
      </c>
      <c r="I93" s="54"/>
      <c r="J93" s="54">
        <f t="shared" si="33"/>
        <v>23</v>
      </c>
      <c r="K93" s="54">
        <f t="shared" si="33"/>
        <v>9</v>
      </c>
      <c r="L93" s="54">
        <f t="shared" si="33"/>
        <v>6</v>
      </c>
      <c r="M93" s="54">
        <f t="shared" si="33"/>
        <v>0</v>
      </c>
      <c r="N93" s="54">
        <f t="shared" si="33"/>
        <v>0</v>
      </c>
      <c r="O93" s="54">
        <f t="shared" si="33"/>
        <v>6</v>
      </c>
      <c r="P93" s="54">
        <f>SUM(P89:P92)</f>
        <v>2</v>
      </c>
      <c r="R93" s="60">
        <f>SUM(C93/B93)</f>
        <v>0.34743956329607484</v>
      </c>
      <c r="S93" s="60">
        <f>SUM(D93/B93)</f>
        <v>0.28271380296334808</v>
      </c>
      <c r="T93" s="60">
        <f>SUM(E93/B93)</f>
        <v>0</v>
      </c>
      <c r="U93" s="60">
        <f>SUM(F93/B93)</f>
        <v>0</v>
      </c>
      <c r="V93" s="60">
        <f>SUM(G93/B93)</f>
        <v>0.23400051988562517</v>
      </c>
      <c r="W93" s="60">
        <f>SUM(H93/B93)</f>
        <v>0.13584611385495191</v>
      </c>
    </row>
    <row r="94" spans="1:23">
      <c r="A94" s="53"/>
      <c r="B94" s="54"/>
      <c r="C94" s="55"/>
      <c r="D94" s="55"/>
      <c r="E94" s="55"/>
      <c r="F94" s="55"/>
      <c r="G94" s="55"/>
      <c r="H94" s="55"/>
      <c r="I94" s="55"/>
      <c r="J94" s="54"/>
      <c r="K94" s="55"/>
      <c r="L94" s="55"/>
      <c r="M94" s="55"/>
      <c r="N94" s="55"/>
      <c r="O94" s="55"/>
      <c r="P94" s="55"/>
    </row>
    <row r="95" spans="1:23">
      <c r="A95" s="56" t="s">
        <v>1606</v>
      </c>
      <c r="B95" s="54">
        <f>SUM(C95:H95)</f>
        <v>3938</v>
      </c>
      <c r="C95" s="55">
        <v>607</v>
      </c>
      <c r="D95" s="55">
        <v>813</v>
      </c>
      <c r="E95" s="55">
        <v>0</v>
      </c>
      <c r="F95" s="55">
        <v>0</v>
      </c>
      <c r="G95" s="55">
        <v>611</v>
      </c>
      <c r="H95" s="55">
        <v>1907</v>
      </c>
      <c r="J95" s="54">
        <f>SUM(K95:P95)</f>
        <v>6</v>
      </c>
      <c r="K95" s="55">
        <v>1</v>
      </c>
      <c r="L95" s="55">
        <v>1</v>
      </c>
      <c r="M95" s="55">
        <v>0</v>
      </c>
      <c r="N95" s="55">
        <v>0</v>
      </c>
      <c r="O95" s="55">
        <v>1</v>
      </c>
      <c r="P95" s="55">
        <v>3</v>
      </c>
      <c r="R95" s="61">
        <f>SUM(C95/B95)</f>
        <v>0.15413915693245303</v>
      </c>
      <c r="S95" s="61">
        <f>SUM(D95/B95)</f>
        <v>0.20644997460639919</v>
      </c>
      <c r="T95" s="61">
        <f>SUM(E95/B95)</f>
        <v>0</v>
      </c>
      <c r="U95" s="61">
        <f>SUM(F95/B95)</f>
        <v>0</v>
      </c>
      <c r="V95" s="61">
        <f>SUM(G95/B95)</f>
        <v>0.15515490096495682</v>
      </c>
      <c r="W95" s="61">
        <f>SUM(H95/B95)</f>
        <v>0.48425596749619099</v>
      </c>
    </row>
    <row r="96" spans="1:23">
      <c r="A96" s="56" t="s">
        <v>1607</v>
      </c>
      <c r="B96" s="54">
        <f>SUM(C96:H96)</f>
        <v>5905</v>
      </c>
      <c r="C96" s="55">
        <v>1119</v>
      </c>
      <c r="D96" s="55">
        <v>830</v>
      </c>
      <c r="E96" s="55">
        <v>0</v>
      </c>
      <c r="F96" s="55">
        <v>0</v>
      </c>
      <c r="G96" s="55">
        <v>1064</v>
      </c>
      <c r="H96" s="55">
        <v>2892</v>
      </c>
      <c r="J96" s="54">
        <f>SUM(K96:P96)</f>
        <v>7</v>
      </c>
      <c r="K96" s="55">
        <v>2</v>
      </c>
      <c r="L96" s="55">
        <v>1</v>
      </c>
      <c r="M96" s="55">
        <v>0</v>
      </c>
      <c r="N96" s="55">
        <v>0</v>
      </c>
      <c r="O96" s="55">
        <v>1</v>
      </c>
      <c r="P96" s="55">
        <v>3</v>
      </c>
      <c r="R96" s="61">
        <f>SUM(C96/B96)</f>
        <v>0.1895004233700254</v>
      </c>
      <c r="S96" s="61">
        <f>SUM(D96/B96)</f>
        <v>0.14055884843353092</v>
      </c>
      <c r="T96" s="61">
        <f>SUM(E96/B96)</f>
        <v>0</v>
      </c>
      <c r="U96" s="61">
        <f>SUM(F96/B96)</f>
        <v>0</v>
      </c>
      <c r="V96" s="61">
        <f>SUM(G96/B96)</f>
        <v>0.18018628281117696</v>
      </c>
      <c r="W96" s="61">
        <f>SUM(H96/B96)</f>
        <v>0.48975444538526675</v>
      </c>
    </row>
    <row r="97" spans="1:23">
      <c r="A97" s="56" t="s">
        <v>1608</v>
      </c>
      <c r="B97" s="54">
        <f>SUM(C97:H97)</f>
        <v>4422</v>
      </c>
      <c r="C97" s="55">
        <v>835</v>
      </c>
      <c r="D97" s="55">
        <v>523</v>
      </c>
      <c r="E97" s="55">
        <v>0</v>
      </c>
      <c r="F97" s="55">
        <v>0</v>
      </c>
      <c r="G97" s="55">
        <v>1014</v>
      </c>
      <c r="H97" s="55">
        <v>2050</v>
      </c>
      <c r="J97" s="54">
        <f>SUM(K97:P97)</f>
        <v>5</v>
      </c>
      <c r="K97" s="55">
        <v>1</v>
      </c>
      <c r="L97" s="55">
        <v>0</v>
      </c>
      <c r="M97" s="55">
        <v>0</v>
      </c>
      <c r="N97" s="55">
        <v>0</v>
      </c>
      <c r="O97" s="55">
        <v>1</v>
      </c>
      <c r="P97" s="55">
        <v>3</v>
      </c>
      <c r="R97" s="61">
        <f>SUM(C97/B97)</f>
        <v>0.18882858435097241</v>
      </c>
      <c r="S97" s="61">
        <f>SUM(D97/B97)</f>
        <v>0.1182722749886929</v>
      </c>
      <c r="T97" s="61">
        <f>SUM(E97/B97)</f>
        <v>0</v>
      </c>
      <c r="U97" s="61">
        <f>SUM(F97/B97)</f>
        <v>0</v>
      </c>
      <c r="V97" s="61">
        <f>SUM(G97/B97)</f>
        <v>0.22930800542740842</v>
      </c>
      <c r="W97" s="61">
        <f>SUM(H97/B97)</f>
        <v>0.46359113523292628</v>
      </c>
    </row>
    <row r="98" spans="1:23">
      <c r="A98" s="56" t="s">
        <v>1609</v>
      </c>
      <c r="B98" s="54">
        <f>SUM(C98:H98)</f>
        <v>5606</v>
      </c>
      <c r="C98" s="55">
        <v>1148</v>
      </c>
      <c r="D98" s="55">
        <v>1052</v>
      </c>
      <c r="E98" s="55">
        <v>0</v>
      </c>
      <c r="F98" s="55">
        <v>0</v>
      </c>
      <c r="G98" s="55">
        <v>1831</v>
      </c>
      <c r="H98" s="55">
        <v>1575</v>
      </c>
      <c r="J98" s="54">
        <f>SUM(K98:P98)</f>
        <v>7</v>
      </c>
      <c r="K98" s="55">
        <v>2</v>
      </c>
      <c r="L98" s="55">
        <v>1</v>
      </c>
      <c r="M98" s="55">
        <v>0</v>
      </c>
      <c r="N98" s="55">
        <v>0</v>
      </c>
      <c r="O98" s="55">
        <v>2</v>
      </c>
      <c r="P98" s="55">
        <v>2</v>
      </c>
      <c r="R98" s="61">
        <f>SUM(C98/B98)</f>
        <v>0.20478059222261863</v>
      </c>
      <c r="S98" s="61">
        <f>SUM(D98/B98)</f>
        <v>0.18765608276846235</v>
      </c>
      <c r="T98" s="61">
        <f>SUM(E98/B98)</f>
        <v>0</v>
      </c>
      <c r="U98" s="61">
        <f>SUM(F98/B98)</f>
        <v>0</v>
      </c>
      <c r="V98" s="61">
        <f>SUM(G98/B98)</f>
        <v>0.32661434177666787</v>
      </c>
      <c r="W98" s="61">
        <f>SUM(H98/B98)</f>
        <v>0.28094898323225115</v>
      </c>
    </row>
    <row r="99" spans="1:23" s="52" customFormat="1">
      <c r="A99" s="53" t="s">
        <v>1610</v>
      </c>
      <c r="B99" s="54">
        <f>SUM(B95:B98)</f>
        <v>19871</v>
      </c>
      <c r="C99" s="54">
        <f t="shared" ref="C99:O99" si="34">SUM(C95:C98)</f>
        <v>3709</v>
      </c>
      <c r="D99" s="54">
        <f>SUM(D95:D98)</f>
        <v>3218</v>
      </c>
      <c r="E99" s="54">
        <f t="shared" si="34"/>
        <v>0</v>
      </c>
      <c r="F99" s="54">
        <f t="shared" si="34"/>
        <v>0</v>
      </c>
      <c r="G99" s="54">
        <f t="shared" si="34"/>
        <v>4520</v>
      </c>
      <c r="H99" s="54">
        <f>SUM(H95:H98)</f>
        <v>8424</v>
      </c>
      <c r="I99" s="54"/>
      <c r="J99" s="54">
        <f t="shared" si="34"/>
        <v>25</v>
      </c>
      <c r="K99" s="54">
        <f t="shared" si="34"/>
        <v>6</v>
      </c>
      <c r="L99" s="54">
        <f t="shared" si="34"/>
        <v>3</v>
      </c>
      <c r="M99" s="54">
        <f t="shared" si="34"/>
        <v>0</v>
      </c>
      <c r="N99" s="54">
        <f t="shared" si="34"/>
        <v>0</v>
      </c>
      <c r="O99" s="54">
        <f t="shared" si="34"/>
        <v>5</v>
      </c>
      <c r="P99" s="54">
        <f>SUM(P95:P98)</f>
        <v>11</v>
      </c>
      <c r="R99" s="60">
        <f>SUM(C99/B99)</f>
        <v>0.18665391776961401</v>
      </c>
      <c r="S99" s="60">
        <f>SUM(D99/B99)</f>
        <v>0.16194454229782093</v>
      </c>
      <c r="T99" s="60">
        <f>SUM(E99/B99)</f>
        <v>0</v>
      </c>
      <c r="U99" s="60">
        <f>SUM(F99/B99)</f>
        <v>0</v>
      </c>
      <c r="V99" s="60">
        <f>SUM(G99/B99)</f>
        <v>0.22746716320265714</v>
      </c>
      <c r="W99" s="60">
        <f>SUM(H99/B99)</f>
        <v>0.42393437672990791</v>
      </c>
    </row>
    <row r="100" spans="1:23">
      <c r="A100" s="53"/>
      <c r="B100" s="54"/>
      <c r="C100" s="55"/>
      <c r="D100" s="55"/>
      <c r="E100" s="55"/>
      <c r="F100" s="55"/>
      <c r="G100" s="55"/>
      <c r="H100" s="55"/>
      <c r="J100" s="54"/>
      <c r="K100" s="55"/>
      <c r="L100" s="55"/>
      <c r="M100" s="55"/>
      <c r="N100" s="55"/>
      <c r="O100" s="55"/>
      <c r="P100" s="55"/>
    </row>
    <row r="101" spans="1:23">
      <c r="A101" s="56" t="s">
        <v>1611</v>
      </c>
      <c r="B101" s="54">
        <f>SUM(C101:H101)</f>
        <v>5209</v>
      </c>
      <c r="C101" s="55">
        <v>786</v>
      </c>
      <c r="D101" s="55">
        <v>2990</v>
      </c>
      <c r="E101" s="55">
        <v>0</v>
      </c>
      <c r="F101" s="55">
        <v>0</v>
      </c>
      <c r="G101" s="55">
        <v>967</v>
      </c>
      <c r="H101" s="55">
        <v>466</v>
      </c>
      <c r="J101" s="54">
        <f>SUM(K101:P101)</f>
        <v>6</v>
      </c>
      <c r="K101" s="55">
        <v>1</v>
      </c>
      <c r="L101" s="55">
        <v>3</v>
      </c>
      <c r="M101" s="55">
        <v>0</v>
      </c>
      <c r="N101" s="55">
        <v>0</v>
      </c>
      <c r="O101" s="55">
        <v>1</v>
      </c>
      <c r="P101" s="55">
        <v>1</v>
      </c>
      <c r="R101" s="61">
        <f>SUM(C101/B101)</f>
        <v>0.15089268573622577</v>
      </c>
      <c r="S101" s="61">
        <f>SUM(D101/B101)</f>
        <v>0.57400652716452294</v>
      </c>
      <c r="T101" s="61">
        <f>SUM(E101/B101)</f>
        <v>0</v>
      </c>
      <c r="U101" s="61">
        <f>SUM(F101/B101)</f>
        <v>0</v>
      </c>
      <c r="V101" s="61">
        <f>SUM(G101/B101)</f>
        <v>0.18564023804952967</v>
      </c>
      <c r="W101" s="61">
        <f>SUM(H101/B101)</f>
        <v>8.946054904972163E-2</v>
      </c>
    </row>
    <row r="102" spans="1:23">
      <c r="A102" s="56" t="s">
        <v>1612</v>
      </c>
      <c r="B102" s="54">
        <f>SUM(C102:H102)</f>
        <v>5961</v>
      </c>
      <c r="C102" s="55">
        <v>534</v>
      </c>
      <c r="D102" s="55">
        <v>3100</v>
      </c>
      <c r="E102" s="55">
        <v>0</v>
      </c>
      <c r="F102" s="55">
        <v>0</v>
      </c>
      <c r="G102" s="55">
        <v>910</v>
      </c>
      <c r="H102" s="55">
        <v>1417</v>
      </c>
      <c r="J102" s="54">
        <f>SUM(K102:P102)</f>
        <v>7</v>
      </c>
      <c r="K102" s="55">
        <v>1</v>
      </c>
      <c r="L102" s="55">
        <v>3</v>
      </c>
      <c r="M102" s="55">
        <v>0</v>
      </c>
      <c r="N102" s="55">
        <v>0</v>
      </c>
      <c r="O102" s="55">
        <v>1</v>
      </c>
      <c r="P102" s="55">
        <v>2</v>
      </c>
      <c r="R102" s="61">
        <f>SUM(C102/B102)</f>
        <v>8.958228485153498E-2</v>
      </c>
      <c r="S102" s="61">
        <f>SUM(D102/B102)</f>
        <v>0.5200469719845664</v>
      </c>
      <c r="T102" s="61">
        <f>SUM(E102/B102)</f>
        <v>0</v>
      </c>
      <c r="U102" s="61">
        <f>SUM(F102/B102)</f>
        <v>0</v>
      </c>
      <c r="V102" s="61">
        <f>SUM(G102/B102)</f>
        <v>0.15265894984063078</v>
      </c>
      <c r="W102" s="61">
        <f>SUM(H102/B102)</f>
        <v>0.23771179332326792</v>
      </c>
    </row>
    <row r="103" spans="1:23">
      <c r="A103" s="56" t="s">
        <v>1613</v>
      </c>
      <c r="B103" s="54">
        <f>SUM(C103:H103)</f>
        <v>4409</v>
      </c>
      <c r="C103" s="55">
        <v>1366</v>
      </c>
      <c r="D103" s="55">
        <v>1344</v>
      </c>
      <c r="E103" s="55">
        <v>0</v>
      </c>
      <c r="F103" s="55">
        <v>0</v>
      </c>
      <c r="G103" s="55">
        <v>1372</v>
      </c>
      <c r="H103" s="55">
        <v>327</v>
      </c>
      <c r="J103" s="54">
        <f>SUM(K103:P103)</f>
        <v>5</v>
      </c>
      <c r="K103" s="55">
        <v>2</v>
      </c>
      <c r="L103" s="55">
        <v>1</v>
      </c>
      <c r="M103" s="55">
        <v>0</v>
      </c>
      <c r="N103" s="55">
        <v>0</v>
      </c>
      <c r="O103" s="55">
        <v>2</v>
      </c>
      <c r="P103" s="55">
        <v>0</v>
      </c>
      <c r="R103" s="61">
        <f>SUM(C103/B103)</f>
        <v>0.30982082104785663</v>
      </c>
      <c r="S103" s="61">
        <f>SUM(D103/B103)</f>
        <v>0.30483102744386481</v>
      </c>
      <c r="T103" s="61">
        <f>SUM(E103/B103)</f>
        <v>0</v>
      </c>
      <c r="U103" s="61">
        <f>SUM(F103/B103)</f>
        <v>0</v>
      </c>
      <c r="V103" s="61">
        <f>SUM(G103/B103)</f>
        <v>0.31118167384894535</v>
      </c>
      <c r="W103" s="61">
        <f>SUM(H103/B103)</f>
        <v>7.416647765933318E-2</v>
      </c>
    </row>
    <row r="104" spans="1:23">
      <c r="A104" s="56" t="s">
        <v>1658</v>
      </c>
      <c r="B104" s="54">
        <f>SUM(C104:H104)</f>
        <v>4535</v>
      </c>
      <c r="C104" s="55">
        <v>1719</v>
      </c>
      <c r="D104" s="55">
        <v>1443</v>
      </c>
      <c r="E104" s="55">
        <v>0</v>
      </c>
      <c r="F104" s="55">
        <v>0</v>
      </c>
      <c r="G104" s="55">
        <v>1163</v>
      </c>
      <c r="H104" s="55">
        <v>210</v>
      </c>
      <c r="J104" s="54">
        <f>SUM(K104:P104)</f>
        <v>5</v>
      </c>
      <c r="K104" s="55">
        <v>2</v>
      </c>
      <c r="L104" s="55">
        <v>2</v>
      </c>
      <c r="M104" s="55">
        <v>0</v>
      </c>
      <c r="N104" s="55">
        <v>0</v>
      </c>
      <c r="O104" s="55">
        <v>1</v>
      </c>
      <c r="P104" s="55">
        <v>0</v>
      </c>
      <c r="R104" s="61">
        <f>SUM(C104/B104)</f>
        <v>0.37905181918412351</v>
      </c>
      <c r="S104" s="61">
        <f>SUM(D104/B104)</f>
        <v>0.31819184123484012</v>
      </c>
      <c r="T104" s="61">
        <f>SUM(E104/B104)</f>
        <v>0</v>
      </c>
      <c r="U104" s="61">
        <f>SUM(F104/B104)</f>
        <v>0</v>
      </c>
      <c r="V104" s="61">
        <f>SUM(G104/B104)</f>
        <v>0.25644983461962512</v>
      </c>
      <c r="W104" s="61">
        <f>SUM(H104/B104)</f>
        <v>4.6306504961411248E-2</v>
      </c>
    </row>
    <row r="105" spans="1:23" s="52" customFormat="1">
      <c r="A105" s="53" t="s">
        <v>1614</v>
      </c>
      <c r="B105" s="54">
        <f>SUM(B101:B104)</f>
        <v>20114</v>
      </c>
      <c r="C105" s="54">
        <f t="shared" ref="C105:O105" si="35">SUM(C101:C104)</f>
        <v>4405</v>
      </c>
      <c r="D105" s="54">
        <f>SUM(D101:D104)</f>
        <v>8877</v>
      </c>
      <c r="E105" s="54">
        <f t="shared" si="35"/>
        <v>0</v>
      </c>
      <c r="F105" s="54">
        <f t="shared" si="35"/>
        <v>0</v>
      </c>
      <c r="G105" s="54">
        <f t="shared" si="35"/>
        <v>4412</v>
      </c>
      <c r="H105" s="54">
        <f>SUM(H101:H104)</f>
        <v>2420</v>
      </c>
      <c r="I105" s="54"/>
      <c r="J105" s="54">
        <f t="shared" si="35"/>
        <v>23</v>
      </c>
      <c r="K105" s="54">
        <f t="shared" si="35"/>
        <v>6</v>
      </c>
      <c r="L105" s="54">
        <f t="shared" si="35"/>
        <v>9</v>
      </c>
      <c r="M105" s="54">
        <f t="shared" si="35"/>
        <v>0</v>
      </c>
      <c r="N105" s="54">
        <f t="shared" si="35"/>
        <v>0</v>
      </c>
      <c r="O105" s="54">
        <f t="shared" si="35"/>
        <v>5</v>
      </c>
      <c r="P105" s="54">
        <f>SUM(P101:P104)</f>
        <v>3</v>
      </c>
      <c r="R105" s="60">
        <f>SUM(C105/B105)</f>
        <v>0.21900169036491995</v>
      </c>
      <c r="S105" s="60">
        <f>SUM(D105/B105)</f>
        <v>0.44133439395445956</v>
      </c>
      <c r="T105" s="60">
        <f>SUM(E105/B105)</f>
        <v>0</v>
      </c>
      <c r="U105" s="60">
        <f>SUM(F105/B105)</f>
        <v>0</v>
      </c>
      <c r="V105" s="60">
        <f>SUM(G105/B105)</f>
        <v>0.21934970667196976</v>
      </c>
      <c r="W105" s="60">
        <f>SUM(H105/B105)</f>
        <v>0.1203142090086507</v>
      </c>
    </row>
    <row r="106" spans="1:23">
      <c r="A106" s="53"/>
      <c r="B106" s="54"/>
      <c r="C106" s="55"/>
      <c r="D106" s="55"/>
      <c r="E106" s="55"/>
      <c r="F106" s="55"/>
      <c r="G106" s="55"/>
      <c r="H106" s="55"/>
      <c r="J106" s="54"/>
      <c r="K106" s="55"/>
      <c r="L106" s="55"/>
      <c r="M106" s="55"/>
      <c r="N106" s="55"/>
      <c r="O106" s="55"/>
      <c r="P106" s="55"/>
    </row>
    <row r="107" spans="1:23">
      <c r="A107" s="56" t="s">
        <v>1617</v>
      </c>
      <c r="B107" s="54">
        <f>SUM(C107:H107)</f>
        <v>5857</v>
      </c>
      <c r="C107" s="55">
        <v>2055</v>
      </c>
      <c r="D107" s="55">
        <v>956</v>
      </c>
      <c r="E107" s="55">
        <v>855</v>
      </c>
      <c r="F107" s="55">
        <v>150</v>
      </c>
      <c r="G107" s="55">
        <v>561</v>
      </c>
      <c r="H107" s="55">
        <v>1280</v>
      </c>
      <c r="J107" s="54">
        <f>SUM(K107:P107)</f>
        <v>7</v>
      </c>
      <c r="K107" s="55">
        <v>3</v>
      </c>
      <c r="L107" s="55">
        <v>1</v>
      </c>
      <c r="M107" s="55">
        <v>1</v>
      </c>
      <c r="N107" s="55">
        <v>0</v>
      </c>
      <c r="O107" s="55">
        <v>1</v>
      </c>
      <c r="P107" s="55">
        <v>1</v>
      </c>
      <c r="R107" s="61">
        <f>SUM(C107/B107)</f>
        <v>0.35086221615161345</v>
      </c>
      <c r="S107" s="61">
        <f>SUM(D107/B107)</f>
        <v>0.16322349325593308</v>
      </c>
      <c r="T107" s="61">
        <f>SUM(E107/B107)</f>
        <v>0.145979170223664</v>
      </c>
      <c r="U107" s="61">
        <f>SUM(F107/B107)</f>
        <v>2.5610380740993682E-2</v>
      </c>
      <c r="V107" s="61">
        <f>SUM(G107/B107)</f>
        <v>9.5782823971316378E-2</v>
      </c>
      <c r="W107" s="61">
        <f>SUM(H107/B107)</f>
        <v>0.21854191565647943</v>
      </c>
    </row>
    <row r="108" spans="1:23">
      <c r="A108" s="56" t="s">
        <v>1615</v>
      </c>
      <c r="B108" s="54">
        <f>SUM(C108:H108)</f>
        <v>4534</v>
      </c>
      <c r="C108" s="55">
        <v>2210</v>
      </c>
      <c r="D108" s="55">
        <v>709</v>
      </c>
      <c r="E108" s="55">
        <v>665</v>
      </c>
      <c r="F108" s="55">
        <v>0</v>
      </c>
      <c r="G108" s="55">
        <v>689</v>
      </c>
      <c r="H108" s="55">
        <v>261</v>
      </c>
      <c r="I108" s="55"/>
      <c r="J108" s="54">
        <f>SUM(K108:P108)</f>
        <v>7</v>
      </c>
      <c r="K108" s="55">
        <v>4</v>
      </c>
      <c r="L108" s="55">
        <v>1</v>
      </c>
      <c r="M108" s="55">
        <v>1</v>
      </c>
      <c r="N108" s="55">
        <v>0</v>
      </c>
      <c r="O108" s="55">
        <v>1</v>
      </c>
      <c r="P108" s="55">
        <v>0</v>
      </c>
      <c r="R108" s="61">
        <f>SUM(C108/B108)</f>
        <v>0.4874283193647993</v>
      </c>
      <c r="S108" s="61">
        <f>SUM(D108/B108)</f>
        <v>0.15637406263784737</v>
      </c>
      <c r="T108" s="61">
        <f>SUM(E108/B108)</f>
        <v>0.14666960741067489</v>
      </c>
      <c r="U108" s="61">
        <f>SUM(F108/B108)</f>
        <v>0</v>
      </c>
      <c r="V108" s="61">
        <f>SUM(G108/B108)</f>
        <v>0.15196294662549625</v>
      </c>
      <c r="W108" s="61">
        <f>SUM(H108/B108)</f>
        <v>5.7565063961182182E-2</v>
      </c>
    </row>
    <row r="109" spans="1:23">
      <c r="A109" s="56" t="s">
        <v>1616</v>
      </c>
      <c r="B109" s="54">
        <f>SUM(C109:H109)</f>
        <v>4399</v>
      </c>
      <c r="C109" s="55">
        <v>1436</v>
      </c>
      <c r="D109" s="55">
        <v>747</v>
      </c>
      <c r="E109" s="55">
        <v>1588</v>
      </c>
      <c r="F109" s="55">
        <v>628</v>
      </c>
      <c r="G109" s="55">
        <v>0</v>
      </c>
      <c r="H109" s="55">
        <v>0</v>
      </c>
      <c r="J109" s="54">
        <f>SUM(K109:P109)</f>
        <v>5</v>
      </c>
      <c r="K109" s="55">
        <v>1</v>
      </c>
      <c r="L109" s="55">
        <v>1</v>
      </c>
      <c r="M109" s="55">
        <v>2</v>
      </c>
      <c r="N109" s="55">
        <v>1</v>
      </c>
      <c r="O109" s="55">
        <v>0</v>
      </c>
      <c r="P109" s="55">
        <v>0</v>
      </c>
      <c r="R109" s="61">
        <f>SUM(C109/B109)</f>
        <v>0.32643782677881339</v>
      </c>
      <c r="S109" s="61">
        <f>SUM(D109/B109)</f>
        <v>0.16981132075471697</v>
      </c>
      <c r="T109" s="61">
        <f>SUM(E109/B109)</f>
        <v>0.3609911343487156</v>
      </c>
      <c r="U109" s="61">
        <f>SUM(F109/B109)</f>
        <v>0.14275971811775404</v>
      </c>
      <c r="V109" s="61">
        <f>SUM(G109/B109)</f>
        <v>0</v>
      </c>
      <c r="W109" s="61">
        <f>SUM(H109/B109)</f>
        <v>0</v>
      </c>
    </row>
    <row r="110" spans="1:23" s="52" customFormat="1">
      <c r="A110" s="53" t="s">
        <v>1618</v>
      </c>
      <c r="B110" s="54">
        <f>SUM(B107:B109)</f>
        <v>14790</v>
      </c>
      <c r="C110" s="54">
        <f t="shared" ref="C110:O110" si="36">SUM(C107:C109)</f>
        <v>5701</v>
      </c>
      <c r="D110" s="54">
        <f>SUM(D107:D109)</f>
        <v>2412</v>
      </c>
      <c r="E110" s="54">
        <f t="shared" si="36"/>
        <v>3108</v>
      </c>
      <c r="F110" s="54">
        <f t="shared" si="36"/>
        <v>778</v>
      </c>
      <c r="G110" s="54">
        <f t="shared" si="36"/>
        <v>1250</v>
      </c>
      <c r="H110" s="54">
        <f>SUM(H107:H109)</f>
        <v>1541</v>
      </c>
      <c r="I110" s="54"/>
      <c r="J110" s="54">
        <f t="shared" si="36"/>
        <v>19</v>
      </c>
      <c r="K110" s="54">
        <f t="shared" si="36"/>
        <v>8</v>
      </c>
      <c r="L110" s="54">
        <f t="shared" si="36"/>
        <v>3</v>
      </c>
      <c r="M110" s="54">
        <f t="shared" si="36"/>
        <v>4</v>
      </c>
      <c r="N110" s="54">
        <f t="shared" si="36"/>
        <v>1</v>
      </c>
      <c r="O110" s="54">
        <f t="shared" si="36"/>
        <v>2</v>
      </c>
      <c r="P110" s="54">
        <f>SUM(P107:P109)</f>
        <v>1</v>
      </c>
      <c r="R110" s="60">
        <f>SUM(C110/B110)</f>
        <v>0.38546315077755239</v>
      </c>
      <c r="S110" s="60">
        <f>SUM(D110/B110)</f>
        <v>0.16308316430020284</v>
      </c>
      <c r="T110" s="60">
        <f>SUM(E110/B110)</f>
        <v>0.2101419878296146</v>
      </c>
      <c r="U110" s="60">
        <f>SUM(F110/B110)</f>
        <v>5.2603110209601081E-2</v>
      </c>
      <c r="V110" s="60">
        <f>SUM(G110/B110)</f>
        <v>8.4516565246788369E-2</v>
      </c>
      <c r="W110" s="60">
        <f>SUM(H110/B110)</f>
        <v>0.10419202163624071</v>
      </c>
    </row>
    <row r="111" spans="1:23">
      <c r="A111" s="53"/>
      <c r="B111" s="54"/>
      <c r="C111" s="55"/>
      <c r="D111" s="55"/>
      <c r="E111" s="55"/>
      <c r="F111" s="55"/>
      <c r="G111" s="55"/>
      <c r="H111" s="55"/>
      <c r="J111" s="54"/>
      <c r="K111" s="55"/>
      <c r="L111" s="55"/>
      <c r="M111" s="55"/>
      <c r="N111" s="55"/>
      <c r="O111" s="55"/>
      <c r="P111" s="55"/>
    </row>
    <row r="112" spans="1:23">
      <c r="A112" s="56" t="s">
        <v>1619</v>
      </c>
      <c r="B112" s="54">
        <f>SUM(C112:H112)</f>
        <v>6218</v>
      </c>
      <c r="C112" s="55">
        <v>1994</v>
      </c>
      <c r="D112" s="55">
        <v>1084</v>
      </c>
      <c r="E112" s="55">
        <v>860</v>
      </c>
      <c r="F112" s="55">
        <v>0</v>
      </c>
      <c r="G112" s="55">
        <v>1221</v>
      </c>
      <c r="H112" s="55">
        <v>1059</v>
      </c>
      <c r="J112" s="54">
        <f>SUM(K112:P112)</f>
        <v>7</v>
      </c>
      <c r="K112" s="55">
        <v>3</v>
      </c>
      <c r="L112" s="55">
        <v>1</v>
      </c>
      <c r="M112" s="55">
        <v>1</v>
      </c>
      <c r="N112" s="55">
        <v>0</v>
      </c>
      <c r="O112" s="55">
        <v>1</v>
      </c>
      <c r="P112" s="55">
        <v>1</v>
      </c>
      <c r="R112" s="61">
        <f>SUM(C112/B112)</f>
        <v>0.32068189128337088</v>
      </c>
      <c r="S112" s="61">
        <f>SUM(D112/B112)</f>
        <v>0.1743325828240592</v>
      </c>
      <c r="T112" s="61">
        <f>SUM(E112/B112)</f>
        <v>0.13830813766484401</v>
      </c>
      <c r="U112" s="61">
        <f>SUM(F112/B112)</f>
        <v>0</v>
      </c>
      <c r="V112" s="61">
        <f>SUM(G112/B112)</f>
        <v>0.19636539080090062</v>
      </c>
      <c r="W112" s="61">
        <f>SUM(H112/B112)</f>
        <v>0.17031199742682535</v>
      </c>
    </row>
    <row r="113" spans="1:23">
      <c r="A113" s="56" t="s">
        <v>1620</v>
      </c>
      <c r="B113" s="54">
        <f>SUM(C113:H113)</f>
        <v>5746</v>
      </c>
      <c r="C113" s="55">
        <v>1420</v>
      </c>
      <c r="D113" s="55">
        <v>1623</v>
      </c>
      <c r="E113" s="55">
        <v>1021</v>
      </c>
      <c r="F113" s="55">
        <v>0</v>
      </c>
      <c r="G113" s="55">
        <v>0</v>
      </c>
      <c r="H113" s="55">
        <v>1682</v>
      </c>
      <c r="J113" s="54">
        <f>SUM(K113:P113)</f>
        <v>7</v>
      </c>
      <c r="K113" s="55">
        <v>2</v>
      </c>
      <c r="L113" s="55">
        <v>3</v>
      </c>
      <c r="M113" s="55">
        <v>1</v>
      </c>
      <c r="N113" s="55">
        <v>0</v>
      </c>
      <c r="O113" s="55">
        <v>0</v>
      </c>
      <c r="P113" s="55">
        <v>1</v>
      </c>
      <c r="R113" s="61">
        <f>SUM(C113/B113)</f>
        <v>0.24712843717368604</v>
      </c>
      <c r="S113" s="61">
        <f>SUM(D113/B113)</f>
        <v>0.28245736164288199</v>
      </c>
      <c r="T113" s="61">
        <f>SUM(E113/B113)</f>
        <v>0.17768882701009397</v>
      </c>
      <c r="U113" s="61">
        <f>SUM(F113/B113)</f>
        <v>0</v>
      </c>
      <c r="V113" s="61">
        <f>SUM(G113/B113)</f>
        <v>0</v>
      </c>
      <c r="W113" s="61">
        <f>SUM(H113/B113)</f>
        <v>0.29272537417333799</v>
      </c>
    </row>
    <row r="114" spans="1:23">
      <c r="A114" s="56" t="s">
        <v>1621</v>
      </c>
      <c r="B114" s="54">
        <f>SUM(C114:H114)</f>
        <v>5713</v>
      </c>
      <c r="C114" s="55">
        <v>2143</v>
      </c>
      <c r="D114" s="55">
        <v>2768</v>
      </c>
      <c r="E114" s="55">
        <v>802</v>
      </c>
      <c r="F114" s="55">
        <v>0</v>
      </c>
      <c r="G114" s="55">
        <v>0</v>
      </c>
      <c r="H114" s="55">
        <v>0</v>
      </c>
      <c r="J114" s="54">
        <f>SUM(K114:P114)</f>
        <v>5</v>
      </c>
      <c r="K114" s="55">
        <v>2</v>
      </c>
      <c r="L114" s="55">
        <v>3</v>
      </c>
      <c r="M114" s="55">
        <v>0</v>
      </c>
      <c r="N114" s="55">
        <v>0</v>
      </c>
      <c r="O114" s="55">
        <v>0</v>
      </c>
      <c r="P114" s="55">
        <v>0</v>
      </c>
      <c r="R114" s="61">
        <f>SUM(C114/B114)</f>
        <v>0.37510939961491335</v>
      </c>
      <c r="S114" s="61">
        <f>SUM(D114/B114)</f>
        <v>0.48450901452826883</v>
      </c>
      <c r="T114" s="61">
        <f>SUM(E114/B114)</f>
        <v>0.14038158585681779</v>
      </c>
      <c r="U114" s="61">
        <f>SUM(F114/B114)</f>
        <v>0</v>
      </c>
      <c r="V114" s="61">
        <f>SUM(G114/B114)</f>
        <v>0</v>
      </c>
      <c r="W114" s="61">
        <f>SUM(H114/B114)</f>
        <v>0</v>
      </c>
    </row>
    <row r="115" spans="1:23">
      <c r="A115" s="56" t="s">
        <v>1622</v>
      </c>
      <c r="B115" s="54">
        <f>SUM(C115:H115)</f>
        <v>4775</v>
      </c>
      <c r="C115" s="55">
        <v>3134</v>
      </c>
      <c r="D115" s="55">
        <v>822</v>
      </c>
      <c r="E115" s="55">
        <v>0</v>
      </c>
      <c r="F115" s="55">
        <v>0</v>
      </c>
      <c r="G115" s="55">
        <v>0</v>
      </c>
      <c r="H115" s="55">
        <v>819</v>
      </c>
      <c r="J115" s="54">
        <f>SUM(K115:P115)</f>
        <v>5</v>
      </c>
      <c r="K115" s="55">
        <v>3</v>
      </c>
      <c r="L115" s="55">
        <v>1</v>
      </c>
      <c r="M115" s="55">
        <v>0</v>
      </c>
      <c r="N115" s="55">
        <v>0</v>
      </c>
      <c r="O115" s="55">
        <v>0</v>
      </c>
      <c r="P115" s="55">
        <v>1</v>
      </c>
      <c r="R115" s="61">
        <f>SUM(C115/B115)</f>
        <v>0.65633507853403139</v>
      </c>
      <c r="S115" s="61">
        <f>SUM(D115/B115)</f>
        <v>0.17214659685863876</v>
      </c>
      <c r="T115" s="61">
        <f>SUM(E115/B115)</f>
        <v>0</v>
      </c>
      <c r="U115" s="61">
        <f>SUM(F115/B115)</f>
        <v>0</v>
      </c>
      <c r="V115" s="61">
        <f>SUM(G115/B115)</f>
        <v>0</v>
      </c>
      <c r="W115" s="61">
        <f>SUM(H115/B115)</f>
        <v>0.17151832460732985</v>
      </c>
    </row>
    <row r="116" spans="1:23" s="52" customFormat="1">
      <c r="A116" s="53" t="s">
        <v>1623</v>
      </c>
      <c r="B116" s="54">
        <f>SUM(B112:B115)</f>
        <v>22452</v>
      </c>
      <c r="C116" s="54">
        <f t="shared" ref="C116:O116" si="37">SUM(C112:C115)</f>
        <v>8691</v>
      </c>
      <c r="D116" s="54">
        <f>SUM(D112:D115)</f>
        <v>6297</v>
      </c>
      <c r="E116" s="54">
        <f t="shared" si="37"/>
        <v>2683</v>
      </c>
      <c r="F116" s="54">
        <f t="shared" si="37"/>
        <v>0</v>
      </c>
      <c r="G116" s="54">
        <f t="shared" si="37"/>
        <v>1221</v>
      </c>
      <c r="H116" s="54">
        <f>SUM(H112:H115)</f>
        <v>3560</v>
      </c>
      <c r="I116" s="54"/>
      <c r="J116" s="54">
        <f t="shared" si="37"/>
        <v>24</v>
      </c>
      <c r="K116" s="54">
        <f t="shared" si="37"/>
        <v>10</v>
      </c>
      <c r="L116" s="54">
        <f t="shared" si="37"/>
        <v>8</v>
      </c>
      <c r="M116" s="54">
        <f t="shared" si="37"/>
        <v>2</v>
      </c>
      <c r="N116" s="54">
        <f t="shared" si="37"/>
        <v>0</v>
      </c>
      <c r="O116" s="54">
        <f t="shared" si="37"/>
        <v>1</v>
      </c>
      <c r="P116" s="54">
        <f>SUM(P112:P115)</f>
        <v>3</v>
      </c>
      <c r="R116" s="60">
        <f>SUM(C116/B116)</f>
        <v>0.38709246392303581</v>
      </c>
      <c r="S116" s="60">
        <f>SUM(D116/B116)</f>
        <v>0.28046499198289687</v>
      </c>
      <c r="T116" s="60">
        <f>SUM(E116/B116)</f>
        <v>0.11949937644753252</v>
      </c>
      <c r="U116" s="60">
        <f>SUM(F116/B116)</f>
        <v>0</v>
      </c>
      <c r="V116" s="60">
        <f>SUM(G116/B116)</f>
        <v>5.4382683057188672E-2</v>
      </c>
      <c r="W116" s="60">
        <f>SUM(H116/B116)</f>
        <v>0.15856048458934616</v>
      </c>
    </row>
    <row r="117" spans="1:23">
      <c r="A117" s="53"/>
      <c r="B117" s="54"/>
      <c r="C117" s="55"/>
      <c r="D117" s="55"/>
      <c r="E117" s="55"/>
      <c r="F117" s="55"/>
      <c r="G117" s="55"/>
      <c r="H117" s="55"/>
      <c r="J117" s="54"/>
      <c r="K117" s="55"/>
      <c r="L117" s="55"/>
      <c r="M117" s="55"/>
      <c r="N117" s="55"/>
      <c r="O117" s="55"/>
      <c r="P117" s="55"/>
    </row>
    <row r="118" spans="1:23">
      <c r="A118" s="56" t="s">
        <v>1624</v>
      </c>
      <c r="B118" s="54">
        <f>SUM(C118:H118)</f>
        <v>3684</v>
      </c>
      <c r="C118" s="55">
        <v>1177</v>
      </c>
      <c r="D118" s="55">
        <v>1260</v>
      </c>
      <c r="E118" s="55">
        <v>959</v>
      </c>
      <c r="F118" s="55">
        <v>288</v>
      </c>
      <c r="G118" s="55">
        <v>0</v>
      </c>
      <c r="H118" s="55">
        <v>0</v>
      </c>
      <c r="J118" s="54">
        <f>SUM(K118:P118)</f>
        <v>6</v>
      </c>
      <c r="K118" s="55">
        <v>2</v>
      </c>
      <c r="L118" s="55">
        <v>2</v>
      </c>
      <c r="M118" s="55">
        <v>2</v>
      </c>
      <c r="N118" s="55">
        <v>0</v>
      </c>
      <c r="O118" s="55">
        <v>0</v>
      </c>
      <c r="P118" s="55">
        <v>0</v>
      </c>
      <c r="R118" s="61">
        <f>SUM(C118/B118)</f>
        <v>0.31948968512486425</v>
      </c>
      <c r="S118" s="61">
        <f>SUM(D118/B118)</f>
        <v>0.34201954397394135</v>
      </c>
      <c r="T118" s="61">
        <f>SUM(E118/B118)</f>
        <v>0.26031487513572205</v>
      </c>
      <c r="U118" s="61">
        <f>SUM(F118/B118)</f>
        <v>7.8175895765472306E-2</v>
      </c>
      <c r="V118" s="61">
        <f>SUM(G118/B118)</f>
        <v>0</v>
      </c>
      <c r="W118" s="61">
        <f>SUM(H118/B118)</f>
        <v>0</v>
      </c>
    </row>
    <row r="119" spans="1:23">
      <c r="A119" s="56" t="s">
        <v>1625</v>
      </c>
      <c r="B119" s="54">
        <f>SUM(C119:H119)</f>
        <v>2644</v>
      </c>
      <c r="C119" s="55">
        <v>779</v>
      </c>
      <c r="D119" s="55">
        <v>969</v>
      </c>
      <c r="E119" s="55">
        <v>0</v>
      </c>
      <c r="F119" s="55">
        <v>0</v>
      </c>
      <c r="G119" s="55">
        <v>181</v>
      </c>
      <c r="H119" s="55">
        <v>715</v>
      </c>
      <c r="J119" s="54">
        <f>SUM(K119:P119)</f>
        <v>5</v>
      </c>
      <c r="K119" s="55">
        <v>2</v>
      </c>
      <c r="L119" s="55">
        <v>2</v>
      </c>
      <c r="M119" s="55">
        <v>0</v>
      </c>
      <c r="N119" s="55">
        <v>0</v>
      </c>
      <c r="O119" s="55">
        <v>0</v>
      </c>
      <c r="P119" s="55">
        <v>1</v>
      </c>
      <c r="R119" s="61">
        <f>SUM(C119/B119)</f>
        <v>0.29462934947049924</v>
      </c>
      <c r="S119" s="61">
        <f>SUM(D119/B119)</f>
        <v>0.36649016641452342</v>
      </c>
      <c r="T119" s="61">
        <f>SUM(E119/B119)</f>
        <v>0</v>
      </c>
      <c r="U119" s="61">
        <f>SUM(F119/B119)</f>
        <v>0</v>
      </c>
      <c r="V119" s="61">
        <f>SUM(G119/B119)</f>
        <v>6.8456883509833588E-2</v>
      </c>
      <c r="W119" s="61">
        <f>SUM(H119/B119)</f>
        <v>0.2704236006051437</v>
      </c>
    </row>
    <row r="120" spans="1:23">
      <c r="A120" s="56" t="s">
        <v>1626</v>
      </c>
      <c r="B120" s="54">
        <f>SUM(C120:H120)</f>
        <v>2702</v>
      </c>
      <c r="C120" s="55">
        <v>1065</v>
      </c>
      <c r="D120" s="55">
        <v>885</v>
      </c>
      <c r="E120" s="55">
        <v>752</v>
      </c>
      <c r="F120" s="55">
        <v>0</v>
      </c>
      <c r="G120" s="55">
        <v>0</v>
      </c>
      <c r="H120" s="55">
        <v>0</v>
      </c>
      <c r="J120" s="54">
        <f>SUM(K120:P120)</f>
        <v>5</v>
      </c>
      <c r="K120" s="55">
        <v>2</v>
      </c>
      <c r="L120" s="55">
        <v>2</v>
      </c>
      <c r="M120" s="55">
        <v>1</v>
      </c>
      <c r="N120" s="55">
        <v>0</v>
      </c>
      <c r="O120" s="55">
        <v>0</v>
      </c>
      <c r="P120" s="55">
        <v>0</v>
      </c>
      <c r="R120" s="61">
        <f>SUM(C120/B120)</f>
        <v>0.39415247964470762</v>
      </c>
      <c r="S120" s="61">
        <f>SUM(D120/B120)</f>
        <v>0.32753515914137676</v>
      </c>
      <c r="T120" s="61">
        <f>SUM(E120/B120)</f>
        <v>0.27831236121391562</v>
      </c>
      <c r="U120" s="61">
        <f>SUM(F120/B120)</f>
        <v>0</v>
      </c>
      <c r="V120" s="61">
        <f>SUM(G120/B120)</f>
        <v>0</v>
      </c>
      <c r="W120" s="61">
        <f>SUM(H120/B120)</f>
        <v>0</v>
      </c>
    </row>
    <row r="121" spans="1:23" s="52" customFormat="1">
      <c r="A121" s="53" t="s">
        <v>1627</v>
      </c>
      <c r="B121" s="54">
        <f>SUM(B118:B120)</f>
        <v>9030</v>
      </c>
      <c r="C121" s="54">
        <f t="shared" ref="C121:O121" si="38">SUM(C118:C120)</f>
        <v>3021</v>
      </c>
      <c r="D121" s="54">
        <f>SUM(D118:D120)</f>
        <v>3114</v>
      </c>
      <c r="E121" s="54">
        <f t="shared" si="38"/>
        <v>1711</v>
      </c>
      <c r="F121" s="54">
        <f t="shared" si="38"/>
        <v>288</v>
      </c>
      <c r="G121" s="54">
        <f t="shared" si="38"/>
        <v>181</v>
      </c>
      <c r="H121" s="54">
        <f>SUM(H118:H120)</f>
        <v>715</v>
      </c>
      <c r="I121" s="54"/>
      <c r="J121" s="54">
        <f t="shared" si="38"/>
        <v>16</v>
      </c>
      <c r="K121" s="54">
        <f t="shared" si="38"/>
        <v>6</v>
      </c>
      <c r="L121" s="54">
        <f t="shared" si="38"/>
        <v>6</v>
      </c>
      <c r="M121" s="54">
        <f t="shared" si="38"/>
        <v>3</v>
      </c>
      <c r="N121" s="54">
        <f t="shared" si="38"/>
        <v>0</v>
      </c>
      <c r="O121" s="54">
        <f t="shared" si="38"/>
        <v>0</v>
      </c>
      <c r="P121" s="54">
        <f>SUM(P118:P120)</f>
        <v>1</v>
      </c>
      <c r="R121" s="60">
        <f>SUM(C121/B121)</f>
        <v>0.3345514950166113</v>
      </c>
      <c r="S121" s="60">
        <f>SUM(D121/B121)</f>
        <v>0.34485049833887044</v>
      </c>
      <c r="T121" s="60">
        <f>SUM(E121/B121)</f>
        <v>0.18947951273532668</v>
      </c>
      <c r="U121" s="60">
        <f>SUM(F121/B121)</f>
        <v>3.1893687707641193E-2</v>
      </c>
      <c r="V121" s="60">
        <f>SUM(G121/B121)</f>
        <v>2.0044296788482834E-2</v>
      </c>
      <c r="W121" s="60">
        <f>SUM(H121/B121)</f>
        <v>7.9180509413067549E-2</v>
      </c>
    </row>
    <row r="122" spans="1:23">
      <c r="A122" s="53"/>
      <c r="B122" s="54"/>
      <c r="C122" s="55"/>
      <c r="D122" s="55"/>
      <c r="E122" s="55"/>
      <c r="F122" s="55"/>
      <c r="G122" s="55"/>
      <c r="H122" s="55"/>
      <c r="J122" s="54"/>
      <c r="K122" s="55"/>
      <c r="L122" s="55"/>
      <c r="M122" s="55"/>
      <c r="N122" s="55"/>
      <c r="O122" s="55"/>
      <c r="P122" s="55"/>
    </row>
    <row r="123" spans="1:23">
      <c r="A123" s="56" t="s">
        <v>1628</v>
      </c>
      <c r="B123" s="54">
        <f>SUM(C123:H123)</f>
        <v>2207</v>
      </c>
      <c r="C123" s="55">
        <v>196</v>
      </c>
      <c r="D123" s="55">
        <v>499</v>
      </c>
      <c r="E123" s="55">
        <v>579</v>
      </c>
      <c r="F123" s="55">
        <v>151</v>
      </c>
      <c r="G123" s="55">
        <v>0</v>
      </c>
      <c r="H123" s="55">
        <v>782</v>
      </c>
      <c r="I123" s="55"/>
      <c r="J123" s="54">
        <f>SUM(K123:P123)</f>
        <v>5</v>
      </c>
      <c r="K123" s="55">
        <v>1</v>
      </c>
      <c r="L123" s="55">
        <v>1</v>
      </c>
      <c r="M123" s="55">
        <v>1</v>
      </c>
      <c r="N123" s="55">
        <v>0</v>
      </c>
      <c r="O123" s="55">
        <v>0</v>
      </c>
      <c r="P123" s="55">
        <v>2</v>
      </c>
      <c r="R123" s="61">
        <f>SUM(C123/B123)</f>
        <v>8.8808337109198013E-2</v>
      </c>
      <c r="S123" s="61">
        <f>SUM(D123/B123)</f>
        <v>0.22609877661984595</v>
      </c>
      <c r="T123" s="61">
        <f>SUM(E123/B123)</f>
        <v>0.2623470774807431</v>
      </c>
      <c r="U123" s="61">
        <f>SUM(F123/B123)</f>
        <v>6.8418667874943356E-2</v>
      </c>
      <c r="V123" s="61">
        <f>SUM(G123/B123)</f>
        <v>0</v>
      </c>
      <c r="W123" s="61">
        <f>SUM(H123/B123)</f>
        <v>0.35432714091526962</v>
      </c>
    </row>
    <row r="124" spans="1:23">
      <c r="A124" s="56" t="s">
        <v>1629</v>
      </c>
      <c r="B124" s="54">
        <f>SUM(C124:H124)</f>
        <v>1756</v>
      </c>
      <c r="C124" s="55">
        <v>347</v>
      </c>
      <c r="D124" s="55">
        <v>492</v>
      </c>
      <c r="E124" s="55">
        <v>0</v>
      </c>
      <c r="F124" s="55">
        <v>0</v>
      </c>
      <c r="G124" s="55">
        <v>0</v>
      </c>
      <c r="H124" s="55">
        <v>917</v>
      </c>
      <c r="J124" s="54">
        <f>SUM(K124:P124)</f>
        <v>5</v>
      </c>
      <c r="K124" s="55">
        <v>1</v>
      </c>
      <c r="L124" s="55">
        <v>2</v>
      </c>
      <c r="M124" s="55">
        <v>0</v>
      </c>
      <c r="N124" s="55">
        <v>0</v>
      </c>
      <c r="O124" s="55">
        <v>0</v>
      </c>
      <c r="P124" s="55">
        <v>2</v>
      </c>
      <c r="R124" s="61">
        <f>SUM(C124/B124)</f>
        <v>0.19760820045558086</v>
      </c>
      <c r="S124" s="61">
        <f>SUM(D124/B124)</f>
        <v>0.28018223234624146</v>
      </c>
      <c r="T124" s="61">
        <f>SUM(E124/B124)</f>
        <v>0</v>
      </c>
      <c r="U124" s="61">
        <f>SUM(F124/B124)</f>
        <v>0</v>
      </c>
      <c r="V124" s="61">
        <f>SUM(G124/B124)</f>
        <v>0</v>
      </c>
      <c r="W124" s="61">
        <f>SUM(H124/B124)</f>
        <v>0.52220956719817768</v>
      </c>
    </row>
    <row r="125" spans="1:23">
      <c r="A125" s="56" t="s">
        <v>1630</v>
      </c>
      <c r="B125" s="54">
        <f>SUM(C125:H125)</f>
        <v>2611</v>
      </c>
      <c r="C125" s="55">
        <v>0</v>
      </c>
      <c r="D125" s="55">
        <v>220</v>
      </c>
      <c r="E125" s="55">
        <v>1116</v>
      </c>
      <c r="F125" s="55">
        <v>397</v>
      </c>
      <c r="G125" s="55">
        <v>0</v>
      </c>
      <c r="H125" s="55">
        <v>878</v>
      </c>
      <c r="J125" s="54">
        <f>SUM(K125:P125)</f>
        <v>5</v>
      </c>
      <c r="K125" s="55">
        <v>0</v>
      </c>
      <c r="L125" s="55">
        <v>0</v>
      </c>
      <c r="M125" s="55">
        <v>2</v>
      </c>
      <c r="N125" s="55">
        <v>1</v>
      </c>
      <c r="O125" s="55">
        <v>0</v>
      </c>
      <c r="P125" s="55">
        <v>2</v>
      </c>
      <c r="R125" s="61">
        <f>SUM(C125/B125)</f>
        <v>0</v>
      </c>
      <c r="S125" s="61">
        <f>SUM(D125/B125)</f>
        <v>8.4258904634239754E-2</v>
      </c>
      <c r="T125" s="61">
        <f>SUM(E125/B125)</f>
        <v>0.42742244350823438</v>
      </c>
      <c r="U125" s="61">
        <f>SUM(F125/B125)</f>
        <v>0.1520490233626963</v>
      </c>
      <c r="V125" s="61">
        <f>SUM(G125/B125)</f>
        <v>0</v>
      </c>
      <c r="W125" s="61">
        <f>SUM(H125/B125)</f>
        <v>0.33626962849482955</v>
      </c>
    </row>
    <row r="126" spans="1:23" s="52" customFormat="1">
      <c r="A126" s="53" t="s">
        <v>1631</v>
      </c>
      <c r="B126" s="54">
        <f>SUM(B123:B125)</f>
        <v>6574</v>
      </c>
      <c r="C126" s="54">
        <f t="shared" ref="C126:O126" si="39">SUM(C123:C125)</f>
        <v>543</v>
      </c>
      <c r="D126" s="54">
        <f>SUM(D123:D125)</f>
        <v>1211</v>
      </c>
      <c r="E126" s="54">
        <f t="shared" si="39"/>
        <v>1695</v>
      </c>
      <c r="F126" s="54">
        <f t="shared" si="39"/>
        <v>548</v>
      </c>
      <c r="G126" s="54">
        <f t="shared" si="39"/>
        <v>0</v>
      </c>
      <c r="H126" s="54">
        <f>SUM(H123:H125)</f>
        <v>2577</v>
      </c>
      <c r="I126" s="54"/>
      <c r="J126" s="54">
        <f t="shared" si="39"/>
        <v>15</v>
      </c>
      <c r="K126" s="54">
        <f t="shared" si="39"/>
        <v>2</v>
      </c>
      <c r="L126" s="54">
        <f t="shared" si="39"/>
        <v>3</v>
      </c>
      <c r="M126" s="54">
        <f t="shared" si="39"/>
        <v>3</v>
      </c>
      <c r="N126" s="54">
        <f t="shared" si="39"/>
        <v>1</v>
      </c>
      <c r="O126" s="54">
        <f t="shared" si="39"/>
        <v>0</v>
      </c>
      <c r="P126" s="54">
        <f>SUM(P123:P125)</f>
        <v>6</v>
      </c>
      <c r="R126" s="60">
        <f>SUM(C126/B126)</f>
        <v>8.2598113781563731E-2</v>
      </c>
      <c r="S126" s="60">
        <f>SUM(D126/B126)</f>
        <v>0.18421052631578946</v>
      </c>
      <c r="T126" s="60">
        <f>SUM(E126/B126)</f>
        <v>0.25783389108609672</v>
      </c>
      <c r="U126" s="60">
        <f>SUM(F126/B126)</f>
        <v>8.3358685731670212E-2</v>
      </c>
      <c r="V126" s="60">
        <f>SUM(G126/B126)</f>
        <v>0</v>
      </c>
      <c r="W126" s="60">
        <f>SUM(H126/B126)</f>
        <v>0.39199878308487984</v>
      </c>
    </row>
    <row r="127" spans="1:23">
      <c r="A127" s="53"/>
      <c r="B127" s="54"/>
      <c r="C127" s="55"/>
      <c r="D127" s="55"/>
      <c r="E127" s="55"/>
      <c r="F127" s="55"/>
      <c r="G127" s="55"/>
      <c r="H127" s="55"/>
      <c r="J127" s="54"/>
      <c r="K127" s="55"/>
      <c r="L127" s="55"/>
      <c r="M127" s="55"/>
      <c r="N127" s="55"/>
      <c r="O127" s="55"/>
      <c r="P127" s="55"/>
    </row>
    <row r="128" spans="1:23">
      <c r="A128" s="56" t="s">
        <v>1632</v>
      </c>
      <c r="B128" s="54">
        <f>SUM(C128:H128)</f>
        <v>3008</v>
      </c>
      <c r="C128" s="55">
        <v>1145</v>
      </c>
      <c r="D128" s="55">
        <v>812</v>
      </c>
      <c r="E128" s="55">
        <v>0</v>
      </c>
      <c r="F128" s="55">
        <v>0</v>
      </c>
      <c r="G128" s="55">
        <v>451</v>
      </c>
      <c r="H128" s="55">
        <v>600</v>
      </c>
      <c r="J128" s="54">
        <f>SUM(K128:P128)</f>
        <v>5</v>
      </c>
      <c r="K128" s="55">
        <v>2</v>
      </c>
      <c r="L128" s="55">
        <v>1</v>
      </c>
      <c r="M128" s="55">
        <v>0</v>
      </c>
      <c r="N128" s="55">
        <v>0</v>
      </c>
      <c r="O128" s="55">
        <v>1</v>
      </c>
      <c r="P128" s="55">
        <v>1</v>
      </c>
      <c r="R128" s="61">
        <f>SUM(C128/B128)</f>
        <v>0.38065159574468083</v>
      </c>
      <c r="S128" s="61">
        <f>SUM(D128/B128)</f>
        <v>0.26994680851063829</v>
      </c>
      <c r="T128" s="61">
        <f>SUM(E128/B128)</f>
        <v>0</v>
      </c>
      <c r="U128" s="61">
        <f>SUM(F128/B128)</f>
        <v>0</v>
      </c>
      <c r="V128" s="61">
        <f>SUM(G128/B128)</f>
        <v>0.14993351063829788</v>
      </c>
      <c r="W128" s="61">
        <f>SUM(H128/B128)</f>
        <v>0.19946808510638298</v>
      </c>
    </row>
    <row r="129" spans="1:23">
      <c r="A129" s="56" t="s">
        <v>1633</v>
      </c>
      <c r="B129" s="54">
        <f>SUM(C129:H129)</f>
        <v>3242</v>
      </c>
      <c r="C129" s="55">
        <v>2145</v>
      </c>
      <c r="D129" s="55">
        <v>881</v>
      </c>
      <c r="E129" s="55">
        <v>0</v>
      </c>
      <c r="F129" s="55">
        <v>0</v>
      </c>
      <c r="G129" s="55">
        <v>0</v>
      </c>
      <c r="H129" s="55">
        <v>216</v>
      </c>
      <c r="J129" s="54">
        <f>SUM(K129:P129)</f>
        <v>5</v>
      </c>
      <c r="K129" s="55">
        <v>3</v>
      </c>
      <c r="L129" s="55">
        <v>2</v>
      </c>
      <c r="M129" s="55">
        <v>0</v>
      </c>
      <c r="N129" s="55">
        <v>0</v>
      </c>
      <c r="O129" s="55">
        <v>0</v>
      </c>
      <c r="P129" s="55">
        <v>0</v>
      </c>
      <c r="R129" s="61">
        <f>SUM(C129/B129)</f>
        <v>0.66162862430598401</v>
      </c>
      <c r="S129" s="61">
        <f>SUM(D129/B129)</f>
        <v>0.27174583590376311</v>
      </c>
      <c r="T129" s="61">
        <f>SUM(E129/B129)</f>
        <v>0</v>
      </c>
      <c r="U129" s="61">
        <f>SUM(F129/B129)</f>
        <v>0</v>
      </c>
      <c r="V129" s="61">
        <f>SUM(G129/B129)</f>
        <v>0</v>
      </c>
      <c r="W129" s="61">
        <f>SUM(H129/B129)</f>
        <v>6.662553979025293E-2</v>
      </c>
    </row>
    <row r="130" spans="1:23">
      <c r="A130" s="56" t="s">
        <v>1634</v>
      </c>
      <c r="B130" s="54">
        <f>SUM(C130:H130)</f>
        <v>3303</v>
      </c>
      <c r="C130" s="55">
        <v>1070</v>
      </c>
      <c r="D130" s="55">
        <v>933</v>
      </c>
      <c r="E130" s="55">
        <v>0</v>
      </c>
      <c r="F130" s="55">
        <v>0</v>
      </c>
      <c r="G130" s="55">
        <v>410</v>
      </c>
      <c r="H130" s="55">
        <v>890</v>
      </c>
      <c r="J130" s="54">
        <f>SUM(K130:P130)</f>
        <v>5</v>
      </c>
      <c r="K130" s="55">
        <v>2</v>
      </c>
      <c r="L130" s="55">
        <v>1</v>
      </c>
      <c r="M130" s="55">
        <v>0</v>
      </c>
      <c r="N130" s="55">
        <v>0</v>
      </c>
      <c r="O130" s="55">
        <v>1</v>
      </c>
      <c r="P130" s="55">
        <v>1</v>
      </c>
      <c r="R130" s="61">
        <f>SUM(C130/B130)</f>
        <v>0.32394792612776263</v>
      </c>
      <c r="S130" s="61">
        <f>SUM(D130/B130)</f>
        <v>0.28247048138056313</v>
      </c>
      <c r="T130" s="61">
        <f>SUM(E130/B130)</f>
        <v>0</v>
      </c>
      <c r="U130" s="61">
        <f>SUM(F130/B130)</f>
        <v>0</v>
      </c>
      <c r="V130" s="61">
        <f>SUM(G130/B130)</f>
        <v>0.1241295791704511</v>
      </c>
      <c r="W130" s="61">
        <f>SUM(H130/B130)</f>
        <v>0.26945201332122315</v>
      </c>
    </row>
    <row r="131" spans="1:23" s="52" customFormat="1">
      <c r="A131" s="53" t="s">
        <v>1635</v>
      </c>
      <c r="B131" s="54">
        <f>SUM(B128:B130)</f>
        <v>9553</v>
      </c>
      <c r="C131" s="54">
        <f t="shared" ref="C131:O131" si="40">SUM(C128:C130)</f>
        <v>4360</v>
      </c>
      <c r="D131" s="54">
        <f>SUM(D128:D130)</f>
        <v>2626</v>
      </c>
      <c r="E131" s="54">
        <f t="shared" si="40"/>
        <v>0</v>
      </c>
      <c r="F131" s="54">
        <f t="shared" si="40"/>
        <v>0</v>
      </c>
      <c r="G131" s="54">
        <f t="shared" si="40"/>
        <v>861</v>
      </c>
      <c r="H131" s="54">
        <f>SUM(H128:H130)</f>
        <v>1706</v>
      </c>
      <c r="I131" s="54"/>
      <c r="J131" s="54">
        <f t="shared" si="40"/>
        <v>15</v>
      </c>
      <c r="K131" s="54">
        <f t="shared" si="40"/>
        <v>7</v>
      </c>
      <c r="L131" s="54">
        <f t="shared" si="40"/>
        <v>4</v>
      </c>
      <c r="M131" s="54">
        <f t="shared" si="40"/>
        <v>0</v>
      </c>
      <c r="N131" s="54">
        <f t="shared" si="40"/>
        <v>0</v>
      </c>
      <c r="O131" s="54">
        <f t="shared" si="40"/>
        <v>2</v>
      </c>
      <c r="P131" s="54">
        <f>SUM(P128:P130)</f>
        <v>2</v>
      </c>
      <c r="R131" s="60">
        <f>SUM(C131/B131)</f>
        <v>0.45640113053491049</v>
      </c>
      <c r="S131" s="60">
        <f>SUM(D131/B131)</f>
        <v>0.27488746990474194</v>
      </c>
      <c r="T131" s="60">
        <f>SUM(E131/B131)</f>
        <v>0</v>
      </c>
      <c r="U131" s="60">
        <f>SUM(F131/B131)</f>
        <v>0</v>
      </c>
      <c r="V131" s="60">
        <f>SUM(G131/B131)</f>
        <v>9.012875536480687E-2</v>
      </c>
      <c r="W131" s="60">
        <f>SUM(H131/B131)</f>
        <v>0.17858264419554068</v>
      </c>
    </row>
    <row r="132" spans="1:23">
      <c r="A132" s="53"/>
      <c r="B132" s="54"/>
      <c r="C132" s="55"/>
      <c r="D132" s="55"/>
      <c r="E132" s="55"/>
      <c r="F132" s="55"/>
      <c r="G132" s="55"/>
      <c r="H132" s="55"/>
      <c r="J132" s="54"/>
      <c r="K132" s="55"/>
      <c r="L132" s="55"/>
      <c r="M132" s="55"/>
      <c r="N132" s="55"/>
      <c r="O132" s="55"/>
      <c r="P132" s="55"/>
    </row>
    <row r="133" spans="1:23">
      <c r="A133" s="56" t="s">
        <v>1636</v>
      </c>
      <c r="B133" s="54">
        <f>SUM(C133:H133)</f>
        <v>3670</v>
      </c>
      <c r="C133" s="55">
        <v>1090</v>
      </c>
      <c r="D133" s="55">
        <v>780</v>
      </c>
      <c r="E133" s="55">
        <v>0</v>
      </c>
      <c r="F133" s="55">
        <v>0</v>
      </c>
      <c r="G133" s="55">
        <v>1093</v>
      </c>
      <c r="H133" s="55">
        <v>707</v>
      </c>
      <c r="J133" s="54">
        <f>SUM(K133:P133)</f>
        <v>6</v>
      </c>
      <c r="K133" s="55">
        <v>2</v>
      </c>
      <c r="L133" s="55">
        <v>1</v>
      </c>
      <c r="M133" s="55">
        <v>0</v>
      </c>
      <c r="N133" s="55">
        <v>0</v>
      </c>
      <c r="O133" s="55">
        <v>2</v>
      </c>
      <c r="P133" s="55">
        <v>1</v>
      </c>
      <c r="R133" s="61">
        <f>SUM(C133/B133)</f>
        <v>0.29700272479564033</v>
      </c>
      <c r="S133" s="61">
        <f>SUM(D133/B133)</f>
        <v>0.21253405994550409</v>
      </c>
      <c r="T133" s="61">
        <f>SUM(E133/B133)</f>
        <v>0</v>
      </c>
      <c r="U133" s="61">
        <f>SUM(F133/B133)</f>
        <v>0</v>
      </c>
      <c r="V133" s="61">
        <f>SUM(G133/B133)</f>
        <v>0.29782016348773843</v>
      </c>
      <c r="W133" s="61">
        <f>SUM(H133/B133)</f>
        <v>0.19264305177111718</v>
      </c>
    </row>
    <row r="134" spans="1:23">
      <c r="A134" s="56" t="s">
        <v>1637</v>
      </c>
      <c r="B134" s="54">
        <f>SUM(C134:H134)</f>
        <v>3052</v>
      </c>
      <c r="C134" s="55">
        <v>405</v>
      </c>
      <c r="D134" s="55">
        <v>696</v>
      </c>
      <c r="E134" s="55">
        <v>0</v>
      </c>
      <c r="F134" s="55">
        <v>0</v>
      </c>
      <c r="G134" s="55">
        <v>1188</v>
      </c>
      <c r="H134" s="55">
        <v>763</v>
      </c>
      <c r="J134" s="54">
        <f>SUM(K134:P134)</f>
        <v>5</v>
      </c>
      <c r="K134" s="55">
        <v>1</v>
      </c>
      <c r="L134" s="55">
        <v>1</v>
      </c>
      <c r="M134" s="55">
        <v>0</v>
      </c>
      <c r="N134" s="55">
        <v>0</v>
      </c>
      <c r="O134" s="55">
        <v>2</v>
      </c>
      <c r="P134" s="55">
        <v>1</v>
      </c>
      <c r="R134" s="61">
        <f>SUM(C134/B134)</f>
        <v>0.13269986893840105</v>
      </c>
      <c r="S134" s="61">
        <f>SUM(D134/B134)</f>
        <v>0.22804718217562253</v>
      </c>
      <c r="T134" s="61">
        <f>SUM(E134/B134)</f>
        <v>0</v>
      </c>
      <c r="U134" s="61">
        <f>SUM(F134/B134)</f>
        <v>0</v>
      </c>
      <c r="V134" s="61">
        <f>SUM(G134/B134)</f>
        <v>0.38925294888597639</v>
      </c>
      <c r="W134" s="61">
        <f>SUM(H134/B134)</f>
        <v>0.25</v>
      </c>
    </row>
    <row r="135" spans="1:23">
      <c r="A135" s="56" t="s">
        <v>1638</v>
      </c>
      <c r="B135" s="54">
        <f>SUM(C135:H135)</f>
        <v>4222</v>
      </c>
      <c r="C135" s="55">
        <v>1133</v>
      </c>
      <c r="D135" s="55">
        <v>548</v>
      </c>
      <c r="E135" s="55">
        <v>0</v>
      </c>
      <c r="F135" s="55">
        <v>0</v>
      </c>
      <c r="G135" s="55">
        <v>1239</v>
      </c>
      <c r="H135" s="55">
        <v>1302</v>
      </c>
      <c r="J135" s="54">
        <f>SUM(K135:P135)</f>
        <v>6</v>
      </c>
      <c r="K135" s="55">
        <v>2</v>
      </c>
      <c r="L135" s="55">
        <v>0</v>
      </c>
      <c r="M135" s="55">
        <v>0</v>
      </c>
      <c r="N135" s="55">
        <v>0</v>
      </c>
      <c r="O135" s="55">
        <v>2</v>
      </c>
      <c r="P135" s="55">
        <v>2</v>
      </c>
      <c r="R135" s="61">
        <f>SUM(C135/B135)</f>
        <v>0.26835622927522501</v>
      </c>
      <c r="S135" s="61">
        <f>SUM(D135/B135)</f>
        <v>0.12979630506868783</v>
      </c>
      <c r="T135" s="61">
        <f>SUM(E135/B135)</f>
        <v>0</v>
      </c>
      <c r="U135" s="61">
        <f>SUM(F135/B135)</f>
        <v>0</v>
      </c>
      <c r="V135" s="61">
        <f>SUM(G135/B135)</f>
        <v>0.29346281383230699</v>
      </c>
      <c r="W135" s="61">
        <f>SUM(H135/B135)</f>
        <v>0.30838465182378022</v>
      </c>
    </row>
    <row r="136" spans="1:23" s="52" customFormat="1">
      <c r="A136" s="53" t="s">
        <v>1639</v>
      </c>
      <c r="B136" s="54">
        <f>SUM(B133:B135)</f>
        <v>10944</v>
      </c>
      <c r="C136" s="54">
        <f t="shared" ref="C136:O136" si="41">SUM(C133:C135)</f>
        <v>2628</v>
      </c>
      <c r="D136" s="54">
        <f>SUM(D133:D135)</f>
        <v>2024</v>
      </c>
      <c r="E136" s="54">
        <f t="shared" si="41"/>
        <v>0</v>
      </c>
      <c r="F136" s="54">
        <f t="shared" si="41"/>
        <v>0</v>
      </c>
      <c r="G136" s="54">
        <f t="shared" si="41"/>
        <v>3520</v>
      </c>
      <c r="H136" s="54">
        <f>SUM(H133:H135)</f>
        <v>2772</v>
      </c>
      <c r="I136" s="54"/>
      <c r="J136" s="54">
        <f t="shared" si="41"/>
        <v>17</v>
      </c>
      <c r="K136" s="54">
        <f t="shared" si="41"/>
        <v>5</v>
      </c>
      <c r="L136" s="54">
        <f t="shared" si="41"/>
        <v>2</v>
      </c>
      <c r="M136" s="54">
        <f t="shared" si="41"/>
        <v>0</v>
      </c>
      <c r="N136" s="54">
        <f t="shared" si="41"/>
        <v>0</v>
      </c>
      <c r="O136" s="54">
        <f t="shared" si="41"/>
        <v>6</v>
      </c>
      <c r="P136" s="54">
        <f>SUM(P133:P135)</f>
        <v>4</v>
      </c>
      <c r="R136" s="60">
        <f>SUM(C136/B136)</f>
        <v>0.24013157894736842</v>
      </c>
      <c r="S136" s="60">
        <f>SUM(D136/B136)</f>
        <v>0.18494152046783627</v>
      </c>
      <c r="T136" s="60">
        <f>SUM(E136/B136)</f>
        <v>0</v>
      </c>
      <c r="U136" s="60">
        <f>SUM(F136/B136)</f>
        <v>0</v>
      </c>
      <c r="V136" s="60">
        <f>SUM(G136/B136)</f>
        <v>0.32163742690058478</v>
      </c>
      <c r="W136" s="60">
        <f>SUM(H136/B136)</f>
        <v>0.25328947368421051</v>
      </c>
    </row>
    <row r="137" spans="1:23">
      <c r="A137" s="53"/>
      <c r="B137" s="54"/>
      <c r="C137" s="55"/>
      <c r="D137" s="55"/>
      <c r="E137" s="55"/>
      <c r="F137" s="55"/>
      <c r="G137" s="55"/>
      <c r="H137" s="55"/>
      <c r="J137" s="54"/>
      <c r="K137" s="55"/>
      <c r="L137" s="55"/>
      <c r="M137" s="55"/>
      <c r="N137" s="55"/>
      <c r="O137" s="55"/>
      <c r="P137" s="55"/>
    </row>
    <row r="138" spans="1:23">
      <c r="A138" s="56" t="s">
        <v>1640</v>
      </c>
      <c r="B138" s="54">
        <f>SUM(C138:H138)</f>
        <v>7121</v>
      </c>
      <c r="C138" s="55">
        <v>1718</v>
      </c>
      <c r="D138" s="55">
        <v>1494</v>
      </c>
      <c r="E138" s="55">
        <v>1271</v>
      </c>
      <c r="F138" s="55">
        <v>0</v>
      </c>
      <c r="G138" s="55">
        <v>1303</v>
      </c>
      <c r="H138" s="55">
        <v>1335</v>
      </c>
      <c r="I138" s="55"/>
      <c r="J138" s="54">
        <f>SUM(K138:P138)</f>
        <v>7</v>
      </c>
      <c r="K138" s="55">
        <v>2</v>
      </c>
      <c r="L138" s="55">
        <v>1</v>
      </c>
      <c r="M138" s="55">
        <v>1</v>
      </c>
      <c r="N138" s="55">
        <v>0</v>
      </c>
      <c r="O138" s="55">
        <v>2</v>
      </c>
      <c r="P138" s="55">
        <v>1</v>
      </c>
      <c r="R138" s="61">
        <f>SUM(C138/B138)</f>
        <v>0.24125825024575201</v>
      </c>
      <c r="S138" s="61">
        <f>SUM(D138/B138)</f>
        <v>0.20980199410195197</v>
      </c>
      <c r="T138" s="61">
        <f>SUM(E138/B138)</f>
        <v>0.17848616767307962</v>
      </c>
      <c r="U138" s="61">
        <f>SUM(F138/B138)</f>
        <v>0</v>
      </c>
      <c r="V138" s="61">
        <f>SUM(G138/B138)</f>
        <v>0.18297991855076534</v>
      </c>
      <c r="W138" s="61">
        <f>SUM(H138/B138)</f>
        <v>0.18747366942845106</v>
      </c>
    </row>
    <row r="139" spans="1:23">
      <c r="A139" s="56" t="s">
        <v>1641</v>
      </c>
      <c r="B139" s="54">
        <f>SUM(C139:H139)</f>
        <v>4189</v>
      </c>
      <c r="C139" s="55">
        <v>1768</v>
      </c>
      <c r="D139" s="55">
        <v>968</v>
      </c>
      <c r="E139" s="55">
        <v>0</v>
      </c>
      <c r="F139" s="55">
        <v>0</v>
      </c>
      <c r="G139" s="55">
        <v>511</v>
      </c>
      <c r="H139" s="55">
        <v>942</v>
      </c>
      <c r="J139" s="54">
        <f>SUM(K139:P139)</f>
        <v>5</v>
      </c>
      <c r="K139" s="55">
        <v>3</v>
      </c>
      <c r="L139" s="55">
        <v>1</v>
      </c>
      <c r="M139" s="55">
        <v>0</v>
      </c>
      <c r="N139" s="55">
        <v>0</v>
      </c>
      <c r="O139" s="55">
        <v>0</v>
      </c>
      <c r="P139" s="55">
        <v>1</v>
      </c>
      <c r="R139" s="61">
        <f>SUM(C139/B139)</f>
        <v>0.42205777035091907</v>
      </c>
      <c r="S139" s="61">
        <f>SUM(D139/B139)</f>
        <v>0.23108140367629507</v>
      </c>
      <c r="T139" s="61">
        <f>SUM(E139/B139)</f>
        <v>0</v>
      </c>
      <c r="U139" s="61">
        <f>SUM(F139/B139)</f>
        <v>0</v>
      </c>
      <c r="V139" s="61">
        <f>SUM(G139/B139)</f>
        <v>0.12198615421341609</v>
      </c>
      <c r="W139" s="61">
        <f>SUM(H139/B139)</f>
        <v>0.22487467175936979</v>
      </c>
    </row>
    <row r="140" spans="1:23">
      <c r="A140" s="56" t="s">
        <v>1642</v>
      </c>
      <c r="B140" s="54">
        <f>SUM(C140:H140)</f>
        <v>5574</v>
      </c>
      <c r="C140" s="55">
        <v>1598</v>
      </c>
      <c r="D140" s="55">
        <v>1135</v>
      </c>
      <c r="E140" s="55">
        <v>0</v>
      </c>
      <c r="F140" s="55">
        <v>0</v>
      </c>
      <c r="G140" s="55">
        <v>769</v>
      </c>
      <c r="H140" s="55">
        <v>2072</v>
      </c>
      <c r="J140" s="54">
        <f>SUM(K140:P140)</f>
        <v>6</v>
      </c>
      <c r="K140" s="55">
        <v>2</v>
      </c>
      <c r="L140" s="55">
        <v>1</v>
      </c>
      <c r="M140" s="55">
        <v>0</v>
      </c>
      <c r="N140" s="55">
        <v>0</v>
      </c>
      <c r="O140" s="55">
        <v>1</v>
      </c>
      <c r="P140" s="55">
        <v>2</v>
      </c>
      <c r="R140" s="61">
        <f>SUM(C140/B140)</f>
        <v>0.2866881951919627</v>
      </c>
      <c r="S140" s="61">
        <f>SUM(D140/B140)</f>
        <v>0.20362396842482958</v>
      </c>
      <c r="T140" s="61">
        <f>SUM(E140/B140)</f>
        <v>0</v>
      </c>
      <c r="U140" s="61">
        <f>SUM(F140/B140)</f>
        <v>0</v>
      </c>
      <c r="V140" s="61">
        <f>SUM(G140/B140)</f>
        <v>0.13796196627197704</v>
      </c>
      <c r="W140" s="61">
        <f>SUM(H140/B140)</f>
        <v>0.37172587011123071</v>
      </c>
    </row>
    <row r="141" spans="1:23">
      <c r="A141" s="56" t="s">
        <v>1643</v>
      </c>
      <c r="B141" s="54">
        <f>SUM(C141:H141)</f>
        <v>6409</v>
      </c>
      <c r="C141" s="55">
        <v>2500</v>
      </c>
      <c r="D141" s="55">
        <v>1369</v>
      </c>
      <c r="E141" s="55">
        <v>0</v>
      </c>
      <c r="F141" s="55">
        <v>0</v>
      </c>
      <c r="G141" s="55">
        <v>1156</v>
      </c>
      <c r="H141" s="55">
        <v>1384</v>
      </c>
      <c r="J141" s="54">
        <f>SUM(K141:P141)</f>
        <v>7</v>
      </c>
      <c r="K141" s="55">
        <v>3</v>
      </c>
      <c r="L141" s="55">
        <v>2</v>
      </c>
      <c r="M141" s="55">
        <v>0</v>
      </c>
      <c r="N141" s="55">
        <v>0</v>
      </c>
      <c r="O141" s="55">
        <v>1</v>
      </c>
      <c r="P141" s="55">
        <v>1</v>
      </c>
      <c r="R141" s="61">
        <f>SUM(C141/B141)</f>
        <v>0.39007645498517707</v>
      </c>
      <c r="S141" s="61">
        <f>SUM(D141/B141)</f>
        <v>0.21360586674988297</v>
      </c>
      <c r="T141" s="61">
        <f>SUM(E141/B141)</f>
        <v>0</v>
      </c>
      <c r="U141" s="61">
        <f>SUM(F141/B141)</f>
        <v>0</v>
      </c>
      <c r="V141" s="61">
        <f>SUM(G141/B141)</f>
        <v>0.18037135278514588</v>
      </c>
      <c r="W141" s="61">
        <f>SUM(H141/B141)</f>
        <v>0.21594632547979403</v>
      </c>
    </row>
    <row r="142" spans="1:23" s="52" customFormat="1">
      <c r="A142" s="53" t="s">
        <v>1644</v>
      </c>
      <c r="B142" s="54">
        <f>SUM(B138:B141)</f>
        <v>23293</v>
      </c>
      <c r="C142" s="54">
        <f t="shared" ref="C142:O142" si="42">SUM(C138:C141)</f>
        <v>7584</v>
      </c>
      <c r="D142" s="54">
        <f>SUM(D138:D141)</f>
        <v>4966</v>
      </c>
      <c r="E142" s="54">
        <f t="shared" si="42"/>
        <v>1271</v>
      </c>
      <c r="F142" s="54">
        <f t="shared" si="42"/>
        <v>0</v>
      </c>
      <c r="G142" s="54">
        <f t="shared" si="42"/>
        <v>3739</v>
      </c>
      <c r="H142" s="54">
        <f>SUM(H138:H141)</f>
        <v>5733</v>
      </c>
      <c r="I142" s="54"/>
      <c r="J142" s="54">
        <f t="shared" si="42"/>
        <v>25</v>
      </c>
      <c r="K142" s="54">
        <f t="shared" si="42"/>
        <v>10</v>
      </c>
      <c r="L142" s="54">
        <f t="shared" si="42"/>
        <v>5</v>
      </c>
      <c r="M142" s="54">
        <f t="shared" si="42"/>
        <v>1</v>
      </c>
      <c r="N142" s="54">
        <f t="shared" si="42"/>
        <v>0</v>
      </c>
      <c r="O142" s="54">
        <f t="shared" si="42"/>
        <v>4</v>
      </c>
      <c r="P142" s="54">
        <f>SUM(P138:P141)</f>
        <v>5</v>
      </c>
      <c r="R142" s="60">
        <f>SUM(C142/B142)</f>
        <v>0.32559137938436439</v>
      </c>
      <c r="S142" s="60">
        <f>SUM(D142/B142)</f>
        <v>0.21319709784055296</v>
      </c>
      <c r="T142" s="60">
        <f>SUM(E142/B142)</f>
        <v>5.4565749366762548E-2</v>
      </c>
      <c r="U142" s="60">
        <f>SUM(F142/B142)</f>
        <v>0</v>
      </c>
      <c r="V142" s="60">
        <f>SUM(G142/B142)</f>
        <v>0.16052032799553514</v>
      </c>
      <c r="W142" s="60">
        <f>SUM(H142/B142)</f>
        <v>0.24612544541278494</v>
      </c>
    </row>
    <row r="143" spans="1:23">
      <c r="A143" s="53"/>
      <c r="B143" s="54"/>
      <c r="C143" s="55"/>
      <c r="D143" s="55"/>
      <c r="E143" s="55"/>
      <c r="F143" s="55"/>
      <c r="G143" s="55"/>
      <c r="H143" s="55"/>
      <c r="J143" s="54"/>
      <c r="K143" s="55"/>
      <c r="L143" s="55"/>
      <c r="M143" s="55"/>
      <c r="N143" s="55"/>
      <c r="O143" s="55"/>
      <c r="P143" s="55"/>
    </row>
    <row r="144" spans="1:23">
      <c r="A144" s="56" t="s">
        <v>1645</v>
      </c>
      <c r="B144" s="54">
        <f t="shared" ref="B144:B152" si="43">SUM(C144:H144)</f>
        <v>9549</v>
      </c>
      <c r="C144" s="55">
        <v>3718</v>
      </c>
      <c r="D144" s="55">
        <v>2385</v>
      </c>
      <c r="E144" s="55">
        <v>0</v>
      </c>
      <c r="F144" s="55">
        <v>0</v>
      </c>
      <c r="G144" s="55">
        <v>371</v>
      </c>
      <c r="H144" s="55">
        <v>3075</v>
      </c>
      <c r="J144" s="54">
        <f t="shared" ref="J144:J152" si="44">SUM(K144:P144)</f>
        <v>5</v>
      </c>
      <c r="K144" s="55">
        <v>2</v>
      </c>
      <c r="L144" s="55">
        <v>1</v>
      </c>
      <c r="M144" s="55">
        <v>0</v>
      </c>
      <c r="N144" s="55">
        <v>0</v>
      </c>
      <c r="O144" s="55">
        <v>0</v>
      </c>
      <c r="P144" s="55">
        <v>2</v>
      </c>
      <c r="R144" s="61">
        <f t="shared" ref="R144:R153" si="45">SUM(C144/B144)</f>
        <v>0.38936014242329042</v>
      </c>
      <c r="S144" s="61">
        <f t="shared" ref="S144:S153" si="46">SUM(D144/B144)</f>
        <v>0.24976437323279924</v>
      </c>
      <c r="T144" s="61">
        <f t="shared" ref="T144:T153" si="47">SUM(E144/B144)</f>
        <v>0</v>
      </c>
      <c r="U144" s="61">
        <f t="shared" ref="U144:U153" si="48">SUM(F144/B144)</f>
        <v>0</v>
      </c>
      <c r="V144" s="61">
        <f t="shared" ref="V144:V153" si="49">SUM(G144/B144)</f>
        <v>3.8852235836213216E-2</v>
      </c>
      <c r="W144" s="61">
        <f t="shared" ref="W144:W153" si="50">SUM(H144/B144)</f>
        <v>0.32202324850769715</v>
      </c>
    </row>
    <row r="145" spans="1:23">
      <c r="A145" s="56" t="s">
        <v>1646</v>
      </c>
      <c r="B145" s="54">
        <f t="shared" si="43"/>
        <v>10921</v>
      </c>
      <c r="C145" s="55">
        <v>2960</v>
      </c>
      <c r="D145" s="55">
        <v>4559</v>
      </c>
      <c r="E145" s="55">
        <v>0</v>
      </c>
      <c r="F145" s="55">
        <v>709</v>
      </c>
      <c r="G145" s="55">
        <v>1417</v>
      </c>
      <c r="H145" s="55">
        <v>1276</v>
      </c>
      <c r="J145" s="54">
        <f t="shared" si="44"/>
        <v>6</v>
      </c>
      <c r="K145" s="55">
        <v>2</v>
      </c>
      <c r="L145" s="55">
        <v>3</v>
      </c>
      <c r="M145" s="55">
        <v>0</v>
      </c>
      <c r="N145" s="55">
        <v>0</v>
      </c>
      <c r="O145" s="55">
        <v>1</v>
      </c>
      <c r="P145" s="55">
        <v>0</v>
      </c>
      <c r="R145" s="61">
        <f t="shared" si="45"/>
        <v>0.27103745078289532</v>
      </c>
      <c r="S145" s="61">
        <f t="shared" si="46"/>
        <v>0.41745261422946617</v>
      </c>
      <c r="T145" s="61">
        <f t="shared" si="47"/>
        <v>0</v>
      </c>
      <c r="U145" s="61">
        <f t="shared" si="48"/>
        <v>6.4920794799011083E-2</v>
      </c>
      <c r="V145" s="61">
        <f t="shared" si="49"/>
        <v>0.12975002289167659</v>
      </c>
      <c r="W145" s="61">
        <f t="shared" si="50"/>
        <v>0.11683911729695083</v>
      </c>
    </row>
    <row r="146" spans="1:23">
      <c r="A146" s="56" t="s">
        <v>1647</v>
      </c>
      <c r="B146" s="54">
        <f t="shared" si="43"/>
        <v>13527</v>
      </c>
      <c r="C146" s="55">
        <v>4124</v>
      </c>
      <c r="D146" s="55">
        <v>3882</v>
      </c>
      <c r="E146" s="55">
        <v>0</v>
      </c>
      <c r="F146" s="55">
        <v>0</v>
      </c>
      <c r="G146" s="55">
        <v>4657</v>
      </c>
      <c r="H146" s="55">
        <v>864</v>
      </c>
      <c r="J146" s="54">
        <f t="shared" si="44"/>
        <v>7</v>
      </c>
      <c r="K146" s="55">
        <v>3</v>
      </c>
      <c r="L146" s="55">
        <v>2</v>
      </c>
      <c r="M146" s="55">
        <v>0</v>
      </c>
      <c r="N146" s="55">
        <v>0</v>
      </c>
      <c r="O146" s="55">
        <v>2</v>
      </c>
      <c r="P146" s="55">
        <v>0</v>
      </c>
      <c r="R146" s="61">
        <f t="shared" si="45"/>
        <v>0.30487173800547052</v>
      </c>
      <c r="S146" s="61">
        <f t="shared" si="46"/>
        <v>0.28698159237081394</v>
      </c>
      <c r="T146" s="61">
        <f t="shared" si="47"/>
        <v>0</v>
      </c>
      <c r="U146" s="61">
        <f t="shared" si="48"/>
        <v>0</v>
      </c>
      <c r="V146" s="61">
        <f t="shared" si="49"/>
        <v>0.34427441413469356</v>
      </c>
      <c r="W146" s="61">
        <f t="shared" si="50"/>
        <v>6.3872255489021951E-2</v>
      </c>
    </row>
    <row r="147" spans="1:23">
      <c r="A147" s="56" t="s">
        <v>1648</v>
      </c>
      <c r="B147" s="54">
        <f t="shared" si="43"/>
        <v>11829</v>
      </c>
      <c r="C147" s="55">
        <v>3623</v>
      </c>
      <c r="D147" s="55">
        <v>2773</v>
      </c>
      <c r="E147" s="55">
        <v>2262</v>
      </c>
      <c r="F147" s="55">
        <v>0</v>
      </c>
      <c r="G147" s="55">
        <v>2196</v>
      </c>
      <c r="H147" s="55">
        <v>975</v>
      </c>
      <c r="J147" s="54">
        <f t="shared" si="44"/>
        <v>6</v>
      </c>
      <c r="K147" s="55">
        <v>2</v>
      </c>
      <c r="L147" s="55">
        <v>2</v>
      </c>
      <c r="M147" s="55">
        <v>1</v>
      </c>
      <c r="N147" s="55">
        <v>0</v>
      </c>
      <c r="O147" s="55">
        <v>1</v>
      </c>
      <c r="P147" s="55">
        <v>0</v>
      </c>
      <c r="R147" s="61">
        <f t="shared" si="45"/>
        <v>0.30628117338743766</v>
      </c>
      <c r="S147" s="61">
        <f t="shared" si="46"/>
        <v>0.23442387353115227</v>
      </c>
      <c r="T147" s="61">
        <f t="shared" si="47"/>
        <v>0.1912249556175501</v>
      </c>
      <c r="U147" s="61">
        <f t="shared" si="48"/>
        <v>0</v>
      </c>
      <c r="V147" s="61">
        <f t="shared" si="49"/>
        <v>0.1856454476287091</v>
      </c>
      <c r="W147" s="61">
        <f t="shared" si="50"/>
        <v>8.2424549835150906E-2</v>
      </c>
    </row>
    <row r="148" spans="1:23">
      <c r="A148" s="56" t="s">
        <v>1649</v>
      </c>
      <c r="B148" s="54">
        <f t="shared" si="43"/>
        <v>11985</v>
      </c>
      <c r="C148" s="55">
        <v>3386</v>
      </c>
      <c r="D148" s="55">
        <v>2470</v>
      </c>
      <c r="E148" s="55">
        <v>2679</v>
      </c>
      <c r="F148" s="55">
        <v>575</v>
      </c>
      <c r="G148" s="55">
        <v>1172</v>
      </c>
      <c r="H148" s="55">
        <v>1703</v>
      </c>
      <c r="J148" s="54">
        <f t="shared" si="44"/>
        <v>6</v>
      </c>
      <c r="K148" s="55">
        <v>2</v>
      </c>
      <c r="L148" s="55">
        <v>1</v>
      </c>
      <c r="M148" s="55">
        <v>2</v>
      </c>
      <c r="N148" s="55">
        <v>0</v>
      </c>
      <c r="O148" s="55">
        <v>0</v>
      </c>
      <c r="P148" s="55">
        <v>1</v>
      </c>
      <c r="R148" s="61">
        <f t="shared" si="45"/>
        <v>0.28251981643721319</v>
      </c>
      <c r="S148" s="61">
        <f t="shared" si="46"/>
        <v>0.2060909470171047</v>
      </c>
      <c r="T148" s="61">
        <f t="shared" si="47"/>
        <v>0.22352941176470589</v>
      </c>
      <c r="U148" s="61">
        <f t="shared" si="48"/>
        <v>4.7976637463496036E-2</v>
      </c>
      <c r="V148" s="61">
        <f t="shared" si="49"/>
        <v>9.7788902795160615E-2</v>
      </c>
      <c r="W148" s="61">
        <f t="shared" si="50"/>
        <v>0.14209428452231956</v>
      </c>
    </row>
    <row r="149" spans="1:23">
      <c r="A149" s="56" t="s">
        <v>1650</v>
      </c>
      <c r="B149" s="54">
        <f t="shared" si="43"/>
        <v>14862</v>
      </c>
      <c r="C149" s="55">
        <v>3388</v>
      </c>
      <c r="D149" s="55">
        <v>1324</v>
      </c>
      <c r="E149" s="55">
        <v>2351</v>
      </c>
      <c r="F149" s="55">
        <v>5615</v>
      </c>
      <c r="G149" s="55">
        <v>473</v>
      </c>
      <c r="H149" s="55">
        <v>1711</v>
      </c>
      <c r="J149" s="54">
        <f t="shared" si="44"/>
        <v>6</v>
      </c>
      <c r="K149" s="55">
        <v>2</v>
      </c>
      <c r="L149" s="55">
        <v>0</v>
      </c>
      <c r="M149" s="55">
        <v>1</v>
      </c>
      <c r="N149" s="55">
        <v>3</v>
      </c>
      <c r="O149" s="55">
        <v>0</v>
      </c>
      <c r="P149" s="55">
        <v>0</v>
      </c>
      <c r="R149" s="61">
        <f t="shared" si="45"/>
        <v>0.22796393486744718</v>
      </c>
      <c r="S149" s="61">
        <f t="shared" si="46"/>
        <v>8.9086260261068501E-2</v>
      </c>
      <c r="T149" s="61">
        <f t="shared" si="47"/>
        <v>0.15818866908895168</v>
      </c>
      <c r="U149" s="61">
        <f t="shared" si="48"/>
        <v>0.37780917776880635</v>
      </c>
      <c r="V149" s="61">
        <f t="shared" si="49"/>
        <v>3.1826133763961782E-2</v>
      </c>
      <c r="W149" s="61">
        <f t="shared" si="50"/>
        <v>0.1151258242497645</v>
      </c>
    </row>
    <row r="150" spans="1:23">
      <c r="A150" s="56" t="s">
        <v>1651</v>
      </c>
      <c r="B150" s="54">
        <f t="shared" si="43"/>
        <v>9492</v>
      </c>
      <c r="C150" s="55">
        <v>2626</v>
      </c>
      <c r="D150" s="55">
        <v>1000</v>
      </c>
      <c r="E150" s="55">
        <v>2552</v>
      </c>
      <c r="F150" s="55">
        <v>892</v>
      </c>
      <c r="G150" s="55">
        <v>1563</v>
      </c>
      <c r="H150" s="55">
        <v>859</v>
      </c>
      <c r="J150" s="54">
        <f t="shared" si="44"/>
        <v>5</v>
      </c>
      <c r="K150" s="55">
        <v>2</v>
      </c>
      <c r="L150" s="55">
        <v>0</v>
      </c>
      <c r="M150" s="55">
        <v>2</v>
      </c>
      <c r="N150" s="55">
        <v>0</v>
      </c>
      <c r="O150" s="55">
        <v>1</v>
      </c>
      <c r="P150" s="55">
        <v>0</v>
      </c>
      <c r="R150" s="61">
        <f t="shared" si="45"/>
        <v>0.27665402444163506</v>
      </c>
      <c r="S150" s="61">
        <f t="shared" si="46"/>
        <v>0.10535187526337969</v>
      </c>
      <c r="T150" s="61">
        <f t="shared" si="47"/>
        <v>0.26885798567214497</v>
      </c>
      <c r="U150" s="61">
        <f t="shared" si="48"/>
        <v>9.3973872734934683E-2</v>
      </c>
      <c r="V150" s="61">
        <f t="shared" si="49"/>
        <v>0.16466498103666244</v>
      </c>
      <c r="W150" s="61">
        <f t="shared" si="50"/>
        <v>9.0497260851243155E-2</v>
      </c>
    </row>
    <row r="151" spans="1:23">
      <c r="A151" s="56" t="s">
        <v>1652</v>
      </c>
      <c r="B151" s="54">
        <f t="shared" si="43"/>
        <v>13301</v>
      </c>
      <c r="C151" s="55">
        <v>0</v>
      </c>
      <c r="D151" s="55">
        <v>174</v>
      </c>
      <c r="E151" s="55">
        <v>4703</v>
      </c>
      <c r="F151" s="55">
        <v>7593</v>
      </c>
      <c r="G151" s="55">
        <v>145</v>
      </c>
      <c r="H151" s="55">
        <v>686</v>
      </c>
      <c r="I151" s="55"/>
      <c r="J151" s="54">
        <f t="shared" si="44"/>
        <v>5</v>
      </c>
      <c r="K151" s="55">
        <v>0</v>
      </c>
      <c r="L151" s="55">
        <v>0</v>
      </c>
      <c r="M151" s="55">
        <v>2</v>
      </c>
      <c r="N151" s="55">
        <v>3</v>
      </c>
      <c r="O151" s="55">
        <v>0</v>
      </c>
      <c r="P151" s="55">
        <v>0</v>
      </c>
      <c r="R151" s="61">
        <f t="shared" si="45"/>
        <v>0</v>
      </c>
      <c r="S151" s="61">
        <f t="shared" si="46"/>
        <v>1.3081723178708368E-2</v>
      </c>
      <c r="T151" s="61">
        <f t="shared" si="47"/>
        <v>0.35358243741072098</v>
      </c>
      <c r="U151" s="61">
        <f t="shared" si="48"/>
        <v>0.57085933388467036</v>
      </c>
      <c r="V151" s="61">
        <f t="shared" si="49"/>
        <v>1.0901435982256973E-2</v>
      </c>
      <c r="W151" s="61">
        <f t="shared" si="50"/>
        <v>5.1575069543643333E-2</v>
      </c>
    </row>
    <row r="152" spans="1:23">
      <c r="A152" s="56" t="s">
        <v>1653</v>
      </c>
      <c r="B152" s="54">
        <f t="shared" si="43"/>
        <v>13003</v>
      </c>
      <c r="C152" s="55">
        <v>0</v>
      </c>
      <c r="D152" s="55">
        <v>0</v>
      </c>
      <c r="E152" s="55">
        <v>2736</v>
      </c>
      <c r="F152" s="55">
        <v>9264</v>
      </c>
      <c r="G152" s="55">
        <v>108</v>
      </c>
      <c r="H152" s="55">
        <v>895</v>
      </c>
      <c r="J152" s="54">
        <f t="shared" si="44"/>
        <v>5</v>
      </c>
      <c r="K152" s="55">
        <v>0</v>
      </c>
      <c r="L152" s="55">
        <v>0</v>
      </c>
      <c r="M152" s="55">
        <v>1</v>
      </c>
      <c r="N152" s="55">
        <v>4</v>
      </c>
      <c r="O152" s="55">
        <v>0</v>
      </c>
      <c r="P152" s="55">
        <v>0</v>
      </c>
      <c r="R152" s="61">
        <f t="shared" si="45"/>
        <v>0</v>
      </c>
      <c r="S152" s="61">
        <f t="shared" si="46"/>
        <v>0</v>
      </c>
      <c r="T152" s="61">
        <f t="shared" si="47"/>
        <v>0.21041298161962624</v>
      </c>
      <c r="U152" s="61">
        <f t="shared" si="48"/>
        <v>0.71245097285241865</v>
      </c>
      <c r="V152" s="61">
        <f t="shared" si="49"/>
        <v>8.3057755902484036E-3</v>
      </c>
      <c r="W152" s="61">
        <f t="shared" si="50"/>
        <v>6.883026993770669E-2</v>
      </c>
    </row>
    <row r="153" spans="1:23" s="52" customFormat="1">
      <c r="A153" s="53" t="s">
        <v>1654</v>
      </c>
      <c r="B153" s="54">
        <f>SUM(B144:B152)</f>
        <v>108469</v>
      </c>
      <c r="C153" s="54">
        <f t="shared" ref="C153:O153" si="51">SUM(C144:C152)</f>
        <v>23825</v>
      </c>
      <c r="D153" s="54">
        <f>SUM(D144:D152)</f>
        <v>18567</v>
      </c>
      <c r="E153" s="54">
        <f t="shared" si="51"/>
        <v>17283</v>
      </c>
      <c r="F153" s="54">
        <f t="shared" si="51"/>
        <v>24648</v>
      </c>
      <c r="G153" s="54">
        <f t="shared" si="51"/>
        <v>12102</v>
      </c>
      <c r="H153" s="54">
        <f>SUM(H144:H152)</f>
        <v>12044</v>
      </c>
      <c r="I153" s="54"/>
      <c r="J153" s="54">
        <f t="shared" si="51"/>
        <v>51</v>
      </c>
      <c r="K153" s="54">
        <f t="shared" si="51"/>
        <v>15</v>
      </c>
      <c r="L153" s="54">
        <f t="shared" si="51"/>
        <v>9</v>
      </c>
      <c r="M153" s="54">
        <f t="shared" si="51"/>
        <v>9</v>
      </c>
      <c r="N153" s="54">
        <f t="shared" si="51"/>
        <v>10</v>
      </c>
      <c r="O153" s="54">
        <f t="shared" si="51"/>
        <v>5</v>
      </c>
      <c r="P153" s="54">
        <f>SUM(P144:P152)</f>
        <v>3</v>
      </c>
      <c r="R153" s="60">
        <f t="shared" si="45"/>
        <v>0.21964801003051562</v>
      </c>
      <c r="S153" s="60">
        <f t="shared" si="46"/>
        <v>0.17117333062902765</v>
      </c>
      <c r="T153" s="60">
        <f t="shared" si="47"/>
        <v>0.15933584710839041</v>
      </c>
      <c r="U153" s="60">
        <f t="shared" si="48"/>
        <v>0.22723543132139137</v>
      </c>
      <c r="V153" s="60">
        <f t="shared" si="49"/>
        <v>0.11157104794918364</v>
      </c>
      <c r="W153" s="60">
        <f t="shared" si="50"/>
        <v>0.1110363329614913</v>
      </c>
    </row>
    <row r="154" spans="1:23">
      <c r="A154" s="53"/>
      <c r="B154" s="54"/>
      <c r="C154" s="55"/>
      <c r="D154" s="55"/>
      <c r="E154" s="55"/>
      <c r="F154" s="55"/>
      <c r="G154" s="55"/>
      <c r="H154" s="55"/>
      <c r="J154" s="54"/>
      <c r="K154" s="55"/>
      <c r="L154" s="55"/>
      <c r="M154" s="55"/>
      <c r="N154" s="55"/>
      <c r="O154" s="55"/>
      <c r="P154" s="55"/>
    </row>
    <row r="155" spans="1:23" s="52" customFormat="1">
      <c r="A155" s="53" t="s">
        <v>1255</v>
      </c>
      <c r="B155" s="54">
        <f>SUM(B153+B142+B136+B131+B126+B121+B116+B110+B105+B99+B93+B87+B80+B74+B69+B63+B56+B50+B44+B39+B32+B27+B22+B16+B11+B6)</f>
        <v>629125</v>
      </c>
      <c r="C155" s="54">
        <f t="shared" ref="C155:O155" si="52">SUM(C153+C142+C136+C131+C126+C121+C116+C110+C105+C99+C93+C87+C80+C74+C69+C63+C56+C50+C44+C39+C32+C27+C22+C16+C11+C6)</f>
        <v>184529</v>
      </c>
      <c r="D155" s="54">
        <f>SUM(D153+D142+D136+D131+D126+D121+D116+D110+D105+D99+D93+D87+D80+D74+D69+D63+D56+D50+D44+D39+D32+D27+D22+D16+D11+D6)</f>
        <v>107995</v>
      </c>
      <c r="E155" s="54">
        <f t="shared" si="52"/>
        <v>138328</v>
      </c>
      <c r="F155" s="54">
        <f t="shared" si="52"/>
        <v>78123</v>
      </c>
      <c r="G155" s="54">
        <f t="shared" si="52"/>
        <v>47649</v>
      </c>
      <c r="H155" s="54">
        <f>SUM(H153+H142+H136+H131+H126+H121+H116+H110+H105+H99+H93+H87+H80+H74+H69+H63+H56+H50+H44+H39+H32+H27+H22+H16+H11+H6)</f>
        <v>72501</v>
      </c>
      <c r="I155" s="54"/>
      <c r="J155" s="54">
        <f t="shared" si="52"/>
        <v>582</v>
      </c>
      <c r="K155" s="54">
        <f t="shared" si="52"/>
        <v>197</v>
      </c>
      <c r="L155" s="54">
        <f t="shared" si="52"/>
        <v>102</v>
      </c>
      <c r="M155" s="54">
        <f t="shared" si="52"/>
        <v>127</v>
      </c>
      <c r="N155" s="54">
        <f t="shared" si="52"/>
        <v>51</v>
      </c>
      <c r="O155" s="54">
        <f t="shared" si="52"/>
        <v>44</v>
      </c>
      <c r="P155" s="54">
        <f>SUM(P153+P142+P136+P131+P126+P121+P116+P110+P105+P99+P93+P87+P80+P74+P69+P63+P56+P50+P44+P39+P32+P27+P22+P16+P11+P6)</f>
        <v>61</v>
      </c>
      <c r="R155" s="60">
        <f>SUM(C155/B155)</f>
        <v>0.29331055036757403</v>
      </c>
      <c r="S155" s="60">
        <f>SUM(D155/B155)</f>
        <v>0.1716590502682297</v>
      </c>
      <c r="T155" s="60">
        <f>SUM(E155/B155)</f>
        <v>0.21987363401549773</v>
      </c>
      <c r="U155" s="60">
        <f>SUM(F155/B155)</f>
        <v>0.124177230280151</v>
      </c>
      <c r="V155" s="60">
        <f>SUM(G155/B155)</f>
        <v>7.5738525730180806E-2</v>
      </c>
      <c r="W155" s="60">
        <f>SUM(H155/B155)</f>
        <v>0.11524100933836678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39.xml><?xml version="1.0" encoding="utf-8"?>
<worksheet xmlns="http://schemas.openxmlformats.org/spreadsheetml/2006/main" xmlns:r="http://schemas.openxmlformats.org/officeDocument/2006/relationships">
  <sheetPr codeName="Sheet7"/>
  <dimension ref="A1:Z152"/>
  <sheetViews>
    <sheetView workbookViewId="0">
      <pane ySplit="1" topLeftCell="A127" activePane="bottomLeft" state="frozen"/>
      <selection pane="bottomLeft" activeCell="J151" sqref="J151"/>
    </sheetView>
  </sheetViews>
  <sheetFormatPr defaultRowHeight="15"/>
  <cols>
    <col min="1" max="1" width="23.85546875" style="47" customWidth="1"/>
    <col min="2" max="2" width="8.7109375" style="47" customWidth="1"/>
    <col min="3" max="6" width="8.7109375" customWidth="1"/>
    <col min="7" max="8" width="7.7109375" customWidth="1"/>
    <col min="9" max="9" width="7.85546875" customWidth="1"/>
    <col min="10" max="10" width="1.140625" customWidth="1"/>
    <col min="11" max="11" width="6.7109375" style="47" customWidth="1"/>
    <col min="12" max="18" width="5.7109375" customWidth="1"/>
    <col min="19" max="19" width="1.140625" customWidth="1"/>
    <col min="20" max="26" width="7.7109375" style="61" customWidth="1"/>
  </cols>
  <sheetData>
    <row r="1" spans="1:26">
      <c r="A1" s="47" t="s">
        <v>1528</v>
      </c>
      <c r="B1" s="47" t="s">
        <v>1248</v>
      </c>
      <c r="C1" s="49" t="s">
        <v>1257</v>
      </c>
      <c r="D1" s="50" t="s">
        <v>1258</v>
      </c>
      <c r="E1" s="48" t="s">
        <v>1261</v>
      </c>
      <c r="F1" s="65" t="s">
        <v>1247</v>
      </c>
      <c r="G1" s="66" t="s">
        <v>1529</v>
      </c>
      <c r="H1" s="73" t="s">
        <v>1286</v>
      </c>
      <c r="I1" s="52" t="s">
        <v>1254</v>
      </c>
      <c r="J1" s="47"/>
      <c r="K1" s="47" t="s">
        <v>1250</v>
      </c>
      <c r="L1" s="49" t="s">
        <v>1257</v>
      </c>
      <c r="M1" s="50" t="s">
        <v>1258</v>
      </c>
      <c r="N1" s="48" t="s">
        <v>1261</v>
      </c>
      <c r="O1" s="65" t="s">
        <v>1247</v>
      </c>
      <c r="P1" s="66" t="s">
        <v>1269</v>
      </c>
      <c r="Q1" s="73" t="s">
        <v>1286</v>
      </c>
      <c r="R1" s="52" t="s">
        <v>1254</v>
      </c>
      <c r="T1" s="49" t="s">
        <v>1257</v>
      </c>
      <c r="U1" s="50" t="s">
        <v>1258</v>
      </c>
      <c r="V1" s="48" t="s">
        <v>1261</v>
      </c>
      <c r="W1" s="65" t="s">
        <v>1247</v>
      </c>
      <c r="X1" s="66" t="s">
        <v>1529</v>
      </c>
      <c r="Y1" s="73" t="s">
        <v>1286</v>
      </c>
      <c r="Z1" s="60" t="s">
        <v>1254</v>
      </c>
    </row>
    <row r="2" spans="1:26">
      <c r="A2" s="56" t="s">
        <v>1534</v>
      </c>
      <c r="B2" s="54">
        <f>SUM(C2:I2)</f>
        <v>8022</v>
      </c>
      <c r="C2" s="55">
        <v>2994</v>
      </c>
      <c r="D2" s="55">
        <v>392</v>
      </c>
      <c r="E2" s="55">
        <v>1547</v>
      </c>
      <c r="F2" s="55">
        <v>2446</v>
      </c>
      <c r="G2" s="55">
        <v>0</v>
      </c>
      <c r="H2" s="55">
        <v>0</v>
      </c>
      <c r="I2" s="55">
        <v>643</v>
      </c>
      <c r="K2" s="54">
        <f>SUM(L2:R2)</f>
        <v>6</v>
      </c>
      <c r="L2" s="55">
        <v>3</v>
      </c>
      <c r="M2" s="55">
        <v>0</v>
      </c>
      <c r="N2" s="55">
        <v>1</v>
      </c>
      <c r="O2" s="55">
        <v>2</v>
      </c>
      <c r="P2" s="55">
        <v>0</v>
      </c>
      <c r="Q2" s="55">
        <v>0</v>
      </c>
      <c r="R2" s="55">
        <v>0</v>
      </c>
      <c r="T2" s="61">
        <f>SUM(C2/B2)</f>
        <v>0.37322363500373973</v>
      </c>
      <c r="U2" s="61">
        <f>SUM(D2/B2)</f>
        <v>4.8865619546247817E-2</v>
      </c>
      <c r="V2" s="61">
        <f>SUM(E2/B2)</f>
        <v>0.19284467713787085</v>
      </c>
      <c r="W2" s="61">
        <f>SUM(F2/B2)</f>
        <v>0.30491149339316881</v>
      </c>
      <c r="X2" s="61">
        <f>SUM(G2/B2)</f>
        <v>0</v>
      </c>
      <c r="Y2" s="61">
        <f>SUM(H2/B2)</f>
        <v>0</v>
      </c>
      <c r="Z2" s="61">
        <f>SUM(I2/B2)</f>
        <v>8.0154574918972821E-2</v>
      </c>
    </row>
    <row r="3" spans="1:26">
      <c r="A3" s="56" t="s">
        <v>1535</v>
      </c>
      <c r="B3" s="54">
        <f>SUM(C3:I3)</f>
        <v>6229</v>
      </c>
      <c r="C3" s="55">
        <v>2625</v>
      </c>
      <c r="D3" s="55">
        <v>1232</v>
      </c>
      <c r="E3" s="55">
        <v>1724</v>
      </c>
      <c r="F3" s="55">
        <v>648</v>
      </c>
      <c r="G3" s="55">
        <v>0</v>
      </c>
      <c r="H3" s="55">
        <v>0</v>
      </c>
      <c r="I3" s="55">
        <v>0</v>
      </c>
      <c r="K3" s="54">
        <f>SUM(L3:R3)</f>
        <v>5</v>
      </c>
      <c r="L3" s="55">
        <v>2</v>
      </c>
      <c r="M3" s="55">
        <v>1</v>
      </c>
      <c r="N3" s="55">
        <v>2</v>
      </c>
      <c r="O3" s="55">
        <v>0</v>
      </c>
      <c r="P3" s="55">
        <v>0</v>
      </c>
      <c r="Q3" s="55">
        <v>0</v>
      </c>
      <c r="R3" s="55">
        <v>0</v>
      </c>
      <c r="T3" s="61">
        <f>SUM(C3/B3)</f>
        <v>0.42141595761759509</v>
      </c>
      <c r="U3" s="61">
        <f>SUM(D3/B3)</f>
        <v>0.19778455610852463</v>
      </c>
      <c r="V3" s="61">
        <f>SUM(E3/B3)</f>
        <v>0.27676994702199392</v>
      </c>
      <c r="W3" s="61">
        <f>SUM(F3/B3)</f>
        <v>0.10402953925188634</v>
      </c>
      <c r="X3" s="61">
        <f>SUM(G3/B3)</f>
        <v>0</v>
      </c>
      <c r="Y3" s="61">
        <f>SUM(H3/B3)</f>
        <v>0</v>
      </c>
      <c r="Z3" s="61">
        <f>SUM(I3/B3)</f>
        <v>0</v>
      </c>
    </row>
    <row r="4" spans="1:26">
      <c r="A4" s="56" t="s">
        <v>1536</v>
      </c>
      <c r="B4" s="54">
        <f>SUM(C4:I4)</f>
        <v>6798</v>
      </c>
      <c r="C4" s="55">
        <v>2268</v>
      </c>
      <c r="D4" s="55">
        <v>0</v>
      </c>
      <c r="E4" s="55">
        <v>1145</v>
      </c>
      <c r="F4" s="55">
        <v>1781</v>
      </c>
      <c r="G4" s="55">
        <v>0</v>
      </c>
      <c r="H4" s="55">
        <v>0</v>
      </c>
      <c r="I4" s="55">
        <v>1604</v>
      </c>
      <c r="J4" s="55"/>
      <c r="K4" s="54">
        <f>SUM(L4:R4)</f>
        <v>5</v>
      </c>
      <c r="L4" s="55">
        <v>2</v>
      </c>
      <c r="M4" s="55">
        <v>0</v>
      </c>
      <c r="N4" s="55">
        <v>1</v>
      </c>
      <c r="O4" s="55">
        <v>1</v>
      </c>
      <c r="P4" s="55">
        <v>0</v>
      </c>
      <c r="Q4" s="55">
        <v>0</v>
      </c>
      <c r="R4" s="55">
        <v>1</v>
      </c>
      <c r="T4" s="61">
        <f>SUM(C4/B4)</f>
        <v>0.33362753751103263</v>
      </c>
      <c r="U4" s="61">
        <f>SUM(D4/B4)</f>
        <v>0</v>
      </c>
      <c r="V4" s="61">
        <f>SUM(E4/B4)</f>
        <v>0.1684318917328626</v>
      </c>
      <c r="W4" s="61">
        <f>SUM(F4/B4)</f>
        <v>0.26198882024124742</v>
      </c>
      <c r="X4" s="61">
        <f>SUM(G4/B4)</f>
        <v>0</v>
      </c>
      <c r="Y4" s="61">
        <f>SUM(H4/B4)</f>
        <v>0</v>
      </c>
      <c r="Z4" s="61">
        <f>SUM(I4/B4)</f>
        <v>0.23595175051485731</v>
      </c>
    </row>
    <row r="5" spans="1:26">
      <c r="A5" s="56" t="s">
        <v>1537</v>
      </c>
      <c r="B5" s="54">
        <f>SUM(C5:I5)</f>
        <v>9119</v>
      </c>
      <c r="C5" s="55">
        <v>4156</v>
      </c>
      <c r="D5" s="55">
        <v>958</v>
      </c>
      <c r="E5" s="55">
        <v>1230</v>
      </c>
      <c r="F5" s="55">
        <v>1295</v>
      </c>
      <c r="G5" s="55">
        <v>305</v>
      </c>
      <c r="H5" s="55">
        <v>1150</v>
      </c>
      <c r="I5" s="55">
        <v>25</v>
      </c>
      <c r="J5" s="55"/>
      <c r="K5" s="54">
        <f>SUM(L5:R5)</f>
        <v>7</v>
      </c>
      <c r="L5" s="55">
        <v>3</v>
      </c>
      <c r="M5" s="55">
        <v>1</v>
      </c>
      <c r="N5" s="55">
        <v>1</v>
      </c>
      <c r="O5" s="55">
        <v>1</v>
      </c>
      <c r="P5" s="55">
        <v>0</v>
      </c>
      <c r="Q5" s="55">
        <v>1</v>
      </c>
      <c r="R5" s="55">
        <v>0</v>
      </c>
      <c r="T5" s="61">
        <f>SUM(C5/B5)</f>
        <v>0.45575172716306611</v>
      </c>
      <c r="U5" s="61">
        <f>SUM(D5/B5)</f>
        <v>0.10505537887926308</v>
      </c>
      <c r="V5" s="61">
        <f>SUM(E5/B5)</f>
        <v>0.13488321087838578</v>
      </c>
      <c r="W5" s="61">
        <f>SUM(F5/B5)</f>
        <v>0.14201118543699967</v>
      </c>
      <c r="X5" s="61">
        <f>SUM(G5/B5)</f>
        <v>3.3446649851957451E-2</v>
      </c>
      <c r="Y5" s="61">
        <f>SUM(H5/B5)</f>
        <v>0.12611031911393794</v>
      </c>
      <c r="Z5" s="61">
        <f>SUM(I5/B5)</f>
        <v>2.7415286763899549E-3</v>
      </c>
    </row>
    <row r="6" spans="1:26" s="52" customFormat="1">
      <c r="A6" s="53" t="s">
        <v>1532</v>
      </c>
      <c r="B6" s="54">
        <f>SUM(B2:B5)</f>
        <v>30168</v>
      </c>
      <c r="C6" s="54">
        <f t="shared" ref="C6:P6" si="0">SUM(C2:C5)</f>
        <v>12043</v>
      </c>
      <c r="D6" s="54">
        <f>SUM(D2:D5)</f>
        <v>2582</v>
      </c>
      <c r="E6" s="54">
        <f t="shared" si="0"/>
        <v>5646</v>
      </c>
      <c r="F6" s="54">
        <f t="shared" si="0"/>
        <v>6170</v>
      </c>
      <c r="G6" s="54">
        <f t="shared" si="0"/>
        <v>305</v>
      </c>
      <c r="H6" s="54">
        <f>SUM(H2:H5)</f>
        <v>1150</v>
      </c>
      <c r="I6" s="54">
        <f>SUM(I2:I5)</f>
        <v>2272</v>
      </c>
      <c r="J6" s="54"/>
      <c r="K6" s="54">
        <f t="shared" si="0"/>
        <v>23</v>
      </c>
      <c r="L6" s="54">
        <f t="shared" si="0"/>
        <v>10</v>
      </c>
      <c r="M6" s="54">
        <f t="shared" si="0"/>
        <v>2</v>
      </c>
      <c r="N6" s="54">
        <f t="shared" si="0"/>
        <v>5</v>
      </c>
      <c r="O6" s="54">
        <f t="shared" si="0"/>
        <v>4</v>
      </c>
      <c r="P6" s="54">
        <f t="shared" si="0"/>
        <v>0</v>
      </c>
      <c r="Q6" s="54">
        <f>SUM(Q2:Q5)</f>
        <v>1</v>
      </c>
      <c r="R6" s="54">
        <f>SUM(R2:R5)</f>
        <v>1</v>
      </c>
      <c r="T6" s="60">
        <f>SUM(C6/B6)</f>
        <v>0.39919782551047467</v>
      </c>
      <c r="U6" s="60">
        <f>SUM(D6/B6)</f>
        <v>8.5587377353487135E-2</v>
      </c>
      <c r="V6" s="60">
        <f>SUM(E6/B6)</f>
        <v>0.18715194908512331</v>
      </c>
      <c r="W6" s="60">
        <f>SUM(F6/B6)</f>
        <v>0.20452134712277911</v>
      </c>
      <c r="X6" s="60">
        <f>SUM(G6/B6)</f>
        <v>1.0110050384513392E-2</v>
      </c>
      <c r="Y6" s="60">
        <f>SUM(H6/B6)</f>
        <v>3.8119862105542295E-2</v>
      </c>
      <c r="Z6" s="60">
        <f>SUM(I6/B6)</f>
        <v>7.5311588438080085E-2</v>
      </c>
    </row>
    <row r="7" spans="1:26">
      <c r="A7" s="53"/>
      <c r="B7" s="54"/>
      <c r="C7" s="55"/>
      <c r="D7" s="55"/>
      <c r="E7" s="55"/>
      <c r="F7" s="55"/>
      <c r="G7" s="55"/>
      <c r="H7" s="55"/>
      <c r="I7" s="55"/>
      <c r="K7" s="54"/>
      <c r="L7" s="55"/>
      <c r="M7" s="55"/>
      <c r="N7" s="55"/>
      <c r="O7" s="55"/>
      <c r="P7" s="55"/>
      <c r="Q7" s="55"/>
      <c r="R7" s="55"/>
    </row>
    <row r="8" spans="1:26">
      <c r="A8" s="56" t="s">
        <v>1538</v>
      </c>
      <c r="B8" s="54">
        <f>SUM(C8:I8)</f>
        <v>7602</v>
      </c>
      <c r="C8" s="55">
        <v>2144</v>
      </c>
      <c r="D8" s="55">
        <v>1089</v>
      </c>
      <c r="E8" s="55">
        <v>2022</v>
      </c>
      <c r="F8" s="55">
        <v>1818</v>
      </c>
      <c r="G8" s="55">
        <v>213</v>
      </c>
      <c r="H8" s="55">
        <v>316</v>
      </c>
      <c r="I8" s="55">
        <v>0</v>
      </c>
      <c r="K8" s="54">
        <f>SUM(L8:R8)</f>
        <v>7</v>
      </c>
      <c r="L8" s="55">
        <v>2</v>
      </c>
      <c r="M8" s="55">
        <v>1</v>
      </c>
      <c r="N8" s="55">
        <v>2</v>
      </c>
      <c r="O8" s="55">
        <v>2</v>
      </c>
      <c r="P8" s="55">
        <v>0</v>
      </c>
      <c r="Q8" s="55">
        <v>0</v>
      </c>
      <c r="R8" s="55">
        <v>0</v>
      </c>
      <c r="T8" s="61">
        <f>SUM(C8/B8)</f>
        <v>0.28203104446198368</v>
      </c>
      <c r="U8" s="61">
        <f>SUM(D8/B8)</f>
        <v>0.14325177584846094</v>
      </c>
      <c r="V8" s="61">
        <f>SUM(E8/B8)</f>
        <v>0.26598263614838202</v>
      </c>
      <c r="W8" s="61">
        <f>SUM(F8/B8)</f>
        <v>0.23914759273875297</v>
      </c>
      <c r="X8" s="61">
        <f>SUM(G8/B8)</f>
        <v>2.8018942383583267E-2</v>
      </c>
      <c r="Y8" s="61">
        <f>SUM(H8/B8)</f>
        <v>4.1568008418837149E-2</v>
      </c>
      <c r="Z8" s="61">
        <f>SUM(I8/B8)</f>
        <v>0</v>
      </c>
    </row>
    <row r="9" spans="1:26">
      <c r="A9" s="56" t="s">
        <v>1539</v>
      </c>
      <c r="B9" s="54">
        <f>SUM(C9:I9)</f>
        <v>7694</v>
      </c>
      <c r="C9" s="55">
        <v>1591</v>
      </c>
      <c r="D9" s="55">
        <v>810</v>
      </c>
      <c r="E9" s="55">
        <v>1336</v>
      </c>
      <c r="F9" s="55">
        <v>2674</v>
      </c>
      <c r="G9" s="55">
        <v>167</v>
      </c>
      <c r="H9" s="55">
        <v>244</v>
      </c>
      <c r="I9" s="55">
        <v>872</v>
      </c>
      <c r="K9" s="54">
        <f>SUM(L9:R9)</f>
        <v>7</v>
      </c>
      <c r="L9" s="55">
        <v>2</v>
      </c>
      <c r="M9" s="55">
        <v>0</v>
      </c>
      <c r="N9" s="55">
        <v>1</v>
      </c>
      <c r="O9" s="55">
        <v>3</v>
      </c>
      <c r="P9" s="55">
        <v>0</v>
      </c>
      <c r="Q9" s="55">
        <v>0</v>
      </c>
      <c r="R9" s="55">
        <v>1</v>
      </c>
      <c r="T9" s="61">
        <f>SUM(C9/B9)</f>
        <v>0.20678450740837015</v>
      </c>
      <c r="U9" s="61">
        <f>SUM(D9/B9)</f>
        <v>0.10527683909539902</v>
      </c>
      <c r="V9" s="61">
        <f>SUM(E9/B9)</f>
        <v>0.17364179880426306</v>
      </c>
      <c r="W9" s="61">
        <f>SUM(F9/B9)</f>
        <v>0.34754354042110736</v>
      </c>
      <c r="X9" s="61">
        <f>SUM(G9/B9)</f>
        <v>2.1705224850532882E-2</v>
      </c>
      <c r="Y9" s="61">
        <f>SUM(H9/B9)</f>
        <v>3.1713023134910319E-2</v>
      </c>
      <c r="Z9" s="61">
        <f>SUM(I9/B9)</f>
        <v>0.1133350662854172</v>
      </c>
    </row>
    <row r="10" spans="1:26">
      <c r="A10" s="56" t="s">
        <v>1530</v>
      </c>
      <c r="B10" s="54">
        <f>SUM(C10:I10)</f>
        <v>6085</v>
      </c>
      <c r="C10" s="55">
        <v>944</v>
      </c>
      <c r="D10" s="55">
        <v>1318</v>
      </c>
      <c r="E10" s="55">
        <v>2229</v>
      </c>
      <c r="F10" s="55">
        <v>839</v>
      </c>
      <c r="G10" s="55">
        <v>420</v>
      </c>
      <c r="H10" s="55">
        <v>335</v>
      </c>
      <c r="I10" s="55">
        <v>0</v>
      </c>
      <c r="K10" s="54">
        <f>SUM(L10:R10)</f>
        <v>7</v>
      </c>
      <c r="L10" s="55">
        <v>1</v>
      </c>
      <c r="M10" s="55">
        <v>2</v>
      </c>
      <c r="N10" s="55">
        <v>3</v>
      </c>
      <c r="O10" s="55">
        <v>1</v>
      </c>
      <c r="P10" s="55">
        <v>0</v>
      </c>
      <c r="Q10" s="55">
        <v>0</v>
      </c>
      <c r="R10" s="55">
        <v>0</v>
      </c>
      <c r="T10" s="61">
        <f>SUM(C10/B10)</f>
        <v>0.15513557929334429</v>
      </c>
      <c r="U10" s="61">
        <f>SUM(D10/B10)</f>
        <v>0.21659819227608873</v>
      </c>
      <c r="V10" s="61">
        <f>SUM(E10/B10)</f>
        <v>0.36631059983566144</v>
      </c>
      <c r="W10" s="61">
        <f>SUM(F10/B10)</f>
        <v>0.13788003286770747</v>
      </c>
      <c r="X10" s="61">
        <f>SUM(G10/B10)</f>
        <v>6.9022185702547242E-2</v>
      </c>
      <c r="Y10" s="61">
        <f>SUM(H10/B10)</f>
        <v>5.5053410024650778E-2</v>
      </c>
      <c r="Z10" s="61">
        <f>SUM(I10/B10)</f>
        <v>0</v>
      </c>
    </row>
    <row r="11" spans="1:26" s="52" customFormat="1">
      <c r="A11" s="53" t="s">
        <v>1531</v>
      </c>
      <c r="B11" s="54">
        <f>SUM(B8:B10)</f>
        <v>21381</v>
      </c>
      <c r="C11" s="54">
        <f t="shared" ref="C11:P11" si="1">SUM(C8:C10)</f>
        <v>4679</v>
      </c>
      <c r="D11" s="54">
        <f>SUM(D8:D10)</f>
        <v>3217</v>
      </c>
      <c r="E11" s="54">
        <f t="shared" si="1"/>
        <v>5587</v>
      </c>
      <c r="F11" s="54">
        <f t="shared" si="1"/>
        <v>5331</v>
      </c>
      <c r="G11" s="54">
        <f t="shared" si="1"/>
        <v>800</v>
      </c>
      <c r="H11" s="54">
        <f>SUM(H8:H10)</f>
        <v>895</v>
      </c>
      <c r="I11" s="54">
        <f>SUM(I8:I10)</f>
        <v>872</v>
      </c>
      <c r="J11" s="54"/>
      <c r="K11" s="54">
        <f t="shared" si="1"/>
        <v>21</v>
      </c>
      <c r="L11" s="54">
        <f t="shared" si="1"/>
        <v>5</v>
      </c>
      <c r="M11" s="54">
        <f t="shared" si="1"/>
        <v>3</v>
      </c>
      <c r="N11" s="54">
        <f t="shared" si="1"/>
        <v>6</v>
      </c>
      <c r="O11" s="54">
        <f t="shared" si="1"/>
        <v>6</v>
      </c>
      <c r="P11" s="54">
        <f t="shared" si="1"/>
        <v>0</v>
      </c>
      <c r="Q11" s="54">
        <f>SUM(Q8:Q10)</f>
        <v>0</v>
      </c>
      <c r="R11" s="54">
        <f>SUM(R8:R10)</f>
        <v>1</v>
      </c>
      <c r="T11" s="60">
        <f>SUM(C11/B11)</f>
        <v>0.21883915626023104</v>
      </c>
      <c r="U11" s="60">
        <f>SUM(D11/B11)</f>
        <v>0.15046068939712828</v>
      </c>
      <c r="V11" s="60">
        <f>SUM(E11/B11)</f>
        <v>0.26130676769094058</v>
      </c>
      <c r="W11" s="60">
        <f>SUM(F11/B11)</f>
        <v>0.249333520415322</v>
      </c>
      <c r="X11" s="60">
        <f>SUM(G11/B11)</f>
        <v>3.7416397736307935E-2</v>
      </c>
      <c r="Y11" s="60">
        <f>SUM(H11/B11)</f>
        <v>4.1859594967494501E-2</v>
      </c>
      <c r="Z11" s="60">
        <f>SUM(I11/B11)</f>
        <v>4.0783873532575649E-2</v>
      </c>
    </row>
    <row r="12" spans="1:26">
      <c r="A12" s="53"/>
      <c r="B12" s="54"/>
      <c r="C12" s="55"/>
      <c r="D12" s="55"/>
      <c r="E12" s="55"/>
      <c r="F12" s="55"/>
      <c r="G12" s="55"/>
      <c r="H12" s="55"/>
      <c r="I12" s="55"/>
      <c r="K12" s="54"/>
      <c r="L12" s="55"/>
      <c r="M12" s="55"/>
      <c r="N12" s="55"/>
      <c r="O12" s="55"/>
      <c r="P12" s="55"/>
      <c r="Q12" s="55"/>
      <c r="R12" s="55"/>
    </row>
    <row r="13" spans="1:26">
      <c r="A13" s="56" t="s">
        <v>1540</v>
      </c>
      <c r="B13" s="54">
        <f>SUM(C13:I13)</f>
        <v>5536</v>
      </c>
      <c r="C13" s="55">
        <v>1050</v>
      </c>
      <c r="D13" s="55">
        <v>1396</v>
      </c>
      <c r="E13" s="55">
        <v>589</v>
      </c>
      <c r="F13" s="55">
        <v>1168</v>
      </c>
      <c r="G13" s="55">
        <v>63</v>
      </c>
      <c r="H13" s="55">
        <v>0</v>
      </c>
      <c r="I13" s="55">
        <v>1270</v>
      </c>
      <c r="K13" s="54">
        <f>SUM(L13:R13)</f>
        <v>5</v>
      </c>
      <c r="L13" s="55">
        <v>1</v>
      </c>
      <c r="M13" s="55">
        <v>1</v>
      </c>
      <c r="N13" s="55">
        <v>1</v>
      </c>
      <c r="O13" s="55">
        <v>1</v>
      </c>
      <c r="P13" s="55">
        <v>0</v>
      </c>
      <c r="Q13" s="55">
        <v>0</v>
      </c>
      <c r="R13" s="55">
        <v>1</v>
      </c>
      <c r="T13" s="61">
        <f>SUM(C13/B13)</f>
        <v>0.18966763005780346</v>
      </c>
      <c r="U13" s="61">
        <f>SUM(D13/B13)</f>
        <v>0.25216763005780346</v>
      </c>
      <c r="V13" s="61">
        <f>SUM(E13/B13)</f>
        <v>0.10639450867052024</v>
      </c>
      <c r="W13" s="61">
        <f>SUM(F13/B13)</f>
        <v>0.21098265895953758</v>
      </c>
      <c r="X13" s="61">
        <f>SUM(G13/B13)</f>
        <v>1.1380057803468208E-2</v>
      </c>
      <c r="Y13" s="61">
        <f>SUM(H13/B13)</f>
        <v>0</v>
      </c>
      <c r="Z13" s="61">
        <f>SUM(I13/B13)</f>
        <v>0.22940751445086704</v>
      </c>
    </row>
    <row r="14" spans="1:26">
      <c r="A14" s="56" t="s">
        <v>1541</v>
      </c>
      <c r="B14" s="54">
        <f>SUM(C14:I14)</f>
        <v>5124</v>
      </c>
      <c r="C14" s="55">
        <v>1359</v>
      </c>
      <c r="D14" s="55">
        <v>1855</v>
      </c>
      <c r="E14" s="55">
        <v>1260</v>
      </c>
      <c r="F14" s="55">
        <v>526</v>
      </c>
      <c r="G14" s="55">
        <v>124</v>
      </c>
      <c r="H14" s="55">
        <v>0</v>
      </c>
      <c r="I14" s="55">
        <v>0</v>
      </c>
      <c r="K14" s="54">
        <f>SUM(L14:R14)</f>
        <v>5</v>
      </c>
      <c r="L14" s="55">
        <v>1</v>
      </c>
      <c r="M14" s="55">
        <v>2</v>
      </c>
      <c r="N14" s="55">
        <v>1</v>
      </c>
      <c r="O14" s="55">
        <v>0</v>
      </c>
      <c r="P14" s="55">
        <v>1</v>
      </c>
      <c r="Q14" s="55">
        <v>0</v>
      </c>
      <c r="R14" s="55">
        <v>0</v>
      </c>
      <c r="T14" s="61">
        <f>SUM(C14/B14)</f>
        <v>0.26522248243559721</v>
      </c>
      <c r="U14" s="61">
        <f>SUM(D14/B14)</f>
        <v>0.36202185792349728</v>
      </c>
      <c r="V14" s="61">
        <f>SUM(E14/B14)</f>
        <v>0.24590163934426229</v>
      </c>
      <c r="W14" s="61">
        <f>SUM(F14/B14)</f>
        <v>0.10265417642466823</v>
      </c>
      <c r="X14" s="61">
        <f>SUM(G14/B14)</f>
        <v>2.4199843871975019E-2</v>
      </c>
      <c r="Y14" s="61">
        <f>SUM(H14/B14)</f>
        <v>0</v>
      </c>
      <c r="Z14" s="61">
        <f>SUM(I14/B14)</f>
        <v>0</v>
      </c>
    </row>
    <row r="15" spans="1:26">
      <c r="A15" s="56" t="s">
        <v>1655</v>
      </c>
      <c r="B15" s="54">
        <f>SUM(C15:I15)</f>
        <v>5847</v>
      </c>
      <c r="C15" s="55">
        <v>949</v>
      </c>
      <c r="D15" s="55">
        <v>0</v>
      </c>
      <c r="E15" s="55">
        <v>1106</v>
      </c>
      <c r="F15" s="55">
        <v>1790</v>
      </c>
      <c r="G15" s="55">
        <v>0</v>
      </c>
      <c r="H15" s="55">
        <v>0</v>
      </c>
      <c r="I15" s="55">
        <v>2002</v>
      </c>
      <c r="K15" s="54">
        <f>SUM(L15:R15)</f>
        <v>5</v>
      </c>
      <c r="L15" s="55">
        <v>1</v>
      </c>
      <c r="M15" s="55">
        <v>0</v>
      </c>
      <c r="N15" s="55">
        <v>1</v>
      </c>
      <c r="O15" s="55">
        <v>1</v>
      </c>
      <c r="P15" s="55">
        <v>0</v>
      </c>
      <c r="Q15" s="55">
        <v>0</v>
      </c>
      <c r="R15" s="55">
        <v>2</v>
      </c>
      <c r="T15" s="61">
        <f>SUM(C15/B15)</f>
        <v>0.16230545578929365</v>
      </c>
      <c r="U15" s="61">
        <f>SUM(D15/B15)</f>
        <v>0</v>
      </c>
      <c r="V15" s="61">
        <f>SUM(E15/B15)</f>
        <v>0.18915683256370788</v>
      </c>
      <c r="W15" s="61">
        <f>SUM(F15/B15)</f>
        <v>0.30613990080383102</v>
      </c>
      <c r="X15" s="61">
        <f>SUM(G15/B15)</f>
        <v>0</v>
      </c>
      <c r="Y15" s="61">
        <f>SUM(H15/B15)</f>
        <v>0</v>
      </c>
      <c r="Z15" s="61">
        <f>SUM(I15/B15)</f>
        <v>0.34239781084316745</v>
      </c>
    </row>
    <row r="16" spans="1:26" s="52" customFormat="1">
      <c r="A16" s="53" t="s">
        <v>1533</v>
      </c>
      <c r="B16" s="54">
        <f>SUM(B13:B15)</f>
        <v>16507</v>
      </c>
      <c r="C16" s="54">
        <f t="shared" ref="C16:P16" si="2">SUM(C13:C15)</f>
        <v>3358</v>
      </c>
      <c r="D16" s="54">
        <f>SUM(D13:D15)</f>
        <v>3251</v>
      </c>
      <c r="E16" s="54">
        <f t="shared" si="2"/>
        <v>2955</v>
      </c>
      <c r="F16" s="54">
        <f t="shared" si="2"/>
        <v>3484</v>
      </c>
      <c r="G16" s="54">
        <f t="shared" si="2"/>
        <v>187</v>
      </c>
      <c r="H16" s="54">
        <f>SUM(H13:H15)</f>
        <v>0</v>
      </c>
      <c r="I16" s="54">
        <f>SUM(I13:I15)</f>
        <v>3272</v>
      </c>
      <c r="J16" s="54"/>
      <c r="K16" s="54">
        <f t="shared" si="2"/>
        <v>15</v>
      </c>
      <c r="L16" s="54">
        <f t="shared" si="2"/>
        <v>3</v>
      </c>
      <c r="M16" s="54">
        <f t="shared" si="2"/>
        <v>3</v>
      </c>
      <c r="N16" s="54">
        <f t="shared" si="2"/>
        <v>3</v>
      </c>
      <c r="O16" s="54">
        <f t="shared" si="2"/>
        <v>2</v>
      </c>
      <c r="P16" s="54">
        <f t="shared" si="2"/>
        <v>1</v>
      </c>
      <c r="Q16" s="54">
        <f>SUM(Q13:Q15)</f>
        <v>0</v>
      </c>
      <c r="R16" s="54">
        <f>SUM(R13:R15)</f>
        <v>3</v>
      </c>
      <c r="T16" s="60">
        <f>SUM(C16/B16)</f>
        <v>0.20342884836735931</v>
      </c>
      <c r="U16" s="60">
        <f>SUM(D16/B16)</f>
        <v>0.1969467498636942</v>
      </c>
      <c r="V16" s="60">
        <f>SUM(E16/B16)</f>
        <v>0.17901496334888228</v>
      </c>
      <c r="W16" s="60">
        <f>SUM(F16/B16)</f>
        <v>0.21106197370812382</v>
      </c>
      <c r="X16" s="60">
        <f>SUM(G16/B16)</f>
        <v>1.132852729145211E-2</v>
      </c>
      <c r="Y16" s="60">
        <f>SUM(H16/B16)</f>
        <v>0</v>
      </c>
      <c r="Z16" s="60">
        <f>SUM(I16/B16)</f>
        <v>0.19821893742048827</v>
      </c>
    </row>
    <row r="17" spans="1:26">
      <c r="A17" s="53"/>
      <c r="B17" s="54"/>
      <c r="C17" s="55"/>
      <c r="D17" s="55"/>
      <c r="E17" s="55"/>
      <c r="F17" s="55"/>
      <c r="G17" s="55"/>
      <c r="H17" s="55"/>
      <c r="I17" s="55"/>
      <c r="K17" s="54"/>
      <c r="L17" s="55"/>
      <c r="M17" s="55"/>
      <c r="N17" s="55"/>
      <c r="O17" s="55"/>
      <c r="P17" s="55"/>
      <c r="Q17" s="55"/>
      <c r="R17" s="55"/>
    </row>
    <row r="18" spans="1:26">
      <c r="A18" s="56" t="s">
        <v>1542</v>
      </c>
      <c r="B18" s="54">
        <f>SUM(C18:I18)</f>
        <v>5940</v>
      </c>
      <c r="C18" s="55">
        <v>2288</v>
      </c>
      <c r="D18" s="55">
        <v>919</v>
      </c>
      <c r="E18" s="55">
        <v>1751</v>
      </c>
      <c r="F18" s="55">
        <v>982</v>
      </c>
      <c r="G18" s="55">
        <v>0</v>
      </c>
      <c r="H18" s="55">
        <v>0</v>
      </c>
      <c r="I18" s="55">
        <v>0</v>
      </c>
      <c r="K18" s="54">
        <f>SUM(L18:R18)</f>
        <v>5</v>
      </c>
      <c r="L18" s="55">
        <v>2</v>
      </c>
      <c r="M18" s="55">
        <v>1</v>
      </c>
      <c r="N18" s="55">
        <v>1</v>
      </c>
      <c r="O18" s="55">
        <v>1</v>
      </c>
      <c r="P18" s="55">
        <v>0</v>
      </c>
      <c r="Q18" s="55">
        <v>0</v>
      </c>
      <c r="R18" s="55">
        <v>0</v>
      </c>
      <c r="T18" s="61">
        <f>SUM(C18/B18)</f>
        <v>0.38518518518518519</v>
      </c>
      <c r="U18" s="61">
        <f>SUM(D18/B18)</f>
        <v>0.15471380471380472</v>
      </c>
      <c r="V18" s="61">
        <f>SUM(E18/B18)</f>
        <v>0.29478114478114475</v>
      </c>
      <c r="W18" s="61">
        <f>SUM(F18/B18)</f>
        <v>0.16531986531986531</v>
      </c>
      <c r="X18" s="61">
        <f>SUM(G18/B18)</f>
        <v>0</v>
      </c>
      <c r="Y18" s="61">
        <f>SUM(H18/B18)</f>
        <v>0</v>
      </c>
      <c r="Z18" s="61">
        <f>SUM(I18/B18)</f>
        <v>0</v>
      </c>
    </row>
    <row r="19" spans="1:26">
      <c r="A19" s="56" t="s">
        <v>1543</v>
      </c>
      <c r="B19" s="54">
        <f>SUM(C19:I19)</f>
        <v>5929</v>
      </c>
      <c r="C19" s="55">
        <v>2801</v>
      </c>
      <c r="D19" s="55">
        <v>1345</v>
      </c>
      <c r="E19" s="55">
        <v>980</v>
      </c>
      <c r="F19" s="55">
        <v>803</v>
      </c>
      <c r="G19" s="55">
        <v>0</v>
      </c>
      <c r="H19" s="55">
        <v>0</v>
      </c>
      <c r="I19" s="55">
        <v>0</v>
      </c>
      <c r="K19" s="54">
        <f>SUM(L19:R19)</f>
        <v>5</v>
      </c>
      <c r="L19" s="55">
        <v>3</v>
      </c>
      <c r="M19" s="55">
        <v>1</v>
      </c>
      <c r="N19" s="55">
        <v>1</v>
      </c>
      <c r="O19" s="55">
        <v>0</v>
      </c>
      <c r="P19" s="55">
        <v>0</v>
      </c>
      <c r="Q19" s="55">
        <v>0</v>
      </c>
      <c r="R19" s="55">
        <v>0</v>
      </c>
      <c r="T19" s="61">
        <f>SUM(C19/B19)</f>
        <v>0.47242368021588799</v>
      </c>
      <c r="U19" s="61">
        <f>SUM(D19/B19)</f>
        <v>0.22685107100691515</v>
      </c>
      <c r="V19" s="61">
        <f>SUM(E19/B19)</f>
        <v>0.16528925619834711</v>
      </c>
      <c r="W19" s="61">
        <f>SUM(F19/B19)</f>
        <v>0.13543599257884972</v>
      </c>
      <c r="X19" s="61">
        <f>SUM(G19/B19)</f>
        <v>0</v>
      </c>
      <c r="Y19" s="61">
        <f>SUM(H19/B19)</f>
        <v>0</v>
      </c>
      <c r="Z19" s="61">
        <f>SUM(I19/B19)</f>
        <v>0</v>
      </c>
    </row>
    <row r="20" spans="1:26">
      <c r="A20" s="56" t="s">
        <v>1544</v>
      </c>
      <c r="B20" s="54">
        <f>SUM(C20:I20)</f>
        <v>5507</v>
      </c>
      <c r="C20" s="55">
        <v>2353</v>
      </c>
      <c r="D20" s="55">
        <v>795</v>
      </c>
      <c r="E20" s="55">
        <v>726</v>
      </c>
      <c r="F20" s="55">
        <v>757</v>
      </c>
      <c r="G20" s="55">
        <v>0</v>
      </c>
      <c r="H20" s="55">
        <v>276</v>
      </c>
      <c r="I20" s="55">
        <v>600</v>
      </c>
      <c r="K20" s="54">
        <f>SUM(L20:R20)</f>
        <v>6</v>
      </c>
      <c r="L20" s="55">
        <v>2</v>
      </c>
      <c r="M20" s="55">
        <v>1</v>
      </c>
      <c r="N20" s="55">
        <v>1</v>
      </c>
      <c r="O20" s="55">
        <v>0</v>
      </c>
      <c r="P20" s="55">
        <v>0</v>
      </c>
      <c r="Q20" s="55">
        <v>1</v>
      </c>
      <c r="R20" s="55">
        <v>1</v>
      </c>
      <c r="T20" s="61">
        <f>SUM(C20/B20)</f>
        <v>0.42727437806428181</v>
      </c>
      <c r="U20" s="61">
        <f>SUM(D20/B20)</f>
        <v>0.14436172144543308</v>
      </c>
      <c r="V20" s="61">
        <f>SUM(E20/B20)</f>
        <v>0.13183221354639549</v>
      </c>
      <c r="W20" s="61">
        <f>SUM(F20/B20)</f>
        <v>0.13746141274741239</v>
      </c>
      <c r="X20" s="61">
        <f>SUM(G20/B20)</f>
        <v>0</v>
      </c>
      <c r="Y20" s="61">
        <f>SUM(H20/B20)</f>
        <v>5.0118031596150352E-2</v>
      </c>
      <c r="Z20" s="61">
        <f>SUM(I20/B20)</f>
        <v>0.10895224260032686</v>
      </c>
    </row>
    <row r="21" spans="1:26">
      <c r="A21" s="56" t="s">
        <v>1545</v>
      </c>
      <c r="B21" s="54">
        <f>SUM(C21:I21)</f>
        <v>6250</v>
      </c>
      <c r="C21" s="55">
        <v>1333</v>
      </c>
      <c r="D21" s="55">
        <v>0</v>
      </c>
      <c r="E21" s="55">
        <v>1254</v>
      </c>
      <c r="F21" s="55">
        <v>2037</v>
      </c>
      <c r="G21" s="55">
        <v>0</v>
      </c>
      <c r="H21" s="55">
        <v>0</v>
      </c>
      <c r="I21" s="55">
        <v>1626</v>
      </c>
      <c r="K21" s="54">
        <f>SUM(L21:R21)</f>
        <v>6</v>
      </c>
      <c r="L21" s="55">
        <v>1</v>
      </c>
      <c r="M21" s="55">
        <v>0</v>
      </c>
      <c r="N21" s="55">
        <v>2</v>
      </c>
      <c r="O21" s="55">
        <v>2</v>
      </c>
      <c r="P21" s="55">
        <v>0</v>
      </c>
      <c r="Q21" s="55">
        <v>0</v>
      </c>
      <c r="R21" s="55">
        <v>1</v>
      </c>
      <c r="T21" s="61">
        <f>SUM(C21/B21)</f>
        <v>0.21328</v>
      </c>
      <c r="U21" s="61">
        <f>SUM(D21/B21)</f>
        <v>0</v>
      </c>
      <c r="V21" s="61">
        <f>SUM(E21/B21)</f>
        <v>0.20064000000000001</v>
      </c>
      <c r="W21" s="61">
        <f>SUM(F21/B21)</f>
        <v>0.32591999999999999</v>
      </c>
      <c r="X21" s="61">
        <f>SUM(G21/B21)</f>
        <v>0</v>
      </c>
      <c r="Y21" s="61">
        <f>SUM(H21/B21)</f>
        <v>0</v>
      </c>
      <c r="Z21" s="61">
        <f>SUM(I21/B21)</f>
        <v>0.26016</v>
      </c>
    </row>
    <row r="22" spans="1:26" s="52" customFormat="1">
      <c r="A22" s="53" t="s">
        <v>1546</v>
      </c>
      <c r="B22" s="54">
        <f>SUM(B18:B21)</f>
        <v>23626</v>
      </c>
      <c r="C22" s="54">
        <f t="shared" ref="C22:P22" si="3">SUM(C18:C21)</f>
        <v>8775</v>
      </c>
      <c r="D22" s="54">
        <f>SUM(D18:D21)</f>
        <v>3059</v>
      </c>
      <c r="E22" s="54">
        <f t="shared" si="3"/>
        <v>4711</v>
      </c>
      <c r="F22" s="54">
        <f t="shared" si="3"/>
        <v>4579</v>
      </c>
      <c r="G22" s="54">
        <f t="shared" si="3"/>
        <v>0</v>
      </c>
      <c r="H22" s="54">
        <f>SUM(H18:H21)</f>
        <v>276</v>
      </c>
      <c r="I22" s="54">
        <f>SUM(I18:I21)</f>
        <v>2226</v>
      </c>
      <c r="J22" s="54"/>
      <c r="K22" s="54">
        <f t="shared" si="3"/>
        <v>22</v>
      </c>
      <c r="L22" s="54">
        <f t="shared" si="3"/>
        <v>8</v>
      </c>
      <c r="M22" s="54">
        <f t="shared" si="3"/>
        <v>3</v>
      </c>
      <c r="N22" s="54">
        <f t="shared" si="3"/>
        <v>5</v>
      </c>
      <c r="O22" s="54">
        <f t="shared" si="3"/>
        <v>3</v>
      </c>
      <c r="P22" s="54">
        <f t="shared" si="3"/>
        <v>0</v>
      </c>
      <c r="Q22" s="54">
        <f>SUM(Q18:Q21)</f>
        <v>1</v>
      </c>
      <c r="R22" s="54">
        <f>SUM(R18:R21)</f>
        <v>2</v>
      </c>
      <c r="T22" s="60">
        <f>SUM(C22/B22)</f>
        <v>0.37141285024972487</v>
      </c>
      <c r="U22" s="60">
        <f>SUM(D22/B22)</f>
        <v>0.12947600101583001</v>
      </c>
      <c r="V22" s="60">
        <f>SUM(E22/B22)</f>
        <v>0.19939896723948192</v>
      </c>
      <c r="W22" s="60">
        <f>SUM(F22/B22)</f>
        <v>0.19381190214170829</v>
      </c>
      <c r="X22" s="60">
        <f>SUM(G22/B22)</f>
        <v>0</v>
      </c>
      <c r="Y22" s="60">
        <f>SUM(H22/B22)</f>
        <v>1.1682045204435791E-2</v>
      </c>
      <c r="Z22" s="60">
        <f>SUM(I22/B22)</f>
        <v>9.4218234148819094E-2</v>
      </c>
    </row>
    <row r="23" spans="1:26">
      <c r="A23" s="53"/>
      <c r="B23" s="54"/>
      <c r="C23" s="55"/>
      <c r="D23" s="55"/>
      <c r="E23" s="55"/>
      <c r="F23" s="55"/>
      <c r="G23" s="55"/>
      <c r="H23" s="55"/>
      <c r="I23" s="55"/>
      <c r="K23" s="54"/>
      <c r="L23" s="55"/>
      <c r="M23" s="55"/>
      <c r="N23" s="55"/>
      <c r="O23" s="55"/>
      <c r="P23" s="55"/>
      <c r="Q23" s="55"/>
      <c r="R23" s="55"/>
    </row>
    <row r="24" spans="1:26">
      <c r="A24" s="56" t="s">
        <v>1547</v>
      </c>
      <c r="B24" s="54">
        <f>SUM(C24:I24)</f>
        <v>6117</v>
      </c>
      <c r="C24" s="55">
        <v>1293</v>
      </c>
      <c r="D24" s="55">
        <v>1567</v>
      </c>
      <c r="E24" s="55">
        <v>1772</v>
      </c>
      <c r="F24" s="55">
        <v>1485</v>
      </c>
      <c r="G24" s="55">
        <v>0</v>
      </c>
      <c r="H24" s="55">
        <v>0</v>
      </c>
      <c r="I24" s="55">
        <v>0</v>
      </c>
      <c r="K24" s="54">
        <f>SUM(L24:R24)</f>
        <v>6</v>
      </c>
      <c r="L24" s="55">
        <v>1</v>
      </c>
      <c r="M24" s="55">
        <v>2</v>
      </c>
      <c r="N24" s="55">
        <v>2</v>
      </c>
      <c r="O24" s="55">
        <v>1</v>
      </c>
      <c r="P24" s="55">
        <v>0</v>
      </c>
      <c r="Q24" s="55">
        <v>0</v>
      </c>
      <c r="R24" s="55">
        <v>0</v>
      </c>
      <c r="T24" s="61">
        <f>SUM(C24/B24)</f>
        <v>0.21137812653261404</v>
      </c>
      <c r="U24" s="61">
        <f>SUM(D24/B24)</f>
        <v>0.25617132581330715</v>
      </c>
      <c r="V24" s="61">
        <f>SUM(E24/B24)</f>
        <v>0.28968448585908124</v>
      </c>
      <c r="W24" s="61">
        <f>SUM(F24/B24)</f>
        <v>0.24276606179499755</v>
      </c>
      <c r="X24" s="61">
        <f>SUM(G24/B24)</f>
        <v>0</v>
      </c>
      <c r="Y24" s="61">
        <f>SUM(H24/B24)</f>
        <v>0</v>
      </c>
      <c r="Z24" s="61">
        <f>SUM(I24/B24)</f>
        <v>0</v>
      </c>
    </row>
    <row r="25" spans="1:26">
      <c r="A25" s="56" t="s">
        <v>1548</v>
      </c>
      <c r="B25" s="54">
        <f>SUM(C25:I25)</f>
        <v>5129</v>
      </c>
      <c r="C25" s="55">
        <v>1096</v>
      </c>
      <c r="D25" s="55">
        <v>863</v>
      </c>
      <c r="E25" s="55">
        <v>1101</v>
      </c>
      <c r="F25" s="55">
        <v>1232</v>
      </c>
      <c r="G25" s="55">
        <v>0</v>
      </c>
      <c r="H25" s="55">
        <v>90</v>
      </c>
      <c r="I25" s="55">
        <v>747</v>
      </c>
      <c r="K25" s="54">
        <f>SUM(L25:R25)</f>
        <v>5</v>
      </c>
      <c r="L25" s="55">
        <v>1</v>
      </c>
      <c r="M25" s="55">
        <v>1</v>
      </c>
      <c r="N25" s="55">
        <v>1</v>
      </c>
      <c r="O25" s="55">
        <v>1</v>
      </c>
      <c r="P25" s="55">
        <v>0</v>
      </c>
      <c r="Q25" s="55">
        <v>0</v>
      </c>
      <c r="R25" s="55">
        <v>1</v>
      </c>
      <c r="T25" s="61">
        <f>SUM(C25/B25)</f>
        <v>0.21368687853382726</v>
      </c>
      <c r="U25" s="61">
        <f>SUM(D25/B25)</f>
        <v>0.16825891986742056</v>
      </c>
      <c r="V25" s="61">
        <f>SUM(E25/B25)</f>
        <v>0.21466172743224801</v>
      </c>
      <c r="W25" s="61">
        <f>SUM(F25/B25)</f>
        <v>0.24020276857087153</v>
      </c>
      <c r="X25" s="61">
        <f>SUM(G25/B25)</f>
        <v>0</v>
      </c>
      <c r="Y25" s="61">
        <f>SUM(H25/B25)</f>
        <v>1.7547280171573407E-2</v>
      </c>
      <c r="Z25" s="61">
        <f>SUM(I25/B25)</f>
        <v>0.14564242542405928</v>
      </c>
    </row>
    <row r="26" spans="1:26">
      <c r="A26" s="56" t="s">
        <v>1549</v>
      </c>
      <c r="B26" s="54">
        <f>SUM(C26:I26)</f>
        <v>4845</v>
      </c>
      <c r="C26" s="55">
        <v>1337</v>
      </c>
      <c r="D26" s="55">
        <v>1431</v>
      </c>
      <c r="E26" s="55">
        <v>1275</v>
      </c>
      <c r="F26" s="55">
        <v>550</v>
      </c>
      <c r="G26" s="55">
        <v>0</v>
      </c>
      <c r="H26" s="55">
        <v>252</v>
      </c>
      <c r="I26" s="55">
        <v>0</v>
      </c>
      <c r="K26" s="54">
        <f>SUM(L26:R26)</f>
        <v>5</v>
      </c>
      <c r="L26" s="55">
        <v>1</v>
      </c>
      <c r="M26" s="55">
        <v>2</v>
      </c>
      <c r="N26" s="55">
        <v>2</v>
      </c>
      <c r="O26" s="55">
        <v>0</v>
      </c>
      <c r="P26" s="55">
        <v>0</v>
      </c>
      <c r="Q26" s="55">
        <v>0</v>
      </c>
      <c r="R26" s="55">
        <v>0</v>
      </c>
      <c r="T26" s="61">
        <f>SUM(C26/B26)</f>
        <v>0.27595459236326109</v>
      </c>
      <c r="U26" s="61">
        <f>SUM(D26/B26)</f>
        <v>0.29535603715170278</v>
      </c>
      <c r="V26" s="61">
        <f>SUM(E26/B26)</f>
        <v>0.26315789473684209</v>
      </c>
      <c r="W26" s="61">
        <f>SUM(F26/B26)</f>
        <v>0.11351909184726522</v>
      </c>
      <c r="X26" s="61">
        <f>SUM(G26/B26)</f>
        <v>0</v>
      </c>
      <c r="Y26" s="61">
        <f>SUM(H26/B26)</f>
        <v>5.2012383900928792E-2</v>
      </c>
      <c r="Z26" s="61">
        <f>SUM(I26/B26)</f>
        <v>0</v>
      </c>
    </row>
    <row r="27" spans="1:26" s="52" customFormat="1">
      <c r="A27" s="53" t="s">
        <v>1550</v>
      </c>
      <c r="B27" s="54">
        <f>SUM(B24:B26)</f>
        <v>16091</v>
      </c>
      <c r="C27" s="54">
        <f t="shared" ref="C27:P27" si="4">SUM(C24:C26)</f>
        <v>3726</v>
      </c>
      <c r="D27" s="54">
        <f>SUM(D24:D26)</f>
        <v>3861</v>
      </c>
      <c r="E27" s="54">
        <f t="shared" si="4"/>
        <v>4148</v>
      </c>
      <c r="F27" s="54">
        <f t="shared" si="4"/>
        <v>3267</v>
      </c>
      <c r="G27" s="54">
        <f t="shared" si="4"/>
        <v>0</v>
      </c>
      <c r="H27" s="54">
        <f>SUM(H24:H26)</f>
        <v>342</v>
      </c>
      <c r="I27" s="54">
        <f>SUM(I24:I26)</f>
        <v>747</v>
      </c>
      <c r="J27" s="54"/>
      <c r="K27" s="54">
        <f t="shared" si="4"/>
        <v>16</v>
      </c>
      <c r="L27" s="54">
        <f t="shared" si="4"/>
        <v>3</v>
      </c>
      <c r="M27" s="54">
        <f t="shared" si="4"/>
        <v>5</v>
      </c>
      <c r="N27" s="54">
        <f t="shared" si="4"/>
        <v>5</v>
      </c>
      <c r="O27" s="54">
        <f t="shared" si="4"/>
        <v>2</v>
      </c>
      <c r="P27" s="54">
        <f t="shared" si="4"/>
        <v>0</v>
      </c>
      <c r="Q27" s="54">
        <f>SUM(Q24:Q26)</f>
        <v>0</v>
      </c>
      <c r="R27" s="54">
        <f>SUM(R24:R26)</f>
        <v>1</v>
      </c>
      <c r="T27" s="60">
        <f>SUM(C27/B27)</f>
        <v>0.23155801379653224</v>
      </c>
      <c r="U27" s="60">
        <f>SUM(D27/B27)</f>
        <v>0.23994779690510223</v>
      </c>
      <c r="V27" s="60">
        <f>SUM(E27/B27)</f>
        <v>0.25778385432850665</v>
      </c>
      <c r="W27" s="60">
        <f>SUM(F27/B27)</f>
        <v>0.2030327512273942</v>
      </c>
      <c r="X27" s="60">
        <f>SUM(G27/B27)</f>
        <v>0</v>
      </c>
      <c r="Y27" s="60">
        <f>SUM(H27/B27)</f>
        <v>2.1254117208377353E-2</v>
      </c>
      <c r="Z27" s="60">
        <f>SUM(I27/B27)</f>
        <v>4.6423466534087375E-2</v>
      </c>
    </row>
    <row r="28" spans="1:26">
      <c r="A28" s="53"/>
      <c r="B28" s="54"/>
      <c r="C28" s="55"/>
      <c r="D28" s="55"/>
      <c r="E28" s="55"/>
      <c r="F28" s="55"/>
      <c r="G28" s="55"/>
      <c r="H28" s="55"/>
      <c r="I28" s="55"/>
      <c r="K28" s="54"/>
      <c r="L28" s="55"/>
      <c r="M28" s="55"/>
      <c r="N28" s="55"/>
      <c r="O28" s="55"/>
      <c r="P28" s="55"/>
      <c r="Q28" s="55"/>
      <c r="R28" s="55"/>
    </row>
    <row r="29" spans="1:26">
      <c r="A29" s="56" t="s">
        <v>1551</v>
      </c>
      <c r="B29" s="54">
        <f>SUM(C29:I29)</f>
        <v>6298</v>
      </c>
      <c r="C29" s="55">
        <v>1168</v>
      </c>
      <c r="D29" s="55">
        <v>2312</v>
      </c>
      <c r="E29" s="55">
        <v>1728</v>
      </c>
      <c r="F29" s="55">
        <v>1003</v>
      </c>
      <c r="G29" s="55">
        <v>0</v>
      </c>
      <c r="H29" s="55">
        <v>87</v>
      </c>
      <c r="I29" s="55">
        <v>0</v>
      </c>
      <c r="K29" s="54">
        <f>SUM(L29:R29)</f>
        <v>5</v>
      </c>
      <c r="L29" s="55">
        <v>1</v>
      </c>
      <c r="M29" s="55">
        <v>2</v>
      </c>
      <c r="N29" s="55">
        <v>1</v>
      </c>
      <c r="O29" s="55">
        <v>1</v>
      </c>
      <c r="P29" s="55">
        <v>0</v>
      </c>
      <c r="Q29" s="55">
        <v>0</v>
      </c>
      <c r="R29" s="55">
        <v>0</v>
      </c>
      <c r="T29" s="61">
        <f>SUM(C29/B29)</f>
        <v>0.1854557002222928</v>
      </c>
      <c r="U29" s="61">
        <f>SUM(D29/B29)</f>
        <v>0.36710066687837406</v>
      </c>
      <c r="V29" s="61">
        <f>SUM(E29/B29)</f>
        <v>0.27437281676722769</v>
      </c>
      <c r="W29" s="61">
        <f>SUM(F29/B29)</f>
        <v>0.15925690695458875</v>
      </c>
      <c r="X29" s="61">
        <f>SUM(G29/B29)</f>
        <v>0</v>
      </c>
      <c r="Y29" s="61">
        <f>SUM(H29/B29)</f>
        <v>1.3813909177516672E-2</v>
      </c>
      <c r="Z29" s="61">
        <f>SUM(I29/B29)</f>
        <v>0</v>
      </c>
    </row>
    <row r="30" spans="1:26">
      <c r="A30" s="56" t="s">
        <v>1552</v>
      </c>
      <c r="B30" s="54">
        <f>SUM(C30:I30)</f>
        <v>5827</v>
      </c>
      <c r="C30" s="55">
        <v>1720</v>
      </c>
      <c r="D30" s="55">
        <v>1253</v>
      </c>
      <c r="E30" s="55">
        <v>1244</v>
      </c>
      <c r="F30" s="55">
        <v>1410</v>
      </c>
      <c r="G30" s="55">
        <v>0</v>
      </c>
      <c r="H30" s="55">
        <v>200</v>
      </c>
      <c r="I30" s="55">
        <v>0</v>
      </c>
      <c r="K30" s="54">
        <f>SUM(L30:R30)</f>
        <v>5</v>
      </c>
      <c r="L30" s="55">
        <v>2</v>
      </c>
      <c r="M30" s="55">
        <v>1</v>
      </c>
      <c r="N30" s="55">
        <v>1</v>
      </c>
      <c r="O30" s="55">
        <v>1</v>
      </c>
      <c r="P30" s="55">
        <v>0</v>
      </c>
      <c r="Q30" s="55">
        <v>0</v>
      </c>
      <c r="R30" s="55">
        <v>0</v>
      </c>
      <c r="T30" s="61">
        <f>SUM(C30/B30)</f>
        <v>0.29517762141753906</v>
      </c>
      <c r="U30" s="61">
        <f>SUM(D30/B30)</f>
        <v>0.21503346490475372</v>
      </c>
      <c r="V30" s="61">
        <f>SUM(E30/B30)</f>
        <v>0.21348893083919684</v>
      </c>
      <c r="W30" s="61">
        <f>SUM(F30/B30)</f>
        <v>0.24197700360391283</v>
      </c>
      <c r="X30" s="61">
        <f>SUM(G30/B30)</f>
        <v>0</v>
      </c>
      <c r="Y30" s="61">
        <f>SUM(H30/B30)</f>
        <v>3.432297923459756E-2</v>
      </c>
      <c r="Z30" s="61">
        <f>SUM(I30/B30)</f>
        <v>0</v>
      </c>
    </row>
    <row r="31" spans="1:26">
      <c r="A31" s="56" t="s">
        <v>1553</v>
      </c>
      <c r="B31" s="54">
        <f>SUM(C31:I31)</f>
        <v>5835</v>
      </c>
      <c r="C31" s="55">
        <v>842</v>
      </c>
      <c r="D31" s="55">
        <v>632</v>
      </c>
      <c r="E31" s="55">
        <v>1818</v>
      </c>
      <c r="F31" s="55">
        <v>1552</v>
      </c>
      <c r="G31" s="55">
        <v>0</v>
      </c>
      <c r="H31" s="55">
        <v>300</v>
      </c>
      <c r="I31" s="55">
        <v>691</v>
      </c>
      <c r="K31" s="54">
        <f>SUM(L31:R31)</f>
        <v>5</v>
      </c>
      <c r="L31" s="55">
        <v>1</v>
      </c>
      <c r="M31" s="55">
        <v>0</v>
      </c>
      <c r="N31" s="55">
        <v>2</v>
      </c>
      <c r="O31" s="55">
        <v>1</v>
      </c>
      <c r="P31" s="55">
        <v>0</v>
      </c>
      <c r="Q31" s="55">
        <v>0</v>
      </c>
      <c r="R31" s="55">
        <v>1</v>
      </c>
      <c r="T31" s="61">
        <f>SUM(C31/B31)</f>
        <v>0.14430162810625535</v>
      </c>
      <c r="U31" s="61">
        <f>SUM(D31/B31)</f>
        <v>0.10831191088260497</v>
      </c>
      <c r="V31" s="61">
        <f>SUM(E31/B31)</f>
        <v>0.31156812339331619</v>
      </c>
      <c r="W31" s="61">
        <f>SUM(F31/B31)</f>
        <v>0.26598114824335906</v>
      </c>
      <c r="X31" s="61">
        <f>SUM(G31/B31)</f>
        <v>0</v>
      </c>
      <c r="Y31" s="61">
        <f>SUM(H31/B31)</f>
        <v>5.1413881748071981E-2</v>
      </c>
      <c r="Z31" s="61">
        <f>SUM(I31/B31)</f>
        <v>0.11842330762639246</v>
      </c>
    </row>
    <row r="32" spans="1:26" s="52" customFormat="1">
      <c r="A32" s="53" t="s">
        <v>1554</v>
      </c>
      <c r="B32" s="54">
        <f>SUM(B29:B31)</f>
        <v>17960</v>
      </c>
      <c r="C32" s="54">
        <f t="shared" ref="C32:P32" si="5">SUM(C29:C31)</f>
        <v>3730</v>
      </c>
      <c r="D32" s="54">
        <f>SUM(D29:D31)</f>
        <v>4197</v>
      </c>
      <c r="E32" s="54">
        <f t="shared" si="5"/>
        <v>4790</v>
      </c>
      <c r="F32" s="54">
        <f t="shared" si="5"/>
        <v>3965</v>
      </c>
      <c r="G32" s="54">
        <f t="shared" si="5"/>
        <v>0</v>
      </c>
      <c r="H32" s="54">
        <f>SUM(H29:H31)</f>
        <v>587</v>
      </c>
      <c r="I32" s="54">
        <f>SUM(I29:I31)</f>
        <v>691</v>
      </c>
      <c r="J32" s="54"/>
      <c r="K32" s="54">
        <f t="shared" si="5"/>
        <v>15</v>
      </c>
      <c r="L32" s="54">
        <f t="shared" si="5"/>
        <v>4</v>
      </c>
      <c r="M32" s="54">
        <f t="shared" si="5"/>
        <v>3</v>
      </c>
      <c r="N32" s="54">
        <f t="shared" si="5"/>
        <v>4</v>
      </c>
      <c r="O32" s="54">
        <f t="shared" si="5"/>
        <v>3</v>
      </c>
      <c r="P32" s="54">
        <f t="shared" si="5"/>
        <v>0</v>
      </c>
      <c r="Q32" s="54">
        <f>SUM(Q29:Q31)</f>
        <v>0</v>
      </c>
      <c r="R32" s="54">
        <f>SUM(R29:R31)</f>
        <v>1</v>
      </c>
      <c r="T32" s="60">
        <f>SUM(C32/B32)</f>
        <v>0.20768374164810691</v>
      </c>
      <c r="U32" s="60">
        <f>SUM(D32/B32)</f>
        <v>0.2336859688195991</v>
      </c>
      <c r="V32" s="60">
        <f>SUM(E32/B32)</f>
        <v>0.26670378619153673</v>
      </c>
      <c r="W32" s="60">
        <f>SUM(F32/B32)</f>
        <v>0.22076837416481068</v>
      </c>
      <c r="X32" s="60">
        <f>SUM(G32/B32)</f>
        <v>0</v>
      </c>
      <c r="Y32" s="60">
        <f>SUM(H32/B32)</f>
        <v>3.2683741648106904E-2</v>
      </c>
      <c r="Z32" s="60">
        <f>SUM(I32/B32)</f>
        <v>3.8474387527839646E-2</v>
      </c>
    </row>
    <row r="33" spans="1:26">
      <c r="A33" s="53"/>
      <c r="B33" s="54"/>
      <c r="C33" s="55"/>
      <c r="D33" s="55"/>
      <c r="E33" s="55"/>
      <c r="F33" s="55"/>
      <c r="G33" s="55"/>
      <c r="H33" s="55"/>
      <c r="I33" s="55"/>
      <c r="K33" s="54"/>
      <c r="L33" s="55"/>
      <c r="M33" s="55"/>
      <c r="N33" s="55"/>
      <c r="O33" s="55"/>
      <c r="P33" s="55"/>
      <c r="Q33" s="55"/>
      <c r="R33" s="55"/>
    </row>
    <row r="34" spans="1:26">
      <c r="A34" s="56" t="s">
        <v>1555</v>
      </c>
      <c r="B34" s="54">
        <f>SUM(C34:I34)</f>
        <v>8662</v>
      </c>
      <c r="C34" s="55">
        <v>2031</v>
      </c>
      <c r="D34" s="55">
        <v>2173</v>
      </c>
      <c r="E34" s="55">
        <v>3585</v>
      </c>
      <c r="F34" s="55">
        <v>0</v>
      </c>
      <c r="G34" s="55">
        <v>0</v>
      </c>
      <c r="H34" s="55">
        <v>0</v>
      </c>
      <c r="I34" s="55">
        <v>873</v>
      </c>
      <c r="K34" s="54">
        <f>SUM(L34:R34)</f>
        <v>7</v>
      </c>
      <c r="L34" s="55">
        <v>2</v>
      </c>
      <c r="M34" s="55">
        <v>2</v>
      </c>
      <c r="N34" s="55">
        <v>3</v>
      </c>
      <c r="O34" s="55">
        <v>0</v>
      </c>
      <c r="P34" s="55">
        <v>0</v>
      </c>
      <c r="Q34" s="55">
        <v>0</v>
      </c>
      <c r="R34" s="55">
        <v>0</v>
      </c>
      <c r="T34" s="61">
        <f t="shared" ref="T34:T39" si="6">SUM(C34/B34)</f>
        <v>0.23447240821981066</v>
      </c>
      <c r="U34" s="61">
        <f t="shared" ref="U34:U39" si="7">SUM(D34/B34)</f>
        <v>0.25086585084276147</v>
      </c>
      <c r="V34" s="61">
        <f t="shared" ref="V34:V39" si="8">SUM(E34/B34)</f>
        <v>0.41387670283999078</v>
      </c>
      <c r="W34" s="61">
        <f t="shared" ref="W34:W39" si="9">SUM(F34/B34)</f>
        <v>0</v>
      </c>
      <c r="X34" s="61">
        <f t="shared" ref="X34:X39" si="10">SUM(G34/B34)</f>
        <v>0</v>
      </c>
      <c r="Y34" s="61">
        <f t="shared" ref="Y34:Y39" si="11">SUM(H34/B34)</f>
        <v>0</v>
      </c>
      <c r="Z34" s="61">
        <f t="shared" ref="Z34:Z39" si="12">SUM(I34/B34)</f>
        <v>0.10078503809743708</v>
      </c>
    </row>
    <row r="35" spans="1:26">
      <c r="A35" s="56" t="s">
        <v>1556</v>
      </c>
      <c r="B35" s="54">
        <f>SUM(C35:I35)</f>
        <v>7921</v>
      </c>
      <c r="C35" s="55">
        <v>1179</v>
      </c>
      <c r="D35" s="55">
        <v>2830</v>
      </c>
      <c r="E35" s="55">
        <v>1551</v>
      </c>
      <c r="F35" s="55">
        <v>639</v>
      </c>
      <c r="G35" s="55">
        <v>238</v>
      </c>
      <c r="H35" s="55">
        <v>0</v>
      </c>
      <c r="I35" s="55">
        <v>1484</v>
      </c>
      <c r="K35" s="54">
        <f>SUM(L35:R35)</f>
        <v>6</v>
      </c>
      <c r="L35" s="55">
        <v>1</v>
      </c>
      <c r="M35" s="55">
        <v>2</v>
      </c>
      <c r="N35" s="55">
        <v>1</v>
      </c>
      <c r="O35" s="55">
        <v>0</v>
      </c>
      <c r="P35" s="55">
        <v>0</v>
      </c>
      <c r="Q35" s="55">
        <v>0</v>
      </c>
      <c r="R35" s="55">
        <v>2</v>
      </c>
      <c r="T35" s="61">
        <f t="shared" si="6"/>
        <v>0.14884484282287591</v>
      </c>
      <c r="U35" s="61">
        <f t="shared" si="7"/>
        <v>0.35727812144931198</v>
      </c>
      <c r="V35" s="61">
        <f t="shared" si="8"/>
        <v>0.19580861002398686</v>
      </c>
      <c r="W35" s="61">
        <f t="shared" si="9"/>
        <v>8.0671632369650303E-2</v>
      </c>
      <c r="X35" s="61">
        <f t="shared" si="10"/>
        <v>3.004671127382906E-2</v>
      </c>
      <c r="Y35" s="61">
        <f t="shared" si="11"/>
        <v>0</v>
      </c>
      <c r="Z35" s="61">
        <f t="shared" si="12"/>
        <v>0.18735008206034592</v>
      </c>
    </row>
    <row r="36" spans="1:26">
      <c r="A36" s="56" t="s">
        <v>1557</v>
      </c>
      <c r="B36" s="54">
        <f>SUM(C36:I36)</f>
        <v>8545</v>
      </c>
      <c r="C36" s="55">
        <v>590</v>
      </c>
      <c r="D36" s="55">
        <v>0</v>
      </c>
      <c r="E36" s="55">
        <v>5737</v>
      </c>
      <c r="F36" s="55">
        <v>1611</v>
      </c>
      <c r="G36" s="55">
        <v>0</v>
      </c>
      <c r="H36" s="55">
        <v>0</v>
      </c>
      <c r="I36" s="55">
        <v>607</v>
      </c>
      <c r="J36" s="55"/>
      <c r="K36" s="54">
        <f>SUM(L36:R36)</f>
        <v>6</v>
      </c>
      <c r="L36" s="55">
        <v>0</v>
      </c>
      <c r="M36" s="55">
        <v>0</v>
      </c>
      <c r="N36" s="55">
        <v>4</v>
      </c>
      <c r="O36" s="55">
        <v>1</v>
      </c>
      <c r="P36" s="55">
        <v>0</v>
      </c>
      <c r="Q36" s="55">
        <v>0</v>
      </c>
      <c r="R36" s="55">
        <v>1</v>
      </c>
      <c r="T36" s="61">
        <f t="shared" si="6"/>
        <v>6.904622586307782E-2</v>
      </c>
      <c r="U36" s="61">
        <f t="shared" si="7"/>
        <v>0</v>
      </c>
      <c r="V36" s="61">
        <f t="shared" si="8"/>
        <v>0.67138677589233475</v>
      </c>
      <c r="W36" s="61">
        <f t="shared" si="9"/>
        <v>0.18853130485664132</v>
      </c>
      <c r="X36" s="61">
        <f t="shared" si="10"/>
        <v>0</v>
      </c>
      <c r="Y36" s="61">
        <f t="shared" si="11"/>
        <v>0</v>
      </c>
      <c r="Z36" s="61">
        <f t="shared" si="12"/>
        <v>7.1035693387946172E-2</v>
      </c>
    </row>
    <row r="37" spans="1:26">
      <c r="A37" s="56" t="s">
        <v>1558</v>
      </c>
      <c r="B37" s="54">
        <f>SUM(C37:I37)</f>
        <v>5894</v>
      </c>
      <c r="C37" s="55">
        <v>0</v>
      </c>
      <c r="D37" s="55">
        <v>0</v>
      </c>
      <c r="E37" s="55">
        <v>3049</v>
      </c>
      <c r="F37" s="55">
        <v>2487</v>
      </c>
      <c r="G37" s="55">
        <v>0</v>
      </c>
      <c r="H37" s="55">
        <v>358</v>
      </c>
      <c r="I37" s="55">
        <v>0</v>
      </c>
      <c r="K37" s="54">
        <f>SUM(L37:R37)</f>
        <v>6</v>
      </c>
      <c r="L37" s="55">
        <v>0</v>
      </c>
      <c r="M37" s="55">
        <v>0</v>
      </c>
      <c r="N37" s="55">
        <v>3</v>
      </c>
      <c r="O37" s="55">
        <v>3</v>
      </c>
      <c r="P37" s="55">
        <v>0</v>
      </c>
      <c r="Q37" s="55">
        <v>0</v>
      </c>
      <c r="R37" s="55">
        <v>0</v>
      </c>
      <c r="T37" s="61">
        <f t="shared" si="6"/>
        <v>0</v>
      </c>
      <c r="U37" s="61">
        <f t="shared" si="7"/>
        <v>0</v>
      </c>
      <c r="V37" s="61">
        <f t="shared" si="8"/>
        <v>0.51730573464540208</v>
      </c>
      <c r="W37" s="61">
        <f t="shared" si="9"/>
        <v>0.42195453003053951</v>
      </c>
      <c r="X37" s="61">
        <f t="shared" si="10"/>
        <v>0</v>
      </c>
      <c r="Y37" s="61">
        <f t="shared" si="11"/>
        <v>6.0739735324058367E-2</v>
      </c>
      <c r="Z37" s="61">
        <f t="shared" si="12"/>
        <v>0</v>
      </c>
    </row>
    <row r="38" spans="1:26">
      <c r="A38" s="56" t="s">
        <v>1559</v>
      </c>
      <c r="B38" s="54">
        <f>SUM(C38:I38)</f>
        <v>6137</v>
      </c>
      <c r="C38" s="55">
        <v>0</v>
      </c>
      <c r="D38" s="55">
        <v>0</v>
      </c>
      <c r="E38" s="55">
        <v>4532</v>
      </c>
      <c r="F38" s="55">
        <v>1345</v>
      </c>
      <c r="G38" s="55">
        <v>0</v>
      </c>
      <c r="H38" s="55">
        <v>0</v>
      </c>
      <c r="I38" s="55">
        <v>260</v>
      </c>
      <c r="K38" s="54">
        <f>SUM(L38:R38)</f>
        <v>5</v>
      </c>
      <c r="L38" s="55">
        <v>0</v>
      </c>
      <c r="M38" s="55">
        <v>0</v>
      </c>
      <c r="N38" s="55">
        <v>4</v>
      </c>
      <c r="O38" s="55">
        <v>1</v>
      </c>
      <c r="P38" s="55">
        <v>0</v>
      </c>
      <c r="Q38" s="55">
        <v>0</v>
      </c>
      <c r="R38" s="55">
        <v>0</v>
      </c>
      <c r="T38" s="61">
        <f t="shared" si="6"/>
        <v>0</v>
      </c>
      <c r="U38" s="61">
        <f t="shared" si="7"/>
        <v>0</v>
      </c>
      <c r="V38" s="61">
        <f t="shared" si="8"/>
        <v>0.73847156591168328</v>
      </c>
      <c r="W38" s="61">
        <f t="shared" si="9"/>
        <v>0.21916245722665798</v>
      </c>
      <c r="X38" s="61">
        <f t="shared" si="10"/>
        <v>0</v>
      </c>
      <c r="Y38" s="61">
        <f t="shared" si="11"/>
        <v>0</v>
      </c>
      <c r="Z38" s="61">
        <f t="shared" si="12"/>
        <v>4.2365976861658793E-2</v>
      </c>
    </row>
    <row r="39" spans="1:26" s="52" customFormat="1">
      <c r="A39" s="53" t="s">
        <v>1560</v>
      </c>
      <c r="B39" s="54">
        <f>SUM(B34:B38)</f>
        <v>37159</v>
      </c>
      <c r="C39" s="54">
        <f t="shared" ref="C39:P39" si="13">SUM(C34:C38)</f>
        <v>3800</v>
      </c>
      <c r="D39" s="54">
        <f>SUM(D34:D38)</f>
        <v>5003</v>
      </c>
      <c r="E39" s="54">
        <f t="shared" si="13"/>
        <v>18454</v>
      </c>
      <c r="F39" s="54">
        <f t="shared" si="13"/>
        <v>6082</v>
      </c>
      <c r="G39" s="54">
        <f t="shared" si="13"/>
        <v>238</v>
      </c>
      <c r="H39" s="54">
        <f>SUM(H34:H38)</f>
        <v>358</v>
      </c>
      <c r="I39" s="54">
        <f>SUM(I34:I38)</f>
        <v>3224</v>
      </c>
      <c r="J39" s="54"/>
      <c r="K39" s="54">
        <f t="shared" si="13"/>
        <v>30</v>
      </c>
      <c r="L39" s="54">
        <f t="shared" si="13"/>
        <v>3</v>
      </c>
      <c r="M39" s="54">
        <f t="shared" si="13"/>
        <v>4</v>
      </c>
      <c r="N39" s="54">
        <f t="shared" si="13"/>
        <v>15</v>
      </c>
      <c r="O39" s="54">
        <f t="shared" si="13"/>
        <v>5</v>
      </c>
      <c r="P39" s="54">
        <f t="shared" si="13"/>
        <v>0</v>
      </c>
      <c r="Q39" s="54">
        <f>SUM(Q34:Q38)</f>
        <v>0</v>
      </c>
      <c r="R39" s="54">
        <f>SUM(R34:R38)</f>
        <v>3</v>
      </c>
      <c r="T39" s="60">
        <f t="shared" si="6"/>
        <v>0.10226324712721009</v>
      </c>
      <c r="U39" s="60">
        <f t="shared" si="7"/>
        <v>0.13463763825721897</v>
      </c>
      <c r="V39" s="60">
        <f t="shared" si="8"/>
        <v>0.49662262170671978</v>
      </c>
      <c r="W39" s="60">
        <f t="shared" si="9"/>
        <v>0.16367501816518207</v>
      </c>
      <c r="X39" s="60">
        <f t="shared" si="10"/>
        <v>6.404908635862106E-3</v>
      </c>
      <c r="Y39" s="60">
        <f t="shared" si="11"/>
        <v>9.6342743346161091E-3</v>
      </c>
      <c r="Z39" s="60">
        <f t="shared" si="12"/>
        <v>8.6762291773190878E-2</v>
      </c>
    </row>
    <row r="40" spans="1:26">
      <c r="A40" s="53"/>
      <c r="B40" s="54"/>
      <c r="C40" s="55"/>
      <c r="D40" s="55"/>
      <c r="E40" s="55"/>
      <c r="F40" s="55"/>
      <c r="G40" s="55"/>
      <c r="H40" s="55"/>
      <c r="I40" s="55"/>
      <c r="K40" s="54"/>
      <c r="L40" s="55"/>
      <c r="M40" s="55"/>
      <c r="N40" s="55"/>
      <c r="O40" s="55"/>
      <c r="P40" s="55"/>
      <c r="Q40" s="55"/>
      <c r="R40" s="55"/>
    </row>
    <row r="41" spans="1:26">
      <c r="A41" s="56" t="s">
        <v>1562</v>
      </c>
      <c r="B41" s="54">
        <f>SUM(C41:I41)</f>
        <v>4043</v>
      </c>
      <c r="C41" s="55">
        <v>1493</v>
      </c>
      <c r="D41" s="55">
        <v>471</v>
      </c>
      <c r="E41" s="55">
        <v>2079</v>
      </c>
      <c r="F41" s="55">
        <v>0</v>
      </c>
      <c r="G41" s="55">
        <v>0</v>
      </c>
      <c r="H41" s="55">
        <v>0</v>
      </c>
      <c r="I41" s="55">
        <v>0</v>
      </c>
      <c r="K41" s="54">
        <f>SUM(L41:R41)</f>
        <v>5</v>
      </c>
      <c r="L41" s="55">
        <v>2</v>
      </c>
      <c r="M41" s="55">
        <v>0</v>
      </c>
      <c r="N41" s="55">
        <v>3</v>
      </c>
      <c r="O41" s="55">
        <v>0</v>
      </c>
      <c r="P41" s="55">
        <v>0</v>
      </c>
      <c r="Q41" s="55">
        <v>0</v>
      </c>
      <c r="R41" s="55">
        <v>0</v>
      </c>
      <c r="T41" s="61">
        <f>SUM(C41/B41)</f>
        <v>0.36928023744744004</v>
      </c>
      <c r="U41" s="61">
        <f>SUM(D41/B41)</f>
        <v>0.11649765025970814</v>
      </c>
      <c r="V41" s="61">
        <f>SUM(E41/B41)</f>
        <v>0.51422211229285186</v>
      </c>
      <c r="W41" s="61">
        <f>SUM(F41/B41)</f>
        <v>0</v>
      </c>
      <c r="X41" s="61">
        <f>SUM(G41/B41)</f>
        <v>0</v>
      </c>
      <c r="Y41" s="61">
        <f>SUM(H41/B41)</f>
        <v>0</v>
      </c>
      <c r="Z41" s="61">
        <f>SUM(I41/B41)</f>
        <v>0</v>
      </c>
    </row>
    <row r="42" spans="1:26">
      <c r="A42" s="56" t="s">
        <v>1563</v>
      </c>
      <c r="B42" s="54">
        <f>SUM(C42:I42)</f>
        <v>3690</v>
      </c>
      <c r="C42" s="55">
        <v>1385</v>
      </c>
      <c r="D42" s="55">
        <v>0</v>
      </c>
      <c r="E42" s="55">
        <v>1169</v>
      </c>
      <c r="F42" s="55">
        <v>1136</v>
      </c>
      <c r="G42" s="55">
        <v>0</v>
      </c>
      <c r="H42" s="55">
        <v>0</v>
      </c>
      <c r="I42" s="55">
        <v>0</v>
      </c>
      <c r="K42" s="54">
        <f>SUM(L42:R42)</f>
        <v>5</v>
      </c>
      <c r="L42" s="55">
        <v>2</v>
      </c>
      <c r="M42" s="55">
        <v>0</v>
      </c>
      <c r="N42" s="55">
        <v>2</v>
      </c>
      <c r="O42" s="55">
        <v>1</v>
      </c>
      <c r="P42" s="55">
        <v>0</v>
      </c>
      <c r="Q42" s="55">
        <v>0</v>
      </c>
      <c r="R42" s="55">
        <v>0</v>
      </c>
      <c r="T42" s="61">
        <f>SUM(C42/B42)</f>
        <v>0.37533875338753386</v>
      </c>
      <c r="U42" s="61">
        <f>SUM(D42/B42)</f>
        <v>0</v>
      </c>
      <c r="V42" s="61">
        <f>SUM(E42/B42)</f>
        <v>0.31680216802168021</v>
      </c>
      <c r="W42" s="61">
        <f>SUM(F42/B42)</f>
        <v>0.30785907859078593</v>
      </c>
      <c r="X42" s="61">
        <f>SUM(G42/B42)</f>
        <v>0</v>
      </c>
      <c r="Y42" s="61">
        <f>SUM(H42/B42)</f>
        <v>0</v>
      </c>
      <c r="Z42" s="61">
        <f>SUM(I42/B42)</f>
        <v>0</v>
      </c>
    </row>
    <row r="43" spans="1:26">
      <c r="A43" s="56" t="s">
        <v>1564</v>
      </c>
      <c r="B43" s="54">
        <f>SUM(C43:I43)</f>
        <v>4037</v>
      </c>
      <c r="C43" s="55">
        <v>1817</v>
      </c>
      <c r="D43" s="55">
        <v>915</v>
      </c>
      <c r="E43" s="55">
        <v>1064</v>
      </c>
      <c r="F43" s="55">
        <v>0</v>
      </c>
      <c r="G43" s="55">
        <v>241</v>
      </c>
      <c r="H43" s="55">
        <v>0</v>
      </c>
      <c r="I43" s="55">
        <v>0</v>
      </c>
      <c r="K43" s="54">
        <f>SUM(L43:R43)</f>
        <v>5</v>
      </c>
      <c r="L43" s="55">
        <v>3</v>
      </c>
      <c r="M43" s="55">
        <v>1</v>
      </c>
      <c r="N43" s="55">
        <v>1</v>
      </c>
      <c r="O43" s="55">
        <v>0</v>
      </c>
      <c r="P43" s="55">
        <v>0</v>
      </c>
      <c r="Q43" s="55">
        <v>0</v>
      </c>
      <c r="R43" s="55">
        <v>0</v>
      </c>
      <c r="T43" s="61">
        <f>SUM(C43/B43)</f>
        <v>0.45008669804310131</v>
      </c>
      <c r="U43" s="61">
        <f>SUM(D43/B43)</f>
        <v>0.22665345553628932</v>
      </c>
      <c r="V43" s="61">
        <f>SUM(E43/B43)</f>
        <v>0.26356205102799107</v>
      </c>
      <c r="W43" s="61">
        <f>SUM(F43/B43)</f>
        <v>0</v>
      </c>
      <c r="X43" s="61">
        <f>SUM(G43/B43)</f>
        <v>5.9697795392618283E-2</v>
      </c>
      <c r="Y43" s="61">
        <f>SUM(H43/B43)</f>
        <v>0</v>
      </c>
      <c r="Z43" s="61">
        <f>SUM(I43/B43)</f>
        <v>0</v>
      </c>
    </row>
    <row r="44" spans="1:26" s="52" customFormat="1">
      <c r="A44" s="53" t="s">
        <v>1561</v>
      </c>
      <c r="B44" s="54">
        <f>SUM(B41:B43)</f>
        <v>11770</v>
      </c>
      <c r="C44" s="54">
        <f t="shared" ref="C44:P44" si="14">SUM(C41:C43)</f>
        <v>4695</v>
      </c>
      <c r="D44" s="54">
        <f>SUM(D41:D43)</f>
        <v>1386</v>
      </c>
      <c r="E44" s="54">
        <f t="shared" si="14"/>
        <v>4312</v>
      </c>
      <c r="F44" s="54">
        <f t="shared" si="14"/>
        <v>1136</v>
      </c>
      <c r="G44" s="54">
        <f t="shared" si="14"/>
        <v>241</v>
      </c>
      <c r="H44" s="54">
        <f>SUM(H41:H43)</f>
        <v>0</v>
      </c>
      <c r="I44" s="54">
        <f>SUM(I41:I43)</f>
        <v>0</v>
      </c>
      <c r="J44" s="54"/>
      <c r="K44" s="54">
        <f t="shared" si="14"/>
        <v>15</v>
      </c>
      <c r="L44" s="54">
        <f t="shared" si="14"/>
        <v>7</v>
      </c>
      <c r="M44" s="54">
        <f t="shared" si="14"/>
        <v>1</v>
      </c>
      <c r="N44" s="54">
        <f t="shared" si="14"/>
        <v>6</v>
      </c>
      <c r="O44" s="54">
        <f t="shared" si="14"/>
        <v>1</v>
      </c>
      <c r="P44" s="54">
        <f t="shared" si="14"/>
        <v>0</v>
      </c>
      <c r="Q44" s="54">
        <f>SUM(Q41:Q43)</f>
        <v>0</v>
      </c>
      <c r="R44" s="54">
        <f>SUM(R41:R43)</f>
        <v>0</v>
      </c>
      <c r="T44" s="60">
        <f>SUM(C44/B44)</f>
        <v>0.39889549702633814</v>
      </c>
      <c r="U44" s="60">
        <f>SUM(D44/B44)</f>
        <v>0.11775700934579439</v>
      </c>
      <c r="V44" s="60">
        <f>SUM(E44/B44)</f>
        <v>0.3663551401869159</v>
      </c>
      <c r="W44" s="60">
        <f>SUM(F44/B44)</f>
        <v>9.6516567544604928E-2</v>
      </c>
      <c r="X44" s="60">
        <f>SUM(G44/B44)</f>
        <v>2.0475785896346643E-2</v>
      </c>
      <c r="Y44" s="60">
        <f>SUM(H44/B44)</f>
        <v>0</v>
      </c>
      <c r="Z44" s="60">
        <f>SUM(I44/B44)</f>
        <v>0</v>
      </c>
    </row>
    <row r="45" spans="1:26">
      <c r="A45" s="53"/>
      <c r="B45" s="54"/>
      <c r="C45" s="55"/>
      <c r="D45" s="55"/>
      <c r="E45" s="55"/>
      <c r="F45" s="55"/>
      <c r="G45" s="55"/>
      <c r="H45" s="55"/>
      <c r="I45" s="55"/>
      <c r="K45" s="54"/>
      <c r="L45" s="55"/>
      <c r="M45" s="55"/>
      <c r="N45" s="55"/>
      <c r="O45" s="55"/>
      <c r="P45" s="55"/>
      <c r="Q45" s="55"/>
      <c r="R45" s="55"/>
    </row>
    <row r="46" spans="1:26">
      <c r="A46" s="56" t="s">
        <v>2448</v>
      </c>
      <c r="B46" s="54">
        <f>SUM(C46:I46)</f>
        <v>6178</v>
      </c>
      <c r="C46" s="55">
        <v>2554</v>
      </c>
      <c r="D46" s="55">
        <v>2095</v>
      </c>
      <c r="E46" s="55">
        <v>433</v>
      </c>
      <c r="F46" s="55">
        <v>0</v>
      </c>
      <c r="G46" s="55">
        <v>496</v>
      </c>
      <c r="H46" s="55">
        <v>39</v>
      </c>
      <c r="I46" s="55">
        <v>561</v>
      </c>
      <c r="K46" s="54">
        <f>SUM(L46:R46)</f>
        <v>7</v>
      </c>
      <c r="L46" s="55">
        <v>3</v>
      </c>
      <c r="M46" s="55">
        <v>2</v>
      </c>
      <c r="N46" s="55">
        <v>0</v>
      </c>
      <c r="O46" s="55">
        <v>0</v>
      </c>
      <c r="P46" s="55">
        <v>1</v>
      </c>
      <c r="Q46" s="55">
        <v>0</v>
      </c>
      <c r="R46" s="55">
        <v>1</v>
      </c>
      <c r="T46" s="61">
        <f>SUM(C46/B46)</f>
        <v>0.41340239559728065</v>
      </c>
      <c r="U46" s="61">
        <f>SUM(D46/B46)</f>
        <v>0.3391065069601813</v>
      </c>
      <c r="V46" s="61">
        <f>SUM(E46/B46)</f>
        <v>7.0087406927808349E-2</v>
      </c>
      <c r="W46" s="61">
        <f>SUM(F46/B46)</f>
        <v>0</v>
      </c>
      <c r="X46" s="61">
        <f>SUM(G46/B46)</f>
        <v>8.0284881838782782E-2</v>
      </c>
      <c r="Y46" s="61">
        <f>SUM(H46/B46)</f>
        <v>6.3127225639365491E-3</v>
      </c>
      <c r="Z46" s="61">
        <f>SUM(I46/B46)</f>
        <v>9.0806086112010354E-2</v>
      </c>
    </row>
    <row r="47" spans="1:26">
      <c r="A47" s="56" t="s">
        <v>1567</v>
      </c>
      <c r="B47" s="54">
        <f>SUM(C47:I47)</f>
        <v>7044</v>
      </c>
      <c r="C47" s="55">
        <v>4169</v>
      </c>
      <c r="D47" s="55">
        <v>955</v>
      </c>
      <c r="E47" s="55">
        <v>1717</v>
      </c>
      <c r="F47" s="55">
        <v>0</v>
      </c>
      <c r="G47" s="55">
        <v>203</v>
      </c>
      <c r="H47" s="55">
        <v>0</v>
      </c>
      <c r="I47" s="55">
        <v>0</v>
      </c>
      <c r="K47" s="54">
        <f>SUM(L47:R47)</f>
        <v>7</v>
      </c>
      <c r="L47" s="55">
        <v>4</v>
      </c>
      <c r="M47" s="55">
        <v>1</v>
      </c>
      <c r="N47" s="55">
        <v>2</v>
      </c>
      <c r="O47" s="55">
        <v>0</v>
      </c>
      <c r="P47" s="55">
        <v>0</v>
      </c>
      <c r="Q47" s="55">
        <v>0</v>
      </c>
      <c r="R47" s="55">
        <v>0</v>
      </c>
      <c r="T47" s="61">
        <f>SUM(C47/B47)</f>
        <v>0.59185122089721753</v>
      </c>
      <c r="U47" s="61">
        <f>SUM(D47/B47)</f>
        <v>0.13557637705848949</v>
      </c>
      <c r="V47" s="61">
        <f>SUM(E47/B47)</f>
        <v>0.24375354911981828</v>
      </c>
      <c r="W47" s="61">
        <f>SUM(F47/B47)</f>
        <v>0</v>
      </c>
      <c r="X47" s="61">
        <f>SUM(G47/B47)</f>
        <v>2.8818852924474732E-2</v>
      </c>
      <c r="Y47" s="61">
        <f>SUM(H47/B47)</f>
        <v>0</v>
      </c>
      <c r="Z47" s="61">
        <f>SUM(I47/B47)</f>
        <v>0</v>
      </c>
    </row>
    <row r="48" spans="1:26">
      <c r="A48" s="56" t="s">
        <v>1568</v>
      </c>
      <c r="B48" s="54">
        <f>SUM(C48:I48)</f>
        <v>6163</v>
      </c>
      <c r="C48" s="55">
        <v>2697</v>
      </c>
      <c r="D48" s="55">
        <v>1506</v>
      </c>
      <c r="E48" s="55">
        <v>482</v>
      </c>
      <c r="F48" s="55">
        <v>0</v>
      </c>
      <c r="G48" s="55">
        <v>811</v>
      </c>
      <c r="H48" s="55">
        <v>0</v>
      </c>
      <c r="I48" s="55">
        <v>667</v>
      </c>
      <c r="K48" s="54">
        <f>SUM(L48:R48)</f>
        <v>7</v>
      </c>
      <c r="L48" s="55">
        <v>3</v>
      </c>
      <c r="M48" s="55">
        <v>2</v>
      </c>
      <c r="N48" s="55">
        <v>0</v>
      </c>
      <c r="O48" s="55">
        <v>0</v>
      </c>
      <c r="P48" s="55">
        <v>1</v>
      </c>
      <c r="Q48" s="55">
        <v>0</v>
      </c>
      <c r="R48" s="55">
        <v>1</v>
      </c>
      <c r="T48" s="61">
        <f>SUM(C48/B48)</f>
        <v>0.43761155281518743</v>
      </c>
      <c r="U48" s="61">
        <f>SUM(D48/B48)</f>
        <v>0.24436151225052735</v>
      </c>
      <c r="V48" s="61">
        <f>SUM(E48/B48)</f>
        <v>7.820866461139056E-2</v>
      </c>
      <c r="W48" s="61">
        <f>SUM(F48/B48)</f>
        <v>0</v>
      </c>
      <c r="X48" s="61">
        <f>SUM(G48/B48)</f>
        <v>0.13159175726107417</v>
      </c>
      <c r="Y48" s="61">
        <f>SUM(H48/B48)</f>
        <v>0</v>
      </c>
      <c r="Z48" s="61">
        <f>SUM(I48/B48)</f>
        <v>0.10822651306182055</v>
      </c>
    </row>
    <row r="49" spans="1:26" s="52" customFormat="1">
      <c r="A49" s="53" t="s">
        <v>1569</v>
      </c>
      <c r="B49" s="54">
        <f>SUM(B46:B48)</f>
        <v>19385</v>
      </c>
      <c r="C49" s="54">
        <f t="shared" ref="C49:P49" si="15">SUM(C46:C48)</f>
        <v>9420</v>
      </c>
      <c r="D49" s="54">
        <f>SUM(D46:D48)</f>
        <v>4556</v>
      </c>
      <c r="E49" s="54">
        <f t="shared" si="15"/>
        <v>2632</v>
      </c>
      <c r="F49" s="54">
        <f t="shared" si="15"/>
        <v>0</v>
      </c>
      <c r="G49" s="54">
        <f t="shared" si="15"/>
        <v>1510</v>
      </c>
      <c r="H49" s="54">
        <f>SUM(H46:H48)</f>
        <v>39</v>
      </c>
      <c r="I49" s="54">
        <f>SUM(I46:I48)</f>
        <v>1228</v>
      </c>
      <c r="J49" s="54"/>
      <c r="K49" s="54">
        <f t="shared" si="15"/>
        <v>21</v>
      </c>
      <c r="L49" s="54">
        <f t="shared" si="15"/>
        <v>10</v>
      </c>
      <c r="M49" s="54">
        <f t="shared" si="15"/>
        <v>5</v>
      </c>
      <c r="N49" s="54">
        <f t="shared" si="15"/>
        <v>2</v>
      </c>
      <c r="O49" s="54">
        <f t="shared" si="15"/>
        <v>0</v>
      </c>
      <c r="P49" s="54">
        <f t="shared" si="15"/>
        <v>2</v>
      </c>
      <c r="Q49" s="54">
        <f>SUM(Q46:Q48)</f>
        <v>0</v>
      </c>
      <c r="R49" s="54">
        <f>SUM(R46:R48)</f>
        <v>2</v>
      </c>
      <c r="T49" s="60">
        <f>SUM(C49/B49)</f>
        <v>0.48594273923136444</v>
      </c>
      <c r="U49" s="60">
        <f>SUM(D49/B49)</f>
        <v>0.23502708279597628</v>
      </c>
      <c r="V49" s="60">
        <f>SUM(E49/B49)</f>
        <v>0.13577508382770184</v>
      </c>
      <c r="W49" s="60">
        <f>SUM(F49/B49)</f>
        <v>0</v>
      </c>
      <c r="X49" s="60">
        <f>SUM(G49/B49)</f>
        <v>7.7895279855558427E-2</v>
      </c>
      <c r="Y49" s="60">
        <f>SUM(H49/B49)</f>
        <v>2.0118648439515089E-3</v>
      </c>
      <c r="Z49" s="60">
        <f>SUM(I49/B49)</f>
        <v>6.3347949445447513E-2</v>
      </c>
    </row>
    <row r="50" spans="1:26">
      <c r="A50" s="53"/>
      <c r="B50" s="54"/>
      <c r="C50" s="55"/>
      <c r="D50" s="55"/>
      <c r="E50" s="55"/>
      <c r="F50" s="55"/>
      <c r="G50" s="55"/>
      <c r="H50" s="55"/>
      <c r="I50" s="55"/>
      <c r="J50" s="55"/>
      <c r="K50" s="54"/>
      <c r="L50" s="55"/>
      <c r="M50" s="55"/>
      <c r="N50" s="55"/>
      <c r="O50" s="55"/>
      <c r="P50" s="55"/>
      <c r="Q50" s="55"/>
      <c r="R50" s="55"/>
    </row>
    <row r="51" spans="1:26">
      <c r="A51" s="56" t="s">
        <v>1570</v>
      </c>
      <c r="B51" s="54">
        <f>SUM(C51:I51)</f>
        <v>6342</v>
      </c>
      <c r="C51" s="55">
        <v>1877</v>
      </c>
      <c r="D51" s="55">
        <v>660</v>
      </c>
      <c r="E51" s="55">
        <v>2728</v>
      </c>
      <c r="F51" s="55">
        <v>845</v>
      </c>
      <c r="G51" s="55">
        <v>0</v>
      </c>
      <c r="H51" s="55">
        <v>232</v>
      </c>
      <c r="I51" s="55">
        <v>0</v>
      </c>
      <c r="K51" s="54">
        <f>SUM(L51:R51)</f>
        <v>6</v>
      </c>
      <c r="L51" s="55">
        <v>2</v>
      </c>
      <c r="M51" s="55">
        <v>0</v>
      </c>
      <c r="N51" s="55">
        <v>3</v>
      </c>
      <c r="O51" s="55">
        <v>1</v>
      </c>
      <c r="P51" s="55">
        <v>0</v>
      </c>
      <c r="Q51" s="55">
        <v>0</v>
      </c>
      <c r="R51" s="55">
        <v>0</v>
      </c>
      <c r="T51" s="61">
        <f>SUM(C51/B51)</f>
        <v>0.29596341847997476</v>
      </c>
      <c r="U51" s="61">
        <f>SUM(D51/B51)</f>
        <v>0.10406811731315042</v>
      </c>
      <c r="V51" s="61">
        <f>SUM(E51/B51)</f>
        <v>0.43014821822768845</v>
      </c>
      <c r="W51" s="61">
        <f>SUM(F51/B51)</f>
        <v>0.13323872595395775</v>
      </c>
      <c r="X51" s="61">
        <f>SUM(G51/B51)</f>
        <v>0</v>
      </c>
      <c r="Y51" s="61">
        <f>SUM(H51/B51)</f>
        <v>3.6581520025228638E-2</v>
      </c>
      <c r="Z51" s="61">
        <f>SUM(I51/B51)</f>
        <v>0</v>
      </c>
    </row>
    <row r="52" spans="1:26">
      <c r="A52" s="56" t="s">
        <v>1571</v>
      </c>
      <c r="B52" s="54">
        <f>SUM(C52:I52)</f>
        <v>5245</v>
      </c>
      <c r="C52" s="55">
        <v>1924</v>
      </c>
      <c r="D52" s="55">
        <v>0</v>
      </c>
      <c r="E52" s="55">
        <v>2846</v>
      </c>
      <c r="F52" s="55">
        <v>475</v>
      </c>
      <c r="G52" s="55">
        <v>0</v>
      </c>
      <c r="H52" s="55">
        <v>0</v>
      </c>
      <c r="I52" s="55">
        <v>0</v>
      </c>
      <c r="K52" s="54">
        <f>SUM(L52:R52)</f>
        <v>5</v>
      </c>
      <c r="L52" s="55">
        <v>2</v>
      </c>
      <c r="M52" s="55">
        <v>0</v>
      </c>
      <c r="N52" s="55">
        <v>3</v>
      </c>
      <c r="O52" s="55">
        <v>0</v>
      </c>
      <c r="P52" s="55">
        <v>0</v>
      </c>
      <c r="Q52" s="55">
        <v>0</v>
      </c>
      <c r="R52" s="55">
        <v>0</v>
      </c>
      <c r="T52" s="61">
        <f>SUM(C52/B52)</f>
        <v>0.36682554814108675</v>
      </c>
      <c r="U52" s="61">
        <f>SUM(D52/B52)</f>
        <v>0</v>
      </c>
      <c r="V52" s="61">
        <f>SUM(E52/B52)</f>
        <v>0.54261201143946614</v>
      </c>
      <c r="W52" s="61">
        <f>SUM(F52/B52)</f>
        <v>9.0562440419447096E-2</v>
      </c>
      <c r="X52" s="61">
        <f>SUM(G52/B52)</f>
        <v>0</v>
      </c>
      <c r="Y52" s="61">
        <f>SUM(H52/B52)</f>
        <v>0</v>
      </c>
      <c r="Z52" s="61">
        <f>SUM(I52/B52)</f>
        <v>0</v>
      </c>
    </row>
    <row r="53" spans="1:26">
      <c r="A53" s="56" t="s">
        <v>1572</v>
      </c>
      <c r="B53" s="54">
        <f>SUM(C53:I53)</f>
        <v>7660</v>
      </c>
      <c r="C53" s="55">
        <v>4633</v>
      </c>
      <c r="D53" s="55">
        <v>1444</v>
      </c>
      <c r="E53" s="55">
        <v>1154</v>
      </c>
      <c r="F53" s="55">
        <v>329</v>
      </c>
      <c r="G53" s="55">
        <v>0</v>
      </c>
      <c r="H53" s="55">
        <v>0</v>
      </c>
      <c r="I53" s="55">
        <v>100</v>
      </c>
      <c r="K53" s="54">
        <f>SUM(L53:R53)</f>
        <v>6</v>
      </c>
      <c r="L53" s="55">
        <v>4</v>
      </c>
      <c r="M53" s="55">
        <v>1</v>
      </c>
      <c r="N53" s="55">
        <v>1</v>
      </c>
      <c r="O53" s="55">
        <v>0</v>
      </c>
      <c r="P53" s="55">
        <v>0</v>
      </c>
      <c r="Q53" s="55">
        <v>0</v>
      </c>
      <c r="R53" s="55">
        <v>0</v>
      </c>
      <c r="T53" s="61">
        <f>SUM(C53/B53)</f>
        <v>0.6048302872062663</v>
      </c>
      <c r="U53" s="61">
        <f>SUM(D53/B53)</f>
        <v>0.18851174934725848</v>
      </c>
      <c r="V53" s="61">
        <f>SUM(E53/B53)</f>
        <v>0.15065274151436031</v>
      </c>
      <c r="W53" s="61">
        <f>SUM(F53/B53)</f>
        <v>4.2950391644908617E-2</v>
      </c>
      <c r="X53" s="61">
        <f>SUM(G53/B53)</f>
        <v>0</v>
      </c>
      <c r="Y53" s="61">
        <f>SUM(H53/B53)</f>
        <v>0</v>
      </c>
      <c r="Z53" s="61">
        <f>SUM(I53/B53)</f>
        <v>1.3054830287206266E-2</v>
      </c>
    </row>
    <row r="54" spans="1:26">
      <c r="A54" s="56" t="s">
        <v>1573</v>
      </c>
      <c r="B54" s="54">
        <f>SUM(C54:I54)</f>
        <v>5751</v>
      </c>
      <c r="C54" s="55">
        <v>3197</v>
      </c>
      <c r="D54" s="55">
        <v>950</v>
      </c>
      <c r="E54" s="55">
        <v>1203</v>
      </c>
      <c r="F54" s="55">
        <v>401</v>
      </c>
      <c r="G54" s="55">
        <v>0</v>
      </c>
      <c r="H54" s="55">
        <v>0</v>
      </c>
      <c r="I54" s="55">
        <v>0</v>
      </c>
      <c r="K54" s="54">
        <f>SUM(L54:R54)</f>
        <v>5</v>
      </c>
      <c r="L54" s="55">
        <v>3</v>
      </c>
      <c r="M54" s="55">
        <v>1</v>
      </c>
      <c r="N54" s="55">
        <v>1</v>
      </c>
      <c r="O54" s="55">
        <v>0</v>
      </c>
      <c r="P54" s="55">
        <v>0</v>
      </c>
      <c r="Q54" s="55">
        <v>0</v>
      </c>
      <c r="R54" s="55">
        <v>0</v>
      </c>
      <c r="T54" s="61">
        <f>SUM(C54/B54)</f>
        <v>0.55590332116153718</v>
      </c>
      <c r="U54" s="61">
        <f>SUM(D54/B54)</f>
        <v>0.165188662841245</v>
      </c>
      <c r="V54" s="61">
        <f>SUM(E54/B54)</f>
        <v>0.20918101199791342</v>
      </c>
      <c r="W54" s="61">
        <f>SUM(F54/B54)</f>
        <v>6.9727003999304468E-2</v>
      </c>
      <c r="X54" s="61">
        <f>SUM(G54/B54)</f>
        <v>0</v>
      </c>
      <c r="Y54" s="61">
        <f>SUM(H54/B54)</f>
        <v>0</v>
      </c>
      <c r="Z54" s="61">
        <f>SUM(I54/B54)</f>
        <v>0</v>
      </c>
    </row>
    <row r="55" spans="1:26" s="52" customFormat="1">
      <c r="A55" s="53" t="s">
        <v>1574</v>
      </c>
      <c r="B55" s="54">
        <f>SUM(B51:B54)</f>
        <v>24998</v>
      </c>
      <c r="C55" s="54">
        <f t="shared" ref="C55:P55" si="16">SUM(C51:C54)</f>
        <v>11631</v>
      </c>
      <c r="D55" s="54">
        <f>SUM(D51:D54)</f>
        <v>3054</v>
      </c>
      <c r="E55" s="54">
        <f t="shared" si="16"/>
        <v>7931</v>
      </c>
      <c r="F55" s="54">
        <f t="shared" si="16"/>
        <v>2050</v>
      </c>
      <c r="G55" s="54">
        <f t="shared" si="16"/>
        <v>0</v>
      </c>
      <c r="H55" s="54">
        <f>SUM(H51:H54)</f>
        <v>232</v>
      </c>
      <c r="I55" s="54">
        <f>SUM(I51:I54)</f>
        <v>100</v>
      </c>
      <c r="J55" s="54"/>
      <c r="K55" s="54">
        <f t="shared" si="16"/>
        <v>22</v>
      </c>
      <c r="L55" s="54">
        <f t="shared" si="16"/>
        <v>11</v>
      </c>
      <c r="M55" s="54">
        <f t="shared" si="16"/>
        <v>2</v>
      </c>
      <c r="N55" s="54">
        <f t="shared" si="16"/>
        <v>8</v>
      </c>
      <c r="O55" s="54">
        <f t="shared" si="16"/>
        <v>1</v>
      </c>
      <c r="P55" s="54">
        <f t="shared" si="16"/>
        <v>0</v>
      </c>
      <c r="Q55" s="54">
        <f>SUM(Q51:Q54)</f>
        <v>0</v>
      </c>
      <c r="R55" s="54">
        <f>SUM(R51:R54)</f>
        <v>0</v>
      </c>
      <c r="T55" s="60">
        <f>SUM(C55/B55)</f>
        <v>0.46527722217777423</v>
      </c>
      <c r="U55" s="60">
        <f>SUM(D55/B55)</f>
        <v>0.12216977358188655</v>
      </c>
      <c r="V55" s="60">
        <f>SUM(E55/B55)</f>
        <v>0.31726538123049847</v>
      </c>
      <c r="W55" s="60">
        <f>SUM(F55/B55)</f>
        <v>8.2006560524841982E-2</v>
      </c>
      <c r="X55" s="60">
        <f>SUM(G55/B55)</f>
        <v>0</v>
      </c>
      <c r="Y55" s="60">
        <f>SUM(H55/B55)</f>
        <v>9.2807424593967514E-3</v>
      </c>
      <c r="Z55" s="60">
        <f>SUM(I55/B55)</f>
        <v>4.0003200256020482E-3</v>
      </c>
    </row>
    <row r="56" spans="1:26">
      <c r="A56" s="53"/>
      <c r="B56" s="54"/>
      <c r="C56" s="55"/>
      <c r="D56" s="55"/>
      <c r="E56" s="55"/>
      <c r="F56" s="55"/>
      <c r="G56" s="55"/>
      <c r="H56" s="55"/>
      <c r="I56" s="55"/>
      <c r="K56" s="54"/>
      <c r="L56" s="55"/>
      <c r="M56" s="55"/>
      <c r="N56" s="55"/>
      <c r="O56" s="55"/>
      <c r="P56" s="55"/>
      <c r="Q56" s="55"/>
      <c r="R56" s="55"/>
    </row>
    <row r="57" spans="1:26">
      <c r="A57" s="56" t="s">
        <v>1575</v>
      </c>
      <c r="B57" s="54">
        <f>SUM(C57:I57)</f>
        <v>6966</v>
      </c>
      <c r="C57" s="55">
        <v>1812</v>
      </c>
      <c r="D57" s="55">
        <v>589</v>
      </c>
      <c r="E57" s="55">
        <v>2259</v>
      </c>
      <c r="F57" s="55">
        <v>213</v>
      </c>
      <c r="G57" s="55">
        <v>0</v>
      </c>
      <c r="H57" s="55">
        <v>0</v>
      </c>
      <c r="I57" s="55">
        <v>2093</v>
      </c>
      <c r="K57" s="54">
        <f>SUM(L57:R57)</f>
        <v>5</v>
      </c>
      <c r="L57" s="55">
        <v>2</v>
      </c>
      <c r="M57" s="55">
        <v>0</v>
      </c>
      <c r="N57" s="55">
        <v>2</v>
      </c>
      <c r="O57" s="55">
        <v>0</v>
      </c>
      <c r="P57" s="55">
        <v>0</v>
      </c>
      <c r="Q57" s="55">
        <v>0</v>
      </c>
      <c r="R57" s="55">
        <v>1</v>
      </c>
      <c r="T57" s="61">
        <f t="shared" ref="T57:T62" si="17">SUM(C57/B57)</f>
        <v>0.26012058570198104</v>
      </c>
      <c r="U57" s="61">
        <f t="shared" ref="U57:U62" si="18">SUM(D57/B57)</f>
        <v>8.4553545793855878E-2</v>
      </c>
      <c r="V57" s="61">
        <f t="shared" ref="V57:V62" si="19">SUM(E57/B57)</f>
        <v>0.32428940568475451</v>
      </c>
      <c r="W57" s="61">
        <f t="shared" ref="W57:W62" si="20">SUM(F57/B57)</f>
        <v>3.05770887166236E-2</v>
      </c>
      <c r="X57" s="61">
        <f t="shared" ref="X57:X62" si="21">SUM(G57/B57)</f>
        <v>0</v>
      </c>
      <c r="Y57" s="61">
        <f t="shared" ref="Y57:Y62" si="22">SUM(H57/B57)</f>
        <v>0</v>
      </c>
      <c r="Z57" s="61">
        <f t="shared" ref="Z57:Z62" si="23">SUM(I57/B57)</f>
        <v>0.30045937410278495</v>
      </c>
    </row>
    <row r="58" spans="1:26">
      <c r="A58" s="56" t="s">
        <v>1576</v>
      </c>
      <c r="B58" s="54">
        <f>SUM(C58:I58)</f>
        <v>7728</v>
      </c>
      <c r="C58" s="55">
        <v>2462</v>
      </c>
      <c r="D58" s="55">
        <v>614</v>
      </c>
      <c r="E58" s="55">
        <v>3364</v>
      </c>
      <c r="F58" s="55">
        <v>1192</v>
      </c>
      <c r="G58" s="55">
        <v>0</v>
      </c>
      <c r="H58" s="55">
        <v>96</v>
      </c>
      <c r="I58" s="55">
        <v>0</v>
      </c>
      <c r="K58" s="54">
        <f>SUM(L58:R58)</f>
        <v>6</v>
      </c>
      <c r="L58" s="55">
        <v>2</v>
      </c>
      <c r="M58" s="55">
        <v>0</v>
      </c>
      <c r="N58" s="55">
        <v>3</v>
      </c>
      <c r="O58" s="55">
        <v>1</v>
      </c>
      <c r="P58" s="55">
        <v>0</v>
      </c>
      <c r="Q58" s="55">
        <v>0</v>
      </c>
      <c r="R58" s="55">
        <v>0</v>
      </c>
      <c r="T58" s="61">
        <f t="shared" si="17"/>
        <v>0.31858178053830227</v>
      </c>
      <c r="U58" s="61">
        <f t="shared" si="18"/>
        <v>7.9451345755693584E-2</v>
      </c>
      <c r="V58" s="61">
        <f t="shared" si="19"/>
        <v>0.43530020703933747</v>
      </c>
      <c r="W58" s="61">
        <f t="shared" si="20"/>
        <v>0.15424430641821946</v>
      </c>
      <c r="X58" s="61">
        <f t="shared" si="21"/>
        <v>0</v>
      </c>
      <c r="Y58" s="61">
        <f t="shared" si="22"/>
        <v>1.2422360248447204E-2</v>
      </c>
      <c r="Z58" s="61">
        <f t="shared" si="23"/>
        <v>0</v>
      </c>
    </row>
    <row r="59" spans="1:26">
      <c r="A59" s="56" t="s">
        <v>1577</v>
      </c>
      <c r="B59" s="54">
        <f>SUM(C59:I59)</f>
        <v>8309</v>
      </c>
      <c r="C59" s="55">
        <v>865</v>
      </c>
      <c r="D59" s="55">
        <v>0</v>
      </c>
      <c r="E59" s="55">
        <v>3923</v>
      </c>
      <c r="F59" s="55">
        <v>1211</v>
      </c>
      <c r="G59" s="55">
        <v>0</v>
      </c>
      <c r="H59" s="55">
        <v>264</v>
      </c>
      <c r="I59" s="55">
        <v>2046</v>
      </c>
      <c r="K59" s="54">
        <f>SUM(L59:R59)</f>
        <v>7</v>
      </c>
      <c r="L59" s="55">
        <v>1</v>
      </c>
      <c r="M59" s="55">
        <v>0</v>
      </c>
      <c r="N59" s="55">
        <v>4</v>
      </c>
      <c r="O59" s="55">
        <v>1</v>
      </c>
      <c r="P59" s="55">
        <v>0</v>
      </c>
      <c r="Q59" s="55">
        <v>0</v>
      </c>
      <c r="R59" s="55">
        <v>1</v>
      </c>
      <c r="T59" s="61">
        <f t="shared" si="17"/>
        <v>0.10410398363220605</v>
      </c>
      <c r="U59" s="61">
        <f t="shared" si="18"/>
        <v>0</v>
      </c>
      <c r="V59" s="61">
        <f t="shared" si="19"/>
        <v>0.47213864484294138</v>
      </c>
      <c r="W59" s="61">
        <f t="shared" si="20"/>
        <v>0.14574557708508845</v>
      </c>
      <c r="X59" s="61">
        <f t="shared" si="21"/>
        <v>0</v>
      </c>
      <c r="Y59" s="61">
        <f t="shared" si="22"/>
        <v>3.1772776507401609E-2</v>
      </c>
      <c r="Z59" s="61">
        <f t="shared" si="23"/>
        <v>0.2462390179323625</v>
      </c>
    </row>
    <row r="60" spans="1:26">
      <c r="A60" s="56" t="s">
        <v>1578</v>
      </c>
      <c r="B60" s="54">
        <f>SUM(C60:I60)</f>
        <v>9119</v>
      </c>
      <c r="C60" s="55">
        <v>1893</v>
      </c>
      <c r="D60" s="55">
        <v>0</v>
      </c>
      <c r="E60" s="55">
        <v>5883</v>
      </c>
      <c r="F60" s="55">
        <v>389</v>
      </c>
      <c r="G60" s="55">
        <v>0</v>
      </c>
      <c r="H60" s="55">
        <v>0</v>
      </c>
      <c r="I60" s="55">
        <v>954</v>
      </c>
      <c r="K60" s="54">
        <f>SUM(L60:R60)</f>
        <v>7</v>
      </c>
      <c r="L60" s="55">
        <v>1</v>
      </c>
      <c r="M60" s="55">
        <v>0</v>
      </c>
      <c r="N60" s="55">
        <v>5</v>
      </c>
      <c r="O60" s="55">
        <v>0</v>
      </c>
      <c r="P60" s="55">
        <v>0</v>
      </c>
      <c r="Q60" s="55">
        <v>0</v>
      </c>
      <c r="R60" s="55">
        <v>1</v>
      </c>
      <c r="T60" s="61">
        <f t="shared" si="17"/>
        <v>0.2075885513762474</v>
      </c>
      <c r="U60" s="61">
        <f t="shared" si="18"/>
        <v>0</v>
      </c>
      <c r="V60" s="61">
        <f t="shared" si="19"/>
        <v>0.6451365281280842</v>
      </c>
      <c r="W60" s="61">
        <f t="shared" si="20"/>
        <v>4.2658186204627697E-2</v>
      </c>
      <c r="X60" s="61">
        <f t="shared" si="21"/>
        <v>0</v>
      </c>
      <c r="Y60" s="61">
        <f t="shared" si="22"/>
        <v>0</v>
      </c>
      <c r="Z60" s="61">
        <f t="shared" si="23"/>
        <v>0.10461673429104068</v>
      </c>
    </row>
    <row r="61" spans="1:26">
      <c r="A61" s="56" t="s">
        <v>1579</v>
      </c>
      <c r="B61" s="54">
        <f>SUM(C61:I61)</f>
        <v>5915</v>
      </c>
      <c r="C61" s="55">
        <v>0</v>
      </c>
      <c r="D61" s="55">
        <v>0</v>
      </c>
      <c r="E61" s="55">
        <v>3376</v>
      </c>
      <c r="F61" s="55">
        <v>2331</v>
      </c>
      <c r="G61" s="55">
        <v>0</v>
      </c>
      <c r="H61" s="55">
        <v>0</v>
      </c>
      <c r="I61" s="55">
        <v>208</v>
      </c>
      <c r="K61" s="54">
        <f>SUM(L61:R61)</f>
        <v>5</v>
      </c>
      <c r="L61" s="55">
        <v>0</v>
      </c>
      <c r="M61" s="55">
        <v>0</v>
      </c>
      <c r="N61" s="55">
        <v>3</v>
      </c>
      <c r="O61" s="55">
        <v>2</v>
      </c>
      <c r="P61" s="55">
        <v>0</v>
      </c>
      <c r="Q61" s="55">
        <v>0</v>
      </c>
      <c r="R61" s="55">
        <v>0</v>
      </c>
      <c r="T61" s="61">
        <f t="shared" si="17"/>
        <v>0</v>
      </c>
      <c r="U61" s="61">
        <f t="shared" si="18"/>
        <v>0</v>
      </c>
      <c r="V61" s="61">
        <f t="shared" si="19"/>
        <v>0.57075232459847847</v>
      </c>
      <c r="W61" s="61">
        <f t="shared" si="20"/>
        <v>0.39408284023668638</v>
      </c>
      <c r="X61" s="61">
        <f t="shared" si="21"/>
        <v>0</v>
      </c>
      <c r="Y61" s="61">
        <f t="shared" si="22"/>
        <v>0</v>
      </c>
      <c r="Z61" s="61">
        <f t="shared" si="23"/>
        <v>3.5164835164835165E-2</v>
      </c>
    </row>
    <row r="62" spans="1:26" s="52" customFormat="1">
      <c r="A62" s="53" t="s">
        <v>1580</v>
      </c>
      <c r="B62" s="54">
        <f>SUM(B57:B61)</f>
        <v>38037</v>
      </c>
      <c r="C62" s="54">
        <f t="shared" ref="C62:P62" si="24">SUM(C57:C61)</f>
        <v>7032</v>
      </c>
      <c r="D62" s="54">
        <f>SUM(D57:D61)</f>
        <v>1203</v>
      </c>
      <c r="E62" s="54">
        <f t="shared" si="24"/>
        <v>18805</v>
      </c>
      <c r="F62" s="54">
        <f t="shared" si="24"/>
        <v>5336</v>
      </c>
      <c r="G62" s="54">
        <f t="shared" si="24"/>
        <v>0</v>
      </c>
      <c r="H62" s="54">
        <f>SUM(H57:H61)</f>
        <v>360</v>
      </c>
      <c r="I62" s="54">
        <f>SUM(I57:I61)</f>
        <v>5301</v>
      </c>
      <c r="J62" s="54"/>
      <c r="K62" s="54">
        <f t="shared" si="24"/>
        <v>30</v>
      </c>
      <c r="L62" s="54">
        <f t="shared" si="24"/>
        <v>6</v>
      </c>
      <c r="M62" s="54">
        <f t="shared" si="24"/>
        <v>0</v>
      </c>
      <c r="N62" s="54">
        <f t="shared" si="24"/>
        <v>17</v>
      </c>
      <c r="O62" s="54">
        <f t="shared" si="24"/>
        <v>4</v>
      </c>
      <c r="P62" s="54">
        <f t="shared" si="24"/>
        <v>0</v>
      </c>
      <c r="Q62" s="54">
        <f>SUM(Q57:Q61)</f>
        <v>0</v>
      </c>
      <c r="R62" s="54">
        <f>SUM(R57:R61)</f>
        <v>3</v>
      </c>
      <c r="T62" s="60">
        <f t="shared" si="17"/>
        <v>0.18487262402397667</v>
      </c>
      <c r="U62" s="60">
        <f t="shared" si="18"/>
        <v>3.1627099929016481E-2</v>
      </c>
      <c r="V62" s="60">
        <f t="shared" si="19"/>
        <v>0.4943870441938113</v>
      </c>
      <c r="W62" s="60">
        <f t="shared" si="20"/>
        <v>0.14028445986802324</v>
      </c>
      <c r="X62" s="60">
        <f t="shared" si="21"/>
        <v>0</v>
      </c>
      <c r="Y62" s="60">
        <f t="shared" si="22"/>
        <v>9.4644688066882251E-3</v>
      </c>
      <c r="Z62" s="60">
        <f t="shared" si="23"/>
        <v>0.13936430317848411</v>
      </c>
    </row>
    <row r="63" spans="1:26">
      <c r="A63" s="53"/>
      <c r="B63" s="54"/>
      <c r="C63" s="55"/>
      <c r="D63" s="55"/>
      <c r="E63" s="55"/>
      <c r="F63" s="55"/>
      <c r="G63" s="55"/>
      <c r="H63" s="55"/>
      <c r="I63" s="55"/>
      <c r="K63" s="54"/>
      <c r="L63" s="55"/>
      <c r="M63" s="55"/>
      <c r="N63" s="55"/>
      <c r="O63" s="55"/>
      <c r="P63" s="55"/>
      <c r="Q63" s="55"/>
      <c r="R63" s="55"/>
    </row>
    <row r="64" spans="1:26">
      <c r="A64" s="56" t="s">
        <v>1581</v>
      </c>
      <c r="B64" s="54">
        <f>SUM(C64:I64)</f>
        <v>8430</v>
      </c>
      <c r="C64" s="55">
        <v>4770</v>
      </c>
      <c r="D64" s="55">
        <v>1695</v>
      </c>
      <c r="E64" s="55">
        <v>1040</v>
      </c>
      <c r="F64" s="55">
        <v>280</v>
      </c>
      <c r="G64" s="55">
        <v>557</v>
      </c>
      <c r="H64" s="55">
        <v>88</v>
      </c>
      <c r="I64" s="55">
        <v>0</v>
      </c>
      <c r="J64" s="55"/>
      <c r="K64" s="54">
        <f>SUM(L64:R64)</f>
        <v>7</v>
      </c>
      <c r="L64" s="55">
        <v>4</v>
      </c>
      <c r="M64" s="55">
        <v>2</v>
      </c>
      <c r="N64" s="55">
        <v>1</v>
      </c>
      <c r="O64" s="55">
        <v>0</v>
      </c>
      <c r="P64" s="55">
        <v>0</v>
      </c>
      <c r="Q64" s="55">
        <v>0</v>
      </c>
      <c r="R64" s="55">
        <v>0</v>
      </c>
      <c r="T64" s="61">
        <f>SUM(C64/B64)</f>
        <v>0.5658362989323843</v>
      </c>
      <c r="U64" s="61">
        <f>SUM(D64/B64)</f>
        <v>0.20106761565836298</v>
      </c>
      <c r="V64" s="61">
        <f>SUM(E64/B64)</f>
        <v>0.12336892052194544</v>
      </c>
      <c r="W64" s="61">
        <f>SUM(F64/B64)</f>
        <v>3.3214709371292998E-2</v>
      </c>
      <c r="X64" s="61">
        <f>SUM(G64/B64)</f>
        <v>6.6073546856465007E-2</v>
      </c>
      <c r="Y64" s="61">
        <f>SUM(H64/B64)</f>
        <v>1.043890865954923E-2</v>
      </c>
      <c r="Z64" s="61">
        <f>SUM(I64/B64)</f>
        <v>0</v>
      </c>
    </row>
    <row r="65" spans="1:26">
      <c r="A65" s="56" t="s">
        <v>1582</v>
      </c>
      <c r="B65" s="54">
        <f>SUM(C65:I65)</f>
        <v>7571</v>
      </c>
      <c r="C65" s="55">
        <v>3407</v>
      </c>
      <c r="D65" s="55">
        <v>1321</v>
      </c>
      <c r="E65" s="55">
        <v>1003</v>
      </c>
      <c r="F65" s="55">
        <v>610</v>
      </c>
      <c r="G65" s="55">
        <v>605</v>
      </c>
      <c r="H65" s="55">
        <v>370</v>
      </c>
      <c r="I65" s="55">
        <v>255</v>
      </c>
      <c r="K65" s="54">
        <f>SUM(L65:R65)</f>
        <v>7</v>
      </c>
      <c r="L65" s="55">
        <v>4</v>
      </c>
      <c r="M65" s="55">
        <v>1</v>
      </c>
      <c r="N65" s="55">
        <v>1</v>
      </c>
      <c r="O65" s="55">
        <v>0</v>
      </c>
      <c r="P65" s="55">
        <v>1</v>
      </c>
      <c r="Q65" s="55">
        <v>0</v>
      </c>
      <c r="R65" s="55">
        <v>0</v>
      </c>
      <c r="T65" s="61">
        <f>SUM(C65/B65)</f>
        <v>0.45000660414740457</v>
      </c>
      <c r="U65" s="61">
        <f>SUM(D65/B65)</f>
        <v>0.17448157442874124</v>
      </c>
      <c r="V65" s="61">
        <f>SUM(E65/B65)</f>
        <v>0.13247919693567561</v>
      </c>
      <c r="W65" s="61">
        <f>SUM(F65/B65)</f>
        <v>8.0570598335754848E-2</v>
      </c>
      <c r="X65" s="61">
        <f>SUM(G65/B65)</f>
        <v>7.9910183595297848E-2</v>
      </c>
      <c r="Y65" s="61">
        <f>SUM(H65/B65)</f>
        <v>4.8870690793818519E-2</v>
      </c>
      <c r="Z65" s="61">
        <f>SUM(I65/B65)</f>
        <v>3.3681151763307354E-2</v>
      </c>
    </row>
    <row r="66" spans="1:26">
      <c r="A66" s="56" t="s">
        <v>1583</v>
      </c>
      <c r="B66" s="54">
        <f>SUM(C66:I66)</f>
        <v>8107</v>
      </c>
      <c r="C66" s="55">
        <v>3649</v>
      </c>
      <c r="D66" s="55">
        <v>1298</v>
      </c>
      <c r="E66" s="55">
        <v>1071</v>
      </c>
      <c r="F66" s="55">
        <v>523</v>
      </c>
      <c r="G66" s="55">
        <v>580</v>
      </c>
      <c r="H66" s="55">
        <v>114</v>
      </c>
      <c r="I66" s="55">
        <v>872</v>
      </c>
      <c r="K66" s="54">
        <f>SUM(L66:R66)</f>
        <v>7</v>
      </c>
      <c r="L66" s="55">
        <v>4</v>
      </c>
      <c r="M66" s="55">
        <v>1</v>
      </c>
      <c r="N66" s="55">
        <v>1</v>
      </c>
      <c r="O66" s="55">
        <v>0</v>
      </c>
      <c r="P66" s="55">
        <v>1</v>
      </c>
      <c r="Q66" s="55">
        <v>0</v>
      </c>
      <c r="R66" s="55">
        <v>0</v>
      </c>
      <c r="T66" s="61">
        <f>SUM(C66/B66)</f>
        <v>0.45010484766251385</v>
      </c>
      <c r="U66" s="61">
        <f>SUM(D66/B66)</f>
        <v>0.16010854816824965</v>
      </c>
      <c r="V66" s="61">
        <f>SUM(E66/B66)</f>
        <v>0.13210805476748488</v>
      </c>
      <c r="W66" s="61">
        <f>SUM(F66/B66)</f>
        <v>6.4512149993832493E-2</v>
      </c>
      <c r="X66" s="61">
        <f>SUM(G66/B66)</f>
        <v>7.1543110891821887E-2</v>
      </c>
      <c r="Y66" s="61">
        <f>SUM(H66/B66)</f>
        <v>1.4061921795978784E-2</v>
      </c>
      <c r="Z66" s="61">
        <f>SUM(I66/B66)</f>
        <v>0.10756136672011841</v>
      </c>
    </row>
    <row r="67" spans="1:26">
      <c r="A67" s="56" t="s">
        <v>1584</v>
      </c>
      <c r="B67" s="54">
        <f>SUM(C67:I67)</f>
        <v>5856</v>
      </c>
      <c r="C67" s="55">
        <v>861</v>
      </c>
      <c r="D67" s="55">
        <v>0</v>
      </c>
      <c r="E67" s="55">
        <v>3174</v>
      </c>
      <c r="F67" s="55">
        <v>1108</v>
      </c>
      <c r="G67" s="55">
        <v>0</v>
      </c>
      <c r="H67" s="55">
        <v>713</v>
      </c>
      <c r="I67" s="55">
        <v>0</v>
      </c>
      <c r="K67" s="54">
        <f>SUM(L67:R67)</f>
        <v>5</v>
      </c>
      <c r="L67" s="55">
        <v>0</v>
      </c>
      <c r="M67" s="55">
        <v>0</v>
      </c>
      <c r="N67" s="55">
        <v>3</v>
      </c>
      <c r="O67" s="55">
        <v>1</v>
      </c>
      <c r="P67" s="55">
        <v>0</v>
      </c>
      <c r="Q67" s="55">
        <v>1</v>
      </c>
      <c r="R67" s="55">
        <v>0</v>
      </c>
      <c r="T67" s="61">
        <f>SUM(C67/B67)</f>
        <v>0.14702868852459017</v>
      </c>
      <c r="U67" s="61">
        <f>SUM(D67/B67)</f>
        <v>0</v>
      </c>
      <c r="V67" s="61">
        <f>SUM(E67/B67)</f>
        <v>0.54200819672131151</v>
      </c>
      <c r="W67" s="61">
        <f>SUM(F67/B67)</f>
        <v>0.18920765027322403</v>
      </c>
      <c r="X67" s="61">
        <f>SUM(G67/B67)</f>
        <v>0</v>
      </c>
      <c r="Y67" s="61">
        <f>SUM(H67/B67)</f>
        <v>0.12175546448087432</v>
      </c>
      <c r="Z67" s="61">
        <f>SUM(I67/B67)</f>
        <v>0</v>
      </c>
    </row>
    <row r="68" spans="1:26" s="52" customFormat="1">
      <c r="A68" s="53" t="s">
        <v>1585</v>
      </c>
      <c r="B68" s="54">
        <f>SUM(B64:B67)</f>
        <v>29964</v>
      </c>
      <c r="C68" s="54">
        <f t="shared" ref="C68:P68" si="25">SUM(C64:C67)</f>
        <v>12687</v>
      </c>
      <c r="D68" s="54">
        <f>SUM(D64:D67)</f>
        <v>4314</v>
      </c>
      <c r="E68" s="54">
        <f t="shared" si="25"/>
        <v>6288</v>
      </c>
      <c r="F68" s="54">
        <f t="shared" si="25"/>
        <v>2521</v>
      </c>
      <c r="G68" s="54">
        <f t="shared" si="25"/>
        <v>1742</v>
      </c>
      <c r="H68" s="54">
        <f>SUM(H64:H67)</f>
        <v>1285</v>
      </c>
      <c r="I68" s="54">
        <f>SUM(I64:I67)</f>
        <v>1127</v>
      </c>
      <c r="J68" s="54"/>
      <c r="K68" s="54">
        <f t="shared" si="25"/>
        <v>26</v>
      </c>
      <c r="L68" s="54">
        <f t="shared" si="25"/>
        <v>12</v>
      </c>
      <c r="M68" s="54">
        <f t="shared" si="25"/>
        <v>4</v>
      </c>
      <c r="N68" s="54">
        <f t="shared" si="25"/>
        <v>6</v>
      </c>
      <c r="O68" s="54">
        <f t="shared" si="25"/>
        <v>1</v>
      </c>
      <c r="P68" s="54">
        <f t="shared" si="25"/>
        <v>2</v>
      </c>
      <c r="Q68" s="54">
        <f>SUM(Q64:Q67)</f>
        <v>1</v>
      </c>
      <c r="R68" s="54">
        <f>SUM(R64:R67)</f>
        <v>0</v>
      </c>
      <c r="T68" s="60">
        <f>SUM(C68/B68)</f>
        <v>0.4234080897076492</v>
      </c>
      <c r="U68" s="60">
        <f>SUM(D68/B68)</f>
        <v>0.14397276732078496</v>
      </c>
      <c r="V68" s="60">
        <f>SUM(E68/B68)</f>
        <v>0.20985182218662396</v>
      </c>
      <c r="W68" s="60">
        <f>SUM(F68/B68)</f>
        <v>8.4134294486717401E-2</v>
      </c>
      <c r="X68" s="60">
        <f>SUM(G68/B68)</f>
        <v>5.8136430383126415E-2</v>
      </c>
      <c r="Y68" s="60">
        <f>SUM(H68/B68)</f>
        <v>4.2884795087438261E-2</v>
      </c>
      <c r="Z68" s="60">
        <f>SUM(I68/B68)</f>
        <v>3.7611800827659858E-2</v>
      </c>
    </row>
    <row r="69" spans="1:26">
      <c r="A69" s="53"/>
      <c r="B69" s="54"/>
      <c r="C69" s="55"/>
      <c r="D69" s="55"/>
      <c r="E69" s="55"/>
      <c r="F69" s="55"/>
      <c r="G69" s="55"/>
      <c r="H69" s="55"/>
      <c r="I69" s="55"/>
      <c r="K69" s="54"/>
      <c r="L69" s="55"/>
      <c r="M69" s="55"/>
      <c r="N69" s="55"/>
      <c r="O69" s="55"/>
      <c r="P69" s="55"/>
      <c r="Q69" s="55"/>
      <c r="R69" s="55"/>
    </row>
    <row r="70" spans="1:26">
      <c r="A70" s="56" t="s">
        <v>1586</v>
      </c>
      <c r="B70" s="54">
        <f>SUM(C70:I70)</f>
        <v>5330</v>
      </c>
      <c r="C70" s="55">
        <v>3291</v>
      </c>
      <c r="D70" s="55">
        <v>773</v>
      </c>
      <c r="E70" s="55">
        <v>976</v>
      </c>
      <c r="F70" s="55">
        <v>0</v>
      </c>
      <c r="G70" s="55">
        <v>0</v>
      </c>
      <c r="H70" s="55">
        <v>0</v>
      </c>
      <c r="I70" s="55">
        <v>290</v>
      </c>
      <c r="K70" s="54">
        <f>SUM(L70:R70)</f>
        <v>5</v>
      </c>
      <c r="L70" s="55">
        <v>4</v>
      </c>
      <c r="M70" s="55">
        <v>0</v>
      </c>
      <c r="N70" s="55">
        <v>1</v>
      </c>
      <c r="O70" s="55">
        <v>0</v>
      </c>
      <c r="P70" s="55">
        <v>0</v>
      </c>
      <c r="Q70" s="55">
        <v>0</v>
      </c>
      <c r="R70" s="55">
        <v>0</v>
      </c>
      <c r="T70" s="61">
        <f>SUM(C70/B70)</f>
        <v>0.61744840525328326</v>
      </c>
      <c r="U70" s="61">
        <f>SUM(D70/B70)</f>
        <v>0.1450281425891182</v>
      </c>
      <c r="V70" s="61">
        <f>SUM(E70/B70)</f>
        <v>0.18311444652908068</v>
      </c>
      <c r="W70" s="61">
        <f>SUM(F70/B70)</f>
        <v>0</v>
      </c>
      <c r="X70" s="61">
        <f>SUM(G70/B70)</f>
        <v>0</v>
      </c>
      <c r="Y70" s="61">
        <f>SUM(H70/B70)</f>
        <v>0</v>
      </c>
      <c r="Z70" s="61">
        <f>SUM(I70/B70)</f>
        <v>5.4409005628517824E-2</v>
      </c>
    </row>
    <row r="71" spans="1:26">
      <c r="A71" s="56" t="s">
        <v>1587</v>
      </c>
      <c r="B71" s="54">
        <f>SUM(C71:I71)</f>
        <v>4968</v>
      </c>
      <c r="C71" s="55">
        <v>3167</v>
      </c>
      <c r="D71" s="55">
        <v>486</v>
      </c>
      <c r="E71" s="55">
        <v>972</v>
      </c>
      <c r="F71" s="55">
        <v>0</v>
      </c>
      <c r="G71" s="55">
        <v>343</v>
      </c>
      <c r="H71" s="55">
        <v>0</v>
      </c>
      <c r="I71" s="55">
        <v>0</v>
      </c>
      <c r="K71" s="54">
        <f>SUM(L71:R71)</f>
        <v>5</v>
      </c>
      <c r="L71" s="55">
        <v>3</v>
      </c>
      <c r="M71" s="55">
        <v>1</v>
      </c>
      <c r="N71" s="55">
        <v>1</v>
      </c>
      <c r="O71" s="55">
        <v>0</v>
      </c>
      <c r="P71" s="55">
        <v>0</v>
      </c>
      <c r="Q71" s="55">
        <v>0</v>
      </c>
      <c r="R71" s="55">
        <v>0</v>
      </c>
      <c r="T71" s="61">
        <f>SUM(C71/B71)</f>
        <v>0.6374798711755234</v>
      </c>
      <c r="U71" s="61">
        <f>SUM(D71/B71)</f>
        <v>9.7826086956521743E-2</v>
      </c>
      <c r="V71" s="61">
        <f>SUM(E71/B71)</f>
        <v>0.19565217391304349</v>
      </c>
      <c r="W71" s="61">
        <f>SUM(F71/B71)</f>
        <v>0</v>
      </c>
      <c r="X71" s="61">
        <f>SUM(G71/B71)</f>
        <v>6.9041867954911434E-2</v>
      </c>
      <c r="Y71" s="61">
        <f>SUM(H71/B71)</f>
        <v>0</v>
      </c>
      <c r="Z71" s="61">
        <f>SUM(I71/B71)</f>
        <v>0</v>
      </c>
    </row>
    <row r="72" spans="1:26">
      <c r="A72" s="56" t="s">
        <v>1588</v>
      </c>
      <c r="B72" s="54">
        <f>SUM(C72:I72)</f>
        <v>5089</v>
      </c>
      <c r="C72" s="55">
        <v>2470</v>
      </c>
      <c r="D72" s="55">
        <v>824</v>
      </c>
      <c r="E72" s="55">
        <v>1011</v>
      </c>
      <c r="F72" s="55">
        <v>0</v>
      </c>
      <c r="G72" s="55">
        <v>0</v>
      </c>
      <c r="H72" s="55">
        <v>0</v>
      </c>
      <c r="I72" s="55">
        <v>784</v>
      </c>
      <c r="K72" s="54">
        <f>SUM(L72:R72)</f>
        <v>5</v>
      </c>
      <c r="L72" s="55">
        <v>2</v>
      </c>
      <c r="M72" s="55">
        <v>1</v>
      </c>
      <c r="N72" s="55">
        <v>1</v>
      </c>
      <c r="O72" s="55">
        <v>0</v>
      </c>
      <c r="P72" s="55">
        <v>0</v>
      </c>
      <c r="Q72" s="55">
        <v>0</v>
      </c>
      <c r="R72" s="55">
        <v>1</v>
      </c>
      <c r="T72" s="61">
        <f>SUM(C72/B72)</f>
        <v>0.48536058164668894</v>
      </c>
      <c r="U72" s="61">
        <f>SUM(D72/B72)</f>
        <v>0.16191786205541364</v>
      </c>
      <c r="V72" s="61">
        <f>SUM(E72/B72)</f>
        <v>0.1986637846335233</v>
      </c>
      <c r="W72" s="61">
        <f>SUM(F72/B72)</f>
        <v>0</v>
      </c>
      <c r="X72" s="61">
        <f>SUM(G72/B72)</f>
        <v>0</v>
      </c>
      <c r="Y72" s="61">
        <f>SUM(H72/B72)</f>
        <v>0</v>
      </c>
      <c r="Z72" s="61">
        <f>SUM(I72/B72)</f>
        <v>0.15405777166437415</v>
      </c>
    </row>
    <row r="73" spans="1:26" s="52" customFormat="1">
      <c r="A73" s="53" t="s">
        <v>1589</v>
      </c>
      <c r="B73" s="54">
        <f>SUM(B70:B72)</f>
        <v>15387</v>
      </c>
      <c r="C73" s="54">
        <f t="shared" ref="C73:P73" si="26">SUM(C70:C72)</f>
        <v>8928</v>
      </c>
      <c r="D73" s="54">
        <f>SUM(D70:D72)</f>
        <v>2083</v>
      </c>
      <c r="E73" s="54">
        <f t="shared" si="26"/>
        <v>2959</v>
      </c>
      <c r="F73" s="54">
        <f t="shared" si="26"/>
        <v>0</v>
      </c>
      <c r="G73" s="54">
        <f t="shared" si="26"/>
        <v>343</v>
      </c>
      <c r="H73" s="54">
        <f>SUM(H70:H72)</f>
        <v>0</v>
      </c>
      <c r="I73" s="54">
        <f>SUM(I70:I72)</f>
        <v>1074</v>
      </c>
      <c r="J73" s="54"/>
      <c r="K73" s="54">
        <f t="shared" si="26"/>
        <v>15</v>
      </c>
      <c r="L73" s="54">
        <f t="shared" si="26"/>
        <v>9</v>
      </c>
      <c r="M73" s="54">
        <f t="shared" si="26"/>
        <v>2</v>
      </c>
      <c r="N73" s="54">
        <f t="shared" si="26"/>
        <v>3</v>
      </c>
      <c r="O73" s="54">
        <f t="shared" si="26"/>
        <v>0</v>
      </c>
      <c r="P73" s="54">
        <f t="shared" si="26"/>
        <v>0</v>
      </c>
      <c r="Q73" s="54">
        <f>SUM(Q70:Q72)</f>
        <v>0</v>
      </c>
      <c r="R73" s="54">
        <f>SUM(R70:R72)</f>
        <v>1</v>
      </c>
      <c r="T73" s="60">
        <f>SUM(C73/B73)</f>
        <v>0.58023006434002733</v>
      </c>
      <c r="U73" s="60">
        <f>SUM(D73/B73)</f>
        <v>0.13537401702736077</v>
      </c>
      <c r="V73" s="60">
        <f>SUM(E73/B73)</f>
        <v>0.19230519269513224</v>
      </c>
      <c r="W73" s="60">
        <f>SUM(F73/B73)</f>
        <v>0</v>
      </c>
      <c r="X73" s="60">
        <f>SUM(G73/B73)</f>
        <v>2.2291544810554363E-2</v>
      </c>
      <c r="Y73" s="60">
        <f>SUM(H73/B73)</f>
        <v>0</v>
      </c>
      <c r="Z73" s="60">
        <f>SUM(I73/B73)</f>
        <v>6.9799181126925333E-2</v>
      </c>
    </row>
    <row r="74" spans="1:26">
      <c r="A74" s="53"/>
      <c r="B74" s="54"/>
      <c r="C74" s="55"/>
      <c r="D74" s="55"/>
      <c r="E74" s="55"/>
      <c r="F74" s="55"/>
      <c r="G74" s="55"/>
      <c r="H74" s="55"/>
      <c r="I74" s="55"/>
      <c r="K74" s="54"/>
      <c r="L74" s="55"/>
      <c r="M74" s="55"/>
      <c r="N74" s="55"/>
      <c r="O74" s="55"/>
      <c r="P74" s="55"/>
      <c r="Q74" s="55"/>
      <c r="R74" s="55"/>
    </row>
    <row r="75" spans="1:26">
      <c r="A75" s="56" t="s">
        <v>1590</v>
      </c>
      <c r="B75" s="54">
        <f>SUM(C75:I75)</f>
        <v>7446</v>
      </c>
      <c r="C75" s="55">
        <v>1110</v>
      </c>
      <c r="D75" s="55">
        <v>0</v>
      </c>
      <c r="E75" s="55">
        <v>4848</v>
      </c>
      <c r="F75" s="55">
        <v>547</v>
      </c>
      <c r="G75" s="55">
        <v>534</v>
      </c>
      <c r="H75" s="55">
        <v>214</v>
      </c>
      <c r="I75" s="55">
        <v>193</v>
      </c>
      <c r="K75" s="54">
        <f>SUM(L75:R75)</f>
        <v>7</v>
      </c>
      <c r="L75" s="55">
        <v>1</v>
      </c>
      <c r="M75" s="55">
        <v>0</v>
      </c>
      <c r="N75" s="55">
        <v>5</v>
      </c>
      <c r="O75" s="55">
        <v>0</v>
      </c>
      <c r="P75" s="55">
        <v>1</v>
      </c>
      <c r="Q75" s="55">
        <v>0</v>
      </c>
      <c r="R75" s="55">
        <v>0</v>
      </c>
      <c r="T75" s="61">
        <f>SUM(C75/B75)</f>
        <v>0.14907332796132153</v>
      </c>
      <c r="U75" s="61">
        <f>SUM(D75/B75)</f>
        <v>0</v>
      </c>
      <c r="V75" s="61">
        <f>SUM(E75/B75)</f>
        <v>0.65108783239323131</v>
      </c>
      <c r="W75" s="61">
        <f>SUM(F75/B75)</f>
        <v>7.3462261616975555E-2</v>
      </c>
      <c r="X75" s="61">
        <f>SUM(G75/B75)</f>
        <v>7.1716357775987102E-2</v>
      </c>
      <c r="Y75" s="61">
        <f>SUM(H75/B75)</f>
        <v>2.8740263228579102E-2</v>
      </c>
      <c r="Z75" s="61">
        <f>SUM(I75/B75)</f>
        <v>2.5919957023905451E-2</v>
      </c>
    </row>
    <row r="76" spans="1:26">
      <c r="A76" s="56" t="s">
        <v>1591</v>
      </c>
      <c r="B76" s="54">
        <f>SUM(C76:I76)</f>
        <v>6042</v>
      </c>
      <c r="C76" s="55">
        <v>1695</v>
      </c>
      <c r="D76" s="55">
        <v>416</v>
      </c>
      <c r="E76" s="55">
        <v>3275</v>
      </c>
      <c r="F76" s="55">
        <v>477</v>
      </c>
      <c r="G76" s="55">
        <v>0</v>
      </c>
      <c r="H76" s="55">
        <v>179</v>
      </c>
      <c r="I76" s="55">
        <v>0</v>
      </c>
      <c r="K76" s="54">
        <f>SUM(L76:R76)</f>
        <v>6</v>
      </c>
      <c r="L76" s="55">
        <v>2</v>
      </c>
      <c r="M76" s="55">
        <v>0</v>
      </c>
      <c r="N76" s="55">
        <v>4</v>
      </c>
      <c r="O76" s="55">
        <v>0</v>
      </c>
      <c r="P76" s="55">
        <v>0</v>
      </c>
      <c r="Q76" s="55">
        <v>0</v>
      </c>
      <c r="R76" s="55">
        <v>0</v>
      </c>
      <c r="T76" s="61">
        <f>SUM(C76/B76)</f>
        <v>0.28053624627606755</v>
      </c>
      <c r="U76" s="61">
        <f>SUM(D76/B76)</f>
        <v>6.8851373717312148E-2</v>
      </c>
      <c r="V76" s="61">
        <f>SUM(E76/B76)</f>
        <v>0.54203905991393575</v>
      </c>
      <c r="W76" s="61">
        <f>SUM(F76/B76)</f>
        <v>7.8947368421052627E-2</v>
      </c>
      <c r="X76" s="61">
        <f>SUM(G76/B76)</f>
        <v>0</v>
      </c>
      <c r="Y76" s="61">
        <f>SUM(H76/B76)</f>
        <v>2.9625951671631911E-2</v>
      </c>
      <c r="Z76" s="61">
        <f>SUM(I76/B76)</f>
        <v>0</v>
      </c>
    </row>
    <row r="77" spans="1:26">
      <c r="A77" s="56" t="s">
        <v>1592</v>
      </c>
      <c r="B77" s="54">
        <f>SUM(C77:I77)</f>
        <v>5607</v>
      </c>
      <c r="C77" s="55">
        <v>2843</v>
      </c>
      <c r="D77" s="55">
        <v>904</v>
      </c>
      <c r="E77" s="55">
        <v>1509</v>
      </c>
      <c r="F77" s="55">
        <v>0</v>
      </c>
      <c r="G77" s="55">
        <v>0</v>
      </c>
      <c r="H77" s="55">
        <v>0</v>
      </c>
      <c r="I77" s="55">
        <v>351</v>
      </c>
      <c r="K77" s="54">
        <f>SUM(L77:R77)</f>
        <v>5</v>
      </c>
      <c r="L77" s="55">
        <v>3</v>
      </c>
      <c r="M77" s="55">
        <v>1</v>
      </c>
      <c r="N77" s="55">
        <v>1</v>
      </c>
      <c r="O77" s="55">
        <v>0</v>
      </c>
      <c r="P77" s="55">
        <v>0</v>
      </c>
      <c r="Q77" s="55">
        <v>0</v>
      </c>
      <c r="R77" s="55">
        <v>0</v>
      </c>
      <c r="T77" s="61">
        <f>SUM(C77/B77)</f>
        <v>0.50704476547173172</v>
      </c>
      <c r="U77" s="61">
        <f>SUM(D77/B77)</f>
        <v>0.16122703763153201</v>
      </c>
      <c r="V77" s="61">
        <f>SUM(E77/B77)</f>
        <v>0.26912787586944892</v>
      </c>
      <c r="W77" s="61">
        <f>SUM(F77/B77)</f>
        <v>0</v>
      </c>
      <c r="X77" s="61">
        <f>SUM(G77/B77)</f>
        <v>0</v>
      </c>
      <c r="Y77" s="61">
        <f>SUM(H77/B77)</f>
        <v>0</v>
      </c>
      <c r="Z77" s="61">
        <f>SUM(I77/B77)</f>
        <v>6.2600321027287326E-2</v>
      </c>
    </row>
    <row r="78" spans="1:26">
      <c r="A78" s="56" t="s">
        <v>1593</v>
      </c>
      <c r="B78" s="54">
        <f>SUM(C78:I78)</f>
        <v>5730</v>
      </c>
      <c r="C78" s="55">
        <v>2068</v>
      </c>
      <c r="D78" s="55">
        <v>790</v>
      </c>
      <c r="E78" s="55">
        <v>2595</v>
      </c>
      <c r="F78" s="55">
        <v>170</v>
      </c>
      <c r="G78" s="55">
        <v>0</v>
      </c>
      <c r="H78" s="55">
        <v>0</v>
      </c>
      <c r="I78" s="55">
        <v>107</v>
      </c>
      <c r="J78" s="55"/>
      <c r="K78" s="54">
        <f>SUM(L78:R78)</f>
        <v>5</v>
      </c>
      <c r="L78" s="55">
        <v>2</v>
      </c>
      <c r="M78" s="55">
        <v>1</v>
      </c>
      <c r="N78" s="55">
        <v>2</v>
      </c>
      <c r="O78" s="55">
        <v>0</v>
      </c>
      <c r="P78" s="55">
        <v>0</v>
      </c>
      <c r="Q78" s="55">
        <v>0</v>
      </c>
      <c r="R78" s="55">
        <v>0</v>
      </c>
      <c r="T78" s="61">
        <f>SUM(C78/B78)</f>
        <v>0.36090750436300173</v>
      </c>
      <c r="U78" s="61">
        <f>SUM(D78/B78)</f>
        <v>0.13787085514834205</v>
      </c>
      <c r="V78" s="61">
        <f>SUM(E78/B78)</f>
        <v>0.45287958115183247</v>
      </c>
      <c r="W78" s="61">
        <f>SUM(F78/B78)</f>
        <v>2.9668411867364748E-2</v>
      </c>
      <c r="X78" s="61">
        <f>SUM(G78/B78)</f>
        <v>0</v>
      </c>
      <c r="Y78" s="61">
        <f>SUM(H78/B78)</f>
        <v>0</v>
      </c>
      <c r="Z78" s="61">
        <f>SUM(I78/B78)</f>
        <v>1.8673647469458987E-2</v>
      </c>
    </row>
    <row r="79" spans="1:26" s="52" customFormat="1">
      <c r="A79" s="53" t="s">
        <v>1594</v>
      </c>
      <c r="B79" s="54">
        <f>SUM(B75:B78)</f>
        <v>24825</v>
      </c>
      <c r="C79" s="54">
        <f t="shared" ref="C79:P79" si="27">SUM(C75:C78)</f>
        <v>7716</v>
      </c>
      <c r="D79" s="54">
        <f>SUM(D75:D78)</f>
        <v>2110</v>
      </c>
      <c r="E79" s="54">
        <f t="shared" si="27"/>
        <v>12227</v>
      </c>
      <c r="F79" s="54">
        <f t="shared" si="27"/>
        <v>1194</v>
      </c>
      <c r="G79" s="54">
        <f t="shared" si="27"/>
        <v>534</v>
      </c>
      <c r="H79" s="54">
        <f>SUM(H75:H78)</f>
        <v>393</v>
      </c>
      <c r="I79" s="54">
        <f>SUM(I75:I78)</f>
        <v>651</v>
      </c>
      <c r="J79" s="54"/>
      <c r="K79" s="54">
        <f t="shared" si="27"/>
        <v>23</v>
      </c>
      <c r="L79" s="54">
        <f t="shared" si="27"/>
        <v>8</v>
      </c>
      <c r="M79" s="54">
        <f t="shared" si="27"/>
        <v>2</v>
      </c>
      <c r="N79" s="54">
        <f t="shared" si="27"/>
        <v>12</v>
      </c>
      <c r="O79" s="54">
        <f t="shared" si="27"/>
        <v>0</v>
      </c>
      <c r="P79" s="54">
        <f t="shared" si="27"/>
        <v>1</v>
      </c>
      <c r="Q79" s="54">
        <f>SUM(Q75:Q78)</f>
        <v>0</v>
      </c>
      <c r="R79" s="54">
        <f>SUM(R75:R78)</f>
        <v>0</v>
      </c>
      <c r="T79" s="60">
        <f>SUM(C79/B79)</f>
        <v>0.31081570996978852</v>
      </c>
      <c r="U79" s="60">
        <f>SUM(D79/B79)</f>
        <v>8.4994964753272909E-2</v>
      </c>
      <c r="V79" s="60">
        <f>SUM(E79/B79)</f>
        <v>0.49252769385699902</v>
      </c>
      <c r="W79" s="60">
        <f>SUM(F79/B79)</f>
        <v>4.8096676737160123E-2</v>
      </c>
      <c r="X79" s="60">
        <f>SUM(G79/B79)</f>
        <v>2.151057401812689E-2</v>
      </c>
      <c r="Y79" s="60">
        <f>SUM(H79/B79)</f>
        <v>1.5830815709969789E-2</v>
      </c>
      <c r="Z79" s="60">
        <f>SUM(I79/B79)</f>
        <v>2.6223564954682779E-2</v>
      </c>
    </row>
    <row r="80" spans="1:26">
      <c r="A80" s="53"/>
      <c r="B80" s="54"/>
      <c r="C80" s="55"/>
      <c r="D80" s="55"/>
      <c r="E80" s="55"/>
      <c r="F80" s="55"/>
      <c r="G80" s="55"/>
      <c r="H80" s="55"/>
      <c r="I80" s="55"/>
      <c r="K80" s="54"/>
      <c r="L80" s="55"/>
      <c r="M80" s="55"/>
      <c r="N80" s="55"/>
      <c r="O80" s="55"/>
      <c r="P80" s="55"/>
      <c r="Q80" s="55"/>
      <c r="R80" s="55"/>
    </row>
    <row r="81" spans="1:26">
      <c r="A81" s="56" t="s">
        <v>1595</v>
      </c>
      <c r="B81" s="54">
        <f>SUM(C81:I81)</f>
        <v>8087</v>
      </c>
      <c r="C81" s="55">
        <v>4538</v>
      </c>
      <c r="D81" s="55">
        <v>2614</v>
      </c>
      <c r="E81" s="55">
        <v>0</v>
      </c>
      <c r="F81" s="55">
        <v>0</v>
      </c>
      <c r="G81" s="55">
        <v>872</v>
      </c>
      <c r="H81" s="55">
        <v>63</v>
      </c>
      <c r="I81" s="55">
        <v>0</v>
      </c>
      <c r="K81" s="54">
        <f>SUM(L81:R81)</f>
        <v>7</v>
      </c>
      <c r="L81" s="55">
        <v>4</v>
      </c>
      <c r="M81" s="55">
        <v>2</v>
      </c>
      <c r="N81" s="55">
        <v>0</v>
      </c>
      <c r="O81" s="55">
        <v>0</v>
      </c>
      <c r="P81" s="55">
        <v>1</v>
      </c>
      <c r="Q81" s="55">
        <v>0</v>
      </c>
      <c r="R81" s="55">
        <v>0</v>
      </c>
      <c r="T81" s="61">
        <f>SUM(C81/B81)</f>
        <v>0.56114752071225427</v>
      </c>
      <c r="U81" s="61">
        <f>SUM(D81/B81)</f>
        <v>0.32323482131816494</v>
      </c>
      <c r="V81" s="61">
        <f>SUM(E81/B81)</f>
        <v>0</v>
      </c>
      <c r="W81" s="61">
        <f>SUM(F81/B81)</f>
        <v>0</v>
      </c>
      <c r="X81" s="61">
        <f>SUM(G81/B81)</f>
        <v>0.10782737727216521</v>
      </c>
      <c r="Y81" s="61">
        <f>SUM(H81/B81)</f>
        <v>7.7902806974156054E-3</v>
      </c>
      <c r="Z81" s="61">
        <f>SUM(I81/B81)</f>
        <v>0</v>
      </c>
    </row>
    <row r="82" spans="1:26">
      <c r="A82" s="56" t="s">
        <v>1596</v>
      </c>
      <c r="B82" s="54">
        <f>SUM(C82:I82)</f>
        <v>9689</v>
      </c>
      <c r="C82" s="55">
        <v>5126</v>
      </c>
      <c r="D82" s="55">
        <v>1706</v>
      </c>
      <c r="E82" s="55">
        <v>1058</v>
      </c>
      <c r="F82" s="55">
        <v>0</v>
      </c>
      <c r="G82" s="55">
        <v>740</v>
      </c>
      <c r="H82" s="55">
        <v>72</v>
      </c>
      <c r="I82" s="55">
        <v>987</v>
      </c>
      <c r="K82" s="54">
        <f>SUM(L82:R82)</f>
        <v>7</v>
      </c>
      <c r="L82" s="55">
        <v>4</v>
      </c>
      <c r="M82" s="55">
        <v>1</v>
      </c>
      <c r="N82" s="55">
        <v>1</v>
      </c>
      <c r="O82" s="55">
        <v>0</v>
      </c>
      <c r="P82" s="55">
        <v>0</v>
      </c>
      <c r="Q82" s="55">
        <v>0</v>
      </c>
      <c r="R82" s="55">
        <v>1</v>
      </c>
      <c r="T82" s="61">
        <f>SUM(C82/B82)</f>
        <v>0.52905356589947361</v>
      </c>
      <c r="U82" s="61">
        <f>SUM(D82/B82)</f>
        <v>0.17607596243162349</v>
      </c>
      <c r="V82" s="61">
        <f>SUM(E82/B82)</f>
        <v>0.10919599545876768</v>
      </c>
      <c r="W82" s="61">
        <f>SUM(F82/B82)</f>
        <v>0</v>
      </c>
      <c r="X82" s="61">
        <f>SUM(G82/B82)</f>
        <v>7.6375270925792133E-2</v>
      </c>
      <c r="Y82" s="61">
        <f>SUM(H82/B82)</f>
        <v>7.4311074414284244E-3</v>
      </c>
      <c r="Z82" s="61">
        <f>SUM(I82/B82)</f>
        <v>0.10186809784291465</v>
      </c>
    </row>
    <row r="83" spans="1:26">
      <c r="A83" s="56" t="s">
        <v>2449</v>
      </c>
      <c r="B83" s="54">
        <f>SUM(C83:I83)</f>
        <v>6914</v>
      </c>
      <c r="C83" s="55">
        <v>4754</v>
      </c>
      <c r="D83" s="55">
        <v>712</v>
      </c>
      <c r="E83" s="55">
        <v>0</v>
      </c>
      <c r="F83" s="55">
        <v>0</v>
      </c>
      <c r="G83" s="55">
        <v>1307</v>
      </c>
      <c r="H83" s="55">
        <v>141</v>
      </c>
      <c r="I83" s="55">
        <v>0</v>
      </c>
      <c r="K83" s="54">
        <f>SUM(L83:R83)</f>
        <v>7</v>
      </c>
      <c r="L83" s="55">
        <v>5</v>
      </c>
      <c r="M83" s="55">
        <v>1</v>
      </c>
      <c r="N83" s="55">
        <v>0</v>
      </c>
      <c r="O83" s="55">
        <v>0</v>
      </c>
      <c r="P83" s="55">
        <v>1</v>
      </c>
      <c r="Q83" s="55">
        <v>0</v>
      </c>
      <c r="R83" s="55">
        <v>0</v>
      </c>
      <c r="T83" s="61">
        <f>SUM(C83/B83)</f>
        <v>0.68759039629736762</v>
      </c>
      <c r="U83" s="61">
        <f>SUM(D83/B83)</f>
        <v>0.10297946196123807</v>
      </c>
      <c r="V83" s="61">
        <f>SUM(E83/B83)</f>
        <v>0</v>
      </c>
      <c r="W83" s="61">
        <f>SUM(F83/B83)</f>
        <v>0</v>
      </c>
      <c r="X83" s="61">
        <f>SUM(G83/B83)</f>
        <v>0.1890367370552502</v>
      </c>
      <c r="Y83" s="61">
        <f>SUM(H83/B83)</f>
        <v>2.0393404686144055E-2</v>
      </c>
      <c r="Z83" s="61">
        <f>SUM(I83/B83)</f>
        <v>0</v>
      </c>
    </row>
    <row r="84" spans="1:26">
      <c r="A84" s="56" t="s">
        <v>1599</v>
      </c>
      <c r="B84" s="54">
        <f>SUM(C84:I84)</f>
        <v>8977</v>
      </c>
      <c r="C84" s="55">
        <v>2368</v>
      </c>
      <c r="D84" s="55">
        <v>964</v>
      </c>
      <c r="E84" s="55">
        <v>1627</v>
      </c>
      <c r="F84" s="55">
        <v>2573</v>
      </c>
      <c r="G84" s="55">
        <v>684</v>
      </c>
      <c r="H84" s="55">
        <v>761</v>
      </c>
      <c r="I84" s="55">
        <v>0</v>
      </c>
      <c r="K84" s="54">
        <f>SUM(L84:R84)</f>
        <v>7</v>
      </c>
      <c r="L84" s="55">
        <v>2</v>
      </c>
      <c r="M84" s="55">
        <v>1</v>
      </c>
      <c r="N84" s="55">
        <v>2</v>
      </c>
      <c r="O84" s="55">
        <v>2</v>
      </c>
      <c r="P84" s="55">
        <v>0</v>
      </c>
      <c r="Q84" s="55">
        <v>0</v>
      </c>
      <c r="R84" s="55">
        <v>0</v>
      </c>
      <c r="T84" s="61">
        <f>SUM(C84/B84)</f>
        <v>0.26378522891834688</v>
      </c>
      <c r="U84" s="61">
        <f>SUM(D84/B84)</f>
        <v>0.10738554082655676</v>
      </c>
      <c r="V84" s="61">
        <f>SUM(E84/B84)</f>
        <v>0.18124094909212432</v>
      </c>
      <c r="W84" s="61">
        <f>SUM(F84/B84)</f>
        <v>0.28662136571237606</v>
      </c>
      <c r="X84" s="61">
        <f>SUM(G84/B84)</f>
        <v>7.6194719839590058E-2</v>
      </c>
      <c r="Y84" s="61">
        <f>SUM(H84/B84)</f>
        <v>8.4772195611005907E-2</v>
      </c>
      <c r="Z84" s="61">
        <f>SUM(I84/B84)</f>
        <v>0</v>
      </c>
    </row>
    <row r="85" spans="1:26" s="52" customFormat="1">
      <c r="A85" s="53" t="s">
        <v>1600</v>
      </c>
      <c r="B85" s="54">
        <f t="shared" ref="B85:I85" si="28">SUM(B81:B84)</f>
        <v>33667</v>
      </c>
      <c r="C85" s="54">
        <f t="shared" si="28"/>
        <v>16786</v>
      </c>
      <c r="D85" s="54">
        <f t="shared" si="28"/>
        <v>5996</v>
      </c>
      <c r="E85" s="54">
        <f t="shared" si="28"/>
        <v>2685</v>
      </c>
      <c r="F85" s="54">
        <f t="shared" si="28"/>
        <v>2573</v>
      </c>
      <c r="G85" s="54">
        <f t="shared" si="28"/>
        <v>3603</v>
      </c>
      <c r="H85" s="54">
        <f t="shared" si="28"/>
        <v>1037</v>
      </c>
      <c r="I85" s="54">
        <f t="shared" si="28"/>
        <v>987</v>
      </c>
      <c r="J85" s="54"/>
      <c r="K85" s="54">
        <f t="shared" ref="K85:R85" si="29">SUM(K81:K84)</f>
        <v>28</v>
      </c>
      <c r="L85" s="54">
        <f t="shared" si="29"/>
        <v>15</v>
      </c>
      <c r="M85" s="54">
        <f t="shared" si="29"/>
        <v>5</v>
      </c>
      <c r="N85" s="54">
        <f t="shared" si="29"/>
        <v>3</v>
      </c>
      <c r="O85" s="54">
        <f t="shared" si="29"/>
        <v>2</v>
      </c>
      <c r="P85" s="54">
        <f t="shared" si="29"/>
        <v>2</v>
      </c>
      <c r="Q85" s="54">
        <f t="shared" si="29"/>
        <v>0</v>
      </c>
      <c r="R85" s="54">
        <f t="shared" si="29"/>
        <v>1</v>
      </c>
      <c r="T85" s="60">
        <f>SUM(C85/B85)</f>
        <v>0.49858912287997148</v>
      </c>
      <c r="U85" s="60">
        <f>SUM(D85/B85)</f>
        <v>0.17809724656191522</v>
      </c>
      <c r="V85" s="60">
        <f>SUM(E85/B85)</f>
        <v>7.9751685626874985E-2</v>
      </c>
      <c r="W85" s="60">
        <f>SUM(F85/B85)</f>
        <v>7.64249858912288E-2</v>
      </c>
      <c r="X85" s="60">
        <f>SUM(G85/B85)</f>
        <v>0.10701874238868922</v>
      </c>
      <c r="Y85" s="60">
        <f>SUM(H85/B85)</f>
        <v>3.0801675230938307E-2</v>
      </c>
      <c r="Z85" s="60">
        <f>SUM(I85/B85)</f>
        <v>2.9316541420381977E-2</v>
      </c>
    </row>
    <row r="86" spans="1:26">
      <c r="A86" s="53"/>
      <c r="B86" s="54"/>
      <c r="C86" s="55"/>
      <c r="D86" s="55"/>
      <c r="E86" s="55"/>
      <c r="F86" s="55"/>
      <c r="G86" s="55"/>
      <c r="H86" s="55"/>
      <c r="I86" s="55"/>
      <c r="K86" s="54"/>
      <c r="L86" s="55"/>
      <c r="M86" s="55"/>
      <c r="N86" s="55"/>
      <c r="O86" s="55"/>
      <c r="P86" s="55"/>
      <c r="Q86" s="55"/>
      <c r="R86" s="55"/>
    </row>
    <row r="87" spans="1:26">
      <c r="A87" s="56" t="s">
        <v>1601</v>
      </c>
      <c r="B87" s="54">
        <f>SUM(C87:I87)</f>
        <v>6911</v>
      </c>
      <c r="C87" s="55">
        <v>2650</v>
      </c>
      <c r="D87" s="55">
        <v>2066</v>
      </c>
      <c r="E87" s="55">
        <v>0</v>
      </c>
      <c r="F87" s="55">
        <v>0</v>
      </c>
      <c r="G87" s="55">
        <v>1631</v>
      </c>
      <c r="H87" s="55">
        <v>0</v>
      </c>
      <c r="I87" s="55">
        <v>564</v>
      </c>
      <c r="K87" s="54">
        <f>SUM(L87:R87)</f>
        <v>7</v>
      </c>
      <c r="L87" s="55">
        <v>3</v>
      </c>
      <c r="M87" s="55">
        <v>2</v>
      </c>
      <c r="N87" s="55">
        <v>0</v>
      </c>
      <c r="O87" s="55">
        <v>0</v>
      </c>
      <c r="P87" s="55">
        <v>2</v>
      </c>
      <c r="Q87" s="55">
        <v>0</v>
      </c>
      <c r="R87" s="55">
        <v>0</v>
      </c>
      <c r="T87" s="61">
        <f>SUM(C87/B87)</f>
        <v>0.38344667920706121</v>
      </c>
      <c r="U87" s="61">
        <f>SUM(D87/B87)</f>
        <v>0.29894371292142963</v>
      </c>
      <c r="V87" s="61">
        <f>SUM(E87/B87)</f>
        <v>0</v>
      </c>
      <c r="W87" s="61">
        <f>SUM(F87/B87)</f>
        <v>0</v>
      </c>
      <c r="X87" s="61">
        <f>SUM(G87/B87)</f>
        <v>0.23600057878744032</v>
      </c>
      <c r="Y87" s="61">
        <f>SUM(H87/B87)</f>
        <v>0</v>
      </c>
      <c r="Z87" s="61">
        <f>SUM(I87/B87)</f>
        <v>8.1609029084068876E-2</v>
      </c>
    </row>
    <row r="88" spans="1:26">
      <c r="A88" s="56" t="s">
        <v>1603</v>
      </c>
      <c r="B88" s="54">
        <f>SUM(C88:I88)</f>
        <v>5937</v>
      </c>
      <c r="C88" s="55">
        <v>3236</v>
      </c>
      <c r="D88" s="55">
        <v>1654</v>
      </c>
      <c r="E88" s="55">
        <v>0</v>
      </c>
      <c r="F88" s="55">
        <v>0</v>
      </c>
      <c r="G88" s="55">
        <v>1047</v>
      </c>
      <c r="H88" s="55">
        <v>0</v>
      </c>
      <c r="I88" s="55">
        <v>0</v>
      </c>
      <c r="K88" s="54">
        <f>SUM(L88:R88)</f>
        <v>6</v>
      </c>
      <c r="L88" s="55">
        <v>3</v>
      </c>
      <c r="M88" s="55">
        <v>2</v>
      </c>
      <c r="N88" s="55">
        <v>0</v>
      </c>
      <c r="O88" s="55">
        <v>0</v>
      </c>
      <c r="P88" s="55">
        <v>1</v>
      </c>
      <c r="Q88" s="55">
        <v>0</v>
      </c>
      <c r="R88" s="55">
        <v>0</v>
      </c>
      <c r="T88" s="61">
        <f>SUM(C88/B88)</f>
        <v>0.54505642580427827</v>
      </c>
      <c r="U88" s="61">
        <f>SUM(D88/B88)</f>
        <v>0.27859188142159341</v>
      </c>
      <c r="V88" s="61">
        <f>SUM(E88/B88)</f>
        <v>0</v>
      </c>
      <c r="W88" s="61">
        <f>SUM(F88/B88)</f>
        <v>0</v>
      </c>
      <c r="X88" s="61">
        <f>SUM(G88/B88)</f>
        <v>0.17635169277412835</v>
      </c>
      <c r="Y88" s="61">
        <f>SUM(H88/B88)</f>
        <v>0</v>
      </c>
      <c r="Z88" s="61">
        <f>SUM(I88/B88)</f>
        <v>0</v>
      </c>
    </row>
    <row r="89" spans="1:26">
      <c r="A89" s="56" t="s">
        <v>1604</v>
      </c>
      <c r="B89" s="54">
        <f>SUM(C89:I89)</f>
        <v>6346</v>
      </c>
      <c r="C89" s="55">
        <v>2040</v>
      </c>
      <c r="D89" s="55">
        <v>2467</v>
      </c>
      <c r="E89" s="55">
        <v>0</v>
      </c>
      <c r="F89" s="55">
        <v>0</v>
      </c>
      <c r="G89" s="55">
        <v>932</v>
      </c>
      <c r="H89" s="55">
        <v>0</v>
      </c>
      <c r="I89" s="55">
        <v>907</v>
      </c>
      <c r="K89" s="54">
        <f>SUM(L89:R89)</f>
        <v>7</v>
      </c>
      <c r="L89" s="55">
        <v>2</v>
      </c>
      <c r="M89" s="55">
        <v>3</v>
      </c>
      <c r="N89" s="55">
        <v>0</v>
      </c>
      <c r="O89" s="55">
        <v>0</v>
      </c>
      <c r="P89" s="55">
        <v>1</v>
      </c>
      <c r="Q89" s="55">
        <v>0</v>
      </c>
      <c r="R89" s="55">
        <v>1</v>
      </c>
      <c r="T89" s="61">
        <f>SUM(C89/B89)</f>
        <v>0.32146233848093286</v>
      </c>
      <c r="U89" s="61">
        <f>SUM(D89/B89)</f>
        <v>0.38874881815316736</v>
      </c>
      <c r="V89" s="61">
        <f>SUM(E89/B89)</f>
        <v>0</v>
      </c>
      <c r="W89" s="61">
        <f>SUM(F89/B89)</f>
        <v>0</v>
      </c>
      <c r="X89" s="61">
        <f>SUM(G89/B89)</f>
        <v>0.14686416640403405</v>
      </c>
      <c r="Y89" s="61">
        <f>SUM(H89/B89)</f>
        <v>0</v>
      </c>
      <c r="Z89" s="61">
        <f>SUM(I89/B89)</f>
        <v>0.14292467696186575</v>
      </c>
    </row>
    <row r="90" spans="1:26" s="52" customFormat="1">
      <c r="A90" s="53" t="s">
        <v>1605</v>
      </c>
      <c r="B90" s="54">
        <f>SUM(B87:B89)</f>
        <v>19194</v>
      </c>
      <c r="C90" s="54">
        <f t="shared" ref="C90:P90" si="30">SUM(C87:C89)</f>
        <v>7926</v>
      </c>
      <c r="D90" s="54">
        <f>SUM(D87:D89)</f>
        <v>6187</v>
      </c>
      <c r="E90" s="54">
        <f t="shared" si="30"/>
        <v>0</v>
      </c>
      <c r="F90" s="54">
        <f t="shared" si="30"/>
        <v>0</v>
      </c>
      <c r="G90" s="54">
        <f t="shared" si="30"/>
        <v>3610</v>
      </c>
      <c r="H90" s="54">
        <f>SUM(H87:H89)</f>
        <v>0</v>
      </c>
      <c r="I90" s="54">
        <f>SUM(I87:I89)</f>
        <v>1471</v>
      </c>
      <c r="J90" s="54"/>
      <c r="K90" s="54">
        <f t="shared" si="30"/>
        <v>20</v>
      </c>
      <c r="L90" s="54">
        <f t="shared" si="30"/>
        <v>8</v>
      </c>
      <c r="M90" s="54">
        <f t="shared" si="30"/>
        <v>7</v>
      </c>
      <c r="N90" s="54">
        <f t="shared" si="30"/>
        <v>0</v>
      </c>
      <c r="O90" s="54">
        <f t="shared" si="30"/>
        <v>0</v>
      </c>
      <c r="P90" s="54">
        <f t="shared" si="30"/>
        <v>4</v>
      </c>
      <c r="Q90" s="54">
        <f>SUM(Q87:Q89)</f>
        <v>0</v>
      </c>
      <c r="R90" s="54">
        <f>SUM(R87:R89)</f>
        <v>1</v>
      </c>
      <c r="T90" s="60">
        <f>SUM(C90/B90)</f>
        <v>0.41294154423257268</v>
      </c>
      <c r="U90" s="60">
        <f>SUM(D90/B90)</f>
        <v>0.32234031468167135</v>
      </c>
      <c r="V90" s="60">
        <f>SUM(E90/B90)</f>
        <v>0</v>
      </c>
      <c r="W90" s="60">
        <f>SUM(F90/B90)</f>
        <v>0</v>
      </c>
      <c r="X90" s="60">
        <f>SUM(G90/B90)</f>
        <v>0.18807960821089925</v>
      </c>
      <c r="Y90" s="60">
        <f>SUM(H90/B90)</f>
        <v>0</v>
      </c>
      <c r="Z90" s="60">
        <f>SUM(I90/B90)</f>
        <v>7.6638532874856724E-2</v>
      </c>
    </row>
    <row r="91" spans="1:26">
      <c r="A91" s="53"/>
      <c r="B91" s="54"/>
      <c r="C91" s="55"/>
      <c r="D91" s="55"/>
      <c r="E91" s="55"/>
      <c r="F91" s="55"/>
      <c r="G91" s="55"/>
      <c r="H91" s="55"/>
      <c r="I91" s="55"/>
      <c r="J91" s="55"/>
      <c r="K91" s="54"/>
      <c r="L91" s="55"/>
      <c r="M91" s="55"/>
      <c r="N91" s="55"/>
      <c r="O91" s="55"/>
      <c r="P91" s="55"/>
      <c r="Q91" s="55"/>
      <c r="R91" s="55"/>
    </row>
    <row r="92" spans="1:26">
      <c r="A92" s="56" t="s">
        <v>1606</v>
      </c>
      <c r="B92" s="54">
        <f>SUM(C92:I92)</f>
        <v>4096</v>
      </c>
      <c r="C92" s="55">
        <v>510</v>
      </c>
      <c r="D92" s="55">
        <v>1050</v>
      </c>
      <c r="E92" s="55">
        <v>0</v>
      </c>
      <c r="F92" s="55">
        <v>0</v>
      </c>
      <c r="G92" s="55">
        <v>527</v>
      </c>
      <c r="H92" s="55">
        <v>0</v>
      </c>
      <c r="I92" s="55">
        <v>2009</v>
      </c>
      <c r="K92" s="54">
        <f>SUM(L92:R92)</f>
        <v>5</v>
      </c>
      <c r="L92" s="55">
        <v>1</v>
      </c>
      <c r="M92" s="55">
        <v>1</v>
      </c>
      <c r="N92" s="55">
        <v>0</v>
      </c>
      <c r="O92" s="55">
        <v>0</v>
      </c>
      <c r="P92" s="55">
        <v>1</v>
      </c>
      <c r="Q92" s="55">
        <v>0</v>
      </c>
      <c r="R92" s="55">
        <v>2</v>
      </c>
      <c r="T92" s="61">
        <f>SUM(C92/B92)</f>
        <v>0.12451171875</v>
      </c>
      <c r="U92" s="61">
        <f>SUM(D92/B92)</f>
        <v>0.25634765625</v>
      </c>
      <c r="V92" s="61">
        <f>SUM(E92/B92)</f>
        <v>0</v>
      </c>
      <c r="W92" s="61">
        <f>SUM(F92/B92)</f>
        <v>0</v>
      </c>
      <c r="X92" s="61">
        <f>SUM(G92/B92)</f>
        <v>0.128662109375</v>
      </c>
      <c r="Y92" s="61">
        <f>SUM(H92/B92)</f>
        <v>0</v>
      </c>
      <c r="Z92" s="61">
        <f>SUM(I92/B92)</f>
        <v>0.490478515625</v>
      </c>
    </row>
    <row r="93" spans="1:26">
      <c r="A93" s="56" t="s">
        <v>1607</v>
      </c>
      <c r="B93" s="54">
        <f>SUM(C93:I93)</f>
        <v>5464</v>
      </c>
      <c r="C93" s="55">
        <v>1386</v>
      </c>
      <c r="D93" s="55">
        <v>679</v>
      </c>
      <c r="E93" s="55">
        <v>0</v>
      </c>
      <c r="F93" s="55">
        <v>0</v>
      </c>
      <c r="G93" s="55">
        <v>1318</v>
      </c>
      <c r="H93" s="55">
        <v>0</v>
      </c>
      <c r="I93" s="55">
        <v>2081</v>
      </c>
      <c r="K93" s="54">
        <f>SUM(L93:R93)</f>
        <v>6</v>
      </c>
      <c r="L93" s="55">
        <v>1</v>
      </c>
      <c r="M93" s="55">
        <v>1</v>
      </c>
      <c r="N93" s="55">
        <v>0</v>
      </c>
      <c r="O93" s="55">
        <v>0</v>
      </c>
      <c r="P93" s="55">
        <v>1</v>
      </c>
      <c r="Q93" s="55">
        <v>0</v>
      </c>
      <c r="R93" s="55">
        <v>3</v>
      </c>
      <c r="T93" s="61">
        <f>SUM(C93/B93)</f>
        <v>0.25366032210834555</v>
      </c>
      <c r="U93" s="61">
        <f>SUM(D93/B93)</f>
        <v>0.12426793557833089</v>
      </c>
      <c r="V93" s="61">
        <f>SUM(E93/B93)</f>
        <v>0</v>
      </c>
      <c r="W93" s="61">
        <f>SUM(F93/B93)</f>
        <v>0</v>
      </c>
      <c r="X93" s="61">
        <f>SUM(G93/B93)</f>
        <v>0.24121522693997072</v>
      </c>
      <c r="Y93" s="61">
        <f>SUM(H93/B93)</f>
        <v>0</v>
      </c>
      <c r="Z93" s="61">
        <f>SUM(I93/B93)</f>
        <v>0.38085651537335286</v>
      </c>
    </row>
    <row r="94" spans="1:26">
      <c r="A94" s="56" t="s">
        <v>1608</v>
      </c>
      <c r="B94" s="54">
        <f>SUM(C94:I94)</f>
        <v>4802</v>
      </c>
      <c r="C94" s="55">
        <v>1155</v>
      </c>
      <c r="D94" s="55">
        <v>561</v>
      </c>
      <c r="E94" s="55">
        <v>0</v>
      </c>
      <c r="F94" s="55">
        <v>0</v>
      </c>
      <c r="G94" s="55">
        <v>1212</v>
      </c>
      <c r="H94" s="55">
        <v>0</v>
      </c>
      <c r="I94" s="55">
        <v>1874</v>
      </c>
      <c r="K94" s="54">
        <f>SUM(L94:R94)</f>
        <v>5</v>
      </c>
      <c r="L94" s="55">
        <v>1</v>
      </c>
      <c r="M94" s="55">
        <v>1</v>
      </c>
      <c r="N94" s="55">
        <v>0</v>
      </c>
      <c r="O94" s="55">
        <v>0</v>
      </c>
      <c r="P94" s="55">
        <v>1</v>
      </c>
      <c r="Q94" s="55">
        <v>0</v>
      </c>
      <c r="R94" s="55">
        <v>2</v>
      </c>
      <c r="T94" s="61">
        <f>SUM(C94/B94)</f>
        <v>0.24052478134110788</v>
      </c>
      <c r="U94" s="61">
        <f>SUM(D94/B94)</f>
        <v>0.11682632236568097</v>
      </c>
      <c r="V94" s="61">
        <f>SUM(E94/B94)</f>
        <v>0</v>
      </c>
      <c r="W94" s="61">
        <f>SUM(F94/B94)</f>
        <v>0</v>
      </c>
      <c r="X94" s="61">
        <f>SUM(G94/B94)</f>
        <v>0.25239483548521452</v>
      </c>
      <c r="Y94" s="61">
        <f>SUM(H94/B94)</f>
        <v>0</v>
      </c>
      <c r="Z94" s="61">
        <f>SUM(I94/B94)</f>
        <v>0.39025406080799668</v>
      </c>
    </row>
    <row r="95" spans="1:26">
      <c r="A95" s="56" t="s">
        <v>1609</v>
      </c>
      <c r="B95" s="54">
        <f>SUM(C95:I95)</f>
        <v>6506</v>
      </c>
      <c r="C95" s="55">
        <v>1497</v>
      </c>
      <c r="D95" s="55">
        <v>944</v>
      </c>
      <c r="E95" s="55">
        <v>0</v>
      </c>
      <c r="F95" s="55">
        <v>0</v>
      </c>
      <c r="G95" s="55">
        <v>1256</v>
      </c>
      <c r="H95" s="55">
        <v>0</v>
      </c>
      <c r="I95" s="55">
        <v>2809</v>
      </c>
      <c r="K95" s="54">
        <f>SUM(L95:R95)</f>
        <v>7</v>
      </c>
      <c r="L95" s="55">
        <v>2</v>
      </c>
      <c r="M95" s="55">
        <v>1</v>
      </c>
      <c r="N95" s="55">
        <v>0</v>
      </c>
      <c r="O95" s="55">
        <v>0</v>
      </c>
      <c r="P95" s="55">
        <v>1</v>
      </c>
      <c r="Q95" s="55">
        <v>0</v>
      </c>
      <c r="R95" s="55">
        <v>3</v>
      </c>
      <c r="T95" s="61">
        <f>SUM(C95/B95)</f>
        <v>0.23009529664924686</v>
      </c>
      <c r="U95" s="61">
        <f>SUM(D95/B95)</f>
        <v>0.14509683369197662</v>
      </c>
      <c r="V95" s="61">
        <f>SUM(E95/B95)</f>
        <v>0</v>
      </c>
      <c r="W95" s="61">
        <f>SUM(F95/B95)</f>
        <v>0</v>
      </c>
      <c r="X95" s="61">
        <f>SUM(G95/B95)</f>
        <v>0.19305256686135874</v>
      </c>
      <c r="Y95" s="61">
        <f>SUM(H95/B95)</f>
        <v>0</v>
      </c>
      <c r="Z95" s="61">
        <f>SUM(I95/B95)</f>
        <v>0.43175530279741775</v>
      </c>
    </row>
    <row r="96" spans="1:26" s="52" customFormat="1">
      <c r="A96" s="53" t="s">
        <v>1610</v>
      </c>
      <c r="B96" s="54">
        <f>SUM(B92:B95)</f>
        <v>20868</v>
      </c>
      <c r="C96" s="54">
        <f t="shared" ref="C96:P96" si="31">SUM(C92:C95)</f>
        <v>4548</v>
      </c>
      <c r="D96" s="54">
        <f>SUM(D92:D95)</f>
        <v>3234</v>
      </c>
      <c r="E96" s="54">
        <f t="shared" si="31"/>
        <v>0</v>
      </c>
      <c r="F96" s="54">
        <f t="shared" si="31"/>
        <v>0</v>
      </c>
      <c r="G96" s="54">
        <f t="shared" si="31"/>
        <v>4313</v>
      </c>
      <c r="H96" s="54">
        <f>SUM(H92:H95)</f>
        <v>0</v>
      </c>
      <c r="I96" s="54">
        <f>SUM(I92:I95)</f>
        <v>8773</v>
      </c>
      <c r="J96" s="54"/>
      <c r="K96" s="54">
        <f t="shared" si="31"/>
        <v>23</v>
      </c>
      <c r="L96" s="54">
        <f t="shared" si="31"/>
        <v>5</v>
      </c>
      <c r="M96" s="54">
        <f t="shared" si="31"/>
        <v>4</v>
      </c>
      <c r="N96" s="54">
        <f t="shared" si="31"/>
        <v>0</v>
      </c>
      <c r="O96" s="54">
        <f t="shared" si="31"/>
        <v>0</v>
      </c>
      <c r="P96" s="54">
        <f t="shared" si="31"/>
        <v>4</v>
      </c>
      <c r="Q96" s="54">
        <f>SUM(Q92:Q95)</f>
        <v>0</v>
      </c>
      <c r="R96" s="54">
        <f>SUM(R92:R95)</f>
        <v>10</v>
      </c>
      <c r="T96" s="60">
        <f>SUM(C96/B96)</f>
        <v>0.21794134560092007</v>
      </c>
      <c r="U96" s="60">
        <f>SUM(D96/B96)</f>
        <v>0.15497412305922945</v>
      </c>
      <c r="V96" s="60">
        <f>SUM(E96/B96)</f>
        <v>0</v>
      </c>
      <c r="W96" s="60">
        <f>SUM(F96/B96)</f>
        <v>0</v>
      </c>
      <c r="X96" s="60">
        <f>SUM(G96/B96)</f>
        <v>0.20668008433965881</v>
      </c>
      <c r="Y96" s="60">
        <f>SUM(H96/B96)</f>
        <v>0</v>
      </c>
      <c r="Z96" s="60">
        <f>SUM(I96/B96)</f>
        <v>0.42040444700019169</v>
      </c>
    </row>
    <row r="97" spans="1:26">
      <c r="A97" s="53"/>
      <c r="B97" s="54"/>
      <c r="C97" s="55"/>
      <c r="D97" s="55"/>
      <c r="E97" s="55"/>
      <c r="F97" s="55"/>
      <c r="G97" s="55"/>
      <c r="H97" s="55"/>
      <c r="I97" s="55"/>
      <c r="K97" s="54"/>
      <c r="L97" s="55"/>
      <c r="M97" s="55"/>
      <c r="N97" s="55"/>
      <c r="O97" s="55"/>
      <c r="P97" s="55"/>
      <c r="Q97" s="55"/>
      <c r="R97" s="55"/>
    </row>
    <row r="98" spans="1:26">
      <c r="A98" s="56" t="s">
        <v>1611</v>
      </c>
      <c r="B98" s="54">
        <f>SUM(C98:I98)</f>
        <v>6820</v>
      </c>
      <c r="C98" s="55">
        <v>1367</v>
      </c>
      <c r="D98" s="55">
        <v>4098</v>
      </c>
      <c r="E98" s="55">
        <v>0</v>
      </c>
      <c r="F98" s="55">
        <v>0</v>
      </c>
      <c r="G98" s="55">
        <v>1355</v>
      </c>
      <c r="H98" s="55">
        <v>0</v>
      </c>
      <c r="I98" s="55">
        <v>0</v>
      </c>
      <c r="K98" s="54">
        <f>SUM(L98:R98)</f>
        <v>7</v>
      </c>
      <c r="L98" s="55">
        <v>2</v>
      </c>
      <c r="M98" s="55">
        <v>4</v>
      </c>
      <c r="N98" s="55">
        <v>0</v>
      </c>
      <c r="O98" s="55">
        <v>0</v>
      </c>
      <c r="P98" s="55">
        <v>1</v>
      </c>
      <c r="Q98" s="55">
        <v>0</v>
      </c>
      <c r="R98" s="55">
        <v>0</v>
      </c>
      <c r="T98" s="61">
        <f>SUM(C98/B98)</f>
        <v>0.20043988269794721</v>
      </c>
      <c r="U98" s="61">
        <f>SUM(D98/B98)</f>
        <v>0.60087976539589438</v>
      </c>
      <c r="V98" s="61">
        <f>SUM(E98/B98)</f>
        <v>0</v>
      </c>
      <c r="W98" s="61">
        <f>SUM(F98/B98)</f>
        <v>0</v>
      </c>
      <c r="X98" s="61">
        <f>SUM(G98/B98)</f>
        <v>0.19868035190615835</v>
      </c>
      <c r="Y98" s="61">
        <f>SUM(H98/B98)</f>
        <v>0</v>
      </c>
      <c r="Z98" s="61">
        <f>SUM(I98/B98)</f>
        <v>0</v>
      </c>
    </row>
    <row r="99" spans="1:26">
      <c r="A99" s="56" t="s">
        <v>1612</v>
      </c>
      <c r="B99" s="54">
        <f>SUM(C99:I99)</f>
        <v>5548</v>
      </c>
      <c r="C99" s="55">
        <v>813</v>
      </c>
      <c r="D99" s="55">
        <v>2424</v>
      </c>
      <c r="E99" s="55">
        <v>0</v>
      </c>
      <c r="F99" s="55">
        <v>0</v>
      </c>
      <c r="G99" s="55">
        <v>1006</v>
      </c>
      <c r="H99" s="55">
        <v>0</v>
      </c>
      <c r="I99" s="55">
        <v>1305</v>
      </c>
      <c r="K99" s="54">
        <f>SUM(L99:R99)</f>
        <v>7</v>
      </c>
      <c r="L99" s="55">
        <v>1</v>
      </c>
      <c r="M99" s="55">
        <v>3</v>
      </c>
      <c r="N99" s="55">
        <v>0</v>
      </c>
      <c r="O99" s="55">
        <v>0</v>
      </c>
      <c r="P99" s="55">
        <v>1</v>
      </c>
      <c r="Q99" s="55">
        <v>0</v>
      </c>
      <c r="R99" s="55">
        <v>2</v>
      </c>
      <c r="T99" s="61">
        <f>SUM(C99/B99)</f>
        <v>0.14653929343907715</v>
      </c>
      <c r="U99" s="61">
        <f>SUM(D99/B99)</f>
        <v>0.43691420331651043</v>
      </c>
      <c r="V99" s="61">
        <f>SUM(E99/B99)</f>
        <v>0</v>
      </c>
      <c r="W99" s="61">
        <f>SUM(F99/B99)</f>
        <v>0</v>
      </c>
      <c r="X99" s="61">
        <f>SUM(G99/B99)</f>
        <v>0.18132660418168708</v>
      </c>
      <c r="Y99" s="61">
        <f>SUM(H99/B99)</f>
        <v>0</v>
      </c>
      <c r="Z99" s="61">
        <f>SUM(I99/B99)</f>
        <v>0.23521989906272531</v>
      </c>
    </row>
    <row r="100" spans="1:26">
      <c r="A100" s="56" t="s">
        <v>1613</v>
      </c>
      <c r="B100" s="54">
        <f>SUM(C100:I100)</f>
        <v>7796</v>
      </c>
      <c r="C100" s="55">
        <v>3272</v>
      </c>
      <c r="D100" s="55">
        <v>2555</v>
      </c>
      <c r="E100" s="55">
        <v>0</v>
      </c>
      <c r="F100" s="55">
        <v>0</v>
      </c>
      <c r="G100" s="55">
        <v>1969</v>
      </c>
      <c r="H100" s="55">
        <v>0</v>
      </c>
      <c r="I100" s="55">
        <v>0</v>
      </c>
      <c r="K100" s="54">
        <f>SUM(L100:R100)</f>
        <v>7</v>
      </c>
      <c r="L100" s="55">
        <v>3</v>
      </c>
      <c r="M100" s="55">
        <v>2</v>
      </c>
      <c r="N100" s="55">
        <v>0</v>
      </c>
      <c r="O100" s="55">
        <v>0</v>
      </c>
      <c r="P100" s="55">
        <v>2</v>
      </c>
      <c r="Q100" s="55">
        <v>0</v>
      </c>
      <c r="R100" s="55">
        <v>0</v>
      </c>
      <c r="T100" s="61">
        <f>SUM(C100/B100)</f>
        <v>0.41970241149307336</v>
      </c>
      <c r="U100" s="61">
        <f>SUM(D100/B100)</f>
        <v>0.32773217034376606</v>
      </c>
      <c r="V100" s="61">
        <f>SUM(E100/B100)</f>
        <v>0</v>
      </c>
      <c r="W100" s="61">
        <f>SUM(F100/B100)</f>
        <v>0</v>
      </c>
      <c r="X100" s="61">
        <f>SUM(G100/B100)</f>
        <v>0.25256541816316058</v>
      </c>
      <c r="Y100" s="61">
        <f>SUM(H100/B100)</f>
        <v>0</v>
      </c>
      <c r="Z100" s="61">
        <f>SUM(I100/B100)</f>
        <v>0</v>
      </c>
    </row>
    <row r="101" spans="1:26" s="52" customFormat="1">
      <c r="A101" s="53" t="s">
        <v>1614</v>
      </c>
      <c r="B101" s="54">
        <f t="shared" ref="B101:I101" si="32">SUM(B98:B100)</f>
        <v>20164</v>
      </c>
      <c r="C101" s="54">
        <f t="shared" si="32"/>
        <v>5452</v>
      </c>
      <c r="D101" s="54">
        <f t="shared" si="32"/>
        <v>9077</v>
      </c>
      <c r="E101" s="54">
        <f t="shared" si="32"/>
        <v>0</v>
      </c>
      <c r="F101" s="54">
        <f t="shared" si="32"/>
        <v>0</v>
      </c>
      <c r="G101" s="54">
        <f t="shared" si="32"/>
        <v>4330</v>
      </c>
      <c r="H101" s="54">
        <f t="shared" si="32"/>
        <v>0</v>
      </c>
      <c r="I101" s="54">
        <f t="shared" si="32"/>
        <v>1305</v>
      </c>
      <c r="J101" s="54"/>
      <c r="K101" s="54">
        <f t="shared" ref="K101:R101" si="33">SUM(K98:K100)</f>
        <v>21</v>
      </c>
      <c r="L101" s="54">
        <f t="shared" si="33"/>
        <v>6</v>
      </c>
      <c r="M101" s="54">
        <f t="shared" si="33"/>
        <v>9</v>
      </c>
      <c r="N101" s="54">
        <f t="shared" si="33"/>
        <v>0</v>
      </c>
      <c r="O101" s="54">
        <f t="shared" si="33"/>
        <v>0</v>
      </c>
      <c r="P101" s="54">
        <f t="shared" si="33"/>
        <v>4</v>
      </c>
      <c r="Q101" s="54">
        <f t="shared" si="33"/>
        <v>0</v>
      </c>
      <c r="R101" s="54">
        <f t="shared" si="33"/>
        <v>2</v>
      </c>
      <c r="T101" s="60">
        <f>SUM(C101/B101)</f>
        <v>0.27038286054354294</v>
      </c>
      <c r="U101" s="60">
        <f>SUM(D101/B101)</f>
        <v>0.45015869867089864</v>
      </c>
      <c r="V101" s="60">
        <f>SUM(E101/B101)</f>
        <v>0</v>
      </c>
      <c r="W101" s="60">
        <f>SUM(F101/B101)</f>
        <v>0</v>
      </c>
      <c r="X101" s="60">
        <f>SUM(G101/B101)</f>
        <v>0.21473913905971037</v>
      </c>
      <c r="Y101" s="60">
        <f>SUM(H101/B101)</f>
        <v>0</v>
      </c>
      <c r="Z101" s="60">
        <f>SUM(I101/B101)</f>
        <v>6.4719301725848041E-2</v>
      </c>
    </row>
    <row r="102" spans="1:26">
      <c r="A102" s="53"/>
      <c r="B102" s="54"/>
      <c r="C102" s="55"/>
      <c r="D102" s="55"/>
      <c r="E102" s="55"/>
      <c r="F102" s="55"/>
      <c r="G102" s="55"/>
      <c r="H102" s="55"/>
      <c r="I102" s="55"/>
      <c r="K102" s="54"/>
      <c r="L102" s="55"/>
      <c r="M102" s="55"/>
      <c r="N102" s="55"/>
      <c r="O102" s="55"/>
      <c r="P102" s="55"/>
      <c r="Q102" s="55"/>
      <c r="R102" s="55"/>
    </row>
    <row r="103" spans="1:26">
      <c r="A103" s="56" t="s">
        <v>1617</v>
      </c>
      <c r="B103" s="54">
        <f>SUM(C103:I103)</f>
        <v>6145</v>
      </c>
      <c r="C103" s="55">
        <v>2890</v>
      </c>
      <c r="D103" s="55">
        <v>1950</v>
      </c>
      <c r="E103" s="55">
        <v>764</v>
      </c>
      <c r="F103" s="55">
        <v>0</v>
      </c>
      <c r="G103" s="55">
        <v>541</v>
      </c>
      <c r="H103" s="55">
        <v>0</v>
      </c>
      <c r="I103" s="55">
        <v>0</v>
      </c>
      <c r="K103" s="54">
        <f>SUM(L103:R103)</f>
        <v>7</v>
      </c>
      <c r="L103" s="55">
        <v>4</v>
      </c>
      <c r="M103" s="55">
        <v>2</v>
      </c>
      <c r="N103" s="55">
        <v>1</v>
      </c>
      <c r="O103" s="55">
        <v>0</v>
      </c>
      <c r="P103" s="55">
        <v>0</v>
      </c>
      <c r="Q103" s="55">
        <v>0</v>
      </c>
      <c r="R103" s="55">
        <v>0</v>
      </c>
      <c r="T103" s="61">
        <f>SUM(C103/B103)</f>
        <v>0.47030105777054515</v>
      </c>
      <c r="U103" s="61">
        <f>SUM(D103/B103)</f>
        <v>0.31733116354759966</v>
      </c>
      <c r="V103" s="61">
        <f>SUM(E103/B103)</f>
        <v>0.12432872253864931</v>
      </c>
      <c r="W103" s="61">
        <f>SUM(F103/B103)</f>
        <v>0</v>
      </c>
      <c r="X103" s="61">
        <f>SUM(G103/B103)</f>
        <v>8.8039056143205854E-2</v>
      </c>
      <c r="Y103" s="61">
        <f>SUM(H103/B103)</f>
        <v>0</v>
      </c>
      <c r="Z103" s="61">
        <f>SUM(I103/B103)</f>
        <v>0</v>
      </c>
    </row>
    <row r="104" spans="1:26">
      <c r="A104" s="56" t="s">
        <v>1615</v>
      </c>
      <c r="B104" s="54">
        <f>SUM(C104:I104)</f>
        <v>4296</v>
      </c>
      <c r="C104" s="55">
        <v>2026</v>
      </c>
      <c r="D104" s="55">
        <v>804</v>
      </c>
      <c r="E104" s="55">
        <v>535</v>
      </c>
      <c r="F104" s="55">
        <v>171</v>
      </c>
      <c r="G104" s="55">
        <v>527</v>
      </c>
      <c r="H104" s="55">
        <v>158</v>
      </c>
      <c r="I104" s="55">
        <v>75</v>
      </c>
      <c r="J104" s="55"/>
      <c r="K104" s="54">
        <f>SUM(L104:R104)</f>
        <v>7</v>
      </c>
      <c r="L104" s="55">
        <v>4</v>
      </c>
      <c r="M104" s="55">
        <v>1</v>
      </c>
      <c r="N104" s="55">
        <v>1</v>
      </c>
      <c r="O104" s="55">
        <v>0</v>
      </c>
      <c r="P104" s="55">
        <v>1</v>
      </c>
      <c r="Q104" s="55">
        <v>0</v>
      </c>
      <c r="R104" s="55">
        <v>0</v>
      </c>
      <c r="T104" s="61">
        <f>SUM(C104/B104)</f>
        <v>0.47160148975791433</v>
      </c>
      <c r="U104" s="61">
        <f>SUM(D104/B104)</f>
        <v>0.18715083798882681</v>
      </c>
      <c r="V104" s="61">
        <f>SUM(E104/B104)</f>
        <v>0.12453445065176909</v>
      </c>
      <c r="W104" s="61">
        <f>SUM(F104/B104)</f>
        <v>3.9804469273743016E-2</v>
      </c>
      <c r="X104" s="61">
        <f>SUM(G104/B104)</f>
        <v>0.12267225325884544</v>
      </c>
      <c r="Y104" s="61">
        <f>SUM(H104/B104)</f>
        <v>3.6778398510242089E-2</v>
      </c>
      <c r="Z104" s="61">
        <f>SUM(I104/B104)</f>
        <v>1.7458100558659217E-2</v>
      </c>
    </row>
    <row r="105" spans="1:26">
      <c r="A105" s="56" t="s">
        <v>1616</v>
      </c>
      <c r="B105" s="54">
        <f>SUM(C105:I105)</f>
        <v>4603</v>
      </c>
      <c r="C105" s="55">
        <v>1656</v>
      </c>
      <c r="D105" s="55">
        <v>855</v>
      </c>
      <c r="E105" s="55">
        <v>1424</v>
      </c>
      <c r="F105" s="55">
        <v>668</v>
      </c>
      <c r="G105" s="55">
        <v>0</v>
      </c>
      <c r="H105" s="55">
        <v>0</v>
      </c>
      <c r="I105" s="55">
        <v>0</v>
      </c>
      <c r="K105" s="54">
        <f>SUM(L105:R105)</f>
        <v>5</v>
      </c>
      <c r="L105" s="55">
        <v>2</v>
      </c>
      <c r="M105" s="55">
        <v>1</v>
      </c>
      <c r="N105" s="55">
        <v>2</v>
      </c>
      <c r="O105" s="55">
        <v>0</v>
      </c>
      <c r="P105" s="55">
        <v>0</v>
      </c>
      <c r="Q105" s="55">
        <v>0</v>
      </c>
      <c r="R105" s="55">
        <v>0</v>
      </c>
      <c r="T105" s="61">
        <f>SUM(C105/B105)</f>
        <v>0.3597653704106018</v>
      </c>
      <c r="U105" s="61">
        <f>SUM(D105/B105)</f>
        <v>0.18574842494025637</v>
      </c>
      <c r="V105" s="61">
        <f>SUM(E105/B105)</f>
        <v>0.30936345861394743</v>
      </c>
      <c r="W105" s="61">
        <f>SUM(F105/B105)</f>
        <v>0.14512274603519443</v>
      </c>
      <c r="X105" s="61">
        <f>SUM(G105/B105)</f>
        <v>0</v>
      </c>
      <c r="Y105" s="61">
        <f>SUM(H105/B105)</f>
        <v>0</v>
      </c>
      <c r="Z105" s="61">
        <f>SUM(I105/B105)</f>
        <v>0</v>
      </c>
    </row>
    <row r="106" spans="1:26" s="52" customFormat="1">
      <c r="A106" s="53" t="s">
        <v>1618</v>
      </c>
      <c r="B106" s="54">
        <f>SUM(B103:B105)</f>
        <v>15044</v>
      </c>
      <c r="C106" s="54">
        <f t="shared" ref="C106:P106" si="34">SUM(C103:C105)</f>
        <v>6572</v>
      </c>
      <c r="D106" s="54">
        <f>SUM(D103:D105)</f>
        <v>3609</v>
      </c>
      <c r="E106" s="54">
        <f t="shared" si="34"/>
        <v>2723</v>
      </c>
      <c r="F106" s="54">
        <f t="shared" si="34"/>
        <v>839</v>
      </c>
      <c r="G106" s="54">
        <f t="shared" si="34"/>
        <v>1068</v>
      </c>
      <c r="H106" s="54">
        <f>SUM(H103:H105)</f>
        <v>158</v>
      </c>
      <c r="I106" s="54">
        <f>SUM(I103:I105)</f>
        <v>75</v>
      </c>
      <c r="J106" s="54"/>
      <c r="K106" s="54">
        <f t="shared" si="34"/>
        <v>19</v>
      </c>
      <c r="L106" s="54">
        <f t="shared" si="34"/>
        <v>10</v>
      </c>
      <c r="M106" s="54">
        <f t="shared" si="34"/>
        <v>4</v>
      </c>
      <c r="N106" s="54">
        <f t="shared" si="34"/>
        <v>4</v>
      </c>
      <c r="O106" s="54">
        <f t="shared" si="34"/>
        <v>0</v>
      </c>
      <c r="P106" s="54">
        <f t="shared" si="34"/>
        <v>1</v>
      </c>
      <c r="Q106" s="54">
        <f>SUM(Q103:Q105)</f>
        <v>0</v>
      </c>
      <c r="R106" s="54">
        <f>SUM(R103:R105)</f>
        <v>0</v>
      </c>
      <c r="T106" s="60">
        <f>SUM(C106/B106)</f>
        <v>0.43685190109013561</v>
      </c>
      <c r="U106" s="60">
        <f>SUM(D106/B106)</f>
        <v>0.2398963041744217</v>
      </c>
      <c r="V106" s="60">
        <f>SUM(E106/B106)</f>
        <v>0.18100239298059026</v>
      </c>
      <c r="W106" s="60">
        <f>SUM(F106/B106)</f>
        <v>5.5769742089869713E-2</v>
      </c>
      <c r="X106" s="60">
        <f>SUM(G106/B106)</f>
        <v>7.0991757511300185E-2</v>
      </c>
      <c r="Y106" s="60">
        <f>SUM(H106/B106)</f>
        <v>1.0502525923956394E-2</v>
      </c>
      <c r="Z106" s="60">
        <f>SUM(I106/B106)</f>
        <v>4.9853762297261362E-3</v>
      </c>
    </row>
    <row r="107" spans="1:26">
      <c r="A107" s="53"/>
      <c r="B107" s="54"/>
      <c r="C107" s="55"/>
      <c r="D107" s="55"/>
      <c r="E107" s="55"/>
      <c r="F107" s="55"/>
      <c r="G107" s="55"/>
      <c r="H107" s="55"/>
      <c r="I107" s="55"/>
      <c r="K107" s="54"/>
      <c r="L107" s="55"/>
      <c r="M107" s="55"/>
      <c r="N107" s="55"/>
      <c r="O107" s="55"/>
      <c r="P107" s="55"/>
      <c r="Q107" s="55"/>
      <c r="R107" s="55"/>
    </row>
    <row r="108" spans="1:26">
      <c r="A108" s="56" t="s">
        <v>2450</v>
      </c>
      <c r="B108" s="54">
        <f>SUM(C108:I108)</f>
        <v>5955</v>
      </c>
      <c r="C108" s="55">
        <v>1412</v>
      </c>
      <c r="D108" s="55">
        <v>1597</v>
      </c>
      <c r="E108" s="55">
        <v>1300</v>
      </c>
      <c r="F108" s="55">
        <v>0</v>
      </c>
      <c r="G108" s="55">
        <v>832</v>
      </c>
      <c r="H108" s="55">
        <v>0</v>
      </c>
      <c r="I108" s="55">
        <v>814</v>
      </c>
      <c r="K108" s="54">
        <f>SUM(L108:R108)</f>
        <v>7</v>
      </c>
      <c r="L108" s="55">
        <v>2</v>
      </c>
      <c r="M108" s="55">
        <v>2</v>
      </c>
      <c r="N108" s="55">
        <v>1</v>
      </c>
      <c r="O108" s="55">
        <v>0</v>
      </c>
      <c r="P108" s="55">
        <v>1</v>
      </c>
      <c r="Q108" s="55">
        <v>0</v>
      </c>
      <c r="R108" s="55">
        <v>1</v>
      </c>
      <c r="T108" s="61">
        <f>SUM(C108/B108)</f>
        <v>0.23711167086481949</v>
      </c>
      <c r="U108" s="61">
        <f>SUM(D108/B108)</f>
        <v>0.26817800167926115</v>
      </c>
      <c r="V108" s="61">
        <f>SUM(E108/B108)</f>
        <v>0.21830394626364399</v>
      </c>
      <c r="W108" s="61">
        <f>SUM(F108/B108)</f>
        <v>0</v>
      </c>
      <c r="X108" s="61">
        <f>SUM(G108/B108)</f>
        <v>0.13971452560873215</v>
      </c>
      <c r="Y108" s="61">
        <f>SUM(H108/B108)</f>
        <v>0</v>
      </c>
      <c r="Z108" s="61">
        <f>SUM(I108/B108)</f>
        <v>0.13669185558354324</v>
      </c>
    </row>
    <row r="109" spans="1:26">
      <c r="A109" s="56" t="s">
        <v>2451</v>
      </c>
      <c r="B109" s="54">
        <f>SUM(C109:I109)</f>
        <v>5095</v>
      </c>
      <c r="C109" s="55">
        <v>2124</v>
      </c>
      <c r="D109" s="55">
        <v>2084</v>
      </c>
      <c r="E109" s="55">
        <v>0</v>
      </c>
      <c r="F109" s="55">
        <v>0</v>
      </c>
      <c r="G109" s="55">
        <v>0</v>
      </c>
      <c r="H109" s="55">
        <v>0</v>
      </c>
      <c r="I109" s="55">
        <v>887</v>
      </c>
      <c r="K109" s="54">
        <f>SUM(L109:R109)</f>
        <v>5</v>
      </c>
      <c r="L109" s="55">
        <v>2</v>
      </c>
      <c r="M109" s="55">
        <v>2</v>
      </c>
      <c r="N109" s="55">
        <v>0</v>
      </c>
      <c r="O109" s="55">
        <v>0</v>
      </c>
      <c r="P109" s="55">
        <v>0</v>
      </c>
      <c r="Q109" s="55">
        <v>0</v>
      </c>
      <c r="R109" s="55">
        <v>1</v>
      </c>
      <c r="T109" s="61">
        <f>SUM(C109/B109)</f>
        <v>0.41687929342492641</v>
      </c>
      <c r="U109" s="61">
        <f>SUM(D109/B109)</f>
        <v>0.40902845927379783</v>
      </c>
      <c r="V109" s="61">
        <f>SUM(E109/B109)</f>
        <v>0</v>
      </c>
      <c r="W109" s="61">
        <f>SUM(F109/B109)</f>
        <v>0</v>
      </c>
      <c r="X109" s="61">
        <f>SUM(G109/B109)</f>
        <v>0</v>
      </c>
      <c r="Y109" s="61">
        <f>SUM(H109/B109)</f>
        <v>0</v>
      </c>
      <c r="Z109" s="61">
        <f>SUM(I109/B109)</f>
        <v>0.17409224730127576</v>
      </c>
    </row>
    <row r="110" spans="1:26">
      <c r="A110" s="56" t="s">
        <v>2452</v>
      </c>
      <c r="B110" s="54">
        <f>SUM(C110:I110)</f>
        <v>4537</v>
      </c>
      <c r="C110" s="55">
        <v>1658</v>
      </c>
      <c r="D110" s="55">
        <v>2660</v>
      </c>
      <c r="E110" s="55">
        <v>0</v>
      </c>
      <c r="F110" s="55">
        <v>0</v>
      </c>
      <c r="G110" s="55">
        <v>0</v>
      </c>
      <c r="H110" s="55">
        <v>0</v>
      </c>
      <c r="I110" s="55">
        <v>219</v>
      </c>
      <c r="K110" s="54">
        <f>SUM(L110:R110)</f>
        <v>6</v>
      </c>
      <c r="L110" s="55">
        <v>2</v>
      </c>
      <c r="M110" s="55">
        <v>4</v>
      </c>
      <c r="N110" s="55">
        <v>0</v>
      </c>
      <c r="O110" s="55">
        <v>0</v>
      </c>
      <c r="P110" s="55">
        <v>0</v>
      </c>
      <c r="Q110" s="55">
        <v>0</v>
      </c>
      <c r="R110" s="55">
        <v>0</v>
      </c>
      <c r="T110" s="61">
        <f>SUM(C110/B110)</f>
        <v>0.36543971787524798</v>
      </c>
      <c r="U110" s="61">
        <f>SUM(D110/B110)</f>
        <v>0.58629050033061492</v>
      </c>
      <c r="V110" s="61">
        <f>SUM(E110/B110)</f>
        <v>0</v>
      </c>
      <c r="W110" s="61">
        <f>SUM(F110/B110)</f>
        <v>0</v>
      </c>
      <c r="X110" s="61">
        <f>SUM(G110/B110)</f>
        <v>0</v>
      </c>
      <c r="Y110" s="61">
        <f>SUM(H110/B110)</f>
        <v>0</v>
      </c>
      <c r="Z110" s="61">
        <f>SUM(I110/B110)</f>
        <v>4.8269781794137094E-2</v>
      </c>
    </row>
    <row r="111" spans="1:26">
      <c r="A111" s="56" t="s">
        <v>2453</v>
      </c>
      <c r="B111" s="54">
        <f>SUM(C111:I111)</f>
        <v>5465</v>
      </c>
      <c r="C111" s="55">
        <v>1297</v>
      </c>
      <c r="D111" s="55">
        <v>3094</v>
      </c>
      <c r="E111" s="55">
        <v>626</v>
      </c>
      <c r="F111" s="55">
        <v>0</v>
      </c>
      <c r="G111" s="55">
        <v>448</v>
      </c>
      <c r="H111" s="55">
        <v>0</v>
      </c>
      <c r="I111" s="55">
        <v>0</v>
      </c>
      <c r="K111" s="54">
        <f>SUM(L111:R111)</f>
        <v>5</v>
      </c>
      <c r="L111" s="55">
        <v>1</v>
      </c>
      <c r="M111" s="55">
        <v>4</v>
      </c>
      <c r="N111" s="55">
        <v>0</v>
      </c>
      <c r="O111" s="55">
        <v>0</v>
      </c>
      <c r="P111" s="55">
        <v>0</v>
      </c>
      <c r="Q111" s="55">
        <v>0</v>
      </c>
      <c r="R111" s="55">
        <v>0</v>
      </c>
      <c r="T111" s="61">
        <f>SUM(C111/B111)</f>
        <v>0.2373284537968893</v>
      </c>
      <c r="U111" s="61">
        <f>SUM(D111/B111)</f>
        <v>0.56614821591948761</v>
      </c>
      <c r="V111" s="61">
        <f>SUM(E111/B111)</f>
        <v>0.11454711802378774</v>
      </c>
      <c r="W111" s="61">
        <f>SUM(F111/B111)</f>
        <v>0</v>
      </c>
      <c r="X111" s="61">
        <f>SUM(G111/B111)</f>
        <v>8.1976212259835313E-2</v>
      </c>
      <c r="Y111" s="61">
        <f>SUM(H111/B111)</f>
        <v>0</v>
      </c>
      <c r="Z111" s="61">
        <f>SUM(I111/B111)</f>
        <v>0</v>
      </c>
    </row>
    <row r="112" spans="1:26" s="52" customFormat="1">
      <c r="A112" s="53" t="s">
        <v>1623</v>
      </c>
      <c r="B112" s="54">
        <f>SUM(B108:B111)</f>
        <v>21052</v>
      </c>
      <c r="C112" s="54">
        <f t="shared" ref="C112:P112" si="35">SUM(C108:C111)</f>
        <v>6491</v>
      </c>
      <c r="D112" s="54">
        <f>SUM(D108:D111)</f>
        <v>9435</v>
      </c>
      <c r="E112" s="54">
        <f t="shared" si="35"/>
        <v>1926</v>
      </c>
      <c r="F112" s="54">
        <f t="shared" si="35"/>
        <v>0</v>
      </c>
      <c r="G112" s="54">
        <f t="shared" si="35"/>
        <v>1280</v>
      </c>
      <c r="H112" s="54">
        <f>SUM(H108:H111)</f>
        <v>0</v>
      </c>
      <c r="I112" s="54">
        <f>SUM(I108:I111)</f>
        <v>1920</v>
      </c>
      <c r="J112" s="54"/>
      <c r="K112" s="54">
        <f t="shared" si="35"/>
        <v>23</v>
      </c>
      <c r="L112" s="54">
        <f t="shared" si="35"/>
        <v>7</v>
      </c>
      <c r="M112" s="54">
        <f t="shared" si="35"/>
        <v>12</v>
      </c>
      <c r="N112" s="54">
        <f t="shared" si="35"/>
        <v>1</v>
      </c>
      <c r="O112" s="54">
        <f t="shared" si="35"/>
        <v>0</v>
      </c>
      <c r="P112" s="54">
        <f t="shared" si="35"/>
        <v>1</v>
      </c>
      <c r="Q112" s="54">
        <f>SUM(Q108:Q111)</f>
        <v>0</v>
      </c>
      <c r="R112" s="54">
        <f>SUM(R108:R111)</f>
        <v>2</v>
      </c>
      <c r="T112" s="60">
        <f>SUM(C112/B112)</f>
        <v>0.30833174995249857</v>
      </c>
      <c r="U112" s="60">
        <f>SUM(D112/B112)</f>
        <v>0.44817594527835836</v>
      </c>
      <c r="V112" s="60">
        <f>SUM(E112/B112)</f>
        <v>9.1487744632338969E-2</v>
      </c>
      <c r="W112" s="60">
        <f>SUM(F112/B112)</f>
        <v>0</v>
      </c>
      <c r="X112" s="60">
        <f>SUM(G112/B112)</f>
        <v>6.0801824054721641E-2</v>
      </c>
      <c r="Y112" s="60">
        <f>SUM(H112/B112)</f>
        <v>0</v>
      </c>
      <c r="Z112" s="60">
        <f>SUM(I112/B112)</f>
        <v>9.1202736082082458E-2</v>
      </c>
    </row>
    <row r="113" spans="1:26">
      <c r="A113" s="53"/>
      <c r="B113" s="54"/>
      <c r="C113" s="55"/>
      <c r="D113" s="55"/>
      <c r="E113" s="55"/>
      <c r="F113" s="55"/>
      <c r="G113" s="55"/>
      <c r="H113" s="55"/>
      <c r="I113" s="55"/>
      <c r="K113" s="54"/>
      <c r="L113" s="55"/>
      <c r="M113" s="55"/>
      <c r="N113" s="55"/>
      <c r="O113" s="55"/>
      <c r="P113" s="55"/>
      <c r="Q113" s="55"/>
      <c r="R113" s="55"/>
    </row>
    <row r="114" spans="1:26">
      <c r="A114" s="56" t="s">
        <v>1624</v>
      </c>
      <c r="B114" s="54">
        <f>SUM(C114:I114)</f>
        <v>3725</v>
      </c>
      <c r="C114" s="55">
        <v>1146</v>
      </c>
      <c r="D114" s="55">
        <v>1334</v>
      </c>
      <c r="E114" s="55">
        <v>880</v>
      </c>
      <c r="F114" s="55">
        <v>365</v>
      </c>
      <c r="G114" s="55">
        <v>0</v>
      </c>
      <c r="H114" s="55">
        <v>0</v>
      </c>
      <c r="I114" s="55">
        <v>0</v>
      </c>
      <c r="K114" s="54">
        <f>SUM(L114:R114)</f>
        <v>6</v>
      </c>
      <c r="L114" s="55">
        <v>2</v>
      </c>
      <c r="M114" s="55">
        <v>2</v>
      </c>
      <c r="N114" s="55">
        <v>2</v>
      </c>
      <c r="O114" s="55">
        <v>0</v>
      </c>
      <c r="P114" s="55">
        <v>0</v>
      </c>
      <c r="Q114" s="55">
        <v>0</v>
      </c>
      <c r="R114" s="55">
        <v>0</v>
      </c>
      <c r="T114" s="61">
        <f>SUM(C114/B114)</f>
        <v>0.30765100671140938</v>
      </c>
      <c r="U114" s="61">
        <f>SUM(D114/B114)</f>
        <v>0.35812080536912749</v>
      </c>
      <c r="V114" s="61">
        <f>SUM(E114/B114)</f>
        <v>0.23624161073825503</v>
      </c>
      <c r="W114" s="61">
        <f>SUM(F114/B114)</f>
        <v>9.7986577181208054E-2</v>
      </c>
      <c r="X114" s="61">
        <f>SUM(G114/B114)</f>
        <v>0</v>
      </c>
      <c r="Y114" s="61">
        <f>SUM(H114/B114)</f>
        <v>0</v>
      </c>
      <c r="Z114" s="61">
        <f>SUM(I114/B114)</f>
        <v>0</v>
      </c>
    </row>
    <row r="115" spans="1:26">
      <c r="A115" s="56" t="s">
        <v>1625</v>
      </c>
      <c r="B115" s="54">
        <f>SUM(C115:I115)</f>
        <v>0</v>
      </c>
      <c r="C115" s="55">
        <v>0</v>
      </c>
      <c r="D115" s="55">
        <v>0</v>
      </c>
      <c r="E115" s="55">
        <v>0</v>
      </c>
      <c r="F115" s="55">
        <v>0</v>
      </c>
      <c r="G115" s="55">
        <v>0</v>
      </c>
      <c r="H115" s="55">
        <v>0</v>
      </c>
      <c r="I115" s="55">
        <v>0</v>
      </c>
      <c r="K115" s="54">
        <f>SUM(L115:R115)</f>
        <v>5</v>
      </c>
      <c r="L115" s="55">
        <v>2</v>
      </c>
      <c r="M115" s="55">
        <v>2</v>
      </c>
      <c r="N115" s="55">
        <v>0</v>
      </c>
      <c r="O115" s="55">
        <v>0</v>
      </c>
      <c r="P115" s="55">
        <v>0</v>
      </c>
      <c r="Q115" s="55">
        <v>0</v>
      </c>
      <c r="R115" s="55">
        <v>1</v>
      </c>
      <c r="T115" s="61" t="e">
        <f>SUM(C115/B115)</f>
        <v>#DIV/0!</v>
      </c>
      <c r="U115" s="61" t="e">
        <f>SUM(D115/B115)</f>
        <v>#DIV/0!</v>
      </c>
      <c r="V115" s="61" t="e">
        <f>SUM(E115/B115)</f>
        <v>#DIV/0!</v>
      </c>
      <c r="W115" s="61" t="e">
        <f>SUM(F115/B115)</f>
        <v>#DIV/0!</v>
      </c>
      <c r="X115" s="61" t="e">
        <f>SUM(G115/B115)</f>
        <v>#DIV/0!</v>
      </c>
      <c r="Y115" s="61" t="e">
        <f>SUM(H115/B115)</f>
        <v>#DIV/0!</v>
      </c>
      <c r="Z115" s="61" t="e">
        <f>SUM(I115/B115)</f>
        <v>#DIV/0!</v>
      </c>
    </row>
    <row r="116" spans="1:26">
      <c r="A116" s="56" t="s">
        <v>1626</v>
      </c>
      <c r="B116" s="54">
        <f>SUM(C116:I116)</f>
        <v>2715</v>
      </c>
      <c r="C116" s="55">
        <v>1108</v>
      </c>
      <c r="D116" s="55">
        <v>851</v>
      </c>
      <c r="E116" s="55">
        <v>521</v>
      </c>
      <c r="F116" s="55">
        <v>235</v>
      </c>
      <c r="G116" s="55">
        <v>0</v>
      </c>
      <c r="H116" s="55">
        <v>0</v>
      </c>
      <c r="I116" s="55">
        <v>0</v>
      </c>
      <c r="K116" s="54">
        <f>SUM(L116:R116)</f>
        <v>5</v>
      </c>
      <c r="L116" s="55">
        <v>2</v>
      </c>
      <c r="M116" s="55">
        <v>2</v>
      </c>
      <c r="N116" s="55">
        <v>1</v>
      </c>
      <c r="O116" s="55">
        <v>0</v>
      </c>
      <c r="P116" s="55">
        <v>0</v>
      </c>
      <c r="Q116" s="55">
        <v>0</v>
      </c>
      <c r="R116" s="55">
        <v>0</v>
      </c>
      <c r="T116" s="61">
        <f>SUM(C116/B116)</f>
        <v>0.40810313075506444</v>
      </c>
      <c r="U116" s="61">
        <f>SUM(D116/B116)</f>
        <v>0.31344383057090242</v>
      </c>
      <c r="V116" s="61">
        <f>SUM(E116/B116)</f>
        <v>0.19189686924493554</v>
      </c>
      <c r="W116" s="61">
        <f>SUM(F116/B116)</f>
        <v>8.6556169429097607E-2</v>
      </c>
      <c r="X116" s="61">
        <f>SUM(G116/B116)</f>
        <v>0</v>
      </c>
      <c r="Y116" s="61">
        <f>SUM(H116/B116)</f>
        <v>0</v>
      </c>
      <c r="Z116" s="61">
        <f>SUM(I116/B116)</f>
        <v>0</v>
      </c>
    </row>
    <row r="117" spans="1:26" s="52" customFormat="1">
      <c r="A117" s="53" t="s">
        <v>1627</v>
      </c>
      <c r="B117" s="54">
        <f>SUM(B114:B116)</f>
        <v>6440</v>
      </c>
      <c r="C117" s="54">
        <f t="shared" ref="C117:P117" si="36">SUM(C114:C116)</f>
        <v>2254</v>
      </c>
      <c r="D117" s="54">
        <f>SUM(D114:D116)</f>
        <v>2185</v>
      </c>
      <c r="E117" s="54">
        <f t="shared" si="36"/>
        <v>1401</v>
      </c>
      <c r="F117" s="54">
        <f t="shared" si="36"/>
        <v>600</v>
      </c>
      <c r="G117" s="54">
        <f t="shared" si="36"/>
        <v>0</v>
      </c>
      <c r="H117" s="54">
        <f>SUM(H114:H116)</f>
        <v>0</v>
      </c>
      <c r="I117" s="54">
        <f>SUM(I114:I116)</f>
        <v>0</v>
      </c>
      <c r="J117" s="54"/>
      <c r="K117" s="54">
        <f t="shared" si="36"/>
        <v>16</v>
      </c>
      <c r="L117" s="54">
        <f t="shared" si="36"/>
        <v>6</v>
      </c>
      <c r="M117" s="54">
        <f t="shared" si="36"/>
        <v>6</v>
      </c>
      <c r="N117" s="54">
        <f t="shared" si="36"/>
        <v>3</v>
      </c>
      <c r="O117" s="54">
        <f t="shared" si="36"/>
        <v>0</v>
      </c>
      <c r="P117" s="54">
        <f t="shared" si="36"/>
        <v>0</v>
      </c>
      <c r="Q117" s="54">
        <f>SUM(Q114:Q116)</f>
        <v>0</v>
      </c>
      <c r="R117" s="54">
        <f>SUM(R114:R116)</f>
        <v>1</v>
      </c>
      <c r="T117" s="60">
        <f>SUM(C117/B117)</f>
        <v>0.35</v>
      </c>
      <c r="U117" s="60">
        <f>SUM(D117/B117)</f>
        <v>0.3392857142857143</v>
      </c>
      <c r="V117" s="60">
        <f>SUM(E117/B117)</f>
        <v>0.21754658385093167</v>
      </c>
      <c r="W117" s="60">
        <f>SUM(F117/B117)</f>
        <v>9.3167701863354033E-2</v>
      </c>
      <c r="X117" s="60">
        <f>SUM(G117/B117)</f>
        <v>0</v>
      </c>
      <c r="Y117" s="60">
        <f>SUM(H117/B117)</f>
        <v>0</v>
      </c>
      <c r="Z117" s="60">
        <f>SUM(I117/B117)</f>
        <v>0</v>
      </c>
    </row>
    <row r="118" spans="1:26">
      <c r="A118" s="53"/>
      <c r="B118" s="54"/>
      <c r="C118" s="55"/>
      <c r="D118" s="55"/>
      <c r="E118" s="55"/>
      <c r="F118" s="55"/>
      <c r="G118" s="55"/>
      <c r="H118" s="55"/>
      <c r="I118" s="55"/>
      <c r="K118" s="54"/>
      <c r="L118" s="55"/>
      <c r="M118" s="55"/>
      <c r="N118" s="55"/>
      <c r="O118" s="55"/>
      <c r="P118" s="55"/>
      <c r="Q118" s="55"/>
      <c r="R118" s="55"/>
    </row>
    <row r="119" spans="1:26">
      <c r="A119" s="56" t="s">
        <v>1628</v>
      </c>
      <c r="B119" s="54">
        <f>SUM(C119:I119)</f>
        <v>1876</v>
      </c>
      <c r="C119" s="55">
        <v>218</v>
      </c>
      <c r="D119" s="55">
        <v>385</v>
      </c>
      <c r="E119" s="55">
        <v>472</v>
      </c>
      <c r="F119" s="55">
        <v>0</v>
      </c>
      <c r="G119" s="55">
        <v>0</v>
      </c>
      <c r="H119" s="55">
        <v>0</v>
      </c>
      <c r="I119" s="55">
        <v>801</v>
      </c>
      <c r="J119" s="55"/>
      <c r="K119" s="54">
        <f>SUM(L119:R119)</f>
        <v>5</v>
      </c>
      <c r="L119" s="55">
        <v>1</v>
      </c>
      <c r="M119" s="55">
        <v>1</v>
      </c>
      <c r="N119" s="55">
        <v>1</v>
      </c>
      <c r="O119" s="55">
        <v>0</v>
      </c>
      <c r="P119" s="55">
        <v>0</v>
      </c>
      <c r="Q119" s="55">
        <v>0</v>
      </c>
      <c r="R119" s="55">
        <v>2</v>
      </c>
      <c r="T119" s="61">
        <f>SUM(C119/B119)</f>
        <v>0.1162046908315565</v>
      </c>
      <c r="U119" s="61">
        <f>SUM(D119/B119)</f>
        <v>0.20522388059701493</v>
      </c>
      <c r="V119" s="61">
        <f>SUM(E119/B119)</f>
        <v>0.25159914712153519</v>
      </c>
      <c r="W119" s="61">
        <f>SUM(F119/B119)</f>
        <v>0</v>
      </c>
      <c r="X119" s="61">
        <f>SUM(G119/B119)</f>
        <v>0</v>
      </c>
      <c r="Y119" s="61">
        <f>SUM(H119/B119)</f>
        <v>0</v>
      </c>
      <c r="Z119" s="61">
        <f>SUM(I119/B119)</f>
        <v>0.42697228144989341</v>
      </c>
    </row>
    <row r="120" spans="1:26">
      <c r="A120" s="56" t="s">
        <v>1629</v>
      </c>
      <c r="B120" s="54">
        <f>SUM(C120:I120)</f>
        <v>1730</v>
      </c>
      <c r="C120" s="55">
        <v>304</v>
      </c>
      <c r="D120" s="55">
        <v>507</v>
      </c>
      <c r="E120" s="55">
        <v>0</v>
      </c>
      <c r="F120" s="55">
        <v>0</v>
      </c>
      <c r="G120" s="55">
        <v>0</v>
      </c>
      <c r="H120" s="55">
        <v>0</v>
      </c>
      <c r="I120" s="55">
        <v>919</v>
      </c>
      <c r="K120" s="54">
        <f>SUM(L120:R120)</f>
        <v>5</v>
      </c>
      <c r="L120" s="55">
        <v>1</v>
      </c>
      <c r="M120" s="55">
        <v>2</v>
      </c>
      <c r="N120" s="55">
        <v>0</v>
      </c>
      <c r="O120" s="55">
        <v>0</v>
      </c>
      <c r="P120" s="55">
        <v>0</v>
      </c>
      <c r="Q120" s="55">
        <v>0</v>
      </c>
      <c r="R120" s="55">
        <v>2</v>
      </c>
      <c r="T120" s="61">
        <f>SUM(C120/B120)</f>
        <v>0.17572254335260115</v>
      </c>
      <c r="U120" s="61">
        <f>SUM(D120/B120)</f>
        <v>0.29306358381502889</v>
      </c>
      <c r="V120" s="61">
        <f>SUM(E120/B120)</f>
        <v>0</v>
      </c>
      <c r="W120" s="61">
        <f>SUM(F120/B120)</f>
        <v>0</v>
      </c>
      <c r="X120" s="61">
        <f>SUM(G120/B120)</f>
        <v>0</v>
      </c>
      <c r="Y120" s="61">
        <f>SUM(H120/B120)</f>
        <v>0</v>
      </c>
      <c r="Z120" s="61">
        <f>SUM(I120/B120)</f>
        <v>0.53121387283236998</v>
      </c>
    </row>
    <row r="121" spans="1:26">
      <c r="A121" s="56" t="s">
        <v>1630</v>
      </c>
      <c r="B121" s="54">
        <f>SUM(C121:I121)</f>
        <v>2331</v>
      </c>
      <c r="C121" s="55">
        <v>0</v>
      </c>
      <c r="D121" s="55">
        <v>251</v>
      </c>
      <c r="E121" s="55">
        <v>1284</v>
      </c>
      <c r="F121" s="55">
        <v>331</v>
      </c>
      <c r="G121" s="55">
        <v>0</v>
      </c>
      <c r="H121" s="55">
        <v>0</v>
      </c>
      <c r="I121" s="55">
        <v>465</v>
      </c>
      <c r="K121" s="54">
        <f>SUM(L121:R121)</f>
        <v>5</v>
      </c>
      <c r="L121" s="55">
        <v>0</v>
      </c>
      <c r="M121" s="55">
        <v>0</v>
      </c>
      <c r="N121" s="55">
        <v>3</v>
      </c>
      <c r="O121" s="55">
        <v>1</v>
      </c>
      <c r="P121" s="55">
        <v>0</v>
      </c>
      <c r="Q121" s="55">
        <v>0</v>
      </c>
      <c r="R121" s="55">
        <v>1</v>
      </c>
      <c r="T121" s="61">
        <f>SUM(C121/B121)</f>
        <v>0</v>
      </c>
      <c r="U121" s="61">
        <f>SUM(D121/B121)</f>
        <v>0.10767910767910768</v>
      </c>
      <c r="V121" s="61">
        <f>SUM(E121/B121)</f>
        <v>0.55083655083655081</v>
      </c>
      <c r="W121" s="61">
        <f>SUM(F121/B121)</f>
        <v>0.14199914199914199</v>
      </c>
      <c r="X121" s="61">
        <f>SUM(G121/B121)</f>
        <v>0</v>
      </c>
      <c r="Y121" s="61">
        <f>SUM(H121/B121)</f>
        <v>0</v>
      </c>
      <c r="Z121" s="61">
        <f>SUM(I121/B121)</f>
        <v>0.19948519948519949</v>
      </c>
    </row>
    <row r="122" spans="1:26" s="52" customFormat="1">
      <c r="A122" s="53" t="s">
        <v>1631</v>
      </c>
      <c r="B122" s="54">
        <f>SUM(B119:B121)</f>
        <v>5937</v>
      </c>
      <c r="C122" s="54">
        <f t="shared" ref="C122:P122" si="37">SUM(C119:C121)</f>
        <v>522</v>
      </c>
      <c r="D122" s="54">
        <f>SUM(D119:D121)</f>
        <v>1143</v>
      </c>
      <c r="E122" s="54">
        <f t="shared" si="37"/>
        <v>1756</v>
      </c>
      <c r="F122" s="54">
        <f t="shared" si="37"/>
        <v>331</v>
      </c>
      <c r="G122" s="54">
        <f t="shared" si="37"/>
        <v>0</v>
      </c>
      <c r="H122" s="54">
        <f>SUM(H119:H121)</f>
        <v>0</v>
      </c>
      <c r="I122" s="54">
        <f>SUM(I119:I121)</f>
        <v>2185</v>
      </c>
      <c r="J122" s="54"/>
      <c r="K122" s="54">
        <f t="shared" si="37"/>
        <v>15</v>
      </c>
      <c r="L122" s="54">
        <f t="shared" si="37"/>
        <v>2</v>
      </c>
      <c r="M122" s="54">
        <f t="shared" si="37"/>
        <v>3</v>
      </c>
      <c r="N122" s="54">
        <f t="shared" si="37"/>
        <v>4</v>
      </c>
      <c r="O122" s="54">
        <f t="shared" si="37"/>
        <v>1</v>
      </c>
      <c r="P122" s="54">
        <f t="shared" si="37"/>
        <v>0</v>
      </c>
      <c r="Q122" s="54">
        <f>SUM(Q119:Q121)</f>
        <v>0</v>
      </c>
      <c r="R122" s="54">
        <f>SUM(R119:R121)</f>
        <v>5</v>
      </c>
      <c r="T122" s="60">
        <f>SUM(C122/B122)</f>
        <v>8.7923193532086913E-2</v>
      </c>
      <c r="U122" s="60">
        <f>SUM(D122/B122)</f>
        <v>0.19252147549267307</v>
      </c>
      <c r="V122" s="60">
        <f>SUM(E122/B122)</f>
        <v>0.29577227556004715</v>
      </c>
      <c r="W122" s="60">
        <f>SUM(F122/B122)</f>
        <v>5.5752063331648984E-2</v>
      </c>
      <c r="X122" s="60">
        <f>SUM(G122/B122)</f>
        <v>0</v>
      </c>
      <c r="Y122" s="60">
        <f>SUM(H122/B122)</f>
        <v>0</v>
      </c>
      <c r="Z122" s="60">
        <f>SUM(I122/B122)</f>
        <v>0.3680309920835439</v>
      </c>
    </row>
    <row r="123" spans="1:26">
      <c r="A123" s="53"/>
      <c r="B123" s="54"/>
      <c r="C123" s="55"/>
      <c r="D123" s="55"/>
      <c r="E123" s="55"/>
      <c r="F123" s="55"/>
      <c r="G123" s="55"/>
      <c r="H123" s="55"/>
      <c r="I123" s="55"/>
      <c r="K123" s="54"/>
      <c r="L123" s="55"/>
      <c r="M123" s="55"/>
      <c r="N123" s="55"/>
      <c r="O123" s="55"/>
      <c r="P123" s="55"/>
      <c r="Q123" s="55"/>
      <c r="R123" s="55"/>
    </row>
    <row r="124" spans="1:26">
      <c r="A124" s="56" t="s">
        <v>1632</v>
      </c>
      <c r="B124" s="54">
        <f>SUM(C124:I124)</f>
        <v>3351</v>
      </c>
      <c r="C124" s="55">
        <v>1206</v>
      </c>
      <c r="D124" s="55">
        <v>1006</v>
      </c>
      <c r="E124" s="55">
        <v>0</v>
      </c>
      <c r="F124" s="55">
        <v>0</v>
      </c>
      <c r="G124" s="55">
        <v>439</v>
      </c>
      <c r="H124" s="55">
        <v>0</v>
      </c>
      <c r="I124" s="55">
        <v>700</v>
      </c>
      <c r="K124" s="54">
        <f>SUM(L124:R124)</f>
        <v>5</v>
      </c>
      <c r="L124" s="55">
        <v>2</v>
      </c>
      <c r="M124" s="55">
        <v>1</v>
      </c>
      <c r="N124" s="55">
        <v>0</v>
      </c>
      <c r="O124" s="55">
        <v>0</v>
      </c>
      <c r="P124" s="55">
        <v>1</v>
      </c>
      <c r="Q124" s="55">
        <v>0</v>
      </c>
      <c r="R124" s="55">
        <v>1</v>
      </c>
      <c r="T124" s="61">
        <f>SUM(C124/B124)</f>
        <v>0.35989256938227393</v>
      </c>
      <c r="U124" s="61">
        <f>SUM(D124/B124)</f>
        <v>0.30020889286780067</v>
      </c>
      <c r="V124" s="61">
        <f>SUM(E124/B124)</f>
        <v>0</v>
      </c>
      <c r="W124" s="61">
        <f>SUM(F124/B124)</f>
        <v>0</v>
      </c>
      <c r="X124" s="61">
        <f>SUM(G124/B124)</f>
        <v>0.13100566994926888</v>
      </c>
      <c r="Y124" s="61">
        <f>SUM(H124/B124)</f>
        <v>0</v>
      </c>
      <c r="Z124" s="61">
        <f>SUM(I124/B124)</f>
        <v>0.20889286780065652</v>
      </c>
    </row>
    <row r="125" spans="1:26">
      <c r="A125" s="56" t="s">
        <v>1633</v>
      </c>
      <c r="B125" s="54">
        <f>SUM(C125:I125)</f>
        <v>3562</v>
      </c>
      <c r="C125" s="55">
        <v>2175</v>
      </c>
      <c r="D125" s="55">
        <v>976</v>
      </c>
      <c r="E125" s="55">
        <v>0</v>
      </c>
      <c r="F125" s="55">
        <v>0</v>
      </c>
      <c r="G125" s="55">
        <v>411</v>
      </c>
      <c r="H125" s="55">
        <v>0</v>
      </c>
      <c r="I125" s="55">
        <v>0</v>
      </c>
      <c r="K125" s="54">
        <f>SUM(L125:R125)</f>
        <v>5</v>
      </c>
      <c r="L125" s="55">
        <v>3</v>
      </c>
      <c r="M125" s="55">
        <v>2</v>
      </c>
      <c r="N125" s="55">
        <v>0</v>
      </c>
      <c r="O125" s="55">
        <v>0</v>
      </c>
      <c r="P125" s="55">
        <v>0</v>
      </c>
      <c r="Q125" s="55">
        <v>0</v>
      </c>
      <c r="R125" s="55">
        <v>0</v>
      </c>
      <c r="T125" s="61">
        <f>SUM(C125/B125)</f>
        <v>0.61061201572150481</v>
      </c>
      <c r="U125" s="61">
        <f>SUM(D125/B125)</f>
        <v>0.27400336889387983</v>
      </c>
      <c r="V125" s="61">
        <f>SUM(E125/B125)</f>
        <v>0</v>
      </c>
      <c r="W125" s="61">
        <f>SUM(F125/B125)</f>
        <v>0</v>
      </c>
      <c r="X125" s="61">
        <f>SUM(G125/B125)</f>
        <v>0.11538461538461539</v>
      </c>
      <c r="Y125" s="61">
        <f>SUM(H125/B125)</f>
        <v>0</v>
      </c>
      <c r="Z125" s="61">
        <f>SUM(I125/B125)</f>
        <v>0</v>
      </c>
    </row>
    <row r="126" spans="1:26">
      <c r="A126" s="56" t="s">
        <v>1634</v>
      </c>
      <c r="B126" s="54">
        <f>SUM(C126:I126)</f>
        <v>3619</v>
      </c>
      <c r="C126" s="55">
        <v>1121</v>
      </c>
      <c r="D126" s="55">
        <v>1064</v>
      </c>
      <c r="E126" s="55">
        <v>0</v>
      </c>
      <c r="F126" s="55">
        <v>0</v>
      </c>
      <c r="G126" s="55">
        <v>364</v>
      </c>
      <c r="H126" s="55">
        <v>0</v>
      </c>
      <c r="I126" s="55">
        <v>1070</v>
      </c>
      <c r="K126" s="54">
        <f>SUM(L126:R126)</f>
        <v>5</v>
      </c>
      <c r="L126" s="55">
        <v>2</v>
      </c>
      <c r="M126" s="55">
        <v>1</v>
      </c>
      <c r="N126" s="55">
        <v>0</v>
      </c>
      <c r="O126" s="55">
        <v>0</v>
      </c>
      <c r="P126" s="55">
        <v>1</v>
      </c>
      <c r="Q126" s="55">
        <v>0</v>
      </c>
      <c r="R126" s="55">
        <v>1</v>
      </c>
      <c r="T126" s="61">
        <f>SUM(C126/B126)</f>
        <v>0.30975407571152253</v>
      </c>
      <c r="U126" s="61">
        <f>SUM(D126/B126)</f>
        <v>0.29400386847195359</v>
      </c>
      <c r="V126" s="61">
        <f>SUM(E126/B126)</f>
        <v>0</v>
      </c>
      <c r="W126" s="61">
        <f>SUM(F126/B126)</f>
        <v>0</v>
      </c>
      <c r="X126" s="61">
        <f>SUM(G126/B126)</f>
        <v>0.10058027079303675</v>
      </c>
      <c r="Y126" s="61">
        <f>SUM(H126/B126)</f>
        <v>0</v>
      </c>
      <c r="Z126" s="61">
        <f>SUM(I126/B126)</f>
        <v>0.29566178502348717</v>
      </c>
    </row>
    <row r="127" spans="1:26" s="52" customFormat="1">
      <c r="A127" s="53" t="s">
        <v>1635</v>
      </c>
      <c r="B127" s="54">
        <f>SUM(B124:B126)</f>
        <v>10532</v>
      </c>
      <c r="C127" s="54">
        <f t="shared" ref="C127:P127" si="38">SUM(C124:C126)</f>
        <v>4502</v>
      </c>
      <c r="D127" s="54">
        <f>SUM(D124:D126)</f>
        <v>3046</v>
      </c>
      <c r="E127" s="54">
        <f t="shared" si="38"/>
        <v>0</v>
      </c>
      <c r="F127" s="54">
        <f t="shared" si="38"/>
        <v>0</v>
      </c>
      <c r="G127" s="54">
        <f t="shared" si="38"/>
        <v>1214</v>
      </c>
      <c r="H127" s="54">
        <f>SUM(H124:H126)</f>
        <v>0</v>
      </c>
      <c r="I127" s="54">
        <f>SUM(I124:I126)</f>
        <v>1770</v>
      </c>
      <c r="J127" s="54"/>
      <c r="K127" s="54">
        <f t="shared" si="38"/>
        <v>15</v>
      </c>
      <c r="L127" s="54">
        <f t="shared" si="38"/>
        <v>7</v>
      </c>
      <c r="M127" s="54">
        <f t="shared" si="38"/>
        <v>4</v>
      </c>
      <c r="N127" s="54">
        <f t="shared" si="38"/>
        <v>0</v>
      </c>
      <c r="O127" s="54">
        <f t="shared" si="38"/>
        <v>0</v>
      </c>
      <c r="P127" s="54">
        <f t="shared" si="38"/>
        <v>2</v>
      </c>
      <c r="Q127" s="54">
        <f>SUM(Q124:Q126)</f>
        <v>0</v>
      </c>
      <c r="R127" s="54">
        <f>SUM(R124:R126)</f>
        <v>2</v>
      </c>
      <c r="T127" s="60">
        <f>SUM(C127/B127)</f>
        <v>0.42745917204709455</v>
      </c>
      <c r="U127" s="60">
        <f>SUM(D127/B127)</f>
        <v>0.28921382453475125</v>
      </c>
      <c r="V127" s="60">
        <f>SUM(E127/B127)</f>
        <v>0</v>
      </c>
      <c r="W127" s="60">
        <f>SUM(F127/B127)</f>
        <v>0</v>
      </c>
      <c r="X127" s="60">
        <f>SUM(G127/B127)</f>
        <v>0.11526775541207748</v>
      </c>
      <c r="Y127" s="60">
        <f>SUM(H127/B127)</f>
        <v>0</v>
      </c>
      <c r="Z127" s="60">
        <f>SUM(I127/B127)</f>
        <v>0.16805924800607672</v>
      </c>
    </row>
    <row r="128" spans="1:26">
      <c r="A128" s="53"/>
      <c r="B128" s="54"/>
      <c r="C128" s="55"/>
      <c r="D128" s="55"/>
      <c r="E128" s="55"/>
      <c r="F128" s="55"/>
      <c r="G128" s="55"/>
      <c r="H128" s="55"/>
      <c r="I128" s="55"/>
      <c r="K128" s="54"/>
      <c r="L128" s="55"/>
      <c r="M128" s="55"/>
      <c r="N128" s="55"/>
      <c r="O128" s="55"/>
      <c r="P128" s="55"/>
      <c r="Q128" s="55"/>
      <c r="R128" s="55"/>
    </row>
    <row r="129" spans="1:26">
      <c r="A129" s="56" t="s">
        <v>1636</v>
      </c>
      <c r="B129" s="54">
        <f>SUM(C129:I129)</f>
        <v>3476</v>
      </c>
      <c r="C129" s="55">
        <v>815</v>
      </c>
      <c r="D129" s="55">
        <v>668</v>
      </c>
      <c r="E129" s="55">
        <v>0</v>
      </c>
      <c r="F129" s="55">
        <v>0</v>
      </c>
      <c r="G129" s="55">
        <v>761</v>
      </c>
      <c r="H129" s="55">
        <v>0</v>
      </c>
      <c r="I129" s="55">
        <v>1232</v>
      </c>
      <c r="K129" s="54">
        <f>SUM(L129:R129)</f>
        <v>5</v>
      </c>
      <c r="L129" s="55">
        <v>1</v>
      </c>
      <c r="M129" s="55">
        <v>1</v>
      </c>
      <c r="N129" s="55">
        <v>0</v>
      </c>
      <c r="O129" s="55">
        <v>0</v>
      </c>
      <c r="P129" s="55">
        <v>1</v>
      </c>
      <c r="Q129" s="55">
        <v>0</v>
      </c>
      <c r="R129" s="55">
        <v>2</v>
      </c>
      <c r="T129" s="61">
        <f>SUM(C129/B129)</f>
        <v>0.23446490218642119</v>
      </c>
      <c r="U129" s="61">
        <f>SUM(D129/B129)</f>
        <v>0.19217491369390102</v>
      </c>
      <c r="V129" s="61">
        <f>SUM(E129/B129)</f>
        <v>0</v>
      </c>
      <c r="W129" s="61">
        <f>SUM(F129/B129)</f>
        <v>0</v>
      </c>
      <c r="X129" s="61">
        <f>SUM(G129/B129)</f>
        <v>0.21892980437284235</v>
      </c>
      <c r="Y129" s="61">
        <f>SUM(H129/B129)</f>
        <v>0</v>
      </c>
      <c r="Z129" s="61">
        <f>SUM(I129/B129)</f>
        <v>0.35443037974683544</v>
      </c>
    </row>
    <row r="130" spans="1:26">
      <c r="A130" s="56" t="s">
        <v>1637</v>
      </c>
      <c r="B130" s="54">
        <f>SUM(C130:I130)</f>
        <v>3127</v>
      </c>
      <c r="C130" s="55">
        <v>591</v>
      </c>
      <c r="D130" s="55">
        <v>481</v>
      </c>
      <c r="E130" s="55">
        <v>0</v>
      </c>
      <c r="F130" s="55">
        <v>0</v>
      </c>
      <c r="G130" s="55">
        <v>1110</v>
      </c>
      <c r="H130" s="55">
        <v>0</v>
      </c>
      <c r="I130" s="55">
        <v>945</v>
      </c>
      <c r="K130" s="54">
        <f>SUM(L130:R130)</f>
        <v>5</v>
      </c>
      <c r="L130" s="55">
        <v>1</v>
      </c>
      <c r="M130" s="55">
        <v>1</v>
      </c>
      <c r="N130" s="55">
        <v>0</v>
      </c>
      <c r="O130" s="55">
        <v>0</v>
      </c>
      <c r="P130" s="55">
        <v>2</v>
      </c>
      <c r="Q130" s="55">
        <v>0</v>
      </c>
      <c r="R130" s="55">
        <v>1</v>
      </c>
      <c r="T130" s="61">
        <f>SUM(C130/B130)</f>
        <v>0.18899904061400705</v>
      </c>
      <c r="U130" s="61">
        <f>SUM(D130/B130)</f>
        <v>0.1538215542053086</v>
      </c>
      <c r="V130" s="61">
        <f>SUM(E130/B130)</f>
        <v>0</v>
      </c>
      <c r="W130" s="61">
        <f>SUM(F130/B130)</f>
        <v>0</v>
      </c>
      <c r="X130" s="61">
        <f>SUM(G130/B130)</f>
        <v>0.35497281739686598</v>
      </c>
      <c r="Y130" s="61">
        <f>SUM(H130/B130)</f>
        <v>0</v>
      </c>
      <c r="Z130" s="61">
        <f>SUM(I130/B130)</f>
        <v>0.30220658778381837</v>
      </c>
    </row>
    <row r="131" spans="1:26">
      <c r="A131" s="56" t="s">
        <v>1638</v>
      </c>
      <c r="B131" s="54">
        <f>SUM(C131:I131)</f>
        <v>3685</v>
      </c>
      <c r="C131" s="55">
        <v>1550</v>
      </c>
      <c r="D131" s="55">
        <v>535</v>
      </c>
      <c r="E131" s="55">
        <v>0</v>
      </c>
      <c r="F131" s="55">
        <v>0</v>
      </c>
      <c r="G131" s="55">
        <v>932</v>
      </c>
      <c r="H131" s="55">
        <v>0</v>
      </c>
      <c r="I131" s="55">
        <v>668</v>
      </c>
      <c r="K131" s="54">
        <f>SUM(L131:R131)</f>
        <v>5</v>
      </c>
      <c r="L131" s="55">
        <v>2</v>
      </c>
      <c r="M131" s="55">
        <v>1</v>
      </c>
      <c r="N131" s="55">
        <v>0</v>
      </c>
      <c r="O131" s="55">
        <v>0</v>
      </c>
      <c r="P131" s="55">
        <v>1</v>
      </c>
      <c r="Q131" s="55">
        <v>0</v>
      </c>
      <c r="R131" s="55">
        <v>1</v>
      </c>
      <c r="T131" s="61">
        <f>SUM(C131/B131)</f>
        <v>0.42062415196743552</v>
      </c>
      <c r="U131" s="61">
        <f>SUM(D131/B131)</f>
        <v>0.14518317503392131</v>
      </c>
      <c r="V131" s="61">
        <f>SUM(E131/B131)</f>
        <v>0</v>
      </c>
      <c r="W131" s="61">
        <f>SUM(F131/B131)</f>
        <v>0</v>
      </c>
      <c r="X131" s="61">
        <f>SUM(G131/B131)</f>
        <v>0.25291723202170963</v>
      </c>
      <c r="Y131" s="61">
        <f>SUM(H131/B131)</f>
        <v>0</v>
      </c>
      <c r="Z131" s="61">
        <f>SUM(I131/B131)</f>
        <v>0.18127544097693352</v>
      </c>
    </row>
    <row r="132" spans="1:26" s="52" customFormat="1">
      <c r="A132" s="53" t="s">
        <v>1639</v>
      </c>
      <c r="B132" s="54">
        <f>SUM(B129:B131)</f>
        <v>10288</v>
      </c>
      <c r="C132" s="54">
        <f t="shared" ref="C132:P132" si="39">SUM(C129:C131)</f>
        <v>2956</v>
      </c>
      <c r="D132" s="54">
        <f>SUM(D129:D131)</f>
        <v>1684</v>
      </c>
      <c r="E132" s="54">
        <f t="shared" si="39"/>
        <v>0</v>
      </c>
      <c r="F132" s="54">
        <f t="shared" si="39"/>
        <v>0</v>
      </c>
      <c r="G132" s="54">
        <f t="shared" si="39"/>
        <v>2803</v>
      </c>
      <c r="H132" s="54">
        <f>SUM(H129:H131)</f>
        <v>0</v>
      </c>
      <c r="I132" s="54">
        <f>SUM(I129:I131)</f>
        <v>2845</v>
      </c>
      <c r="J132" s="54"/>
      <c r="K132" s="54">
        <f t="shared" si="39"/>
        <v>15</v>
      </c>
      <c r="L132" s="54">
        <f t="shared" si="39"/>
        <v>4</v>
      </c>
      <c r="M132" s="54">
        <f t="shared" si="39"/>
        <v>3</v>
      </c>
      <c r="N132" s="54">
        <f t="shared" si="39"/>
        <v>0</v>
      </c>
      <c r="O132" s="54">
        <f t="shared" si="39"/>
        <v>0</v>
      </c>
      <c r="P132" s="54">
        <f t="shared" si="39"/>
        <v>4</v>
      </c>
      <c r="Q132" s="54">
        <f>SUM(Q129:Q131)</f>
        <v>0</v>
      </c>
      <c r="R132" s="54">
        <f>SUM(R129:R131)</f>
        <v>4</v>
      </c>
      <c r="T132" s="60">
        <f>SUM(C132/B132)</f>
        <v>0.28732503888024885</v>
      </c>
      <c r="U132" s="60">
        <f>SUM(D132/B132)</f>
        <v>0.16368584758942456</v>
      </c>
      <c r="V132" s="60">
        <f>SUM(E132/B132)</f>
        <v>0</v>
      </c>
      <c r="W132" s="60">
        <f>SUM(F132/B132)</f>
        <v>0</v>
      </c>
      <c r="X132" s="60">
        <f>SUM(G132/B132)</f>
        <v>0.27245334370139968</v>
      </c>
      <c r="Y132" s="60">
        <f>SUM(H132/B132)</f>
        <v>0</v>
      </c>
      <c r="Z132" s="60">
        <f>SUM(I132/B132)</f>
        <v>0.27653576982892691</v>
      </c>
    </row>
    <row r="133" spans="1:26">
      <c r="A133" s="53"/>
      <c r="B133" s="54"/>
      <c r="C133" s="55"/>
      <c r="D133" s="55"/>
      <c r="E133" s="55"/>
      <c r="F133" s="55"/>
      <c r="G133" s="55"/>
      <c r="H133" s="55"/>
      <c r="I133" s="55"/>
      <c r="K133" s="54"/>
      <c r="L133" s="55"/>
      <c r="M133" s="55"/>
      <c r="N133" s="55"/>
      <c r="O133" s="55"/>
      <c r="P133" s="55"/>
      <c r="Q133" s="55"/>
      <c r="R133" s="55"/>
    </row>
    <row r="134" spans="1:26">
      <c r="A134" s="56" t="s">
        <v>1640</v>
      </c>
      <c r="B134" s="54">
        <f>SUM(C134:I134)</f>
        <v>4787</v>
      </c>
      <c r="C134" s="55">
        <v>1907</v>
      </c>
      <c r="D134" s="55">
        <v>1035</v>
      </c>
      <c r="E134" s="55">
        <v>684</v>
      </c>
      <c r="F134" s="55">
        <v>0</v>
      </c>
      <c r="G134" s="55">
        <v>908</v>
      </c>
      <c r="H134" s="55">
        <v>0</v>
      </c>
      <c r="I134" s="55">
        <v>253</v>
      </c>
      <c r="J134" s="55"/>
      <c r="K134" s="54">
        <f>SUM(L134:R134)</f>
        <v>5</v>
      </c>
      <c r="L134" s="55">
        <v>2</v>
      </c>
      <c r="M134" s="55">
        <v>1</v>
      </c>
      <c r="N134" s="55">
        <v>1</v>
      </c>
      <c r="O134" s="55">
        <v>0</v>
      </c>
      <c r="P134" s="55">
        <v>1</v>
      </c>
      <c r="Q134" s="55">
        <v>0</v>
      </c>
      <c r="R134" s="55">
        <v>0</v>
      </c>
      <c r="T134" s="61">
        <f t="shared" ref="T134:T139" si="40">SUM(C134/B134)</f>
        <v>0.39837058700647587</v>
      </c>
      <c r="U134" s="61">
        <f t="shared" ref="U134:U139" si="41">SUM(D134/B134)</f>
        <v>0.21621057029454774</v>
      </c>
      <c r="V134" s="61">
        <f t="shared" ref="V134:V139" si="42">SUM(E134/B134)</f>
        <v>0.14288698558596197</v>
      </c>
      <c r="W134" s="61">
        <f t="shared" ref="W134:W139" si="43">SUM(F134/B134)</f>
        <v>0</v>
      </c>
      <c r="X134" s="61">
        <f t="shared" ref="X134:X139" si="44">SUM(G134/B134)</f>
        <v>0.1896803843743472</v>
      </c>
      <c r="Y134" s="61">
        <f t="shared" ref="Y134:Y139" si="45">SUM(H134/B134)</f>
        <v>0</v>
      </c>
      <c r="Z134" s="61">
        <f t="shared" ref="Z134:Z139" si="46">SUM(I134/B134)</f>
        <v>5.2851472738667221E-2</v>
      </c>
    </row>
    <row r="135" spans="1:26">
      <c r="A135" s="56" t="s">
        <v>1641</v>
      </c>
      <c r="B135" s="54">
        <f>SUM(C135:I135)</f>
        <v>4512</v>
      </c>
      <c r="C135" s="55">
        <v>1690</v>
      </c>
      <c r="D135" s="55">
        <v>790</v>
      </c>
      <c r="E135" s="55">
        <v>0</v>
      </c>
      <c r="F135" s="55">
        <v>0</v>
      </c>
      <c r="G135" s="55">
        <v>323</v>
      </c>
      <c r="H135" s="55">
        <v>0</v>
      </c>
      <c r="I135" s="55">
        <v>1709</v>
      </c>
      <c r="K135" s="54">
        <f>SUM(L135:R135)</f>
        <v>5</v>
      </c>
      <c r="L135" s="55">
        <v>2</v>
      </c>
      <c r="M135" s="55">
        <v>1</v>
      </c>
      <c r="N135" s="55">
        <v>0</v>
      </c>
      <c r="O135" s="55">
        <v>0</v>
      </c>
      <c r="P135" s="55">
        <v>0</v>
      </c>
      <c r="Q135" s="55">
        <v>0</v>
      </c>
      <c r="R135" s="55">
        <v>2</v>
      </c>
      <c r="T135" s="61">
        <f t="shared" si="40"/>
        <v>0.37455673758865249</v>
      </c>
      <c r="U135" s="61">
        <f t="shared" si="41"/>
        <v>0.17508865248226951</v>
      </c>
      <c r="V135" s="61">
        <f t="shared" si="42"/>
        <v>0</v>
      </c>
      <c r="W135" s="61">
        <f t="shared" si="43"/>
        <v>0</v>
      </c>
      <c r="X135" s="61">
        <f t="shared" si="44"/>
        <v>7.1586879432624109E-2</v>
      </c>
      <c r="Y135" s="61">
        <f t="shared" si="45"/>
        <v>0</v>
      </c>
      <c r="Z135" s="61">
        <f t="shared" si="46"/>
        <v>0.3787677304964539</v>
      </c>
    </row>
    <row r="136" spans="1:26">
      <c r="A136" s="56" t="s">
        <v>2454</v>
      </c>
      <c r="B136" s="54">
        <f>SUM(C136:I136)</f>
        <v>3507</v>
      </c>
      <c r="C136" s="55">
        <v>1396</v>
      </c>
      <c r="D136" s="55">
        <v>604</v>
      </c>
      <c r="E136" s="55">
        <v>0</v>
      </c>
      <c r="F136" s="55">
        <v>96</v>
      </c>
      <c r="G136" s="55">
        <v>334</v>
      </c>
      <c r="H136" s="55">
        <v>78</v>
      </c>
      <c r="I136" s="55">
        <v>999</v>
      </c>
      <c r="K136" s="54">
        <f>SUM(L136:R136)</f>
        <v>5</v>
      </c>
      <c r="L136" s="55">
        <v>2</v>
      </c>
      <c r="M136" s="55">
        <v>1</v>
      </c>
      <c r="N136" s="55">
        <v>0</v>
      </c>
      <c r="O136" s="55">
        <v>0</v>
      </c>
      <c r="P136" s="55">
        <v>1</v>
      </c>
      <c r="Q136" s="55">
        <v>0</v>
      </c>
      <c r="R136" s="55">
        <v>1</v>
      </c>
      <c r="T136" s="61">
        <f t="shared" si="40"/>
        <v>0.39806102081551181</v>
      </c>
      <c r="U136" s="61">
        <f t="shared" si="41"/>
        <v>0.1722269746221842</v>
      </c>
      <c r="V136" s="61">
        <f t="shared" si="42"/>
        <v>0</v>
      </c>
      <c r="W136" s="61">
        <f t="shared" si="43"/>
        <v>2.7373823781009408E-2</v>
      </c>
      <c r="X136" s="61">
        <f t="shared" si="44"/>
        <v>9.5238095238095233E-2</v>
      </c>
      <c r="Y136" s="61">
        <f t="shared" si="45"/>
        <v>2.2241231822070145E-2</v>
      </c>
      <c r="Z136" s="61">
        <f t="shared" si="46"/>
        <v>0.28485885372112918</v>
      </c>
    </row>
    <row r="137" spans="1:26">
      <c r="A137" s="56" t="s">
        <v>2455</v>
      </c>
      <c r="B137" s="54">
        <f>SUM(C137:I137)</f>
        <v>4691</v>
      </c>
      <c r="C137" s="55">
        <v>2979</v>
      </c>
      <c r="D137" s="55">
        <v>713</v>
      </c>
      <c r="E137" s="55">
        <v>0</v>
      </c>
      <c r="F137" s="55">
        <v>0</v>
      </c>
      <c r="G137" s="55">
        <v>725</v>
      </c>
      <c r="H137" s="55">
        <v>175</v>
      </c>
      <c r="I137" s="55">
        <v>99</v>
      </c>
      <c r="K137" s="54">
        <f>SUM(L137:R137)</f>
        <v>5</v>
      </c>
      <c r="L137" s="55">
        <v>3</v>
      </c>
      <c r="M137" s="55">
        <v>1</v>
      </c>
      <c r="N137" s="55">
        <v>0</v>
      </c>
      <c r="O137" s="55">
        <v>0</v>
      </c>
      <c r="P137" s="55">
        <v>1</v>
      </c>
      <c r="Q137" s="55">
        <v>0</v>
      </c>
      <c r="R137" s="55">
        <v>0</v>
      </c>
      <c r="T137" s="61">
        <f t="shared" si="40"/>
        <v>0.63504583244510771</v>
      </c>
      <c r="U137" s="61">
        <f t="shared" si="41"/>
        <v>0.15199317842677468</v>
      </c>
      <c r="V137" s="61">
        <f t="shared" si="42"/>
        <v>0</v>
      </c>
      <c r="W137" s="61">
        <f t="shared" si="43"/>
        <v>0</v>
      </c>
      <c r="X137" s="61">
        <f t="shared" si="44"/>
        <v>0.15455126838627159</v>
      </c>
      <c r="Y137" s="61">
        <f t="shared" si="45"/>
        <v>3.7305478575996587E-2</v>
      </c>
      <c r="Z137" s="61">
        <f t="shared" si="46"/>
        <v>2.11042421658495E-2</v>
      </c>
    </row>
    <row r="138" spans="1:26">
      <c r="A138" s="56" t="s">
        <v>2456</v>
      </c>
      <c r="B138" s="54">
        <f>SUM(C138:I138)</f>
        <v>4254</v>
      </c>
      <c r="C138" s="55">
        <v>1981</v>
      </c>
      <c r="D138" s="55">
        <v>1100</v>
      </c>
      <c r="E138" s="55">
        <v>0</v>
      </c>
      <c r="F138" s="55">
        <v>0</v>
      </c>
      <c r="G138" s="55">
        <v>769</v>
      </c>
      <c r="H138" s="55">
        <v>0</v>
      </c>
      <c r="I138" s="55">
        <v>404</v>
      </c>
      <c r="K138" s="54">
        <f>SUM(L138:R138)</f>
        <v>5</v>
      </c>
      <c r="L138" s="55">
        <v>2</v>
      </c>
      <c r="M138" s="55">
        <v>2</v>
      </c>
      <c r="N138" s="55">
        <v>0</v>
      </c>
      <c r="O138" s="55">
        <v>0</v>
      </c>
      <c r="P138" s="55">
        <v>1</v>
      </c>
      <c r="Q138" s="55">
        <v>0</v>
      </c>
      <c r="R138" s="55">
        <v>0</v>
      </c>
      <c r="T138" s="61">
        <f t="shared" si="40"/>
        <v>0.46567936060178655</v>
      </c>
      <c r="U138" s="61">
        <f t="shared" si="41"/>
        <v>0.25858015984955335</v>
      </c>
      <c r="V138" s="61">
        <f t="shared" si="42"/>
        <v>0</v>
      </c>
      <c r="W138" s="61">
        <f t="shared" si="43"/>
        <v>0</v>
      </c>
      <c r="X138" s="61">
        <f t="shared" si="44"/>
        <v>0.18077103902209685</v>
      </c>
      <c r="Y138" s="61">
        <f t="shared" si="45"/>
        <v>0</v>
      </c>
      <c r="Z138" s="61">
        <f t="shared" si="46"/>
        <v>9.496944052656324E-2</v>
      </c>
    </row>
    <row r="139" spans="1:26" s="52" customFormat="1">
      <c r="A139" s="53" t="s">
        <v>1644</v>
      </c>
      <c r="B139" s="54">
        <f>SUM(B134:B138)</f>
        <v>21751</v>
      </c>
      <c r="C139" s="54">
        <f t="shared" ref="C139:P139" si="47">SUM(C134:C138)</f>
        <v>9953</v>
      </c>
      <c r="D139" s="54">
        <f>SUM(D134:D138)</f>
        <v>4242</v>
      </c>
      <c r="E139" s="54">
        <f t="shared" si="47"/>
        <v>684</v>
      </c>
      <c r="F139" s="54">
        <f t="shared" si="47"/>
        <v>96</v>
      </c>
      <c r="G139" s="54">
        <f t="shared" si="47"/>
        <v>3059</v>
      </c>
      <c r="H139" s="54">
        <f>SUM(H134:H138)</f>
        <v>253</v>
      </c>
      <c r="I139" s="54">
        <f>SUM(I134:I138)</f>
        <v>3464</v>
      </c>
      <c r="J139" s="54"/>
      <c r="K139" s="54">
        <f t="shared" si="47"/>
        <v>25</v>
      </c>
      <c r="L139" s="54">
        <f t="shared" si="47"/>
        <v>11</v>
      </c>
      <c r="M139" s="54">
        <f t="shared" si="47"/>
        <v>6</v>
      </c>
      <c r="N139" s="54">
        <f t="shared" si="47"/>
        <v>1</v>
      </c>
      <c r="O139" s="54">
        <f t="shared" si="47"/>
        <v>0</v>
      </c>
      <c r="P139" s="54">
        <f t="shared" si="47"/>
        <v>4</v>
      </c>
      <c r="Q139" s="54">
        <f>SUM(Q134:Q138)</f>
        <v>0</v>
      </c>
      <c r="R139" s="54">
        <f>SUM(R134:R138)</f>
        <v>3</v>
      </c>
      <c r="T139" s="60">
        <f t="shared" si="40"/>
        <v>0.45758815686635096</v>
      </c>
      <c r="U139" s="60">
        <f t="shared" si="41"/>
        <v>0.19502551606822674</v>
      </c>
      <c r="V139" s="60">
        <f t="shared" si="42"/>
        <v>3.1446830030803181E-2</v>
      </c>
      <c r="W139" s="60">
        <f t="shared" si="43"/>
        <v>4.4135901797618497E-3</v>
      </c>
      <c r="X139" s="60">
        <f t="shared" si="44"/>
        <v>0.14063721208220312</v>
      </c>
      <c r="Y139" s="60">
        <f t="shared" si="45"/>
        <v>1.1631649119580709E-2</v>
      </c>
      <c r="Z139" s="60">
        <f t="shared" si="46"/>
        <v>0.15925704565307341</v>
      </c>
    </row>
    <row r="140" spans="1:26">
      <c r="A140" s="53"/>
      <c r="B140" s="54"/>
      <c r="C140" s="55"/>
      <c r="D140" s="55"/>
      <c r="E140" s="55"/>
      <c r="F140" s="55"/>
      <c r="G140" s="55"/>
      <c r="H140" s="55"/>
      <c r="I140" s="55"/>
      <c r="K140" s="54"/>
      <c r="L140" s="55"/>
      <c r="M140" s="55"/>
      <c r="N140" s="55"/>
      <c r="O140" s="55"/>
      <c r="P140" s="55"/>
      <c r="Q140" s="55"/>
      <c r="R140" s="55"/>
    </row>
    <row r="141" spans="1:26">
      <c r="A141" s="56" t="s">
        <v>1645</v>
      </c>
      <c r="B141" s="54">
        <f t="shared" ref="B141:B149" si="48">SUM(C141:I141)</f>
        <v>10444</v>
      </c>
      <c r="C141" s="55">
        <v>2067</v>
      </c>
      <c r="D141" s="55">
        <v>1650</v>
      </c>
      <c r="E141" s="55">
        <v>0</v>
      </c>
      <c r="F141" s="55">
        <v>240</v>
      </c>
      <c r="G141" s="55">
        <v>0</v>
      </c>
      <c r="H141" s="55">
        <v>367</v>
      </c>
      <c r="I141" s="55">
        <v>6120</v>
      </c>
      <c r="K141" s="54">
        <f t="shared" ref="K141:K149" si="49">SUM(L141:R141)</f>
        <v>6</v>
      </c>
      <c r="L141" s="55">
        <v>2</v>
      </c>
      <c r="M141" s="55">
        <v>1</v>
      </c>
      <c r="N141" s="55">
        <v>0</v>
      </c>
      <c r="O141" s="55">
        <v>0</v>
      </c>
      <c r="P141" s="55">
        <v>0</v>
      </c>
      <c r="Q141" s="55">
        <v>0</v>
      </c>
      <c r="R141" s="55">
        <v>3</v>
      </c>
      <c r="T141" s="61">
        <f t="shared" ref="T141:T150" si="50">SUM(C141/B141)</f>
        <v>0.19791267713519725</v>
      </c>
      <c r="U141" s="61">
        <f t="shared" ref="U141:U150" si="51">SUM(D141/B141)</f>
        <v>0.15798544618919955</v>
      </c>
      <c r="V141" s="61">
        <f t="shared" ref="V141:V150" si="52">SUM(E141/B141)</f>
        <v>0</v>
      </c>
      <c r="W141" s="61">
        <f t="shared" ref="W141:W150" si="53">SUM(F141/B141)</f>
        <v>2.2979701263883569E-2</v>
      </c>
      <c r="X141" s="61">
        <f t="shared" ref="X141:X150" si="54">SUM(G141/B141)</f>
        <v>0</v>
      </c>
      <c r="Y141" s="61">
        <f t="shared" ref="Y141:Y150" si="55">SUM(H141/B141)</f>
        <v>3.5139793182688624E-2</v>
      </c>
      <c r="Z141" s="61">
        <f t="shared" ref="Z141:Z150" si="56">SUM(I141/B141)</f>
        <v>0.58598238222903098</v>
      </c>
    </row>
    <row r="142" spans="1:26">
      <c r="A142" s="56" t="s">
        <v>1646</v>
      </c>
      <c r="B142" s="54">
        <f t="shared" si="48"/>
        <v>10740</v>
      </c>
      <c r="C142" s="55">
        <v>2764</v>
      </c>
      <c r="D142" s="55">
        <v>4304</v>
      </c>
      <c r="E142" s="55">
        <v>0</v>
      </c>
      <c r="F142" s="55">
        <v>629</v>
      </c>
      <c r="G142" s="55">
        <v>1296</v>
      </c>
      <c r="H142" s="55">
        <v>541</v>
      </c>
      <c r="I142" s="55">
        <v>1206</v>
      </c>
      <c r="K142" s="54">
        <f t="shared" si="49"/>
        <v>6</v>
      </c>
      <c r="L142" s="55">
        <v>2</v>
      </c>
      <c r="M142" s="55">
        <v>2</v>
      </c>
      <c r="N142" s="55">
        <v>0</v>
      </c>
      <c r="O142" s="55">
        <v>0</v>
      </c>
      <c r="P142" s="55">
        <v>1</v>
      </c>
      <c r="Q142" s="55">
        <v>0</v>
      </c>
      <c r="R142" s="55">
        <v>1</v>
      </c>
      <c r="T142" s="61">
        <f t="shared" si="50"/>
        <v>0.25735567970204842</v>
      </c>
      <c r="U142" s="61">
        <f t="shared" si="51"/>
        <v>0.40074487895716948</v>
      </c>
      <c r="V142" s="61">
        <f t="shared" si="52"/>
        <v>0</v>
      </c>
      <c r="W142" s="61">
        <f t="shared" si="53"/>
        <v>5.856610800744879E-2</v>
      </c>
      <c r="X142" s="61">
        <f t="shared" si="54"/>
        <v>0.12067039106145251</v>
      </c>
      <c r="Y142" s="61">
        <f t="shared" si="55"/>
        <v>5.0372439478584732E-2</v>
      </c>
      <c r="Z142" s="61">
        <f t="shared" si="56"/>
        <v>0.1122905027932961</v>
      </c>
    </row>
    <row r="143" spans="1:26">
      <c r="A143" s="56" t="s">
        <v>1647</v>
      </c>
      <c r="B143" s="54">
        <f t="shared" si="48"/>
        <v>13534</v>
      </c>
      <c r="C143" s="55">
        <v>5342</v>
      </c>
      <c r="D143" s="55">
        <v>3212</v>
      </c>
      <c r="E143" s="55">
        <v>0</v>
      </c>
      <c r="F143" s="55">
        <v>0</v>
      </c>
      <c r="G143" s="55">
        <v>4198</v>
      </c>
      <c r="H143" s="55">
        <v>333</v>
      </c>
      <c r="I143" s="55">
        <v>449</v>
      </c>
      <c r="K143" s="54">
        <f t="shared" si="49"/>
        <v>7</v>
      </c>
      <c r="L143" s="55">
        <v>3</v>
      </c>
      <c r="M143" s="55">
        <v>2</v>
      </c>
      <c r="N143" s="55">
        <v>0</v>
      </c>
      <c r="O143" s="55">
        <v>0</v>
      </c>
      <c r="P143" s="55">
        <v>2</v>
      </c>
      <c r="Q143" s="55">
        <v>0</v>
      </c>
      <c r="R143" s="55">
        <v>0</v>
      </c>
      <c r="T143" s="61">
        <f t="shared" si="50"/>
        <v>0.3947096202157529</v>
      </c>
      <c r="U143" s="61">
        <f t="shared" si="51"/>
        <v>0.23732821043298361</v>
      </c>
      <c r="V143" s="61">
        <f t="shared" si="52"/>
        <v>0</v>
      </c>
      <c r="W143" s="61">
        <f t="shared" si="53"/>
        <v>0</v>
      </c>
      <c r="X143" s="61">
        <f t="shared" si="54"/>
        <v>0.3101817644451012</v>
      </c>
      <c r="Y143" s="61">
        <f t="shared" si="55"/>
        <v>2.4604699275897739E-2</v>
      </c>
      <c r="Z143" s="61">
        <f t="shared" si="56"/>
        <v>3.3175705630264521E-2</v>
      </c>
    </row>
    <row r="144" spans="1:26">
      <c r="A144" s="56" t="s">
        <v>1648</v>
      </c>
      <c r="B144" s="54">
        <f t="shared" si="48"/>
        <v>11404</v>
      </c>
      <c r="C144" s="55">
        <v>3981</v>
      </c>
      <c r="D144" s="55">
        <v>2201</v>
      </c>
      <c r="E144" s="55">
        <v>1636</v>
      </c>
      <c r="F144" s="55">
        <v>0</v>
      </c>
      <c r="G144" s="55">
        <v>2166</v>
      </c>
      <c r="H144" s="55">
        <v>243</v>
      </c>
      <c r="I144" s="55">
        <v>1177</v>
      </c>
      <c r="K144" s="54">
        <f t="shared" si="49"/>
        <v>5</v>
      </c>
      <c r="L144" s="55">
        <v>2</v>
      </c>
      <c r="M144" s="55">
        <v>1</v>
      </c>
      <c r="N144" s="55">
        <v>1</v>
      </c>
      <c r="O144" s="55">
        <v>0</v>
      </c>
      <c r="P144" s="55">
        <v>1</v>
      </c>
      <c r="Q144" s="55">
        <v>0</v>
      </c>
      <c r="R144" s="55">
        <v>0</v>
      </c>
      <c r="T144" s="61">
        <f t="shared" si="50"/>
        <v>0.34908803928446158</v>
      </c>
      <c r="U144" s="61">
        <f t="shared" si="51"/>
        <v>0.19300245527884952</v>
      </c>
      <c r="V144" s="61">
        <f t="shared" si="52"/>
        <v>0.14345843563661873</v>
      </c>
      <c r="W144" s="61">
        <f t="shared" si="53"/>
        <v>0</v>
      </c>
      <c r="X144" s="61">
        <f t="shared" si="54"/>
        <v>0.18993335671694142</v>
      </c>
      <c r="Y144" s="61">
        <f t="shared" si="55"/>
        <v>2.1308312872676254E-2</v>
      </c>
      <c r="Z144" s="61">
        <f t="shared" si="56"/>
        <v>0.10320940021045247</v>
      </c>
    </row>
    <row r="145" spans="1:26">
      <c r="A145" s="56" t="s">
        <v>1649</v>
      </c>
      <c r="B145" s="54">
        <f t="shared" si="48"/>
        <v>12003</v>
      </c>
      <c r="C145" s="55">
        <v>2959</v>
      </c>
      <c r="D145" s="55">
        <v>1995</v>
      </c>
      <c r="E145" s="55">
        <v>2301</v>
      </c>
      <c r="F145" s="55">
        <v>453</v>
      </c>
      <c r="G145" s="55">
        <v>1053</v>
      </c>
      <c r="H145" s="55">
        <v>496</v>
      </c>
      <c r="I145" s="55">
        <v>2746</v>
      </c>
      <c r="K145" s="54">
        <f t="shared" si="49"/>
        <v>6</v>
      </c>
      <c r="L145" s="55">
        <v>1</v>
      </c>
      <c r="M145" s="55">
        <v>1</v>
      </c>
      <c r="N145" s="55">
        <v>1</v>
      </c>
      <c r="O145" s="55">
        <v>0</v>
      </c>
      <c r="P145" s="55">
        <v>1</v>
      </c>
      <c r="Q145" s="55">
        <v>0</v>
      </c>
      <c r="R145" s="55">
        <v>2</v>
      </c>
      <c r="T145" s="61">
        <f t="shared" si="50"/>
        <v>0.24652170290760644</v>
      </c>
      <c r="U145" s="61">
        <f t="shared" si="51"/>
        <v>0.16620844788802799</v>
      </c>
      <c r="V145" s="61">
        <f t="shared" si="52"/>
        <v>0.19170207448137966</v>
      </c>
      <c r="W145" s="61">
        <f t="shared" si="53"/>
        <v>3.7740564858785304E-2</v>
      </c>
      <c r="X145" s="61">
        <f t="shared" si="54"/>
        <v>8.7728067983004254E-2</v>
      </c>
      <c r="Y145" s="61">
        <f t="shared" si="55"/>
        <v>4.132300258268766E-2</v>
      </c>
      <c r="Z145" s="61">
        <f t="shared" si="56"/>
        <v>0.22877613929850871</v>
      </c>
    </row>
    <row r="146" spans="1:26">
      <c r="A146" s="56" t="s">
        <v>1650</v>
      </c>
      <c r="B146" s="54">
        <f t="shared" si="48"/>
        <v>13196</v>
      </c>
      <c r="C146" s="55">
        <v>2630</v>
      </c>
      <c r="D146" s="55">
        <v>805</v>
      </c>
      <c r="E146" s="55">
        <v>2426</v>
      </c>
      <c r="F146" s="55">
        <v>4345</v>
      </c>
      <c r="G146" s="55">
        <v>443</v>
      </c>
      <c r="H146" s="55">
        <v>1639</v>
      </c>
      <c r="I146" s="55">
        <v>908</v>
      </c>
      <c r="K146" s="54">
        <f t="shared" si="49"/>
        <v>6</v>
      </c>
      <c r="L146" s="55">
        <v>2</v>
      </c>
      <c r="M146" s="55">
        <v>0</v>
      </c>
      <c r="N146" s="55">
        <v>1</v>
      </c>
      <c r="O146" s="55">
        <v>2</v>
      </c>
      <c r="P146" s="55">
        <v>0</v>
      </c>
      <c r="Q146" s="55">
        <v>1</v>
      </c>
      <c r="R146" s="55">
        <v>0</v>
      </c>
      <c r="T146" s="61">
        <f t="shared" si="50"/>
        <v>0.19930281903607153</v>
      </c>
      <c r="U146" s="61">
        <f t="shared" si="51"/>
        <v>6.1003334343740528E-2</v>
      </c>
      <c r="V146" s="61">
        <f t="shared" si="52"/>
        <v>0.18384358896635344</v>
      </c>
      <c r="W146" s="61">
        <f t="shared" si="53"/>
        <v>0.32926644437708397</v>
      </c>
      <c r="X146" s="61">
        <f t="shared" si="54"/>
        <v>3.3570779023946652E-2</v>
      </c>
      <c r="Y146" s="61">
        <f t="shared" si="55"/>
        <v>0.12420430433464687</v>
      </c>
      <c r="Z146" s="61">
        <f t="shared" si="56"/>
        <v>6.8808729918157022E-2</v>
      </c>
    </row>
    <row r="147" spans="1:26">
      <c r="A147" s="56" t="s">
        <v>1651</v>
      </c>
      <c r="B147" s="54">
        <f t="shared" si="48"/>
        <v>9807</v>
      </c>
      <c r="C147" s="55">
        <v>3103</v>
      </c>
      <c r="D147" s="55">
        <v>1168</v>
      </c>
      <c r="E147" s="55">
        <v>2044</v>
      </c>
      <c r="F147" s="55">
        <v>753</v>
      </c>
      <c r="G147" s="55">
        <v>1862</v>
      </c>
      <c r="H147" s="55">
        <v>479</v>
      </c>
      <c r="I147" s="55">
        <v>398</v>
      </c>
      <c r="K147" s="54">
        <f t="shared" si="49"/>
        <v>5</v>
      </c>
      <c r="L147" s="55">
        <v>2</v>
      </c>
      <c r="M147" s="55">
        <v>1</v>
      </c>
      <c r="N147" s="55">
        <v>1</v>
      </c>
      <c r="O147" s="55">
        <v>0</v>
      </c>
      <c r="P147" s="55">
        <v>1</v>
      </c>
      <c r="Q147" s="55">
        <v>0</v>
      </c>
      <c r="R147" s="55">
        <v>0</v>
      </c>
      <c r="T147" s="61">
        <f t="shared" si="50"/>
        <v>0.31640664831242987</v>
      </c>
      <c r="U147" s="61">
        <f t="shared" si="51"/>
        <v>0.11909860303864586</v>
      </c>
      <c r="V147" s="61">
        <f t="shared" si="52"/>
        <v>0.20842255531763026</v>
      </c>
      <c r="W147" s="61">
        <f t="shared" si="53"/>
        <v>7.6781890486387269E-2</v>
      </c>
      <c r="X147" s="61">
        <f t="shared" si="54"/>
        <v>0.18986438258386867</v>
      </c>
      <c r="Y147" s="61">
        <f t="shared" si="55"/>
        <v>4.8842663403691242E-2</v>
      </c>
      <c r="Z147" s="61">
        <f t="shared" si="56"/>
        <v>4.0583256857346796E-2</v>
      </c>
    </row>
    <row r="148" spans="1:26">
      <c r="A148" s="56" t="s">
        <v>1652</v>
      </c>
      <c r="B148" s="54">
        <f t="shared" si="48"/>
        <v>12409</v>
      </c>
      <c r="C148" s="55">
        <v>0</v>
      </c>
      <c r="D148" s="55">
        <v>283</v>
      </c>
      <c r="E148" s="55">
        <v>5194</v>
      </c>
      <c r="F148" s="55">
        <v>6142</v>
      </c>
      <c r="G148" s="55">
        <v>326</v>
      </c>
      <c r="H148" s="55">
        <v>380</v>
      </c>
      <c r="I148" s="55">
        <v>84</v>
      </c>
      <c r="J148" s="55"/>
      <c r="K148" s="54">
        <f t="shared" si="49"/>
        <v>5</v>
      </c>
      <c r="L148" s="55">
        <v>0</v>
      </c>
      <c r="M148" s="55">
        <v>0</v>
      </c>
      <c r="N148" s="55">
        <v>2</v>
      </c>
      <c r="O148" s="55">
        <v>3</v>
      </c>
      <c r="P148" s="55">
        <v>0</v>
      </c>
      <c r="Q148" s="55">
        <v>0</v>
      </c>
      <c r="R148" s="55">
        <v>0</v>
      </c>
      <c r="T148" s="61">
        <f t="shared" si="50"/>
        <v>0</v>
      </c>
      <c r="U148" s="61">
        <f t="shared" si="51"/>
        <v>2.2806027882988154E-2</v>
      </c>
      <c r="V148" s="61">
        <f t="shared" si="52"/>
        <v>0.41856716899024904</v>
      </c>
      <c r="W148" s="61">
        <f t="shared" si="53"/>
        <v>0.49496333306471108</v>
      </c>
      <c r="X148" s="61">
        <f t="shared" si="54"/>
        <v>2.6271254734466919E-2</v>
      </c>
      <c r="Y148" s="61">
        <f t="shared" si="55"/>
        <v>3.062293496655653E-2</v>
      </c>
      <c r="Z148" s="61">
        <f t="shared" si="56"/>
        <v>6.7692803610282862E-3</v>
      </c>
    </row>
    <row r="149" spans="1:26">
      <c r="A149" s="56" t="s">
        <v>1653</v>
      </c>
      <c r="B149" s="54">
        <f t="shared" si="48"/>
        <v>11690</v>
      </c>
      <c r="C149" s="55">
        <v>0</v>
      </c>
      <c r="D149" s="55">
        <v>0</v>
      </c>
      <c r="E149" s="55">
        <v>3336</v>
      </c>
      <c r="F149" s="55">
        <v>7126</v>
      </c>
      <c r="G149" s="55">
        <v>135</v>
      </c>
      <c r="H149" s="55">
        <v>1093</v>
      </c>
      <c r="I149" s="55">
        <v>0</v>
      </c>
      <c r="K149" s="54">
        <f t="shared" si="49"/>
        <v>5</v>
      </c>
      <c r="L149" s="55">
        <v>0</v>
      </c>
      <c r="M149" s="55">
        <v>0</v>
      </c>
      <c r="N149" s="55">
        <v>2</v>
      </c>
      <c r="O149" s="55">
        <v>3</v>
      </c>
      <c r="P149" s="55">
        <v>0</v>
      </c>
      <c r="Q149" s="55">
        <v>0</v>
      </c>
      <c r="R149" s="55">
        <v>0</v>
      </c>
      <c r="T149" s="61">
        <f t="shared" si="50"/>
        <v>0</v>
      </c>
      <c r="U149" s="61">
        <f t="shared" si="51"/>
        <v>0</v>
      </c>
      <c r="V149" s="61">
        <f t="shared" si="52"/>
        <v>0.28537211291702308</v>
      </c>
      <c r="W149" s="61">
        <f t="shared" si="53"/>
        <v>0.6095808383233533</v>
      </c>
      <c r="X149" s="61">
        <f t="shared" si="54"/>
        <v>1.1548331907613344E-2</v>
      </c>
      <c r="Y149" s="61">
        <f t="shared" si="55"/>
        <v>9.3498716852010264E-2</v>
      </c>
      <c r="Z149" s="61">
        <f t="shared" si="56"/>
        <v>0</v>
      </c>
    </row>
    <row r="150" spans="1:26" s="52" customFormat="1">
      <c r="A150" s="53" t="s">
        <v>1654</v>
      </c>
      <c r="B150" s="54">
        <f>SUM(B141:B149)</f>
        <v>105227</v>
      </c>
      <c r="C150" s="54">
        <f t="shared" ref="C150:P150" si="57">SUM(C141:C149)</f>
        <v>22846</v>
      </c>
      <c r="D150" s="54">
        <f>SUM(D141:D149)</f>
        <v>15618</v>
      </c>
      <c r="E150" s="54">
        <f t="shared" si="57"/>
        <v>16937</v>
      </c>
      <c r="F150" s="54">
        <f t="shared" si="57"/>
        <v>19688</v>
      </c>
      <c r="G150" s="54">
        <f t="shared" si="57"/>
        <v>11479</v>
      </c>
      <c r="H150" s="54">
        <f>SUM(H141:H149)</f>
        <v>5571</v>
      </c>
      <c r="I150" s="54">
        <f>SUM(I141:I149)</f>
        <v>13088</v>
      </c>
      <c r="J150" s="54"/>
      <c r="K150" s="54">
        <f t="shared" si="57"/>
        <v>51</v>
      </c>
      <c r="L150" s="54">
        <f t="shared" si="57"/>
        <v>14</v>
      </c>
      <c r="M150" s="54">
        <f t="shared" si="57"/>
        <v>8</v>
      </c>
      <c r="N150" s="54">
        <f t="shared" si="57"/>
        <v>8</v>
      </c>
      <c r="O150" s="54">
        <f t="shared" si="57"/>
        <v>8</v>
      </c>
      <c r="P150" s="54">
        <f t="shared" si="57"/>
        <v>6</v>
      </c>
      <c r="Q150" s="54">
        <f>SUM(Q141:Q149)</f>
        <v>1</v>
      </c>
      <c r="R150" s="54">
        <f>SUM(R141:R149)</f>
        <v>6</v>
      </c>
      <c r="T150" s="60">
        <f t="shared" si="50"/>
        <v>0.21711157782698356</v>
      </c>
      <c r="U150" s="60">
        <f t="shared" si="51"/>
        <v>0.14842198295114373</v>
      </c>
      <c r="V150" s="60">
        <f t="shared" si="52"/>
        <v>0.16095678865690366</v>
      </c>
      <c r="W150" s="60">
        <f t="shared" si="53"/>
        <v>0.18710026894238171</v>
      </c>
      <c r="X150" s="60">
        <f t="shared" si="54"/>
        <v>0.10908797171828523</v>
      </c>
      <c r="Y150" s="60">
        <f t="shared" si="55"/>
        <v>5.294268581257662E-2</v>
      </c>
      <c r="Z150" s="60">
        <f t="shared" si="56"/>
        <v>0.12437872409172551</v>
      </c>
    </row>
    <row r="151" spans="1:26">
      <c r="A151" s="53"/>
      <c r="B151" s="54"/>
      <c r="C151" s="55"/>
      <c r="D151" s="55"/>
      <c r="E151" s="55"/>
      <c r="F151" s="55"/>
      <c r="G151" s="55"/>
      <c r="H151" s="55"/>
      <c r="I151" s="55"/>
      <c r="K151" s="54"/>
      <c r="L151" s="55"/>
      <c r="M151" s="55"/>
      <c r="N151" s="55"/>
      <c r="O151" s="55"/>
      <c r="P151" s="55"/>
      <c r="Q151" s="55"/>
      <c r="R151" s="55"/>
    </row>
    <row r="152" spans="1:26" s="52" customFormat="1">
      <c r="A152" s="53" t="s">
        <v>1255</v>
      </c>
      <c r="B152" s="54">
        <f t="shared" ref="B152:I152" si="58">SUM(B150+B139+B132+B127+B122+B117+B112+B106+B101+B96+B90+B85+B79+B73+B68+B62+B55+B49+B44+B39+B32+B27+B22+B16+B11+B6)</f>
        <v>617422</v>
      </c>
      <c r="C152" s="54">
        <f t="shared" si="58"/>
        <v>193028</v>
      </c>
      <c r="D152" s="54">
        <f t="shared" si="58"/>
        <v>109332</v>
      </c>
      <c r="E152" s="54">
        <f t="shared" si="58"/>
        <v>129557</v>
      </c>
      <c r="F152" s="54">
        <f t="shared" si="58"/>
        <v>69242</v>
      </c>
      <c r="G152" s="54">
        <f t="shared" si="58"/>
        <v>42659</v>
      </c>
      <c r="H152" s="54">
        <f t="shared" si="58"/>
        <v>12936</v>
      </c>
      <c r="I152" s="54">
        <f t="shared" si="58"/>
        <v>60668</v>
      </c>
      <c r="J152" s="54"/>
      <c r="K152" s="54">
        <f t="shared" ref="K152:R152" si="59">SUM(K150+K139+K132+K127+K122+K117+K112+K106+K101+K96+K90+K85+K79+K73+K68+K62+K55+K49+K44+K39+K32+K27+K22+K16+K11+K6)</f>
        <v>565</v>
      </c>
      <c r="L152" s="54">
        <f t="shared" si="59"/>
        <v>194</v>
      </c>
      <c r="M152" s="54">
        <f t="shared" si="59"/>
        <v>110</v>
      </c>
      <c r="N152" s="54">
        <f t="shared" si="59"/>
        <v>121</v>
      </c>
      <c r="O152" s="54">
        <f t="shared" si="59"/>
        <v>43</v>
      </c>
      <c r="P152" s="54">
        <f t="shared" si="59"/>
        <v>38</v>
      </c>
      <c r="Q152" s="54">
        <f t="shared" si="59"/>
        <v>4</v>
      </c>
      <c r="R152" s="54">
        <f t="shared" si="59"/>
        <v>55</v>
      </c>
      <c r="T152" s="60">
        <f>SUM(C152/B152)</f>
        <v>0.31263544220970424</v>
      </c>
      <c r="U152" s="60">
        <f>SUM(D152/B152)</f>
        <v>0.17707823822280386</v>
      </c>
      <c r="V152" s="60">
        <f>SUM(E152/B152)</f>
        <v>0.209835412408369</v>
      </c>
      <c r="W152" s="60">
        <f>SUM(F152/B152)</f>
        <v>0.11214695945398771</v>
      </c>
      <c r="X152" s="60">
        <f>SUM(G152/B152)</f>
        <v>6.9092128236441203E-2</v>
      </c>
      <c r="Y152" s="60">
        <f>SUM(H152/B152)</f>
        <v>2.0951634376488042E-2</v>
      </c>
      <c r="Z152" s="60">
        <f>SUM(I152/B152)</f>
        <v>9.8260185092205979E-2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40.xml><?xml version="1.0" encoding="utf-8"?>
<worksheet xmlns="http://schemas.openxmlformats.org/spreadsheetml/2006/main" xmlns:r="http://schemas.openxmlformats.org/officeDocument/2006/relationships">
  <sheetPr codeName="Sheet8"/>
  <dimension ref="A1:AC152"/>
  <sheetViews>
    <sheetView workbookViewId="0">
      <pane ySplit="1" topLeftCell="A127" activePane="bottomLeft" state="frozen"/>
      <selection pane="bottomLeft" activeCell="K151" sqref="K151"/>
    </sheetView>
  </sheetViews>
  <sheetFormatPr defaultRowHeight="15"/>
  <cols>
    <col min="1" max="1" width="23.5703125" style="47" customWidth="1"/>
    <col min="2" max="2" width="8.7109375" style="47" customWidth="1"/>
    <col min="3" max="5" width="8.85546875" customWidth="1"/>
    <col min="6" max="6" width="8.5703125" customWidth="1"/>
    <col min="7" max="7" width="7.7109375" customWidth="1"/>
    <col min="8" max="8" width="8" customWidth="1"/>
    <col min="9" max="9" width="7.28515625" customWidth="1"/>
    <col min="10" max="10" width="8.140625" customWidth="1"/>
    <col min="11" max="11" width="1" customWidth="1"/>
    <col min="12" max="12" width="6.7109375" style="47" customWidth="1"/>
    <col min="13" max="15" width="5.42578125" customWidth="1"/>
    <col min="16" max="17" width="5.140625" customWidth="1"/>
    <col min="18" max="19" width="4.7109375" customWidth="1"/>
    <col min="20" max="20" width="4.85546875" customWidth="1"/>
    <col min="21" max="21" width="1" customWidth="1"/>
    <col min="22" max="25" width="7.28515625" style="61" customWidth="1"/>
    <col min="26" max="29" width="7.7109375" style="61" customWidth="1"/>
  </cols>
  <sheetData>
    <row r="1" spans="1:29">
      <c r="A1" s="47" t="s">
        <v>1528</v>
      </c>
      <c r="B1" s="47" t="s">
        <v>1248</v>
      </c>
      <c r="C1" s="49" t="s">
        <v>1257</v>
      </c>
      <c r="D1" s="50" t="s">
        <v>1258</v>
      </c>
      <c r="E1" s="48" t="s">
        <v>1261</v>
      </c>
      <c r="F1" s="65" t="s">
        <v>1247</v>
      </c>
      <c r="G1" s="66" t="s">
        <v>1529</v>
      </c>
      <c r="H1" s="73" t="s">
        <v>1286</v>
      </c>
      <c r="I1" s="74" t="s">
        <v>1864</v>
      </c>
      <c r="J1" s="52" t="s">
        <v>1254</v>
      </c>
      <c r="K1" s="47"/>
      <c r="L1" s="47" t="s">
        <v>1250</v>
      </c>
      <c r="M1" s="49" t="s">
        <v>1257</v>
      </c>
      <c r="N1" s="50" t="s">
        <v>1258</v>
      </c>
      <c r="O1" s="48" t="s">
        <v>1261</v>
      </c>
      <c r="P1" s="65" t="s">
        <v>1247</v>
      </c>
      <c r="Q1" s="66" t="s">
        <v>1269</v>
      </c>
      <c r="R1" s="73" t="s">
        <v>1286</v>
      </c>
      <c r="S1" s="74" t="s">
        <v>1864</v>
      </c>
      <c r="T1" s="52" t="s">
        <v>1254</v>
      </c>
      <c r="V1" s="49" t="s">
        <v>1257</v>
      </c>
      <c r="W1" s="50" t="s">
        <v>1258</v>
      </c>
      <c r="X1" s="48" t="s">
        <v>1261</v>
      </c>
      <c r="Y1" s="65" t="s">
        <v>1247</v>
      </c>
      <c r="Z1" s="66" t="s">
        <v>1529</v>
      </c>
      <c r="AA1" s="73" t="s">
        <v>1286</v>
      </c>
      <c r="AB1" s="74" t="s">
        <v>1864</v>
      </c>
      <c r="AC1" s="60" t="s">
        <v>1254</v>
      </c>
    </row>
    <row r="2" spans="1:29">
      <c r="A2" s="56" t="s">
        <v>1534</v>
      </c>
      <c r="B2" s="54">
        <f>SUM(C2:J2)</f>
        <v>8248</v>
      </c>
      <c r="C2" s="55">
        <v>2604</v>
      </c>
      <c r="D2" s="55">
        <v>779</v>
      </c>
      <c r="E2" s="55">
        <v>1425</v>
      </c>
      <c r="F2" s="55">
        <v>3086</v>
      </c>
      <c r="G2" s="55">
        <v>0</v>
      </c>
      <c r="H2" s="55">
        <v>0</v>
      </c>
      <c r="I2" s="55">
        <v>241</v>
      </c>
      <c r="J2" s="55">
        <v>113</v>
      </c>
      <c r="L2" s="54">
        <f>SUM(M2:T2)</f>
        <v>6</v>
      </c>
      <c r="M2" s="55">
        <v>2</v>
      </c>
      <c r="N2" s="55">
        <v>0</v>
      </c>
      <c r="O2" s="55">
        <v>1</v>
      </c>
      <c r="P2" s="55">
        <v>3</v>
      </c>
      <c r="Q2" s="55">
        <v>0</v>
      </c>
      <c r="R2" s="55">
        <v>0</v>
      </c>
      <c r="S2" s="55">
        <v>0</v>
      </c>
      <c r="T2" s="55">
        <v>0</v>
      </c>
      <c r="V2" s="61">
        <f>SUM(C2/B2)</f>
        <v>0.31571290009699321</v>
      </c>
      <c r="W2" s="61">
        <f>SUM(D2/B2)</f>
        <v>9.4447138700290978E-2</v>
      </c>
      <c r="X2" s="61">
        <f>SUM(E2/B2)</f>
        <v>0.17276915615906888</v>
      </c>
      <c r="Y2" s="61">
        <f>SUM(F2/B2)</f>
        <v>0.3741513094083414</v>
      </c>
      <c r="Z2" s="61">
        <f>SUM(G2/B2)</f>
        <v>0</v>
      </c>
      <c r="AA2" s="61">
        <f t="shared" ref="AA2:AB6" si="0">SUM(H2/B2)</f>
        <v>0</v>
      </c>
      <c r="AB2" s="61">
        <f t="shared" si="0"/>
        <v>9.2549923195084483E-2</v>
      </c>
      <c r="AC2" s="61">
        <f>SUM(J2/B2)</f>
        <v>1.3700290979631425E-2</v>
      </c>
    </row>
    <row r="3" spans="1:29">
      <c r="A3" s="56" t="s">
        <v>1535</v>
      </c>
      <c r="B3" s="54">
        <f>SUM(C3:J3)</f>
        <v>0</v>
      </c>
      <c r="C3" s="55">
        <v>0</v>
      </c>
      <c r="D3" s="55">
        <v>0</v>
      </c>
      <c r="E3" s="55">
        <v>0</v>
      </c>
      <c r="F3" s="55">
        <v>0</v>
      </c>
      <c r="G3" s="55">
        <v>0</v>
      </c>
      <c r="H3" s="55">
        <v>0</v>
      </c>
      <c r="I3" s="55">
        <v>0</v>
      </c>
      <c r="J3" s="55">
        <v>0</v>
      </c>
      <c r="L3" s="54">
        <f>SUM(M3:T3)</f>
        <v>5</v>
      </c>
      <c r="M3" s="55">
        <v>2</v>
      </c>
      <c r="N3" s="55">
        <v>1</v>
      </c>
      <c r="O3" s="55">
        <v>1</v>
      </c>
      <c r="P3" s="55">
        <v>1</v>
      </c>
      <c r="Q3" s="55">
        <v>0</v>
      </c>
      <c r="R3" s="55">
        <v>0</v>
      </c>
      <c r="S3" s="55">
        <v>0</v>
      </c>
      <c r="T3" s="55">
        <v>0</v>
      </c>
      <c r="V3" s="61" t="e">
        <f>SUM(C3/B3)</f>
        <v>#DIV/0!</v>
      </c>
      <c r="W3" s="61" t="e">
        <f>SUM(D3/B3)</f>
        <v>#DIV/0!</v>
      </c>
      <c r="X3" s="61" t="e">
        <f>SUM(E3/B3)</f>
        <v>#DIV/0!</v>
      </c>
      <c r="Y3" s="61" t="e">
        <f>SUM(F3/B3)</f>
        <v>#DIV/0!</v>
      </c>
      <c r="Z3" s="61" t="e">
        <f>SUM(G3/B3)</f>
        <v>#DIV/0!</v>
      </c>
      <c r="AA3" s="61" t="e">
        <f t="shared" si="0"/>
        <v>#DIV/0!</v>
      </c>
      <c r="AB3" s="61" t="e">
        <f t="shared" si="0"/>
        <v>#DIV/0!</v>
      </c>
      <c r="AC3" s="61" t="e">
        <f>SUM(J3/B3)</f>
        <v>#DIV/0!</v>
      </c>
    </row>
    <row r="4" spans="1:29">
      <c r="A4" s="56" t="s">
        <v>1536</v>
      </c>
      <c r="B4" s="54">
        <f>SUM(C4:J4)</f>
        <v>7394</v>
      </c>
      <c r="C4" s="55">
        <v>2020</v>
      </c>
      <c r="D4" s="55">
        <v>405</v>
      </c>
      <c r="E4" s="55">
        <v>988</v>
      </c>
      <c r="F4" s="55">
        <v>2360</v>
      </c>
      <c r="G4" s="55">
        <v>0</v>
      </c>
      <c r="H4" s="55">
        <v>0</v>
      </c>
      <c r="I4" s="55">
        <v>1156</v>
      </c>
      <c r="J4" s="55">
        <v>465</v>
      </c>
      <c r="L4" s="54">
        <f>SUM(M4:T4)</f>
        <v>5</v>
      </c>
      <c r="M4" s="55">
        <v>1</v>
      </c>
      <c r="N4" s="55">
        <v>0</v>
      </c>
      <c r="O4" s="55">
        <v>1</v>
      </c>
      <c r="P4" s="55">
        <v>2</v>
      </c>
      <c r="Q4" s="55">
        <v>0</v>
      </c>
      <c r="R4" s="55">
        <v>0</v>
      </c>
      <c r="S4" s="55">
        <v>1</v>
      </c>
      <c r="T4" s="55">
        <v>0</v>
      </c>
      <c r="V4" s="61">
        <f>SUM(C4/B4)</f>
        <v>0.27319448201244251</v>
      </c>
      <c r="W4" s="61">
        <f>SUM(D4/B4)</f>
        <v>5.4774141195563973E-2</v>
      </c>
      <c r="X4" s="61">
        <f>SUM(E4/B4)</f>
        <v>0.13362185555856099</v>
      </c>
      <c r="Y4" s="61">
        <f>SUM(F4/B4)</f>
        <v>0.31917771165810116</v>
      </c>
      <c r="Z4" s="61">
        <f>SUM(G4/B4)</f>
        <v>0</v>
      </c>
      <c r="AA4" s="61">
        <f t="shared" si="0"/>
        <v>0</v>
      </c>
      <c r="AB4" s="61">
        <f t="shared" si="0"/>
        <v>0.57227722772277223</v>
      </c>
      <c r="AC4" s="61">
        <f>SUM(J4/B4)</f>
        <v>6.2888828780091971E-2</v>
      </c>
    </row>
    <row r="5" spans="1:29">
      <c r="A5" s="56" t="s">
        <v>1537</v>
      </c>
      <c r="B5" s="54">
        <f>SUM(C5:J5)</f>
        <v>9229</v>
      </c>
      <c r="C5" s="55">
        <v>3391</v>
      </c>
      <c r="D5" s="55">
        <v>1510</v>
      </c>
      <c r="E5" s="55">
        <v>1397</v>
      </c>
      <c r="F5" s="55">
        <v>1653</v>
      </c>
      <c r="G5" s="55">
        <v>365</v>
      </c>
      <c r="H5" s="55">
        <v>405</v>
      </c>
      <c r="I5" s="55">
        <v>434</v>
      </c>
      <c r="J5" s="55">
        <v>74</v>
      </c>
      <c r="K5" s="55"/>
      <c r="L5" s="54">
        <f>SUM(M5:T5)</f>
        <v>7</v>
      </c>
      <c r="M5" s="55">
        <v>3</v>
      </c>
      <c r="N5" s="55">
        <v>1</v>
      </c>
      <c r="O5" s="55">
        <v>1</v>
      </c>
      <c r="P5" s="55">
        <v>2</v>
      </c>
      <c r="Q5" s="55">
        <v>0</v>
      </c>
      <c r="R5" s="55">
        <v>0</v>
      </c>
      <c r="S5" s="55">
        <v>0</v>
      </c>
      <c r="T5" s="55">
        <v>0</v>
      </c>
      <c r="V5" s="61">
        <f>SUM(C5/B5)</f>
        <v>0.36742875717845919</v>
      </c>
      <c r="W5" s="61">
        <f>SUM(D5/B5)</f>
        <v>0.16361469281612309</v>
      </c>
      <c r="X5" s="61">
        <f>SUM(E5/B5)</f>
        <v>0.15137067938021453</v>
      </c>
      <c r="Y5" s="61">
        <f>SUM(F5/B5)</f>
        <v>0.17910932928811354</v>
      </c>
      <c r="Z5" s="61">
        <f>SUM(G5/B5)</f>
        <v>3.9549246938996641E-2</v>
      </c>
      <c r="AA5" s="61">
        <f t="shared" si="0"/>
        <v>4.388341098710586E-2</v>
      </c>
      <c r="AB5" s="61">
        <f t="shared" si="0"/>
        <v>0.12798584488351519</v>
      </c>
      <c r="AC5" s="61">
        <f>SUM(J5/B5)</f>
        <v>8.0182034890020591E-3</v>
      </c>
    </row>
    <row r="6" spans="1:29" s="52" customFormat="1">
      <c r="A6" s="53" t="s">
        <v>1532</v>
      </c>
      <c r="B6" s="54">
        <f>SUM(B2:B5)</f>
        <v>24871</v>
      </c>
      <c r="C6" s="54">
        <f t="shared" ref="C6:Q6" si="1">SUM(C2:C5)</f>
        <v>8015</v>
      </c>
      <c r="D6" s="54">
        <f>SUM(D2:D5)</f>
        <v>2694</v>
      </c>
      <c r="E6" s="54">
        <f t="shared" si="1"/>
        <v>3810</v>
      </c>
      <c r="F6" s="54">
        <f t="shared" si="1"/>
        <v>7099</v>
      </c>
      <c r="G6" s="54">
        <f t="shared" si="1"/>
        <v>365</v>
      </c>
      <c r="H6" s="54">
        <f>SUM(H2:H5)</f>
        <v>405</v>
      </c>
      <c r="I6" s="54">
        <f>SUM(I2:I5)</f>
        <v>1831</v>
      </c>
      <c r="J6" s="54">
        <f>SUM(J2:J5)</f>
        <v>652</v>
      </c>
      <c r="K6" s="54"/>
      <c r="L6" s="54">
        <f t="shared" si="1"/>
        <v>23</v>
      </c>
      <c r="M6" s="54">
        <f t="shared" si="1"/>
        <v>8</v>
      </c>
      <c r="N6" s="54">
        <f t="shared" si="1"/>
        <v>2</v>
      </c>
      <c r="O6" s="54">
        <f t="shared" si="1"/>
        <v>4</v>
      </c>
      <c r="P6" s="54">
        <f t="shared" si="1"/>
        <v>8</v>
      </c>
      <c r="Q6" s="54">
        <f t="shared" si="1"/>
        <v>0</v>
      </c>
      <c r="R6" s="54">
        <f>SUM(R2:R5)</f>
        <v>0</v>
      </c>
      <c r="S6" s="54">
        <f>SUM(S2:S5)</f>
        <v>1</v>
      </c>
      <c r="T6" s="54">
        <f>SUM(T2:T5)</f>
        <v>0</v>
      </c>
      <c r="V6" s="60">
        <f>SUM(C6/B6)</f>
        <v>0.322262876442443</v>
      </c>
      <c r="W6" s="60">
        <f>SUM(D6/B6)</f>
        <v>0.10831892565638696</v>
      </c>
      <c r="X6" s="60">
        <f>SUM(E6/B6)</f>
        <v>0.15319046278798601</v>
      </c>
      <c r="Y6" s="60">
        <f>SUM(F6/B6)</f>
        <v>0.28543283342044951</v>
      </c>
      <c r="Z6" s="60">
        <f>SUM(G6/B6)</f>
        <v>1.4675726750030156E-2</v>
      </c>
      <c r="AA6" s="60">
        <f t="shared" si="0"/>
        <v>1.6284025571951268E-2</v>
      </c>
      <c r="AB6" s="60">
        <f t="shared" si="0"/>
        <v>0.22844666250779788</v>
      </c>
      <c r="AC6" s="60">
        <f>SUM(J6/B6)</f>
        <v>2.6215270797314141E-2</v>
      </c>
    </row>
    <row r="7" spans="1:29">
      <c r="A7" s="53"/>
      <c r="B7" s="54"/>
      <c r="C7" s="55"/>
      <c r="D7" s="55"/>
      <c r="E7" s="55"/>
      <c r="F7" s="55"/>
      <c r="G7" s="55"/>
      <c r="H7" s="55"/>
      <c r="I7" s="55"/>
      <c r="J7" s="55"/>
      <c r="L7" s="54"/>
      <c r="M7" s="55"/>
      <c r="N7" s="55"/>
      <c r="O7" s="55"/>
      <c r="P7" s="55"/>
      <c r="Q7" s="55"/>
      <c r="R7" s="55"/>
      <c r="S7" s="55"/>
      <c r="T7" s="55"/>
    </row>
    <row r="8" spans="1:29">
      <c r="A8" s="56" t="s">
        <v>1538</v>
      </c>
      <c r="B8" s="54">
        <f>SUM(C8:J8)</f>
        <v>7917</v>
      </c>
      <c r="C8" s="55">
        <v>1816</v>
      </c>
      <c r="D8" s="55">
        <v>1357</v>
      </c>
      <c r="E8" s="55">
        <v>1603</v>
      </c>
      <c r="F8" s="55">
        <v>2275</v>
      </c>
      <c r="G8" s="55">
        <v>175</v>
      </c>
      <c r="H8" s="55">
        <v>204</v>
      </c>
      <c r="I8" s="55">
        <v>487</v>
      </c>
      <c r="J8" s="55">
        <v>0</v>
      </c>
      <c r="L8" s="54">
        <f>SUM(M8:T8)</f>
        <v>7</v>
      </c>
      <c r="M8" s="55">
        <v>2</v>
      </c>
      <c r="N8" s="55">
        <v>1</v>
      </c>
      <c r="O8" s="55">
        <v>2</v>
      </c>
      <c r="P8" s="55">
        <v>2</v>
      </c>
      <c r="Q8" s="55">
        <v>0</v>
      </c>
      <c r="R8" s="55">
        <v>0</v>
      </c>
      <c r="S8" s="55">
        <v>0</v>
      </c>
      <c r="T8" s="55">
        <v>0</v>
      </c>
      <c r="V8" s="61">
        <f>SUM(C8/B8)</f>
        <v>0.22937981558671214</v>
      </c>
      <c r="W8" s="61">
        <f>SUM(D8/B8)</f>
        <v>0.17140330933434381</v>
      </c>
      <c r="X8" s="61">
        <f>SUM(E8/B8)</f>
        <v>0.20247568523430592</v>
      </c>
      <c r="Y8" s="61">
        <f>SUM(F8/B8)</f>
        <v>0.28735632183908044</v>
      </c>
      <c r="Z8" s="61">
        <f>SUM(G8/B8)</f>
        <v>2.2104332449160036E-2</v>
      </c>
      <c r="AA8" s="61">
        <f t="shared" ref="AA8:AB11" si="2">SUM(H8/B8)</f>
        <v>2.5767336112163697E-2</v>
      </c>
      <c r="AB8" s="61">
        <f t="shared" si="2"/>
        <v>0.26817180616740088</v>
      </c>
      <c r="AC8" s="61">
        <f>SUM(J8/B8)</f>
        <v>0</v>
      </c>
    </row>
    <row r="9" spans="1:29">
      <c r="A9" s="56" t="s">
        <v>1539</v>
      </c>
      <c r="B9" s="54">
        <f>SUM(C9:J9)</f>
        <v>7808</v>
      </c>
      <c r="C9" s="55">
        <v>1043</v>
      </c>
      <c r="D9" s="55">
        <v>1373</v>
      </c>
      <c r="E9" s="55">
        <v>949</v>
      </c>
      <c r="F9" s="55">
        <v>3523</v>
      </c>
      <c r="G9" s="55">
        <v>297</v>
      </c>
      <c r="H9" s="55">
        <v>253</v>
      </c>
      <c r="I9" s="55">
        <v>370</v>
      </c>
      <c r="J9" s="55">
        <v>0</v>
      </c>
      <c r="L9" s="54">
        <f>SUM(M9:T9)</f>
        <v>7</v>
      </c>
      <c r="M9" s="55">
        <v>1</v>
      </c>
      <c r="N9" s="55">
        <v>1</v>
      </c>
      <c r="O9" s="55">
        <v>1</v>
      </c>
      <c r="P9" s="55">
        <v>3</v>
      </c>
      <c r="Q9" s="55">
        <v>0</v>
      </c>
      <c r="R9" s="55">
        <v>0</v>
      </c>
      <c r="S9" s="55">
        <v>1</v>
      </c>
      <c r="T9" s="55">
        <v>0</v>
      </c>
      <c r="V9" s="61">
        <f>SUM(C9/B9)</f>
        <v>0.13358094262295081</v>
      </c>
      <c r="W9" s="61">
        <f>SUM(D9/B9)</f>
        <v>0.17584528688524589</v>
      </c>
      <c r="X9" s="61">
        <f>SUM(E9/B9)</f>
        <v>0.12154200819672131</v>
      </c>
      <c r="Y9" s="61">
        <f>SUM(F9/B9)</f>
        <v>0.45120389344262296</v>
      </c>
      <c r="Z9" s="61">
        <f>SUM(G9/B9)</f>
        <v>3.8037909836065573E-2</v>
      </c>
      <c r="AA9" s="61">
        <f t="shared" si="2"/>
        <v>3.2402663934426229E-2</v>
      </c>
      <c r="AB9" s="61">
        <f t="shared" si="2"/>
        <v>0.3547459252157239</v>
      </c>
      <c r="AC9" s="61">
        <f>SUM(J9/B9)</f>
        <v>0</v>
      </c>
    </row>
    <row r="10" spans="1:29">
      <c r="A10" s="56" t="s">
        <v>1530</v>
      </c>
      <c r="B10" s="54">
        <f>SUM(C10:J10)</f>
        <v>6474</v>
      </c>
      <c r="C10" s="55">
        <v>865</v>
      </c>
      <c r="D10" s="55">
        <v>1470</v>
      </c>
      <c r="E10" s="55">
        <v>1353</v>
      </c>
      <c r="F10" s="55">
        <v>1213</v>
      </c>
      <c r="G10" s="55">
        <v>576</v>
      </c>
      <c r="H10" s="55">
        <v>143</v>
      </c>
      <c r="I10" s="55">
        <v>75</v>
      </c>
      <c r="J10" s="55">
        <v>779</v>
      </c>
      <c r="L10" s="54">
        <f>SUM(M10:T10)</f>
        <v>7</v>
      </c>
      <c r="M10" s="55">
        <v>1</v>
      </c>
      <c r="N10" s="55">
        <v>2</v>
      </c>
      <c r="O10" s="55">
        <v>2</v>
      </c>
      <c r="P10" s="55">
        <v>1</v>
      </c>
      <c r="Q10" s="55">
        <v>0</v>
      </c>
      <c r="R10" s="55">
        <v>0</v>
      </c>
      <c r="S10" s="55">
        <v>0</v>
      </c>
      <c r="T10" s="55">
        <v>1</v>
      </c>
      <c r="V10" s="61">
        <f>SUM(C10/B10)</f>
        <v>0.1336113685511276</v>
      </c>
      <c r="W10" s="61">
        <f>SUM(D10/B10)</f>
        <v>0.22706209453197404</v>
      </c>
      <c r="X10" s="61">
        <f>SUM(E10/B10)</f>
        <v>0.20898980537534753</v>
      </c>
      <c r="Y10" s="61">
        <f>SUM(F10/B10)</f>
        <v>0.18736484399135001</v>
      </c>
      <c r="Z10" s="61">
        <f>SUM(G10/B10)</f>
        <v>8.8971269694161262E-2</v>
      </c>
      <c r="AA10" s="61">
        <f t="shared" si="2"/>
        <v>2.2088353413654619E-2</v>
      </c>
      <c r="AB10" s="61">
        <f t="shared" si="2"/>
        <v>8.6705202312138727E-2</v>
      </c>
      <c r="AC10" s="61">
        <f>SUM(J10/B10)</f>
        <v>0.12032746370095768</v>
      </c>
    </row>
    <row r="11" spans="1:29" s="52" customFormat="1">
      <c r="A11" s="53" t="s">
        <v>1531</v>
      </c>
      <c r="B11" s="54">
        <f>SUM(B8:B10)</f>
        <v>22199</v>
      </c>
      <c r="C11" s="54">
        <f t="shared" ref="C11:Q11" si="3">SUM(C8:C10)</f>
        <v>3724</v>
      </c>
      <c r="D11" s="54">
        <f>SUM(D8:D10)</f>
        <v>4200</v>
      </c>
      <c r="E11" s="54">
        <f t="shared" si="3"/>
        <v>3905</v>
      </c>
      <c r="F11" s="54">
        <f t="shared" si="3"/>
        <v>7011</v>
      </c>
      <c r="G11" s="54">
        <f t="shared" si="3"/>
        <v>1048</v>
      </c>
      <c r="H11" s="54">
        <f>SUM(H8:H10)</f>
        <v>600</v>
      </c>
      <c r="I11" s="54">
        <f>SUM(I8:I10)</f>
        <v>932</v>
      </c>
      <c r="J11" s="54">
        <f>SUM(J8:J10)</f>
        <v>779</v>
      </c>
      <c r="K11" s="54"/>
      <c r="L11" s="54">
        <f t="shared" si="3"/>
        <v>21</v>
      </c>
      <c r="M11" s="54">
        <f t="shared" si="3"/>
        <v>4</v>
      </c>
      <c r="N11" s="54">
        <f t="shared" si="3"/>
        <v>4</v>
      </c>
      <c r="O11" s="54">
        <f t="shared" si="3"/>
        <v>5</v>
      </c>
      <c r="P11" s="54">
        <f t="shared" si="3"/>
        <v>6</v>
      </c>
      <c r="Q11" s="54">
        <f t="shared" si="3"/>
        <v>0</v>
      </c>
      <c r="R11" s="54">
        <f>SUM(R8:R10)</f>
        <v>0</v>
      </c>
      <c r="S11" s="54">
        <f>SUM(S8:S10)</f>
        <v>1</v>
      </c>
      <c r="T11" s="54">
        <f>SUM(T8:T10)</f>
        <v>1</v>
      </c>
      <c r="V11" s="60">
        <f>SUM(C11/B11)</f>
        <v>0.16775530429298616</v>
      </c>
      <c r="W11" s="60">
        <f>SUM(D11/B11)</f>
        <v>0.18919771160863103</v>
      </c>
      <c r="X11" s="60">
        <f>SUM(E11/B11)</f>
        <v>0.17590882472183431</v>
      </c>
      <c r="Y11" s="60">
        <f>SUM(F11/B11)</f>
        <v>0.3158250371638362</v>
      </c>
      <c r="Z11" s="60">
        <f>SUM(G11/B11)</f>
        <v>4.7209333753772689E-2</v>
      </c>
      <c r="AA11" s="60">
        <f t="shared" si="2"/>
        <v>2.7028244515518718E-2</v>
      </c>
      <c r="AB11" s="60">
        <f t="shared" si="2"/>
        <v>0.2502685284640172</v>
      </c>
      <c r="AC11" s="60">
        <f>SUM(J11/B11)</f>
        <v>3.50916707959818E-2</v>
      </c>
    </row>
    <row r="12" spans="1:29">
      <c r="A12" s="53"/>
      <c r="B12" s="54"/>
      <c r="C12" s="55"/>
      <c r="D12" s="55"/>
      <c r="E12" s="55"/>
      <c r="F12" s="55"/>
      <c r="G12" s="55"/>
      <c r="H12" s="55"/>
      <c r="I12" s="55"/>
      <c r="J12" s="55"/>
      <c r="L12" s="54"/>
      <c r="M12" s="55"/>
      <c r="N12" s="55"/>
      <c r="O12" s="55"/>
      <c r="P12" s="55"/>
      <c r="Q12" s="55"/>
      <c r="R12" s="55"/>
      <c r="S12" s="55"/>
      <c r="T12" s="55"/>
    </row>
    <row r="13" spans="1:29">
      <c r="A13" s="56" t="s">
        <v>1540</v>
      </c>
      <c r="B13" s="54">
        <f>SUM(C13:J13)</f>
        <v>5843</v>
      </c>
      <c r="C13" s="55">
        <v>1357</v>
      </c>
      <c r="D13" s="55">
        <v>1937</v>
      </c>
      <c r="E13" s="55">
        <v>535</v>
      </c>
      <c r="F13" s="55">
        <v>1534</v>
      </c>
      <c r="G13" s="55">
        <v>0</v>
      </c>
      <c r="H13" s="55">
        <v>0</v>
      </c>
      <c r="I13" s="55">
        <v>0</v>
      </c>
      <c r="J13" s="55">
        <v>480</v>
      </c>
      <c r="L13" s="54">
        <f>SUM(M13:T13)</f>
        <v>5</v>
      </c>
      <c r="M13" s="55">
        <v>1</v>
      </c>
      <c r="N13" s="55">
        <v>2</v>
      </c>
      <c r="O13" s="55">
        <v>0</v>
      </c>
      <c r="P13" s="55">
        <v>1</v>
      </c>
      <c r="Q13" s="55">
        <v>0</v>
      </c>
      <c r="R13" s="55">
        <v>0</v>
      </c>
      <c r="S13" s="55">
        <v>0</v>
      </c>
      <c r="T13" s="55">
        <v>1</v>
      </c>
      <c r="V13" s="61">
        <f>SUM(C13/B13)</f>
        <v>0.23224371042272804</v>
      </c>
      <c r="W13" s="61">
        <f>SUM(D13/B13)</f>
        <v>0.33150778709567003</v>
      </c>
      <c r="X13" s="61">
        <f>SUM(E13/B13)</f>
        <v>9.156255348279993E-2</v>
      </c>
      <c r="Y13" s="61">
        <f>SUM(F13/B13)</f>
        <v>0.26253636830395344</v>
      </c>
      <c r="Z13" s="61">
        <f>SUM(G13/B13)</f>
        <v>0</v>
      </c>
      <c r="AA13" s="61">
        <f t="shared" ref="AA13:AB16" si="4">SUM(H13/B13)</f>
        <v>0</v>
      </c>
      <c r="AB13" s="61">
        <f t="shared" si="4"/>
        <v>0</v>
      </c>
      <c r="AC13" s="61">
        <f>SUM(J13/B13)</f>
        <v>8.214958069484854E-2</v>
      </c>
    </row>
    <row r="14" spans="1:29">
      <c r="A14" s="56" t="s">
        <v>1541</v>
      </c>
      <c r="B14" s="54">
        <f>SUM(C14:J14)</f>
        <v>5861</v>
      </c>
      <c r="C14" s="55">
        <v>1381</v>
      </c>
      <c r="D14" s="55">
        <v>2061</v>
      </c>
      <c r="E14" s="55">
        <v>1051</v>
      </c>
      <c r="F14" s="55">
        <v>772</v>
      </c>
      <c r="G14" s="55">
        <v>0</v>
      </c>
      <c r="H14" s="55">
        <v>0</v>
      </c>
      <c r="I14" s="55">
        <v>0</v>
      </c>
      <c r="J14" s="55">
        <v>596</v>
      </c>
      <c r="L14" s="54">
        <f>SUM(M14:T14)</f>
        <v>5</v>
      </c>
      <c r="M14" s="55">
        <v>1</v>
      </c>
      <c r="N14" s="55">
        <v>2</v>
      </c>
      <c r="O14" s="55">
        <v>1</v>
      </c>
      <c r="P14" s="55">
        <v>1</v>
      </c>
      <c r="Q14" s="55">
        <v>0</v>
      </c>
      <c r="R14" s="55">
        <v>0</v>
      </c>
      <c r="S14" s="55">
        <v>0</v>
      </c>
      <c r="T14" s="55">
        <v>0</v>
      </c>
      <c r="V14" s="61">
        <f>SUM(C14/B14)</f>
        <v>0.23562531991127794</v>
      </c>
      <c r="W14" s="61">
        <f>SUM(D14/B14)</f>
        <v>0.35164647671045896</v>
      </c>
      <c r="X14" s="61">
        <f>SUM(E14/B14)</f>
        <v>0.17932093499402832</v>
      </c>
      <c r="Y14" s="61">
        <f>SUM(F14/B14)</f>
        <v>0.13171813683671729</v>
      </c>
      <c r="Z14" s="61">
        <f>SUM(G14/B14)</f>
        <v>0</v>
      </c>
      <c r="AA14" s="61">
        <f t="shared" si="4"/>
        <v>0</v>
      </c>
      <c r="AB14" s="61">
        <f t="shared" si="4"/>
        <v>0</v>
      </c>
      <c r="AC14" s="61">
        <f>SUM(J14/B14)</f>
        <v>0.10168913154751749</v>
      </c>
    </row>
    <row r="15" spans="1:29">
      <c r="A15" s="56" t="s">
        <v>1655</v>
      </c>
      <c r="B15" s="54">
        <f>SUM(C15:J15)</f>
        <v>5666</v>
      </c>
      <c r="C15" s="55">
        <v>575</v>
      </c>
      <c r="D15" s="55">
        <v>527</v>
      </c>
      <c r="E15" s="55">
        <v>1733</v>
      </c>
      <c r="F15" s="55">
        <v>1581</v>
      </c>
      <c r="G15" s="55">
        <v>0</v>
      </c>
      <c r="H15" s="55">
        <v>0</v>
      </c>
      <c r="I15" s="55">
        <v>0</v>
      </c>
      <c r="J15" s="55">
        <v>1250</v>
      </c>
      <c r="L15" s="54">
        <f>SUM(M15:T15)</f>
        <v>5</v>
      </c>
      <c r="M15" s="55">
        <v>1</v>
      </c>
      <c r="N15" s="55">
        <v>0</v>
      </c>
      <c r="O15" s="55">
        <v>2</v>
      </c>
      <c r="P15" s="55">
        <v>1</v>
      </c>
      <c r="Q15" s="55">
        <v>0</v>
      </c>
      <c r="R15" s="55">
        <v>0</v>
      </c>
      <c r="S15" s="55">
        <v>0</v>
      </c>
      <c r="T15" s="55">
        <v>1</v>
      </c>
      <c r="V15" s="61">
        <f>SUM(C15/B15)</f>
        <v>0.10148252735615955</v>
      </c>
      <c r="W15" s="61">
        <f>SUM(D15/B15)</f>
        <v>9.3010942463819274E-2</v>
      </c>
      <c r="X15" s="61">
        <f>SUM(E15/B15)</f>
        <v>0.3058595128838687</v>
      </c>
      <c r="Y15" s="61">
        <f>SUM(F15/B15)</f>
        <v>0.27903282739145779</v>
      </c>
      <c r="Z15" s="61">
        <f>SUM(G15/B15)</f>
        <v>0</v>
      </c>
      <c r="AA15" s="61">
        <f t="shared" si="4"/>
        <v>0</v>
      </c>
      <c r="AB15" s="61">
        <f t="shared" si="4"/>
        <v>0</v>
      </c>
      <c r="AC15" s="61">
        <f>SUM(J15/B15)</f>
        <v>0.22061418990469467</v>
      </c>
    </row>
    <row r="16" spans="1:29" s="52" customFormat="1">
      <c r="A16" s="53" t="s">
        <v>1533</v>
      </c>
      <c r="B16" s="54">
        <f>SUM(B13:B15)</f>
        <v>17370</v>
      </c>
      <c r="C16" s="54">
        <f t="shared" ref="C16:Q16" si="5">SUM(C13:C15)</f>
        <v>3313</v>
      </c>
      <c r="D16" s="54">
        <f>SUM(D13:D15)</f>
        <v>4525</v>
      </c>
      <c r="E16" s="54">
        <f t="shared" si="5"/>
        <v>3319</v>
      </c>
      <c r="F16" s="54">
        <f t="shared" si="5"/>
        <v>3887</v>
      </c>
      <c r="G16" s="54">
        <f t="shared" si="5"/>
        <v>0</v>
      </c>
      <c r="H16" s="54">
        <f>SUM(H13:H15)</f>
        <v>0</v>
      </c>
      <c r="I16" s="54">
        <f>SUM(I13:I15)</f>
        <v>0</v>
      </c>
      <c r="J16" s="54">
        <f>SUM(J13:J15)</f>
        <v>2326</v>
      </c>
      <c r="K16" s="54"/>
      <c r="L16" s="54">
        <f t="shared" si="5"/>
        <v>15</v>
      </c>
      <c r="M16" s="54">
        <f t="shared" si="5"/>
        <v>3</v>
      </c>
      <c r="N16" s="54">
        <f t="shared" si="5"/>
        <v>4</v>
      </c>
      <c r="O16" s="54">
        <f t="shared" si="5"/>
        <v>3</v>
      </c>
      <c r="P16" s="54">
        <f t="shared" si="5"/>
        <v>3</v>
      </c>
      <c r="Q16" s="54">
        <f t="shared" si="5"/>
        <v>0</v>
      </c>
      <c r="R16" s="54">
        <f>SUM(R13:R15)</f>
        <v>0</v>
      </c>
      <c r="S16" s="54">
        <f>SUM(S13:S15)</f>
        <v>0</v>
      </c>
      <c r="T16" s="54">
        <f>SUM(T13:T15)</f>
        <v>2</v>
      </c>
      <c r="V16" s="60">
        <f>SUM(C16/B16)</f>
        <v>0.19073114565342544</v>
      </c>
      <c r="W16" s="60">
        <f>SUM(D16/B16)</f>
        <v>0.26050662061024754</v>
      </c>
      <c r="X16" s="60">
        <f>SUM(E16/B16)</f>
        <v>0.19107656879677606</v>
      </c>
      <c r="Y16" s="60">
        <f>SUM(F16/B16)</f>
        <v>0.22377662636729995</v>
      </c>
      <c r="Z16" s="60">
        <f>SUM(G16/B16)</f>
        <v>0</v>
      </c>
      <c r="AA16" s="60">
        <f t="shared" si="4"/>
        <v>0</v>
      </c>
      <c r="AB16" s="60">
        <f t="shared" si="4"/>
        <v>0</v>
      </c>
      <c r="AC16" s="60">
        <f>SUM(J16/B16)</f>
        <v>0.133909038572251</v>
      </c>
    </row>
    <row r="17" spans="1:29">
      <c r="A17" s="53"/>
      <c r="B17" s="54"/>
      <c r="C17" s="55"/>
      <c r="D17" s="55"/>
      <c r="E17" s="55"/>
      <c r="F17" s="55"/>
      <c r="G17" s="55"/>
      <c r="H17" s="55"/>
      <c r="I17" s="55"/>
      <c r="J17" s="55"/>
      <c r="L17" s="54"/>
      <c r="M17" s="55"/>
      <c r="N17" s="55"/>
      <c r="O17" s="55"/>
      <c r="P17" s="55"/>
      <c r="Q17" s="55"/>
      <c r="R17" s="55"/>
      <c r="S17" s="55"/>
      <c r="T17" s="55"/>
    </row>
    <row r="18" spans="1:29">
      <c r="A18" s="56" t="s">
        <v>1542</v>
      </c>
      <c r="B18" s="54">
        <f>SUM(C18:J18)</f>
        <v>6102</v>
      </c>
      <c r="C18" s="55">
        <v>1934</v>
      </c>
      <c r="D18" s="55">
        <v>1231</v>
      </c>
      <c r="E18" s="55">
        <v>1657</v>
      </c>
      <c r="F18" s="55">
        <v>1280</v>
      </c>
      <c r="G18" s="55">
        <v>0</v>
      </c>
      <c r="H18" s="55">
        <v>0</v>
      </c>
      <c r="I18" s="55">
        <v>0</v>
      </c>
      <c r="J18" s="55">
        <v>0</v>
      </c>
      <c r="L18" s="54">
        <f>SUM(M18:T18)</f>
        <v>5</v>
      </c>
      <c r="M18" s="55">
        <v>2</v>
      </c>
      <c r="N18" s="55">
        <v>1</v>
      </c>
      <c r="O18" s="55">
        <v>1</v>
      </c>
      <c r="P18" s="55">
        <v>1</v>
      </c>
      <c r="Q18" s="55">
        <v>0</v>
      </c>
      <c r="R18" s="55">
        <v>0</v>
      </c>
      <c r="S18" s="55">
        <v>0</v>
      </c>
      <c r="T18" s="55">
        <v>0</v>
      </c>
      <c r="V18" s="61">
        <f>SUM(C18/B18)</f>
        <v>0.31694526384791871</v>
      </c>
      <c r="W18" s="61">
        <f>SUM(D18/B18)</f>
        <v>0.20173713536545396</v>
      </c>
      <c r="X18" s="61">
        <f>SUM(E18/B18)</f>
        <v>0.2715503113733202</v>
      </c>
      <c r="Y18" s="61">
        <f>SUM(F18/B18)</f>
        <v>0.20976728941330711</v>
      </c>
      <c r="Z18" s="61">
        <f>SUM(G18/B18)</f>
        <v>0</v>
      </c>
      <c r="AA18" s="61">
        <f t="shared" ref="AA18:AB22" si="6">SUM(H18/B18)</f>
        <v>0</v>
      </c>
      <c r="AB18" s="61">
        <f t="shared" si="6"/>
        <v>0</v>
      </c>
      <c r="AC18" s="61">
        <f>SUM(J18/B18)</f>
        <v>0</v>
      </c>
    </row>
    <row r="19" spans="1:29">
      <c r="A19" s="56" t="s">
        <v>1543</v>
      </c>
      <c r="B19" s="54">
        <f>SUM(C19:J19)</f>
        <v>5806</v>
      </c>
      <c r="C19" s="55">
        <v>2560</v>
      </c>
      <c r="D19" s="55">
        <v>1595</v>
      </c>
      <c r="E19" s="55">
        <v>848</v>
      </c>
      <c r="F19" s="55">
        <v>803</v>
      </c>
      <c r="G19" s="55">
        <v>0</v>
      </c>
      <c r="H19" s="55">
        <v>0</v>
      </c>
      <c r="I19" s="55">
        <v>0</v>
      </c>
      <c r="J19" s="55">
        <v>0</v>
      </c>
      <c r="L19" s="54">
        <f>SUM(M19:T19)</f>
        <v>5</v>
      </c>
      <c r="M19" s="55">
        <v>3</v>
      </c>
      <c r="N19" s="55">
        <v>1</v>
      </c>
      <c r="O19" s="55">
        <v>1</v>
      </c>
      <c r="P19" s="55">
        <v>0</v>
      </c>
      <c r="Q19" s="55">
        <v>0</v>
      </c>
      <c r="R19" s="55">
        <v>0</v>
      </c>
      <c r="S19" s="55">
        <v>0</v>
      </c>
      <c r="T19" s="55">
        <v>0</v>
      </c>
      <c r="V19" s="61">
        <f>SUM(C19/B19)</f>
        <v>0.44092318291422666</v>
      </c>
      <c r="W19" s="61">
        <f>SUM(D19/B19)</f>
        <v>0.2747158112297623</v>
      </c>
      <c r="X19" s="61">
        <f>SUM(E19/B19)</f>
        <v>0.14605580434033757</v>
      </c>
      <c r="Y19" s="61">
        <f>SUM(F19/B19)</f>
        <v>0.13830520151567344</v>
      </c>
      <c r="Z19" s="61">
        <f>SUM(G19/B19)</f>
        <v>0</v>
      </c>
      <c r="AA19" s="61">
        <f t="shared" si="6"/>
        <v>0</v>
      </c>
      <c r="AB19" s="61">
        <f t="shared" si="6"/>
        <v>0</v>
      </c>
      <c r="AC19" s="61">
        <f>SUM(J19/B19)</f>
        <v>0</v>
      </c>
    </row>
    <row r="20" spans="1:29">
      <c r="A20" s="56" t="s">
        <v>1544</v>
      </c>
      <c r="B20" s="54">
        <f>SUM(C20:J20)</f>
        <v>6044</v>
      </c>
      <c r="C20" s="55">
        <v>2234</v>
      </c>
      <c r="D20" s="55">
        <v>1086</v>
      </c>
      <c r="E20" s="55">
        <v>629</v>
      </c>
      <c r="F20" s="55">
        <v>1136</v>
      </c>
      <c r="G20" s="55">
        <v>0</v>
      </c>
      <c r="H20" s="55">
        <v>0</v>
      </c>
      <c r="I20" s="55">
        <v>0</v>
      </c>
      <c r="J20" s="55">
        <v>959</v>
      </c>
      <c r="L20" s="54">
        <f>SUM(M20:T20)</f>
        <v>6</v>
      </c>
      <c r="M20" s="55">
        <v>2</v>
      </c>
      <c r="N20" s="55">
        <v>1</v>
      </c>
      <c r="O20" s="55">
        <v>1</v>
      </c>
      <c r="P20" s="55">
        <v>1</v>
      </c>
      <c r="Q20" s="55">
        <v>0</v>
      </c>
      <c r="R20" s="55">
        <v>0</v>
      </c>
      <c r="S20" s="55">
        <v>0</v>
      </c>
      <c r="T20" s="55">
        <v>1</v>
      </c>
      <c r="V20" s="61">
        <f>SUM(C20/B20)</f>
        <v>0.3696227663798809</v>
      </c>
      <c r="W20" s="61">
        <f>SUM(D20/B20)</f>
        <v>0.17968232958305758</v>
      </c>
      <c r="X20" s="61">
        <f>SUM(E20/B20)</f>
        <v>0.10407015221707479</v>
      </c>
      <c r="Y20" s="61">
        <f>SUM(F20/B20)</f>
        <v>0.18795499669093316</v>
      </c>
      <c r="Z20" s="61">
        <f>SUM(G20/B20)</f>
        <v>0</v>
      </c>
      <c r="AA20" s="61">
        <f t="shared" si="6"/>
        <v>0</v>
      </c>
      <c r="AB20" s="61">
        <f t="shared" si="6"/>
        <v>0</v>
      </c>
      <c r="AC20" s="61">
        <f>SUM(J20/B20)</f>
        <v>0.1586697551290536</v>
      </c>
    </row>
    <row r="21" spans="1:29">
      <c r="A21" s="56" t="s">
        <v>1545</v>
      </c>
      <c r="B21" s="54">
        <f>SUM(C21:J21)</f>
        <v>6486</v>
      </c>
      <c r="C21" s="55">
        <v>1120</v>
      </c>
      <c r="D21" s="55">
        <v>290</v>
      </c>
      <c r="E21" s="55">
        <v>1159</v>
      </c>
      <c r="F21" s="55">
        <v>2373</v>
      </c>
      <c r="G21" s="55">
        <v>0</v>
      </c>
      <c r="H21" s="55">
        <v>0</v>
      </c>
      <c r="I21" s="55">
        <v>0</v>
      </c>
      <c r="J21" s="55">
        <v>1544</v>
      </c>
      <c r="L21" s="54">
        <f>SUM(M21:T21)</f>
        <v>6</v>
      </c>
      <c r="M21" s="55">
        <v>1</v>
      </c>
      <c r="N21" s="55">
        <v>0</v>
      </c>
      <c r="O21" s="55">
        <v>2</v>
      </c>
      <c r="P21" s="55">
        <v>2</v>
      </c>
      <c r="Q21" s="55">
        <v>0</v>
      </c>
      <c r="R21" s="55">
        <v>0</v>
      </c>
      <c r="S21" s="55">
        <v>0</v>
      </c>
      <c r="T21" s="55">
        <v>1</v>
      </c>
      <c r="V21" s="61">
        <f>SUM(C21/B21)</f>
        <v>0.1726796176379895</v>
      </c>
      <c r="W21" s="61">
        <f>SUM(D21/B21)</f>
        <v>4.4711686709836572E-2</v>
      </c>
      <c r="X21" s="61">
        <f>SUM(E21/B21)</f>
        <v>0.17869256860931237</v>
      </c>
      <c r="Y21" s="61">
        <f>SUM(F21/B21)</f>
        <v>0.36586493987049029</v>
      </c>
      <c r="Z21" s="61">
        <f>SUM(G21/B21)</f>
        <v>0</v>
      </c>
      <c r="AA21" s="61">
        <f t="shared" si="6"/>
        <v>0</v>
      </c>
      <c r="AB21" s="61">
        <f t="shared" si="6"/>
        <v>0</v>
      </c>
      <c r="AC21" s="61">
        <f>SUM(J21/B21)</f>
        <v>0.23805118717237125</v>
      </c>
    </row>
    <row r="22" spans="1:29" s="52" customFormat="1">
      <c r="A22" s="53" t="s">
        <v>1546</v>
      </c>
      <c r="B22" s="54">
        <f>SUM(B18:B21)</f>
        <v>24438</v>
      </c>
      <c r="C22" s="54">
        <f t="shared" ref="C22:Q22" si="7">SUM(C18:C21)</f>
        <v>7848</v>
      </c>
      <c r="D22" s="54">
        <f>SUM(D18:D21)</f>
        <v>4202</v>
      </c>
      <c r="E22" s="54">
        <f t="shared" si="7"/>
        <v>4293</v>
      </c>
      <c r="F22" s="54">
        <f t="shared" si="7"/>
        <v>5592</v>
      </c>
      <c r="G22" s="54">
        <f t="shared" si="7"/>
        <v>0</v>
      </c>
      <c r="H22" s="54">
        <f>SUM(H18:H21)</f>
        <v>0</v>
      </c>
      <c r="I22" s="54">
        <f>SUM(I18:I21)</f>
        <v>0</v>
      </c>
      <c r="J22" s="54">
        <f>SUM(J18:J21)</f>
        <v>2503</v>
      </c>
      <c r="K22" s="54"/>
      <c r="L22" s="54">
        <f t="shared" si="7"/>
        <v>22</v>
      </c>
      <c r="M22" s="54">
        <f t="shared" si="7"/>
        <v>8</v>
      </c>
      <c r="N22" s="54">
        <f t="shared" si="7"/>
        <v>3</v>
      </c>
      <c r="O22" s="54">
        <f t="shared" si="7"/>
        <v>5</v>
      </c>
      <c r="P22" s="54">
        <f t="shared" si="7"/>
        <v>4</v>
      </c>
      <c r="Q22" s="54">
        <f t="shared" si="7"/>
        <v>0</v>
      </c>
      <c r="R22" s="54">
        <f>SUM(R18:R21)</f>
        <v>0</v>
      </c>
      <c r="S22" s="54">
        <f>SUM(S18:S21)</f>
        <v>0</v>
      </c>
      <c r="T22" s="54">
        <f>SUM(T18:T21)</f>
        <v>2</v>
      </c>
      <c r="V22" s="60">
        <f>SUM(C22/B22)</f>
        <v>0.32113920942794011</v>
      </c>
      <c r="W22" s="60">
        <f>SUM(D22/B22)</f>
        <v>0.17194533104182011</v>
      </c>
      <c r="X22" s="60">
        <f>SUM(E22/B22)</f>
        <v>0.17566904001964154</v>
      </c>
      <c r="Y22" s="60">
        <f>SUM(F22/B22)</f>
        <v>0.22882396268107047</v>
      </c>
      <c r="Z22" s="60">
        <f>SUM(G22/B22)</f>
        <v>0</v>
      </c>
      <c r="AA22" s="60">
        <f t="shared" si="6"/>
        <v>0</v>
      </c>
      <c r="AB22" s="60">
        <f t="shared" si="6"/>
        <v>0</v>
      </c>
      <c r="AC22" s="60">
        <f>SUM(J22/B22)</f>
        <v>0.10242245682952779</v>
      </c>
    </row>
    <row r="23" spans="1:29">
      <c r="A23" s="53"/>
      <c r="B23" s="54"/>
      <c r="C23" s="55"/>
      <c r="D23" s="55"/>
      <c r="E23" s="55"/>
      <c r="F23" s="55"/>
      <c r="G23" s="55"/>
      <c r="H23" s="55"/>
      <c r="I23" s="55"/>
      <c r="J23" s="55"/>
      <c r="L23" s="54"/>
      <c r="M23" s="55"/>
      <c r="N23" s="55"/>
      <c r="O23" s="55"/>
      <c r="P23" s="55"/>
      <c r="Q23" s="55"/>
      <c r="R23" s="55"/>
      <c r="S23" s="55"/>
      <c r="T23" s="55"/>
    </row>
    <row r="24" spans="1:29">
      <c r="A24" s="56" t="s">
        <v>1547</v>
      </c>
      <c r="B24" s="54">
        <f>SUM(C24:J24)</f>
        <v>6287</v>
      </c>
      <c r="C24" s="55">
        <v>1142</v>
      </c>
      <c r="D24" s="55">
        <v>1663</v>
      </c>
      <c r="E24" s="55">
        <v>1593</v>
      </c>
      <c r="F24" s="55">
        <v>1844</v>
      </c>
      <c r="G24" s="55">
        <v>0</v>
      </c>
      <c r="H24" s="55">
        <v>0</v>
      </c>
      <c r="I24" s="55">
        <v>0</v>
      </c>
      <c r="J24" s="55">
        <v>45</v>
      </c>
      <c r="L24" s="54">
        <f>SUM(M24:T24)</f>
        <v>6</v>
      </c>
      <c r="M24" s="55">
        <v>1</v>
      </c>
      <c r="N24" s="55">
        <v>2</v>
      </c>
      <c r="O24" s="55">
        <v>1</v>
      </c>
      <c r="P24" s="55">
        <v>2</v>
      </c>
      <c r="Q24" s="55">
        <v>0</v>
      </c>
      <c r="R24" s="55">
        <v>0</v>
      </c>
      <c r="S24" s="55">
        <v>0</v>
      </c>
      <c r="T24" s="55">
        <v>0</v>
      </c>
      <c r="V24" s="61">
        <f>SUM(C24/B24)</f>
        <v>0.18164466359153811</v>
      </c>
      <c r="W24" s="61">
        <f>SUM(D24/B24)</f>
        <v>0.26451407666613647</v>
      </c>
      <c r="X24" s="61">
        <f>SUM(E24/B24)</f>
        <v>0.25337999045649756</v>
      </c>
      <c r="Y24" s="61">
        <f>SUM(F24/B24)</f>
        <v>0.29330364243677431</v>
      </c>
      <c r="Z24" s="61">
        <f>SUM(G24/B24)</f>
        <v>0</v>
      </c>
      <c r="AA24" s="61">
        <f t="shared" ref="AA24:AB27" si="8">SUM(H24/B24)</f>
        <v>0</v>
      </c>
      <c r="AB24" s="61">
        <f t="shared" si="8"/>
        <v>0</v>
      </c>
      <c r="AC24" s="61">
        <f>SUM(J24/B24)</f>
        <v>7.1576268490536029E-3</v>
      </c>
    </row>
    <row r="25" spans="1:29">
      <c r="A25" s="56" t="s">
        <v>1548</v>
      </c>
      <c r="B25" s="54">
        <f>SUM(C25:J25)</f>
        <v>5143</v>
      </c>
      <c r="C25" s="55">
        <v>1042</v>
      </c>
      <c r="D25" s="55">
        <v>1120</v>
      </c>
      <c r="E25" s="55">
        <v>908</v>
      </c>
      <c r="F25" s="55">
        <v>1586</v>
      </c>
      <c r="G25" s="55">
        <v>0</v>
      </c>
      <c r="H25" s="55">
        <v>0</v>
      </c>
      <c r="I25" s="55">
        <v>0</v>
      </c>
      <c r="J25" s="55">
        <v>487</v>
      </c>
      <c r="L25" s="54">
        <f>SUM(M25:T25)</f>
        <v>5</v>
      </c>
      <c r="M25" s="55">
        <v>1</v>
      </c>
      <c r="N25" s="55">
        <v>1</v>
      </c>
      <c r="O25" s="55">
        <v>1</v>
      </c>
      <c r="P25" s="55">
        <v>1</v>
      </c>
      <c r="Q25" s="55">
        <v>0</v>
      </c>
      <c r="R25" s="55">
        <v>0</v>
      </c>
      <c r="S25" s="55">
        <v>0</v>
      </c>
      <c r="T25" s="55">
        <v>1</v>
      </c>
      <c r="V25" s="61">
        <f>SUM(C25/B25)</f>
        <v>0.20260548318102276</v>
      </c>
      <c r="W25" s="61">
        <f>SUM(D25/B25)</f>
        <v>0.21777172856309546</v>
      </c>
      <c r="X25" s="61">
        <f>SUM(E25/B25)</f>
        <v>0.17655065137079526</v>
      </c>
      <c r="Y25" s="61">
        <f>SUM(F25/B25)</f>
        <v>0.308380322768812</v>
      </c>
      <c r="Z25" s="61">
        <f>SUM(G25/B25)</f>
        <v>0</v>
      </c>
      <c r="AA25" s="61">
        <f t="shared" si="8"/>
        <v>0</v>
      </c>
      <c r="AB25" s="61">
        <f t="shared" si="8"/>
        <v>0</v>
      </c>
      <c r="AC25" s="61">
        <f>SUM(J25/B25)</f>
        <v>9.4691814116274545E-2</v>
      </c>
    </row>
    <row r="26" spans="1:29">
      <c r="A26" s="56" t="s">
        <v>1549</v>
      </c>
      <c r="B26" s="54">
        <f>SUM(C26:J26)</f>
        <v>5097</v>
      </c>
      <c r="C26" s="55">
        <v>1308</v>
      </c>
      <c r="D26" s="55">
        <v>1622</v>
      </c>
      <c r="E26" s="55">
        <v>963</v>
      </c>
      <c r="F26" s="55">
        <v>796</v>
      </c>
      <c r="G26" s="55">
        <v>0</v>
      </c>
      <c r="H26" s="55">
        <v>408</v>
      </c>
      <c r="I26" s="55">
        <v>0</v>
      </c>
      <c r="J26" s="55">
        <v>0</v>
      </c>
      <c r="L26" s="54">
        <f>SUM(M26:T26)</f>
        <v>5</v>
      </c>
      <c r="M26" s="55">
        <v>1</v>
      </c>
      <c r="N26" s="55">
        <v>2</v>
      </c>
      <c r="O26" s="55">
        <v>1</v>
      </c>
      <c r="P26" s="55">
        <v>1</v>
      </c>
      <c r="Q26" s="55">
        <v>0</v>
      </c>
      <c r="R26" s="55">
        <v>0</v>
      </c>
      <c r="S26" s="55">
        <v>0</v>
      </c>
      <c r="T26" s="55">
        <v>0</v>
      </c>
      <c r="V26" s="61">
        <f>SUM(C26/B26)</f>
        <v>0.25662154208357857</v>
      </c>
      <c r="W26" s="61">
        <f>SUM(D26/B26)</f>
        <v>0.31822640769079852</v>
      </c>
      <c r="X26" s="61">
        <f>SUM(E26/B26)</f>
        <v>0.18893466745144202</v>
      </c>
      <c r="Y26" s="61">
        <f>SUM(F26/B26)</f>
        <v>0.15617029625269765</v>
      </c>
      <c r="Z26" s="61">
        <f>SUM(G26/B26)</f>
        <v>0</v>
      </c>
      <c r="AA26" s="61">
        <f t="shared" si="8"/>
        <v>8.0047086521483221E-2</v>
      </c>
      <c r="AB26" s="61">
        <f t="shared" si="8"/>
        <v>0</v>
      </c>
      <c r="AC26" s="61">
        <f>SUM(J26/B26)</f>
        <v>0</v>
      </c>
    </row>
    <row r="27" spans="1:29" s="52" customFormat="1">
      <c r="A27" s="53" t="s">
        <v>1550</v>
      </c>
      <c r="B27" s="54">
        <f>SUM(B24:B26)</f>
        <v>16527</v>
      </c>
      <c r="C27" s="54">
        <f t="shared" ref="C27:Q27" si="9">SUM(C24:C26)</f>
        <v>3492</v>
      </c>
      <c r="D27" s="54">
        <f>SUM(D24:D26)</f>
        <v>4405</v>
      </c>
      <c r="E27" s="54">
        <f t="shared" si="9"/>
        <v>3464</v>
      </c>
      <c r="F27" s="54">
        <f t="shared" si="9"/>
        <v>4226</v>
      </c>
      <c r="G27" s="54">
        <f t="shared" si="9"/>
        <v>0</v>
      </c>
      <c r="H27" s="54">
        <f>SUM(H24:H26)</f>
        <v>408</v>
      </c>
      <c r="I27" s="54">
        <f>SUM(I24:I26)</f>
        <v>0</v>
      </c>
      <c r="J27" s="54">
        <f>SUM(J24:J26)</f>
        <v>532</v>
      </c>
      <c r="K27" s="54"/>
      <c r="L27" s="54">
        <f t="shared" si="9"/>
        <v>16</v>
      </c>
      <c r="M27" s="54">
        <f t="shared" si="9"/>
        <v>3</v>
      </c>
      <c r="N27" s="54">
        <f t="shared" si="9"/>
        <v>5</v>
      </c>
      <c r="O27" s="54">
        <f t="shared" si="9"/>
        <v>3</v>
      </c>
      <c r="P27" s="54">
        <f t="shared" si="9"/>
        <v>4</v>
      </c>
      <c r="Q27" s="54">
        <f t="shared" si="9"/>
        <v>0</v>
      </c>
      <c r="R27" s="54">
        <f>SUM(R24:R26)</f>
        <v>0</v>
      </c>
      <c r="S27" s="54">
        <f>SUM(S24:S26)</f>
        <v>0</v>
      </c>
      <c r="T27" s="54">
        <f>SUM(T24:T26)</f>
        <v>1</v>
      </c>
      <c r="V27" s="60">
        <f>SUM(C27/B27)</f>
        <v>0.21129061535668905</v>
      </c>
      <c r="W27" s="60">
        <f>SUM(D27/B27)</f>
        <v>0.26653355115870997</v>
      </c>
      <c r="X27" s="60">
        <f>SUM(E27/B27)</f>
        <v>0.20959641798269499</v>
      </c>
      <c r="Y27" s="60">
        <f>SUM(F27/B27)</f>
        <v>0.25570278937496216</v>
      </c>
      <c r="Z27" s="60">
        <f>SUM(G27/B27)</f>
        <v>0</v>
      </c>
      <c r="AA27" s="60">
        <f t="shared" si="8"/>
        <v>2.4686876021056452E-2</v>
      </c>
      <c r="AB27" s="60">
        <f t="shared" si="8"/>
        <v>0</v>
      </c>
      <c r="AC27" s="60">
        <f>SUM(J27/B27)</f>
        <v>3.2189750105887337E-2</v>
      </c>
    </row>
    <row r="28" spans="1:29">
      <c r="A28" s="53"/>
      <c r="B28" s="54"/>
      <c r="C28" s="55"/>
      <c r="D28" s="55"/>
      <c r="E28" s="55"/>
      <c r="F28" s="55"/>
      <c r="G28" s="55"/>
      <c r="H28" s="55"/>
      <c r="I28" s="55"/>
      <c r="J28" s="55"/>
      <c r="L28" s="54"/>
      <c r="M28" s="55"/>
      <c r="N28" s="55"/>
      <c r="O28" s="55"/>
      <c r="P28" s="55"/>
      <c r="Q28" s="55"/>
      <c r="R28" s="55"/>
      <c r="S28" s="55"/>
      <c r="T28" s="55"/>
    </row>
    <row r="29" spans="1:29">
      <c r="A29" s="56" t="s">
        <v>1551</v>
      </c>
      <c r="B29" s="54">
        <f>SUM(C29:J29)</f>
        <v>6359</v>
      </c>
      <c r="C29" s="55">
        <v>1182</v>
      </c>
      <c r="D29" s="55">
        <v>2195</v>
      </c>
      <c r="E29" s="55">
        <v>1472</v>
      </c>
      <c r="F29" s="55">
        <v>1297</v>
      </c>
      <c r="G29" s="55">
        <v>213</v>
      </c>
      <c r="H29" s="55">
        <v>0</v>
      </c>
      <c r="I29" s="55">
        <v>0</v>
      </c>
      <c r="J29" s="55">
        <v>0</v>
      </c>
      <c r="L29" s="54">
        <f>SUM(M29:T29)</f>
        <v>5</v>
      </c>
      <c r="M29" s="55">
        <v>1</v>
      </c>
      <c r="N29" s="55">
        <v>2</v>
      </c>
      <c r="O29" s="55">
        <v>1</v>
      </c>
      <c r="P29" s="55">
        <v>1</v>
      </c>
      <c r="Q29" s="55">
        <v>0</v>
      </c>
      <c r="R29" s="55">
        <v>0</v>
      </c>
      <c r="S29" s="55">
        <v>0</v>
      </c>
      <c r="T29" s="55">
        <v>0</v>
      </c>
      <c r="V29" s="61">
        <f>SUM(C29/B29)</f>
        <v>0.1858782827488599</v>
      </c>
      <c r="W29" s="61">
        <f>SUM(D29/B29)</f>
        <v>0.34518005975782357</v>
      </c>
      <c r="X29" s="61">
        <f>SUM(E29/B29)</f>
        <v>0.23148293756880012</v>
      </c>
      <c r="Y29" s="61">
        <f>SUM(F29/B29)</f>
        <v>0.20396288724642239</v>
      </c>
      <c r="Z29" s="61">
        <f>SUM(G29/B29)</f>
        <v>3.3495832678094042E-2</v>
      </c>
      <c r="AA29" s="61">
        <f t="shared" ref="AA29:AB32" si="10">SUM(H29/B29)</f>
        <v>0</v>
      </c>
      <c r="AB29" s="61">
        <f t="shared" si="10"/>
        <v>0</v>
      </c>
      <c r="AC29" s="61">
        <f>SUM(J29/B29)</f>
        <v>0</v>
      </c>
    </row>
    <row r="30" spans="1:29">
      <c r="A30" s="56" t="s">
        <v>1552</v>
      </c>
      <c r="B30" s="54">
        <f>SUM(C30:J30)</f>
        <v>5936</v>
      </c>
      <c r="C30" s="55">
        <v>1445</v>
      </c>
      <c r="D30" s="55">
        <v>1558</v>
      </c>
      <c r="E30" s="55">
        <v>1245</v>
      </c>
      <c r="F30" s="55">
        <v>1688</v>
      </c>
      <c r="G30" s="55">
        <v>0</v>
      </c>
      <c r="H30" s="55">
        <v>0</v>
      </c>
      <c r="I30" s="55">
        <v>0</v>
      </c>
      <c r="J30" s="55">
        <v>0</v>
      </c>
      <c r="L30" s="54">
        <f>SUM(M30:T30)</f>
        <v>5</v>
      </c>
      <c r="M30" s="55">
        <v>1</v>
      </c>
      <c r="N30" s="55">
        <v>2</v>
      </c>
      <c r="O30" s="55">
        <v>1</v>
      </c>
      <c r="P30" s="55">
        <v>1</v>
      </c>
      <c r="Q30" s="55">
        <v>0</v>
      </c>
      <c r="R30" s="55">
        <v>0</v>
      </c>
      <c r="S30" s="55">
        <v>0</v>
      </c>
      <c r="T30" s="55">
        <v>0</v>
      </c>
      <c r="V30" s="61">
        <f>SUM(C30/B30)</f>
        <v>0.24342991913746631</v>
      </c>
      <c r="W30" s="61">
        <f>SUM(D30/B30)</f>
        <v>0.26246630727762804</v>
      </c>
      <c r="X30" s="61">
        <f>SUM(E30/B30)</f>
        <v>0.20973719676549865</v>
      </c>
      <c r="Y30" s="61">
        <f>SUM(F30/B30)</f>
        <v>0.28436657681940702</v>
      </c>
      <c r="Z30" s="61">
        <f>SUM(G30/B30)</f>
        <v>0</v>
      </c>
      <c r="AA30" s="61">
        <f t="shared" si="10"/>
        <v>0</v>
      </c>
      <c r="AB30" s="61">
        <f t="shared" si="10"/>
        <v>0</v>
      </c>
      <c r="AC30" s="61">
        <f>SUM(J30/B30)</f>
        <v>0</v>
      </c>
    </row>
    <row r="31" spans="1:29">
      <c r="A31" s="56" t="s">
        <v>1553</v>
      </c>
      <c r="B31" s="54">
        <f>SUM(C31:J31)</f>
        <v>6093</v>
      </c>
      <c r="C31" s="55">
        <v>935</v>
      </c>
      <c r="D31" s="55">
        <v>652</v>
      </c>
      <c r="E31" s="55">
        <v>2469</v>
      </c>
      <c r="F31" s="55">
        <v>1798</v>
      </c>
      <c r="G31" s="55">
        <v>0</v>
      </c>
      <c r="H31" s="55">
        <v>239</v>
      </c>
      <c r="I31" s="55">
        <v>0</v>
      </c>
      <c r="J31" s="55">
        <v>0</v>
      </c>
      <c r="L31" s="54">
        <f>SUM(M31:T31)</f>
        <v>5</v>
      </c>
      <c r="M31" s="55">
        <v>1</v>
      </c>
      <c r="N31" s="55">
        <v>0</v>
      </c>
      <c r="O31" s="55">
        <v>2</v>
      </c>
      <c r="P31" s="55">
        <v>2</v>
      </c>
      <c r="Q31" s="55">
        <v>0</v>
      </c>
      <c r="R31" s="55">
        <v>0</v>
      </c>
      <c r="S31" s="55">
        <v>0</v>
      </c>
      <c r="T31" s="55">
        <v>0</v>
      </c>
      <c r="V31" s="61">
        <f>SUM(C31/B31)</f>
        <v>0.15345478417856556</v>
      </c>
      <c r="W31" s="61">
        <f>SUM(D31/B31)</f>
        <v>0.10700804201542755</v>
      </c>
      <c r="X31" s="61">
        <f>SUM(E31/B31)</f>
        <v>0.4052191038897095</v>
      </c>
      <c r="Y31" s="61">
        <f>SUM(F31/B31)</f>
        <v>0.29509272936156244</v>
      </c>
      <c r="Z31" s="61">
        <f>SUM(G31/B31)</f>
        <v>0</v>
      </c>
      <c r="AA31" s="61">
        <f t="shared" si="10"/>
        <v>3.9225340554734943E-2</v>
      </c>
      <c r="AB31" s="61">
        <f t="shared" si="10"/>
        <v>0</v>
      </c>
      <c r="AC31" s="61">
        <f>SUM(J31/B31)</f>
        <v>0</v>
      </c>
    </row>
    <row r="32" spans="1:29" s="52" customFormat="1">
      <c r="A32" s="53" t="s">
        <v>1554</v>
      </c>
      <c r="B32" s="54">
        <f>SUM(B29:B31)</f>
        <v>18388</v>
      </c>
      <c r="C32" s="54">
        <f t="shared" ref="C32:Q32" si="11">SUM(C29:C31)</f>
        <v>3562</v>
      </c>
      <c r="D32" s="54">
        <f>SUM(D29:D31)</f>
        <v>4405</v>
      </c>
      <c r="E32" s="54">
        <f t="shared" si="11"/>
        <v>5186</v>
      </c>
      <c r="F32" s="54">
        <f t="shared" si="11"/>
        <v>4783</v>
      </c>
      <c r="G32" s="54">
        <f t="shared" si="11"/>
        <v>213</v>
      </c>
      <c r="H32" s="54">
        <f>SUM(H29:H31)</f>
        <v>239</v>
      </c>
      <c r="I32" s="54">
        <f>SUM(I29:I31)</f>
        <v>0</v>
      </c>
      <c r="J32" s="54">
        <f>SUM(J29:J31)</f>
        <v>0</v>
      </c>
      <c r="K32" s="54"/>
      <c r="L32" s="54">
        <f t="shared" si="11"/>
        <v>15</v>
      </c>
      <c r="M32" s="54">
        <f t="shared" si="11"/>
        <v>3</v>
      </c>
      <c r="N32" s="54">
        <f t="shared" si="11"/>
        <v>4</v>
      </c>
      <c r="O32" s="54">
        <f t="shared" si="11"/>
        <v>4</v>
      </c>
      <c r="P32" s="54">
        <f t="shared" si="11"/>
        <v>4</v>
      </c>
      <c r="Q32" s="54">
        <f t="shared" si="11"/>
        <v>0</v>
      </c>
      <c r="R32" s="54">
        <f>SUM(R29:R31)</f>
        <v>0</v>
      </c>
      <c r="S32" s="54">
        <f>SUM(S29:S31)</f>
        <v>0</v>
      </c>
      <c r="T32" s="54">
        <f>SUM(T29:T31)</f>
        <v>0</v>
      </c>
      <c r="V32" s="60">
        <f>SUM(C32/B32)</f>
        <v>0.19371329127691972</v>
      </c>
      <c r="W32" s="60">
        <f>SUM(D32/B32)</f>
        <v>0.23955840765716771</v>
      </c>
      <c r="X32" s="60">
        <f>SUM(E32/B32)</f>
        <v>0.28203175984337614</v>
      </c>
      <c r="Y32" s="60">
        <f>SUM(F32/B32)</f>
        <v>0.2601152925821188</v>
      </c>
      <c r="Z32" s="60">
        <f>SUM(G32/B32)</f>
        <v>1.1583641505329563E-2</v>
      </c>
      <c r="AA32" s="60">
        <f t="shared" si="10"/>
        <v>1.2997607135088102E-2</v>
      </c>
      <c r="AB32" s="60">
        <f t="shared" si="10"/>
        <v>0</v>
      </c>
      <c r="AC32" s="60">
        <f>SUM(J32/B32)</f>
        <v>0</v>
      </c>
    </row>
    <row r="33" spans="1:29">
      <c r="A33" s="53"/>
      <c r="B33" s="54"/>
      <c r="C33" s="55"/>
      <c r="D33" s="55"/>
      <c r="E33" s="55"/>
      <c r="F33" s="55"/>
      <c r="G33" s="55"/>
      <c r="H33" s="55"/>
      <c r="I33" s="55"/>
      <c r="J33" s="55"/>
      <c r="L33" s="54"/>
      <c r="M33" s="55"/>
      <c r="N33" s="55"/>
      <c r="O33" s="55"/>
      <c r="P33" s="55"/>
      <c r="Q33" s="55"/>
      <c r="R33" s="55"/>
      <c r="S33" s="55"/>
      <c r="T33" s="55"/>
    </row>
    <row r="34" spans="1:29">
      <c r="A34" s="56" t="s">
        <v>1555</v>
      </c>
      <c r="B34" s="54">
        <f>SUM(C34:J34)</f>
        <v>8702</v>
      </c>
      <c r="C34" s="55">
        <v>1990</v>
      </c>
      <c r="D34" s="55">
        <v>2549</v>
      </c>
      <c r="E34" s="55">
        <v>3329</v>
      </c>
      <c r="F34" s="55">
        <v>558</v>
      </c>
      <c r="G34" s="55">
        <v>0</v>
      </c>
      <c r="H34" s="55">
        <v>0</v>
      </c>
      <c r="I34" s="55">
        <v>276</v>
      </c>
      <c r="J34" s="55">
        <v>0</v>
      </c>
      <c r="L34" s="54">
        <f>SUM(M34:T34)</f>
        <v>7</v>
      </c>
      <c r="M34" s="55">
        <v>2</v>
      </c>
      <c r="N34" s="55">
        <v>2</v>
      </c>
      <c r="O34" s="55">
        <v>3</v>
      </c>
      <c r="P34" s="55">
        <v>0</v>
      </c>
      <c r="Q34" s="55">
        <v>0</v>
      </c>
      <c r="R34" s="55">
        <v>0</v>
      </c>
      <c r="S34" s="55">
        <v>0</v>
      </c>
      <c r="T34" s="55">
        <v>0</v>
      </c>
      <c r="V34" s="61">
        <f t="shared" ref="V34:V39" si="12">SUM(C34/B34)</f>
        <v>0.22868306136520339</v>
      </c>
      <c r="W34" s="61">
        <f t="shared" ref="W34:W39" si="13">SUM(D34/B34)</f>
        <v>0.29292116754769021</v>
      </c>
      <c r="X34" s="61">
        <f t="shared" ref="X34:X39" si="14">SUM(E34/B34)</f>
        <v>0.38255573431395079</v>
      </c>
      <c r="Y34" s="61">
        <f t="shared" ref="Y34:Y39" si="15">SUM(F34/B34)</f>
        <v>6.412319007124799E-2</v>
      </c>
      <c r="Z34" s="61">
        <f t="shared" ref="Z34:Z39" si="16">SUM(G34/B34)</f>
        <v>0</v>
      </c>
      <c r="AA34" s="61">
        <f t="shared" ref="AA34:AB39" si="17">SUM(H34/B34)</f>
        <v>0</v>
      </c>
      <c r="AB34" s="61">
        <f t="shared" si="17"/>
        <v>0.13869346733668342</v>
      </c>
      <c r="AC34" s="61">
        <f t="shared" ref="AC34:AC39" si="18">SUM(J34/B34)</f>
        <v>0</v>
      </c>
    </row>
    <row r="35" spans="1:29">
      <c r="A35" s="56" t="s">
        <v>1556</v>
      </c>
      <c r="B35" s="54">
        <f>SUM(C35:J35)</f>
        <v>7900</v>
      </c>
      <c r="C35" s="55">
        <v>1914</v>
      </c>
      <c r="D35" s="55">
        <v>3351</v>
      </c>
      <c r="E35" s="55">
        <v>1462</v>
      </c>
      <c r="F35" s="55">
        <v>483</v>
      </c>
      <c r="G35" s="55">
        <v>429</v>
      </c>
      <c r="H35" s="55">
        <v>0</v>
      </c>
      <c r="I35" s="55">
        <v>261</v>
      </c>
      <c r="J35" s="55">
        <v>0</v>
      </c>
      <c r="L35" s="54">
        <f>SUM(M35:T35)</f>
        <v>6</v>
      </c>
      <c r="M35" s="55">
        <v>2</v>
      </c>
      <c r="N35" s="55">
        <v>3</v>
      </c>
      <c r="O35" s="55">
        <v>1</v>
      </c>
      <c r="P35" s="55">
        <v>0</v>
      </c>
      <c r="Q35" s="55">
        <v>0</v>
      </c>
      <c r="R35" s="55">
        <v>0</v>
      </c>
      <c r="S35" s="55">
        <v>0</v>
      </c>
      <c r="T35" s="55">
        <v>0</v>
      </c>
      <c r="V35" s="61">
        <f t="shared" si="12"/>
        <v>0.24227848101265823</v>
      </c>
      <c r="W35" s="61">
        <f t="shared" si="13"/>
        <v>0.42417721518987339</v>
      </c>
      <c r="X35" s="61">
        <f t="shared" si="14"/>
        <v>0.1850632911392405</v>
      </c>
      <c r="Y35" s="61">
        <f t="shared" si="15"/>
        <v>6.1139240506329115E-2</v>
      </c>
      <c r="Z35" s="61">
        <f t="shared" si="16"/>
        <v>5.4303797468354432E-2</v>
      </c>
      <c r="AA35" s="61">
        <f t="shared" si="17"/>
        <v>0</v>
      </c>
      <c r="AB35" s="61">
        <f t="shared" si="17"/>
        <v>0.13636363636363635</v>
      </c>
      <c r="AC35" s="61">
        <f t="shared" si="18"/>
        <v>0</v>
      </c>
    </row>
    <row r="36" spans="1:29">
      <c r="A36" s="56" t="s">
        <v>1557</v>
      </c>
      <c r="B36" s="54">
        <f>SUM(C36:J36)</f>
        <v>7734</v>
      </c>
      <c r="C36" s="55">
        <v>874</v>
      </c>
      <c r="D36" s="55">
        <v>417</v>
      </c>
      <c r="E36" s="55">
        <v>4157</v>
      </c>
      <c r="F36" s="55">
        <v>1197</v>
      </c>
      <c r="G36" s="55">
        <v>244</v>
      </c>
      <c r="H36" s="55">
        <v>0</v>
      </c>
      <c r="I36" s="55">
        <v>845</v>
      </c>
      <c r="J36" s="55">
        <v>0</v>
      </c>
      <c r="K36" s="55"/>
      <c r="L36" s="54">
        <f>SUM(M36:T36)</f>
        <v>6</v>
      </c>
      <c r="M36" s="55">
        <v>1</v>
      </c>
      <c r="N36" s="55">
        <v>0</v>
      </c>
      <c r="O36" s="55">
        <v>3</v>
      </c>
      <c r="P36" s="55">
        <v>1</v>
      </c>
      <c r="Q36" s="55">
        <v>0</v>
      </c>
      <c r="R36" s="55">
        <v>0</v>
      </c>
      <c r="S36" s="55">
        <v>1</v>
      </c>
      <c r="T36" s="55">
        <v>0</v>
      </c>
      <c r="V36" s="61">
        <f t="shared" si="12"/>
        <v>0.11300749935350402</v>
      </c>
      <c r="W36" s="61">
        <f t="shared" si="13"/>
        <v>5.39177657098526E-2</v>
      </c>
      <c r="X36" s="61">
        <f t="shared" si="14"/>
        <v>0.53749676752004139</v>
      </c>
      <c r="Y36" s="61">
        <f t="shared" si="15"/>
        <v>0.15477114041892939</v>
      </c>
      <c r="Z36" s="61">
        <f t="shared" si="16"/>
        <v>3.1549004396172746E-2</v>
      </c>
      <c r="AA36" s="61">
        <f t="shared" si="17"/>
        <v>0</v>
      </c>
      <c r="AB36" s="61">
        <f t="shared" si="17"/>
        <v>0.96681922196796344</v>
      </c>
      <c r="AC36" s="61">
        <f t="shared" si="18"/>
        <v>0</v>
      </c>
    </row>
    <row r="37" spans="1:29">
      <c r="A37" s="56" t="s">
        <v>1558</v>
      </c>
      <c r="B37" s="54">
        <f>SUM(C37:J37)</f>
        <v>6461</v>
      </c>
      <c r="C37" s="55">
        <v>0</v>
      </c>
      <c r="D37" s="55">
        <v>0</v>
      </c>
      <c r="E37" s="55">
        <v>3005</v>
      </c>
      <c r="F37" s="55">
        <v>2556</v>
      </c>
      <c r="G37" s="55">
        <v>0</v>
      </c>
      <c r="H37" s="55">
        <v>253</v>
      </c>
      <c r="I37" s="55">
        <v>647</v>
      </c>
      <c r="J37" s="55">
        <v>0</v>
      </c>
      <c r="L37" s="54">
        <f>SUM(M37:T37)</f>
        <v>6</v>
      </c>
      <c r="M37" s="55">
        <v>0</v>
      </c>
      <c r="N37" s="55">
        <v>0</v>
      </c>
      <c r="O37" s="55">
        <v>3</v>
      </c>
      <c r="P37" s="55">
        <v>3</v>
      </c>
      <c r="Q37" s="55">
        <v>0</v>
      </c>
      <c r="R37" s="55">
        <v>0</v>
      </c>
      <c r="S37" s="55">
        <v>0</v>
      </c>
      <c r="T37" s="55">
        <v>0</v>
      </c>
      <c r="V37" s="61">
        <f t="shared" si="12"/>
        <v>0</v>
      </c>
      <c r="W37" s="61">
        <f t="shared" si="13"/>
        <v>0</v>
      </c>
      <c r="X37" s="61">
        <f t="shared" si="14"/>
        <v>0.46509828199969044</v>
      </c>
      <c r="Y37" s="61">
        <f t="shared" si="15"/>
        <v>0.39560439560439559</v>
      </c>
      <c r="Z37" s="61">
        <f t="shared" si="16"/>
        <v>0</v>
      </c>
      <c r="AA37" s="61">
        <f t="shared" si="17"/>
        <v>3.9158025073518031E-2</v>
      </c>
      <c r="AB37" s="61" t="e">
        <f t="shared" si="17"/>
        <v>#DIV/0!</v>
      </c>
      <c r="AC37" s="61">
        <f t="shared" si="18"/>
        <v>0</v>
      </c>
    </row>
    <row r="38" spans="1:29">
      <c r="A38" s="56" t="s">
        <v>1559</v>
      </c>
      <c r="B38" s="54">
        <f>SUM(C38:J38)</f>
        <v>5634</v>
      </c>
      <c r="C38" s="55">
        <v>0</v>
      </c>
      <c r="D38" s="55">
        <v>0</v>
      </c>
      <c r="E38" s="55">
        <v>3311</v>
      </c>
      <c r="F38" s="55">
        <v>1424</v>
      </c>
      <c r="G38" s="55">
        <v>298</v>
      </c>
      <c r="H38" s="55">
        <v>0</v>
      </c>
      <c r="I38" s="55">
        <v>601</v>
      </c>
      <c r="J38" s="55">
        <v>0</v>
      </c>
      <c r="L38" s="54">
        <f>SUM(M38:T38)</f>
        <v>5</v>
      </c>
      <c r="M38" s="55">
        <v>0</v>
      </c>
      <c r="N38" s="55">
        <v>0</v>
      </c>
      <c r="O38" s="55">
        <v>4</v>
      </c>
      <c r="P38" s="55">
        <v>1</v>
      </c>
      <c r="Q38" s="55">
        <v>0</v>
      </c>
      <c r="R38" s="55">
        <v>0</v>
      </c>
      <c r="S38" s="55">
        <v>0</v>
      </c>
      <c r="T38" s="55">
        <v>0</v>
      </c>
      <c r="V38" s="61">
        <f t="shared" si="12"/>
        <v>0</v>
      </c>
      <c r="W38" s="61">
        <f t="shared" si="13"/>
        <v>0</v>
      </c>
      <c r="X38" s="61">
        <f t="shared" si="14"/>
        <v>0.58768193113241041</v>
      </c>
      <c r="Y38" s="61">
        <f t="shared" si="15"/>
        <v>0.25275115370962015</v>
      </c>
      <c r="Z38" s="61">
        <f t="shared" si="16"/>
        <v>5.2893148739794109E-2</v>
      </c>
      <c r="AA38" s="61">
        <f t="shared" si="17"/>
        <v>0</v>
      </c>
      <c r="AB38" s="61" t="e">
        <f t="shared" si="17"/>
        <v>#DIV/0!</v>
      </c>
      <c r="AC38" s="61">
        <f t="shared" si="18"/>
        <v>0</v>
      </c>
    </row>
    <row r="39" spans="1:29" s="52" customFormat="1">
      <c r="A39" s="53" t="s">
        <v>1560</v>
      </c>
      <c r="B39" s="54">
        <f>SUM(B34:B38)</f>
        <v>36431</v>
      </c>
      <c r="C39" s="54">
        <f t="shared" ref="C39:Q39" si="19">SUM(C34:C38)</f>
        <v>4778</v>
      </c>
      <c r="D39" s="54">
        <f>SUM(D34:D38)</f>
        <v>6317</v>
      </c>
      <c r="E39" s="54">
        <f t="shared" si="19"/>
        <v>15264</v>
      </c>
      <c r="F39" s="54">
        <f t="shared" si="19"/>
        <v>6218</v>
      </c>
      <c r="G39" s="54">
        <f t="shared" si="19"/>
        <v>971</v>
      </c>
      <c r="H39" s="54">
        <f>SUM(H34:H38)</f>
        <v>253</v>
      </c>
      <c r="I39" s="54">
        <f>SUM(I34:I38)</f>
        <v>2630</v>
      </c>
      <c r="J39" s="54">
        <f>SUM(J34:J38)</f>
        <v>0</v>
      </c>
      <c r="K39" s="54"/>
      <c r="L39" s="54">
        <f t="shared" si="19"/>
        <v>30</v>
      </c>
      <c r="M39" s="54">
        <f t="shared" si="19"/>
        <v>5</v>
      </c>
      <c r="N39" s="54">
        <f t="shared" si="19"/>
        <v>5</v>
      </c>
      <c r="O39" s="54">
        <f t="shared" si="19"/>
        <v>14</v>
      </c>
      <c r="P39" s="54">
        <f t="shared" si="19"/>
        <v>5</v>
      </c>
      <c r="Q39" s="54">
        <f t="shared" si="19"/>
        <v>0</v>
      </c>
      <c r="R39" s="54">
        <f>SUM(R34:R38)</f>
        <v>0</v>
      </c>
      <c r="S39" s="54">
        <f>SUM(S34:S38)</f>
        <v>1</v>
      </c>
      <c r="T39" s="54">
        <f>SUM(T34:T38)</f>
        <v>0</v>
      </c>
      <c r="V39" s="60">
        <f t="shared" si="12"/>
        <v>0.13115204084433588</v>
      </c>
      <c r="W39" s="60">
        <f t="shared" si="13"/>
        <v>0.17339628338502924</v>
      </c>
      <c r="X39" s="60">
        <f t="shared" si="14"/>
        <v>0.41898383245038567</v>
      </c>
      <c r="Y39" s="60">
        <f t="shared" si="15"/>
        <v>0.17067881749059866</v>
      </c>
      <c r="Z39" s="60">
        <f t="shared" si="16"/>
        <v>2.6653125085778596E-2</v>
      </c>
      <c r="AA39" s="60">
        <f t="shared" si="17"/>
        <v>6.9446350635447834E-3</v>
      </c>
      <c r="AB39" s="60">
        <f t="shared" si="17"/>
        <v>0.55043951444118877</v>
      </c>
      <c r="AC39" s="60">
        <f t="shared" si="18"/>
        <v>0</v>
      </c>
    </row>
    <row r="40" spans="1:29">
      <c r="A40" s="53"/>
      <c r="B40" s="54"/>
      <c r="C40" s="55"/>
      <c r="D40" s="55"/>
      <c r="E40" s="55"/>
      <c r="F40" s="55"/>
      <c r="G40" s="55"/>
      <c r="H40" s="55"/>
      <c r="I40" s="55"/>
      <c r="J40" s="55"/>
      <c r="L40" s="54"/>
      <c r="M40" s="55"/>
      <c r="N40" s="55"/>
      <c r="O40" s="55"/>
      <c r="P40" s="55"/>
      <c r="Q40" s="55"/>
      <c r="R40" s="55"/>
      <c r="S40" s="55"/>
      <c r="T40" s="55"/>
    </row>
    <row r="41" spans="1:29">
      <c r="A41" s="56" t="s">
        <v>1562</v>
      </c>
      <c r="B41" s="54">
        <f>SUM(C41:J41)</f>
        <v>3952</v>
      </c>
      <c r="C41" s="55">
        <v>1538</v>
      </c>
      <c r="D41" s="55">
        <v>540</v>
      </c>
      <c r="E41" s="55">
        <v>1874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L41" s="54">
        <f>SUM(M41:T41)</f>
        <v>5</v>
      </c>
      <c r="M41" s="55">
        <v>2</v>
      </c>
      <c r="N41" s="55">
        <v>1</v>
      </c>
      <c r="O41" s="55">
        <v>2</v>
      </c>
      <c r="P41" s="55">
        <v>0</v>
      </c>
      <c r="Q41" s="55">
        <v>0</v>
      </c>
      <c r="R41" s="55">
        <v>0</v>
      </c>
      <c r="S41" s="55">
        <v>0</v>
      </c>
      <c r="T41" s="55">
        <v>0</v>
      </c>
      <c r="V41" s="61">
        <f>SUM(C41/B41)</f>
        <v>0.38917004048582998</v>
      </c>
      <c r="W41" s="61">
        <f>SUM(D41/B41)</f>
        <v>0.13663967611336034</v>
      </c>
      <c r="X41" s="61">
        <f>SUM(E41/B41)</f>
        <v>0.47419028340080971</v>
      </c>
      <c r="Y41" s="61">
        <f>SUM(F41/B41)</f>
        <v>0</v>
      </c>
      <c r="Z41" s="61">
        <f>SUM(G41/B41)</f>
        <v>0</v>
      </c>
      <c r="AA41" s="61">
        <f t="shared" ref="AA41:AB44" si="20">SUM(H41/B41)</f>
        <v>0</v>
      </c>
      <c r="AB41" s="61">
        <f t="shared" si="20"/>
        <v>0</v>
      </c>
      <c r="AC41" s="61">
        <f>SUM(J41/B41)</f>
        <v>0</v>
      </c>
    </row>
    <row r="42" spans="1:29">
      <c r="A42" s="56" t="s">
        <v>1563</v>
      </c>
      <c r="B42" s="54">
        <f>SUM(C42:J42)</f>
        <v>3897</v>
      </c>
      <c r="C42" s="55">
        <v>1161</v>
      </c>
      <c r="D42" s="55">
        <v>184</v>
      </c>
      <c r="E42" s="55">
        <v>901</v>
      </c>
      <c r="F42" s="55">
        <v>1247</v>
      </c>
      <c r="G42" s="55">
        <v>0</v>
      </c>
      <c r="H42" s="55">
        <v>0</v>
      </c>
      <c r="I42" s="55">
        <v>0</v>
      </c>
      <c r="J42" s="55">
        <v>404</v>
      </c>
      <c r="L42" s="54">
        <f>SUM(M42:T42)</f>
        <v>5</v>
      </c>
      <c r="M42" s="55">
        <v>2</v>
      </c>
      <c r="N42" s="55">
        <v>0</v>
      </c>
      <c r="O42" s="55">
        <v>1</v>
      </c>
      <c r="P42" s="55">
        <v>2</v>
      </c>
      <c r="Q42" s="55">
        <v>0</v>
      </c>
      <c r="R42" s="55">
        <v>0</v>
      </c>
      <c r="S42" s="55">
        <v>0</v>
      </c>
      <c r="T42" s="55">
        <v>0</v>
      </c>
      <c r="V42" s="61">
        <f>SUM(C42/B42)</f>
        <v>0.29792147806004621</v>
      </c>
      <c r="W42" s="61">
        <f>SUM(D42/B42)</f>
        <v>4.7215807031049523E-2</v>
      </c>
      <c r="X42" s="61">
        <f>SUM(E42/B42)</f>
        <v>0.23120348986399794</v>
      </c>
      <c r="Y42" s="61">
        <f>SUM(F42/B42)</f>
        <v>0.3199897356941237</v>
      </c>
      <c r="Z42" s="61">
        <f>SUM(G42/B42)</f>
        <v>0</v>
      </c>
      <c r="AA42" s="61">
        <f t="shared" si="20"/>
        <v>0</v>
      </c>
      <c r="AB42" s="61">
        <f t="shared" si="20"/>
        <v>0</v>
      </c>
      <c r="AC42" s="61">
        <f>SUM(J42/B42)</f>
        <v>0.10366948935078266</v>
      </c>
    </row>
    <row r="43" spans="1:29">
      <c r="A43" s="56" t="s">
        <v>1564</v>
      </c>
      <c r="B43" s="54">
        <f>SUM(C43:J43)</f>
        <v>3992</v>
      </c>
      <c r="C43" s="55">
        <v>1967</v>
      </c>
      <c r="D43" s="55">
        <v>424</v>
      </c>
      <c r="E43" s="55">
        <v>1124</v>
      </c>
      <c r="F43" s="55">
        <v>0</v>
      </c>
      <c r="G43" s="55">
        <v>228</v>
      </c>
      <c r="H43" s="55">
        <v>0</v>
      </c>
      <c r="I43" s="55">
        <v>0</v>
      </c>
      <c r="J43" s="55">
        <v>249</v>
      </c>
      <c r="L43" s="54">
        <f>SUM(M43:T43)</f>
        <v>5</v>
      </c>
      <c r="M43" s="55">
        <v>3</v>
      </c>
      <c r="N43" s="55">
        <v>1</v>
      </c>
      <c r="O43" s="55">
        <v>1</v>
      </c>
      <c r="P43" s="55">
        <v>0</v>
      </c>
      <c r="Q43" s="55">
        <v>0</v>
      </c>
      <c r="R43" s="55">
        <v>0</v>
      </c>
      <c r="S43" s="55">
        <v>0</v>
      </c>
      <c r="T43" s="55">
        <v>0</v>
      </c>
      <c r="V43" s="61">
        <f>SUM(C43/B43)</f>
        <v>0.49273547094188375</v>
      </c>
      <c r="W43" s="61">
        <f>SUM(D43/B43)</f>
        <v>0.10621242484969939</v>
      </c>
      <c r="X43" s="61">
        <f>SUM(E43/B43)</f>
        <v>0.28156312625250501</v>
      </c>
      <c r="Y43" s="61">
        <f>SUM(F43/B43)</f>
        <v>0</v>
      </c>
      <c r="Z43" s="61">
        <f>SUM(G43/B43)</f>
        <v>5.7114228456913829E-2</v>
      </c>
      <c r="AA43" s="61">
        <f t="shared" si="20"/>
        <v>0</v>
      </c>
      <c r="AB43" s="61">
        <f t="shared" si="20"/>
        <v>0</v>
      </c>
      <c r="AC43" s="61">
        <f>SUM(J43/B43)</f>
        <v>6.2374749498997996E-2</v>
      </c>
    </row>
    <row r="44" spans="1:29" s="52" customFormat="1">
      <c r="A44" s="53" t="s">
        <v>1561</v>
      </c>
      <c r="B44" s="54">
        <f>SUM(B41:B43)</f>
        <v>11841</v>
      </c>
      <c r="C44" s="54">
        <f t="shared" ref="C44:Q44" si="21">SUM(C41:C43)</f>
        <v>4666</v>
      </c>
      <c r="D44" s="54">
        <f>SUM(D41:D43)</f>
        <v>1148</v>
      </c>
      <c r="E44" s="54">
        <f t="shared" si="21"/>
        <v>3899</v>
      </c>
      <c r="F44" s="54">
        <f t="shared" si="21"/>
        <v>1247</v>
      </c>
      <c r="G44" s="54">
        <f t="shared" si="21"/>
        <v>228</v>
      </c>
      <c r="H44" s="54">
        <f>SUM(H41:H43)</f>
        <v>0</v>
      </c>
      <c r="I44" s="54">
        <f>SUM(I41:I43)</f>
        <v>0</v>
      </c>
      <c r="J44" s="54">
        <f>SUM(J41:J43)</f>
        <v>653</v>
      </c>
      <c r="K44" s="54"/>
      <c r="L44" s="54">
        <f t="shared" si="21"/>
        <v>15</v>
      </c>
      <c r="M44" s="54">
        <f t="shared" si="21"/>
        <v>7</v>
      </c>
      <c r="N44" s="54">
        <f t="shared" si="21"/>
        <v>2</v>
      </c>
      <c r="O44" s="54">
        <f t="shared" si="21"/>
        <v>4</v>
      </c>
      <c r="P44" s="54">
        <f t="shared" si="21"/>
        <v>2</v>
      </c>
      <c r="Q44" s="54">
        <f t="shared" si="21"/>
        <v>0</v>
      </c>
      <c r="R44" s="54">
        <f>SUM(R41:R43)</f>
        <v>0</v>
      </c>
      <c r="S44" s="54">
        <f>SUM(S41:S43)</f>
        <v>0</v>
      </c>
      <c r="T44" s="54">
        <f>SUM(T41:T43)</f>
        <v>0</v>
      </c>
      <c r="V44" s="60">
        <f>SUM(C44/B44)</f>
        <v>0.39405455620302338</v>
      </c>
      <c r="W44" s="60">
        <f>SUM(D44/B44)</f>
        <v>9.6951271007516257E-2</v>
      </c>
      <c r="X44" s="60">
        <f>SUM(E44/B44)</f>
        <v>0.32927962165357655</v>
      </c>
      <c r="Y44" s="60">
        <f>SUM(F44/B44)</f>
        <v>0.10531205134701462</v>
      </c>
      <c r="Z44" s="60">
        <f>SUM(G44/B44)</f>
        <v>1.9255130478844692E-2</v>
      </c>
      <c r="AA44" s="60">
        <f t="shared" si="20"/>
        <v>0</v>
      </c>
      <c r="AB44" s="60">
        <f t="shared" si="20"/>
        <v>0</v>
      </c>
      <c r="AC44" s="60">
        <f>SUM(J44/B44)</f>
        <v>5.5147369310024494E-2</v>
      </c>
    </row>
    <row r="45" spans="1:29">
      <c r="A45" s="53"/>
      <c r="B45" s="54"/>
      <c r="C45" s="55"/>
      <c r="D45" s="55"/>
      <c r="E45" s="55"/>
      <c r="F45" s="55"/>
      <c r="G45" s="55"/>
      <c r="H45" s="55"/>
      <c r="I45" s="55"/>
      <c r="J45" s="55"/>
      <c r="L45" s="54"/>
      <c r="M45" s="55"/>
      <c r="N45" s="55"/>
      <c r="O45" s="55"/>
      <c r="P45" s="55"/>
      <c r="Q45" s="55"/>
      <c r="R45" s="55"/>
      <c r="S45" s="55"/>
      <c r="T45" s="55"/>
    </row>
    <row r="46" spans="1:29">
      <c r="A46" s="56" t="s">
        <v>2448</v>
      </c>
      <c r="B46" s="54">
        <f>SUM(C46:J46)</f>
        <v>6412</v>
      </c>
      <c r="C46" s="55">
        <v>1728</v>
      </c>
      <c r="D46" s="55">
        <v>2668</v>
      </c>
      <c r="E46" s="55">
        <v>286</v>
      </c>
      <c r="F46" s="55">
        <v>0</v>
      </c>
      <c r="G46" s="55">
        <v>515</v>
      </c>
      <c r="H46" s="55">
        <v>0</v>
      </c>
      <c r="I46" s="55">
        <v>0</v>
      </c>
      <c r="J46" s="55">
        <v>1215</v>
      </c>
      <c r="L46" s="54">
        <f>SUM(M46:T46)</f>
        <v>7</v>
      </c>
      <c r="M46" s="55">
        <v>2</v>
      </c>
      <c r="N46" s="55">
        <v>3</v>
      </c>
      <c r="O46" s="55">
        <v>0</v>
      </c>
      <c r="P46" s="55">
        <v>0</v>
      </c>
      <c r="Q46" s="55">
        <v>1</v>
      </c>
      <c r="R46" s="55">
        <v>0</v>
      </c>
      <c r="S46" s="55">
        <v>0</v>
      </c>
      <c r="T46" s="55">
        <v>1</v>
      </c>
      <c r="V46" s="61">
        <f>SUM(C46/B46)</f>
        <v>0.26949469744229571</v>
      </c>
      <c r="W46" s="61">
        <f>SUM(D46/B46)</f>
        <v>0.41609482220835931</v>
      </c>
      <c r="X46" s="61">
        <f>SUM(E46/B46)</f>
        <v>4.460386774797255E-2</v>
      </c>
      <c r="Y46" s="61">
        <f>SUM(F46/B46)</f>
        <v>0</v>
      </c>
      <c r="Z46" s="61">
        <f>SUM(G46/B46)</f>
        <v>8.0318153462258263E-2</v>
      </c>
      <c r="AA46" s="61">
        <f t="shared" ref="AA46:AB49" si="22">SUM(H46/B46)</f>
        <v>0</v>
      </c>
      <c r="AB46" s="61">
        <f t="shared" si="22"/>
        <v>0</v>
      </c>
      <c r="AC46" s="61">
        <f>SUM(J46/B46)</f>
        <v>0.18948845913911416</v>
      </c>
    </row>
    <row r="47" spans="1:29">
      <c r="A47" s="56" t="s">
        <v>1567</v>
      </c>
      <c r="B47" s="54">
        <f>SUM(C47:J47)</f>
        <v>7644</v>
      </c>
      <c r="C47" s="55">
        <v>3964</v>
      </c>
      <c r="D47" s="55">
        <v>1642</v>
      </c>
      <c r="E47" s="55">
        <v>1762</v>
      </c>
      <c r="F47" s="55">
        <v>0</v>
      </c>
      <c r="G47" s="55">
        <v>0</v>
      </c>
      <c r="H47" s="55">
        <v>0</v>
      </c>
      <c r="I47" s="55">
        <v>0</v>
      </c>
      <c r="J47" s="55">
        <v>276</v>
      </c>
      <c r="L47" s="54">
        <f>SUM(M47:T47)</f>
        <v>7</v>
      </c>
      <c r="M47" s="55">
        <v>4</v>
      </c>
      <c r="N47" s="55">
        <v>1</v>
      </c>
      <c r="O47" s="55">
        <v>2</v>
      </c>
      <c r="P47" s="55">
        <v>0</v>
      </c>
      <c r="Q47" s="55">
        <v>0</v>
      </c>
      <c r="R47" s="55">
        <v>0</v>
      </c>
      <c r="S47" s="55">
        <v>0</v>
      </c>
      <c r="T47" s="55">
        <v>0</v>
      </c>
      <c r="V47" s="61">
        <f>SUM(C47/B47)</f>
        <v>0.51857666143380432</v>
      </c>
      <c r="W47" s="61">
        <f>SUM(D47/B47)</f>
        <v>0.21480900052328625</v>
      </c>
      <c r="X47" s="61">
        <f>SUM(E47/B47)</f>
        <v>0.2305075876504448</v>
      </c>
      <c r="Y47" s="61">
        <f>SUM(F47/B47)</f>
        <v>0</v>
      </c>
      <c r="Z47" s="61">
        <f>SUM(G47/B47)</f>
        <v>0</v>
      </c>
      <c r="AA47" s="61">
        <f t="shared" si="22"/>
        <v>0</v>
      </c>
      <c r="AB47" s="61">
        <f t="shared" si="22"/>
        <v>0</v>
      </c>
      <c r="AC47" s="61">
        <f>SUM(J47/B47)</f>
        <v>3.6106750392464679E-2</v>
      </c>
    </row>
    <row r="48" spans="1:29">
      <c r="A48" s="56" t="s">
        <v>1568</v>
      </c>
      <c r="B48" s="54">
        <f>SUM(C48:J48)</f>
        <v>6301</v>
      </c>
      <c r="C48" s="55">
        <v>3035</v>
      </c>
      <c r="D48" s="55">
        <v>1900</v>
      </c>
      <c r="E48" s="55">
        <v>573</v>
      </c>
      <c r="F48" s="55">
        <v>0</v>
      </c>
      <c r="G48" s="55">
        <v>749</v>
      </c>
      <c r="H48" s="55">
        <v>0</v>
      </c>
      <c r="I48" s="55">
        <v>0</v>
      </c>
      <c r="J48" s="55">
        <v>44</v>
      </c>
      <c r="L48" s="54">
        <f>SUM(M48:T48)</f>
        <v>7</v>
      </c>
      <c r="M48" s="55">
        <v>4</v>
      </c>
      <c r="N48" s="55">
        <v>2</v>
      </c>
      <c r="O48" s="55">
        <v>0</v>
      </c>
      <c r="P48" s="55">
        <v>0</v>
      </c>
      <c r="Q48" s="55">
        <v>1</v>
      </c>
      <c r="R48" s="55">
        <v>0</v>
      </c>
      <c r="S48" s="55">
        <v>0</v>
      </c>
      <c r="T48" s="55">
        <v>0</v>
      </c>
      <c r="V48" s="61">
        <f>SUM(C48/B48)</f>
        <v>0.48166957625773688</v>
      </c>
      <c r="W48" s="61">
        <f>SUM(D48/B48)</f>
        <v>0.3015394381844152</v>
      </c>
      <c r="X48" s="61">
        <f>SUM(E48/B48)</f>
        <v>9.0937946357720997E-2</v>
      </c>
      <c r="Y48" s="61">
        <f>SUM(F48/B48)</f>
        <v>0</v>
      </c>
      <c r="Z48" s="61">
        <f>SUM(G48/B48)</f>
        <v>0.11887002063164577</v>
      </c>
      <c r="AA48" s="61">
        <f t="shared" si="22"/>
        <v>0</v>
      </c>
      <c r="AB48" s="61">
        <f t="shared" si="22"/>
        <v>0</v>
      </c>
      <c r="AC48" s="61">
        <f>SUM(J48/B48)</f>
        <v>6.9830185684811932E-3</v>
      </c>
    </row>
    <row r="49" spans="1:29" s="52" customFormat="1">
      <c r="A49" s="53" t="s">
        <v>1569</v>
      </c>
      <c r="B49" s="54">
        <f>SUM(B46:B48)</f>
        <v>20357</v>
      </c>
      <c r="C49" s="54">
        <f t="shared" ref="C49:Q49" si="23">SUM(C46:C48)</f>
        <v>8727</v>
      </c>
      <c r="D49" s="54">
        <f>SUM(D46:D48)</f>
        <v>6210</v>
      </c>
      <c r="E49" s="54">
        <f t="shared" si="23"/>
        <v>2621</v>
      </c>
      <c r="F49" s="54">
        <f t="shared" si="23"/>
        <v>0</v>
      </c>
      <c r="G49" s="54">
        <f t="shared" si="23"/>
        <v>1264</v>
      </c>
      <c r="H49" s="54">
        <f>SUM(H46:H48)</f>
        <v>0</v>
      </c>
      <c r="I49" s="54">
        <f>SUM(I46:I48)</f>
        <v>0</v>
      </c>
      <c r="J49" s="54">
        <f>SUM(J46:J48)</f>
        <v>1535</v>
      </c>
      <c r="K49" s="54"/>
      <c r="L49" s="54">
        <f t="shared" si="23"/>
        <v>21</v>
      </c>
      <c r="M49" s="54">
        <f t="shared" si="23"/>
        <v>10</v>
      </c>
      <c r="N49" s="54">
        <f t="shared" si="23"/>
        <v>6</v>
      </c>
      <c r="O49" s="54">
        <f t="shared" si="23"/>
        <v>2</v>
      </c>
      <c r="P49" s="54">
        <f t="shared" si="23"/>
        <v>0</v>
      </c>
      <c r="Q49" s="54">
        <f t="shared" si="23"/>
        <v>2</v>
      </c>
      <c r="R49" s="54">
        <f>SUM(R46:R48)</f>
        <v>0</v>
      </c>
      <c r="S49" s="54">
        <f>SUM(S46:S48)</f>
        <v>0</v>
      </c>
      <c r="T49" s="54">
        <f>SUM(T46:T48)</f>
        <v>1</v>
      </c>
      <c r="V49" s="60">
        <f>SUM(C49/B49)</f>
        <v>0.42869774524733506</v>
      </c>
      <c r="W49" s="60">
        <f>SUM(D49/B49)</f>
        <v>0.3050547723141917</v>
      </c>
      <c r="X49" s="60">
        <f>SUM(E49/B49)</f>
        <v>0.12875178071425061</v>
      </c>
      <c r="Y49" s="60">
        <f>SUM(F49/B49)</f>
        <v>0</v>
      </c>
      <c r="Z49" s="60">
        <f>SUM(G49/B49)</f>
        <v>6.2091663801149478E-2</v>
      </c>
      <c r="AA49" s="60">
        <f t="shared" si="22"/>
        <v>0</v>
      </c>
      <c r="AB49" s="60">
        <f t="shared" si="22"/>
        <v>0</v>
      </c>
      <c r="AC49" s="60">
        <f>SUM(J49/B49)</f>
        <v>7.5404037923073139E-2</v>
      </c>
    </row>
    <row r="50" spans="1:29">
      <c r="A50" s="53"/>
      <c r="B50" s="54"/>
      <c r="C50" s="55"/>
      <c r="D50" s="55"/>
      <c r="E50" s="55"/>
      <c r="F50" s="55"/>
      <c r="G50" s="55"/>
      <c r="H50" s="55"/>
      <c r="I50" s="55"/>
      <c r="J50" s="55"/>
      <c r="K50" s="55"/>
      <c r="L50" s="54"/>
      <c r="M50" s="55"/>
      <c r="N50" s="55"/>
      <c r="O50" s="55"/>
      <c r="P50" s="55"/>
      <c r="Q50" s="55"/>
      <c r="R50" s="55"/>
      <c r="S50" s="55"/>
      <c r="T50" s="55"/>
    </row>
    <row r="51" spans="1:29">
      <c r="A51" s="56" t="s">
        <v>1570</v>
      </c>
      <c r="B51" s="54">
        <f>SUM(C51:J51)</f>
        <v>6022</v>
      </c>
      <c r="C51" s="55">
        <v>1829</v>
      </c>
      <c r="D51" s="55">
        <v>756</v>
      </c>
      <c r="E51" s="55">
        <v>1827</v>
      </c>
      <c r="F51" s="55">
        <v>970</v>
      </c>
      <c r="G51" s="55">
        <v>0</v>
      </c>
      <c r="H51" s="55">
        <v>0</v>
      </c>
      <c r="I51" s="55">
        <v>0</v>
      </c>
      <c r="J51" s="55">
        <v>640</v>
      </c>
      <c r="L51" s="54">
        <f>SUM(M51:T51)</f>
        <v>6</v>
      </c>
      <c r="M51" s="55">
        <v>2</v>
      </c>
      <c r="N51" s="55">
        <v>1</v>
      </c>
      <c r="O51" s="55">
        <v>2</v>
      </c>
      <c r="P51" s="55">
        <v>1</v>
      </c>
      <c r="Q51" s="55">
        <v>0</v>
      </c>
      <c r="R51" s="55">
        <v>0</v>
      </c>
      <c r="S51" s="55">
        <v>0</v>
      </c>
      <c r="T51" s="55">
        <v>0</v>
      </c>
      <c r="V51" s="61">
        <f>SUM(C51/B51)</f>
        <v>0.30371969445366986</v>
      </c>
      <c r="W51" s="61">
        <f>SUM(D51/B51)</f>
        <v>0.12553968781135835</v>
      </c>
      <c r="X51" s="61">
        <f>SUM(E51/B51)</f>
        <v>0.30338757887744933</v>
      </c>
      <c r="Y51" s="61">
        <f>SUM(F51/B51)</f>
        <v>0.1610760544669545</v>
      </c>
      <c r="Z51" s="61">
        <f>SUM(G51/B51)</f>
        <v>0</v>
      </c>
      <c r="AA51" s="61">
        <f t="shared" ref="AA51:AB55" si="24">SUM(H51/B51)</f>
        <v>0</v>
      </c>
      <c r="AB51" s="61">
        <f t="shared" si="24"/>
        <v>0</v>
      </c>
      <c r="AC51" s="61">
        <f>SUM(J51/B51)</f>
        <v>0.10627698439056792</v>
      </c>
    </row>
    <row r="52" spans="1:29">
      <c r="A52" s="56" t="s">
        <v>1571</v>
      </c>
      <c r="B52" s="54">
        <f>SUM(C52:J52)</f>
        <v>4784</v>
      </c>
      <c r="C52" s="55">
        <v>1462</v>
      </c>
      <c r="D52" s="55">
        <v>524</v>
      </c>
      <c r="E52" s="55">
        <v>2798</v>
      </c>
      <c r="F52" s="55">
        <v>0</v>
      </c>
      <c r="G52" s="55">
        <v>0</v>
      </c>
      <c r="H52" s="55">
        <v>0</v>
      </c>
      <c r="I52" s="55">
        <v>0</v>
      </c>
      <c r="J52" s="55">
        <v>0</v>
      </c>
      <c r="L52" s="54">
        <f>SUM(M52:T52)</f>
        <v>5</v>
      </c>
      <c r="M52" s="55">
        <v>2</v>
      </c>
      <c r="N52" s="55">
        <v>0</v>
      </c>
      <c r="O52" s="55">
        <v>3</v>
      </c>
      <c r="P52" s="55">
        <v>0</v>
      </c>
      <c r="Q52" s="55">
        <v>0</v>
      </c>
      <c r="R52" s="55">
        <v>0</v>
      </c>
      <c r="S52" s="55">
        <v>0</v>
      </c>
      <c r="T52" s="55">
        <v>0</v>
      </c>
      <c r="V52" s="61">
        <f>SUM(C52/B52)</f>
        <v>0.3056020066889632</v>
      </c>
      <c r="W52" s="61">
        <f>SUM(D52/B52)</f>
        <v>0.10953177257525083</v>
      </c>
      <c r="X52" s="61">
        <f>SUM(E52/B52)</f>
        <v>0.58486622073578598</v>
      </c>
      <c r="Y52" s="61">
        <f>SUM(F52/B52)</f>
        <v>0</v>
      </c>
      <c r="Z52" s="61">
        <f>SUM(G52/B52)</f>
        <v>0</v>
      </c>
      <c r="AA52" s="61">
        <f t="shared" si="24"/>
        <v>0</v>
      </c>
      <c r="AB52" s="61">
        <f t="shared" si="24"/>
        <v>0</v>
      </c>
      <c r="AC52" s="61">
        <f>SUM(J52/B52)</f>
        <v>0</v>
      </c>
    </row>
    <row r="53" spans="1:29">
      <c r="A53" s="56" t="s">
        <v>1572</v>
      </c>
      <c r="B53" s="54">
        <f>SUM(C53:J53)</f>
        <v>7071</v>
      </c>
      <c r="C53" s="55">
        <v>4256</v>
      </c>
      <c r="D53" s="55">
        <v>1555</v>
      </c>
      <c r="E53" s="55">
        <v>1260</v>
      </c>
      <c r="F53" s="55">
        <v>0</v>
      </c>
      <c r="G53" s="55">
        <v>0</v>
      </c>
      <c r="H53" s="55">
        <v>0</v>
      </c>
      <c r="I53" s="55">
        <v>0</v>
      </c>
      <c r="J53" s="55">
        <v>0</v>
      </c>
      <c r="L53" s="54">
        <f>SUM(M53:T53)</f>
        <v>6</v>
      </c>
      <c r="M53" s="55">
        <v>4</v>
      </c>
      <c r="N53" s="55">
        <v>1</v>
      </c>
      <c r="O53" s="55">
        <v>1</v>
      </c>
      <c r="P53" s="55">
        <v>0</v>
      </c>
      <c r="Q53" s="55">
        <v>0</v>
      </c>
      <c r="R53" s="55">
        <v>0</v>
      </c>
      <c r="S53" s="55">
        <v>0</v>
      </c>
      <c r="T53" s="55">
        <v>0</v>
      </c>
      <c r="V53" s="61">
        <f>SUM(C53/B53)</f>
        <v>0.6018950643473342</v>
      </c>
      <c r="W53" s="61">
        <f>SUM(D53/B53)</f>
        <v>0.21991231791825766</v>
      </c>
      <c r="X53" s="61">
        <f>SUM(E53/B53)</f>
        <v>0.17819261773440814</v>
      </c>
      <c r="Y53" s="61">
        <f>SUM(F53/B53)</f>
        <v>0</v>
      </c>
      <c r="Z53" s="61">
        <f>SUM(G53/B53)</f>
        <v>0</v>
      </c>
      <c r="AA53" s="61">
        <f t="shared" si="24"/>
        <v>0</v>
      </c>
      <c r="AB53" s="61">
        <f t="shared" si="24"/>
        <v>0</v>
      </c>
      <c r="AC53" s="61">
        <f>SUM(J53/B53)</f>
        <v>0</v>
      </c>
    </row>
    <row r="54" spans="1:29">
      <c r="A54" s="56" t="s">
        <v>1573</v>
      </c>
      <c r="B54" s="54">
        <f>SUM(C54:J54)</f>
        <v>5626</v>
      </c>
      <c r="C54" s="55">
        <v>2740</v>
      </c>
      <c r="D54" s="55">
        <v>1150</v>
      </c>
      <c r="E54" s="55">
        <v>1191</v>
      </c>
      <c r="F54" s="55">
        <v>545</v>
      </c>
      <c r="G54" s="55">
        <v>0</v>
      </c>
      <c r="H54" s="55">
        <v>0</v>
      </c>
      <c r="I54" s="55">
        <v>0</v>
      </c>
      <c r="J54" s="55">
        <v>0</v>
      </c>
      <c r="L54" s="54">
        <f>SUM(M54:T54)</f>
        <v>5</v>
      </c>
      <c r="M54" s="55">
        <v>3</v>
      </c>
      <c r="N54" s="55">
        <v>1</v>
      </c>
      <c r="O54" s="55">
        <v>1</v>
      </c>
      <c r="P54" s="55">
        <v>0</v>
      </c>
      <c r="Q54" s="55">
        <v>0</v>
      </c>
      <c r="R54" s="55">
        <v>0</v>
      </c>
      <c r="S54" s="55">
        <v>0</v>
      </c>
      <c r="T54" s="55">
        <v>0</v>
      </c>
      <c r="V54" s="61">
        <f>SUM(C54/B54)</f>
        <v>0.4870245289726271</v>
      </c>
      <c r="W54" s="61">
        <f>SUM(D54/B54)</f>
        <v>0.20440810522573766</v>
      </c>
      <c r="X54" s="61">
        <f>SUM(E54/B54)</f>
        <v>0.21169569854248133</v>
      </c>
      <c r="Y54" s="61">
        <f>SUM(F54/B54)</f>
        <v>9.6871667259153929E-2</v>
      </c>
      <c r="Z54" s="61">
        <f>SUM(G54/B54)</f>
        <v>0</v>
      </c>
      <c r="AA54" s="61">
        <f t="shared" si="24"/>
        <v>0</v>
      </c>
      <c r="AB54" s="61">
        <f t="shared" si="24"/>
        <v>0</v>
      </c>
      <c r="AC54" s="61">
        <f>SUM(J54/B54)</f>
        <v>0</v>
      </c>
    </row>
    <row r="55" spans="1:29" s="52" customFormat="1">
      <c r="A55" s="53" t="s">
        <v>1574</v>
      </c>
      <c r="B55" s="54">
        <f>SUM(B51:B54)</f>
        <v>23503</v>
      </c>
      <c r="C55" s="54">
        <f t="shared" ref="C55:Q55" si="25">SUM(C51:C54)</f>
        <v>10287</v>
      </c>
      <c r="D55" s="54">
        <f>SUM(D51:D54)</f>
        <v>3985</v>
      </c>
      <c r="E55" s="54">
        <f t="shared" si="25"/>
        <v>7076</v>
      </c>
      <c r="F55" s="54">
        <f t="shared" si="25"/>
        <v>1515</v>
      </c>
      <c r="G55" s="54">
        <f t="shared" si="25"/>
        <v>0</v>
      </c>
      <c r="H55" s="54">
        <f>SUM(H51:H54)</f>
        <v>0</v>
      </c>
      <c r="I55" s="54">
        <f>SUM(I51:I54)</f>
        <v>0</v>
      </c>
      <c r="J55" s="54">
        <f>SUM(J51:J54)</f>
        <v>640</v>
      </c>
      <c r="K55" s="54"/>
      <c r="L55" s="54">
        <f t="shared" si="25"/>
        <v>22</v>
      </c>
      <c r="M55" s="54">
        <f t="shared" si="25"/>
        <v>11</v>
      </c>
      <c r="N55" s="54">
        <f t="shared" si="25"/>
        <v>3</v>
      </c>
      <c r="O55" s="54">
        <f t="shared" si="25"/>
        <v>7</v>
      </c>
      <c r="P55" s="54">
        <f t="shared" si="25"/>
        <v>1</v>
      </c>
      <c r="Q55" s="54">
        <f t="shared" si="25"/>
        <v>0</v>
      </c>
      <c r="R55" s="54">
        <f>SUM(R51:R54)</f>
        <v>0</v>
      </c>
      <c r="S55" s="54">
        <f>SUM(S51:S54)</f>
        <v>0</v>
      </c>
      <c r="T55" s="54">
        <f>SUM(T51:T54)</f>
        <v>0</v>
      </c>
      <c r="V55" s="60">
        <f>SUM(C55/B55)</f>
        <v>0.43768880568438073</v>
      </c>
      <c r="W55" s="60">
        <f>SUM(D55/B55)</f>
        <v>0.16955282304386673</v>
      </c>
      <c r="X55" s="60">
        <f>SUM(E55/B55)</f>
        <v>0.30106794877249715</v>
      </c>
      <c r="Y55" s="60">
        <f>SUM(F55/B55)</f>
        <v>6.4459856188571668E-2</v>
      </c>
      <c r="Z55" s="60">
        <f>SUM(G55/B55)</f>
        <v>0</v>
      </c>
      <c r="AA55" s="60">
        <f t="shared" si="24"/>
        <v>0</v>
      </c>
      <c r="AB55" s="60">
        <f t="shared" si="24"/>
        <v>0</v>
      </c>
      <c r="AC55" s="60">
        <f>SUM(J55/B55)</f>
        <v>2.7230566310683744E-2</v>
      </c>
    </row>
    <row r="56" spans="1:29">
      <c r="A56" s="53"/>
      <c r="B56" s="54"/>
      <c r="C56" s="55"/>
      <c r="D56" s="55"/>
      <c r="E56" s="55"/>
      <c r="F56" s="55"/>
      <c r="G56" s="55"/>
      <c r="H56" s="55"/>
      <c r="I56" s="55"/>
      <c r="J56" s="55"/>
      <c r="L56" s="54"/>
      <c r="M56" s="55"/>
      <c r="N56" s="55"/>
      <c r="O56" s="55"/>
      <c r="P56" s="55"/>
      <c r="Q56" s="55"/>
      <c r="R56" s="55"/>
      <c r="S56" s="55"/>
      <c r="T56" s="55"/>
    </row>
    <row r="57" spans="1:29">
      <c r="A57" s="56" t="s">
        <v>1575</v>
      </c>
      <c r="B57" s="54">
        <f>SUM(C57:J57)</f>
        <v>6406</v>
      </c>
      <c r="C57" s="55">
        <v>2193</v>
      </c>
      <c r="D57" s="55">
        <v>1692</v>
      </c>
      <c r="E57" s="55">
        <v>1701</v>
      </c>
      <c r="F57" s="55">
        <v>820</v>
      </c>
      <c r="G57" s="55">
        <v>0</v>
      </c>
      <c r="H57" s="55">
        <v>0</v>
      </c>
      <c r="I57" s="55">
        <v>0</v>
      </c>
      <c r="J57" s="55">
        <v>0</v>
      </c>
      <c r="L57" s="54">
        <f>SUM(M57:T57)</f>
        <v>5</v>
      </c>
      <c r="M57" s="55">
        <v>2</v>
      </c>
      <c r="N57" s="55">
        <v>1</v>
      </c>
      <c r="O57" s="55">
        <v>1</v>
      </c>
      <c r="P57" s="55">
        <v>1</v>
      </c>
      <c r="Q57" s="55">
        <v>0</v>
      </c>
      <c r="R57" s="55">
        <v>0</v>
      </c>
      <c r="S57" s="55">
        <v>0</v>
      </c>
      <c r="T57" s="55">
        <v>0</v>
      </c>
      <c r="V57" s="61">
        <f t="shared" ref="V57:V62" si="26">SUM(C57/B57)</f>
        <v>0.3423353106462691</v>
      </c>
      <c r="W57" s="61">
        <f t="shared" ref="W57:W62" si="27">SUM(D57/B57)</f>
        <v>0.26412738058070556</v>
      </c>
      <c r="X57" s="61">
        <f t="shared" ref="X57:X62" si="28">SUM(E57/B57)</f>
        <v>0.26553231345613487</v>
      </c>
      <c r="Y57" s="61">
        <f t="shared" ref="Y57:Y62" si="29">SUM(F57/B57)</f>
        <v>0.12800499531689041</v>
      </c>
      <c r="Z57" s="61">
        <f t="shared" ref="Z57:Z62" si="30">SUM(G57/B57)</f>
        <v>0</v>
      </c>
      <c r="AA57" s="61">
        <f t="shared" ref="AA57:AB62" si="31">SUM(H57/B57)</f>
        <v>0</v>
      </c>
      <c r="AB57" s="61">
        <f t="shared" si="31"/>
        <v>0</v>
      </c>
      <c r="AC57" s="61">
        <f t="shared" ref="AC57:AC62" si="32">SUM(J57/B57)</f>
        <v>0</v>
      </c>
    </row>
    <row r="58" spans="1:29">
      <c r="A58" s="56" t="s">
        <v>1576</v>
      </c>
      <c r="B58" s="54">
        <f>SUM(C58:J58)</f>
        <v>6874</v>
      </c>
      <c r="C58" s="55">
        <v>2404</v>
      </c>
      <c r="D58" s="55">
        <v>543</v>
      </c>
      <c r="E58" s="55">
        <v>2124</v>
      </c>
      <c r="F58" s="55">
        <v>1302</v>
      </c>
      <c r="G58" s="55">
        <v>356</v>
      </c>
      <c r="H58" s="55">
        <v>91</v>
      </c>
      <c r="I58" s="55">
        <v>54</v>
      </c>
      <c r="J58" s="55">
        <v>0</v>
      </c>
      <c r="L58" s="54">
        <f>SUM(M58:T58)</f>
        <v>6</v>
      </c>
      <c r="M58" s="55">
        <v>2</v>
      </c>
      <c r="N58" s="55">
        <v>1</v>
      </c>
      <c r="O58" s="55">
        <v>2</v>
      </c>
      <c r="P58" s="55">
        <v>1</v>
      </c>
      <c r="Q58" s="55">
        <v>0</v>
      </c>
      <c r="R58" s="55">
        <v>0</v>
      </c>
      <c r="S58" s="55">
        <v>0</v>
      </c>
      <c r="T58" s="55">
        <v>0</v>
      </c>
      <c r="V58" s="61">
        <f t="shared" si="26"/>
        <v>0.34972359615944137</v>
      </c>
      <c r="W58" s="61">
        <f t="shared" si="27"/>
        <v>7.8993308117544375E-2</v>
      </c>
      <c r="X58" s="61">
        <f t="shared" si="28"/>
        <v>0.30899039860343325</v>
      </c>
      <c r="Y58" s="61">
        <f t="shared" si="29"/>
        <v>0.18940936863543789</v>
      </c>
      <c r="Z58" s="61">
        <f t="shared" si="30"/>
        <v>5.1789351178353218E-2</v>
      </c>
      <c r="AA58" s="61">
        <f t="shared" si="31"/>
        <v>1.3238289205702648E-2</v>
      </c>
      <c r="AB58" s="61">
        <f t="shared" si="31"/>
        <v>2.2462562396006656E-2</v>
      </c>
      <c r="AC58" s="61">
        <f t="shared" si="32"/>
        <v>0</v>
      </c>
    </row>
    <row r="59" spans="1:29">
      <c r="A59" s="56" t="s">
        <v>1577</v>
      </c>
      <c r="B59" s="54">
        <f>SUM(C59:J59)</f>
        <v>7421</v>
      </c>
      <c r="C59" s="55">
        <v>938</v>
      </c>
      <c r="D59" s="55">
        <v>0</v>
      </c>
      <c r="E59" s="55">
        <v>3339</v>
      </c>
      <c r="F59" s="55">
        <v>1431</v>
      </c>
      <c r="G59" s="55">
        <v>0</v>
      </c>
      <c r="H59" s="55">
        <v>266</v>
      </c>
      <c r="I59" s="55">
        <v>1139</v>
      </c>
      <c r="J59" s="55">
        <v>308</v>
      </c>
      <c r="L59" s="54">
        <f>SUM(M59:T59)</f>
        <v>7</v>
      </c>
      <c r="M59" s="55">
        <v>1</v>
      </c>
      <c r="N59" s="55">
        <v>0</v>
      </c>
      <c r="O59" s="55">
        <v>4</v>
      </c>
      <c r="P59" s="55">
        <v>1</v>
      </c>
      <c r="Q59" s="55">
        <v>0</v>
      </c>
      <c r="R59" s="55">
        <v>0</v>
      </c>
      <c r="S59" s="55">
        <v>1</v>
      </c>
      <c r="T59" s="55">
        <v>0</v>
      </c>
      <c r="V59" s="61">
        <f t="shared" si="26"/>
        <v>0.1263980595607061</v>
      </c>
      <c r="W59" s="61">
        <f t="shared" si="27"/>
        <v>0</v>
      </c>
      <c r="X59" s="61">
        <f t="shared" si="28"/>
        <v>0.44993936127206574</v>
      </c>
      <c r="Y59" s="61">
        <f t="shared" si="29"/>
        <v>0.19283115483088534</v>
      </c>
      <c r="Z59" s="61">
        <f t="shared" si="30"/>
        <v>0</v>
      </c>
      <c r="AA59" s="61">
        <f t="shared" si="31"/>
        <v>3.5844225845573376E-2</v>
      </c>
      <c r="AB59" s="61">
        <f t="shared" si="31"/>
        <v>1.2142857142857142</v>
      </c>
      <c r="AC59" s="61">
        <f t="shared" si="32"/>
        <v>4.150384045276917E-2</v>
      </c>
    </row>
    <row r="60" spans="1:29">
      <c r="A60" s="56" t="s">
        <v>1578</v>
      </c>
      <c r="B60" s="54">
        <f>SUM(C60:J60)</f>
        <v>7774</v>
      </c>
      <c r="C60" s="55">
        <v>1396</v>
      </c>
      <c r="D60" s="55">
        <v>537</v>
      </c>
      <c r="E60" s="55">
        <v>4210</v>
      </c>
      <c r="F60" s="55">
        <v>0</v>
      </c>
      <c r="G60" s="55">
        <v>0</v>
      </c>
      <c r="H60" s="55">
        <v>141</v>
      </c>
      <c r="I60" s="55">
        <v>1490</v>
      </c>
      <c r="J60" s="55">
        <v>0</v>
      </c>
      <c r="L60" s="54">
        <f>SUM(M60:T60)</f>
        <v>7</v>
      </c>
      <c r="M60" s="55">
        <v>2</v>
      </c>
      <c r="N60" s="55">
        <v>0</v>
      </c>
      <c r="O60" s="55">
        <v>4</v>
      </c>
      <c r="P60" s="55">
        <v>0</v>
      </c>
      <c r="Q60" s="55">
        <v>0</v>
      </c>
      <c r="R60" s="55">
        <v>0</v>
      </c>
      <c r="S60" s="55">
        <v>1</v>
      </c>
      <c r="T60" s="55">
        <v>0</v>
      </c>
      <c r="V60" s="61">
        <f t="shared" si="26"/>
        <v>0.17957293542577824</v>
      </c>
      <c r="W60" s="61">
        <f t="shared" si="27"/>
        <v>6.907640854129149E-2</v>
      </c>
      <c r="X60" s="61">
        <f t="shared" si="28"/>
        <v>0.54154875225109333</v>
      </c>
      <c r="Y60" s="61">
        <f t="shared" si="29"/>
        <v>0</v>
      </c>
      <c r="Z60" s="61">
        <f t="shared" si="30"/>
        <v>0</v>
      </c>
      <c r="AA60" s="61">
        <f t="shared" si="31"/>
        <v>1.8137381013635195E-2</v>
      </c>
      <c r="AB60" s="61">
        <f t="shared" si="31"/>
        <v>1.0673352435530086</v>
      </c>
      <c r="AC60" s="61">
        <f t="shared" si="32"/>
        <v>0</v>
      </c>
    </row>
    <row r="61" spans="1:29">
      <c r="A61" s="56" t="s">
        <v>1579</v>
      </c>
      <c r="B61" s="54">
        <f>SUM(C61:J61)</f>
        <v>5886</v>
      </c>
      <c r="C61" s="55">
        <v>0</v>
      </c>
      <c r="D61" s="55">
        <v>0</v>
      </c>
      <c r="E61" s="55">
        <v>2639</v>
      </c>
      <c r="F61" s="55">
        <v>2794</v>
      </c>
      <c r="G61" s="55">
        <v>0</v>
      </c>
      <c r="H61" s="55">
        <v>0</v>
      </c>
      <c r="I61" s="55">
        <v>266</v>
      </c>
      <c r="J61" s="55">
        <v>187</v>
      </c>
      <c r="L61" s="54">
        <f>SUM(M61:T61)</f>
        <v>5</v>
      </c>
      <c r="M61" s="55">
        <v>0</v>
      </c>
      <c r="N61" s="55">
        <v>0</v>
      </c>
      <c r="O61" s="55">
        <v>3</v>
      </c>
      <c r="P61" s="55">
        <v>2</v>
      </c>
      <c r="Q61" s="55">
        <v>0</v>
      </c>
      <c r="R61" s="55">
        <v>0</v>
      </c>
      <c r="S61" s="55">
        <v>0</v>
      </c>
      <c r="T61" s="55">
        <v>0</v>
      </c>
      <c r="V61" s="61">
        <f t="shared" si="26"/>
        <v>0</v>
      </c>
      <c r="W61" s="61">
        <f t="shared" si="27"/>
        <v>0</v>
      </c>
      <c r="X61" s="61">
        <f t="shared" si="28"/>
        <v>0.44835202174651717</v>
      </c>
      <c r="Y61" s="61">
        <f t="shared" si="29"/>
        <v>0.47468569486918111</v>
      </c>
      <c r="Z61" s="61">
        <f t="shared" si="30"/>
        <v>0</v>
      </c>
      <c r="AA61" s="61">
        <f t="shared" si="31"/>
        <v>0</v>
      </c>
      <c r="AB61" s="61" t="e">
        <f t="shared" si="31"/>
        <v>#DIV/0!</v>
      </c>
      <c r="AC61" s="61">
        <f t="shared" si="32"/>
        <v>3.1770302412504246E-2</v>
      </c>
    </row>
    <row r="62" spans="1:29" s="52" customFormat="1">
      <c r="A62" s="53" t="s">
        <v>1580</v>
      </c>
      <c r="B62" s="54">
        <f>SUM(B57:B61)</f>
        <v>34361</v>
      </c>
      <c r="C62" s="54">
        <f t="shared" ref="C62:Q62" si="33">SUM(C57:C61)</f>
        <v>6931</v>
      </c>
      <c r="D62" s="54">
        <f>SUM(D57:D61)</f>
        <v>2772</v>
      </c>
      <c r="E62" s="54">
        <f t="shared" si="33"/>
        <v>14013</v>
      </c>
      <c r="F62" s="54">
        <f t="shared" si="33"/>
        <v>6347</v>
      </c>
      <c r="G62" s="54">
        <f t="shared" si="33"/>
        <v>356</v>
      </c>
      <c r="H62" s="54">
        <f>SUM(H57:H61)</f>
        <v>498</v>
      </c>
      <c r="I62" s="54">
        <f>SUM(I57:I61)</f>
        <v>2949</v>
      </c>
      <c r="J62" s="54">
        <f>SUM(J57:J61)</f>
        <v>495</v>
      </c>
      <c r="K62" s="54"/>
      <c r="L62" s="54">
        <f t="shared" si="33"/>
        <v>30</v>
      </c>
      <c r="M62" s="54">
        <f t="shared" si="33"/>
        <v>7</v>
      </c>
      <c r="N62" s="54">
        <f t="shared" si="33"/>
        <v>2</v>
      </c>
      <c r="O62" s="54">
        <f t="shared" si="33"/>
        <v>14</v>
      </c>
      <c r="P62" s="54">
        <f t="shared" si="33"/>
        <v>5</v>
      </c>
      <c r="Q62" s="54">
        <f t="shared" si="33"/>
        <v>0</v>
      </c>
      <c r="R62" s="54">
        <f>SUM(R57:R61)</f>
        <v>0</v>
      </c>
      <c r="S62" s="54">
        <f>SUM(S57:S61)</f>
        <v>2</v>
      </c>
      <c r="T62" s="54">
        <f>SUM(T57:T61)</f>
        <v>0</v>
      </c>
      <c r="V62" s="60">
        <f t="shared" si="26"/>
        <v>0.20171124239690347</v>
      </c>
      <c r="W62" s="60">
        <f t="shared" si="27"/>
        <v>8.067285585402055E-2</v>
      </c>
      <c r="X62" s="60">
        <f t="shared" si="28"/>
        <v>0.40781700183347402</v>
      </c>
      <c r="Y62" s="60">
        <f t="shared" si="29"/>
        <v>0.18471522947527722</v>
      </c>
      <c r="Z62" s="60">
        <f t="shared" si="30"/>
        <v>1.0360583219347515E-2</v>
      </c>
      <c r="AA62" s="60">
        <f t="shared" si="31"/>
        <v>1.4493175402345683E-2</v>
      </c>
      <c r="AB62" s="60">
        <f t="shared" si="31"/>
        <v>0.42547972875486945</v>
      </c>
      <c r="AC62" s="60">
        <f t="shared" si="32"/>
        <v>1.4405867116789383E-2</v>
      </c>
    </row>
    <row r="63" spans="1:29">
      <c r="A63" s="53"/>
      <c r="B63" s="54"/>
      <c r="C63" s="55"/>
      <c r="D63" s="55"/>
      <c r="E63" s="55"/>
      <c r="F63" s="55"/>
      <c r="G63" s="55"/>
      <c r="H63" s="55"/>
      <c r="I63" s="55"/>
      <c r="J63" s="55"/>
      <c r="L63" s="54"/>
      <c r="M63" s="55"/>
      <c r="N63" s="55"/>
      <c r="O63" s="55"/>
      <c r="P63" s="55"/>
      <c r="Q63" s="55"/>
      <c r="R63" s="55"/>
      <c r="S63" s="55"/>
      <c r="T63" s="55"/>
    </row>
    <row r="64" spans="1:29">
      <c r="A64" s="56" t="s">
        <v>1581</v>
      </c>
      <c r="B64" s="54">
        <f>SUM(C64:J64)</f>
        <v>8432</v>
      </c>
      <c r="C64" s="55">
        <v>4050</v>
      </c>
      <c r="D64" s="55">
        <v>2579</v>
      </c>
      <c r="E64" s="55">
        <v>808</v>
      </c>
      <c r="F64" s="55">
        <v>573</v>
      </c>
      <c r="G64" s="55">
        <v>422</v>
      </c>
      <c r="H64" s="55">
        <v>0</v>
      </c>
      <c r="I64" s="55">
        <v>0</v>
      </c>
      <c r="J64" s="55">
        <v>0</v>
      </c>
      <c r="K64" s="55"/>
      <c r="L64" s="54">
        <f>SUM(M64:T64)</f>
        <v>7</v>
      </c>
      <c r="M64" s="55">
        <v>4</v>
      </c>
      <c r="N64" s="55">
        <v>2</v>
      </c>
      <c r="O64" s="55">
        <v>1</v>
      </c>
      <c r="P64" s="55">
        <v>0</v>
      </c>
      <c r="Q64" s="55">
        <v>0</v>
      </c>
      <c r="R64" s="55">
        <v>0</v>
      </c>
      <c r="S64" s="55">
        <v>0</v>
      </c>
      <c r="T64" s="55">
        <v>0</v>
      </c>
      <c r="V64" s="61">
        <f>SUM(C64/B64)</f>
        <v>0.48031309297912711</v>
      </c>
      <c r="W64" s="61">
        <f>SUM(D64/B64)</f>
        <v>0.30585863377609107</v>
      </c>
      <c r="X64" s="61">
        <f>SUM(E64/B64)</f>
        <v>9.5825426944971537E-2</v>
      </c>
      <c r="Y64" s="61">
        <f>SUM(F64/B64)</f>
        <v>6.7955407969639475E-2</v>
      </c>
      <c r="Z64" s="61">
        <f>SUM(G64/B64)</f>
        <v>5.0047438330170779E-2</v>
      </c>
      <c r="AA64" s="61">
        <f t="shared" ref="AA64:AB68" si="34">SUM(H64/B64)</f>
        <v>0</v>
      </c>
      <c r="AB64" s="61">
        <f t="shared" si="34"/>
        <v>0</v>
      </c>
      <c r="AC64" s="61">
        <f>SUM(J64/B64)</f>
        <v>0</v>
      </c>
    </row>
    <row r="65" spans="1:29">
      <c r="A65" s="56" t="s">
        <v>1582</v>
      </c>
      <c r="B65" s="54">
        <f>SUM(C65:J65)</f>
        <v>7748</v>
      </c>
      <c r="C65" s="55">
        <v>3012</v>
      </c>
      <c r="D65" s="55">
        <v>2376</v>
      </c>
      <c r="E65" s="55">
        <v>883</v>
      </c>
      <c r="F65" s="55">
        <v>554</v>
      </c>
      <c r="G65" s="55">
        <v>383</v>
      </c>
      <c r="H65" s="55">
        <v>540</v>
      </c>
      <c r="I65" s="55">
        <v>0</v>
      </c>
      <c r="J65" s="55">
        <v>0</v>
      </c>
      <c r="L65" s="54">
        <f>SUM(M65:T65)</f>
        <v>7</v>
      </c>
      <c r="M65" s="55">
        <v>3</v>
      </c>
      <c r="N65" s="55">
        <v>2</v>
      </c>
      <c r="O65" s="55">
        <v>1</v>
      </c>
      <c r="P65" s="55">
        <v>0</v>
      </c>
      <c r="Q65" s="55">
        <v>0</v>
      </c>
      <c r="R65" s="55">
        <v>1</v>
      </c>
      <c r="S65" s="55">
        <v>0</v>
      </c>
      <c r="T65" s="55">
        <v>0</v>
      </c>
      <c r="V65" s="61">
        <f>SUM(C65/B65)</f>
        <v>0.38874548270521425</v>
      </c>
      <c r="W65" s="61">
        <f>SUM(D65/B65)</f>
        <v>0.30665978316985026</v>
      </c>
      <c r="X65" s="61">
        <f>SUM(E65/B65)</f>
        <v>0.11396489416623645</v>
      </c>
      <c r="Y65" s="61">
        <f>SUM(F65/B65)</f>
        <v>7.1502323180175534E-2</v>
      </c>
      <c r="Z65" s="61">
        <f>SUM(G65/B65)</f>
        <v>4.9432111512648425E-2</v>
      </c>
      <c r="AA65" s="61">
        <f t="shared" si="34"/>
        <v>6.969540526587506E-2</v>
      </c>
      <c r="AB65" s="61">
        <f t="shared" si="34"/>
        <v>0</v>
      </c>
      <c r="AC65" s="61">
        <f>SUM(J65/B65)</f>
        <v>0</v>
      </c>
    </row>
    <row r="66" spans="1:29">
      <c r="A66" s="56" t="s">
        <v>1583</v>
      </c>
      <c r="B66" s="54">
        <f>SUM(C66:J66)</f>
        <v>8712</v>
      </c>
      <c r="C66" s="55">
        <v>3353</v>
      </c>
      <c r="D66" s="55">
        <v>2563</v>
      </c>
      <c r="E66" s="55">
        <v>1248</v>
      </c>
      <c r="F66" s="55">
        <v>1042</v>
      </c>
      <c r="G66" s="55">
        <v>506</v>
      </c>
      <c r="H66" s="55">
        <v>0</v>
      </c>
      <c r="I66" s="55">
        <v>0</v>
      </c>
      <c r="J66" s="55">
        <v>0</v>
      </c>
      <c r="L66" s="54">
        <f>SUM(M66:T66)</f>
        <v>7</v>
      </c>
      <c r="M66" s="55">
        <v>3</v>
      </c>
      <c r="N66" s="55">
        <v>2</v>
      </c>
      <c r="O66" s="55">
        <v>1</v>
      </c>
      <c r="P66" s="55">
        <v>1</v>
      </c>
      <c r="Q66" s="55">
        <v>0</v>
      </c>
      <c r="R66" s="55">
        <v>0</v>
      </c>
      <c r="S66" s="55">
        <v>0</v>
      </c>
      <c r="T66" s="55">
        <v>0</v>
      </c>
      <c r="V66" s="61">
        <f>SUM(C66/B66)</f>
        <v>0.38487144168962351</v>
      </c>
      <c r="W66" s="61">
        <f>SUM(D66/B66)</f>
        <v>0.29419191919191917</v>
      </c>
      <c r="X66" s="61">
        <f>SUM(E66/B66)</f>
        <v>0.14325068870523416</v>
      </c>
      <c r="Y66" s="61">
        <f>SUM(F66/B66)</f>
        <v>0.11960514233241507</v>
      </c>
      <c r="Z66" s="61">
        <f>SUM(G66/B66)</f>
        <v>5.808080808080808E-2</v>
      </c>
      <c r="AA66" s="61">
        <f t="shared" si="34"/>
        <v>0</v>
      </c>
      <c r="AB66" s="61">
        <f t="shared" si="34"/>
        <v>0</v>
      </c>
      <c r="AC66" s="61">
        <f>SUM(J66/B66)</f>
        <v>0</v>
      </c>
    </row>
    <row r="67" spans="1:29">
      <c r="A67" s="56" t="s">
        <v>1584</v>
      </c>
      <c r="B67" s="54">
        <f>SUM(C67:J67)</f>
        <v>5819</v>
      </c>
      <c r="C67" s="55">
        <v>669</v>
      </c>
      <c r="D67" s="55">
        <v>382</v>
      </c>
      <c r="E67" s="55">
        <v>2347</v>
      </c>
      <c r="F67" s="55">
        <v>1353</v>
      </c>
      <c r="G67" s="55">
        <v>0</v>
      </c>
      <c r="H67" s="55">
        <v>1068</v>
      </c>
      <c r="I67" s="55">
        <v>0</v>
      </c>
      <c r="J67" s="55">
        <v>0</v>
      </c>
      <c r="L67" s="54">
        <f>SUM(M67:T67)</f>
        <v>5</v>
      </c>
      <c r="M67" s="55">
        <v>1</v>
      </c>
      <c r="N67" s="55">
        <v>0</v>
      </c>
      <c r="O67" s="55">
        <v>2</v>
      </c>
      <c r="P67" s="55">
        <v>1</v>
      </c>
      <c r="Q67" s="55">
        <v>0</v>
      </c>
      <c r="R67" s="55">
        <v>1</v>
      </c>
      <c r="S67" s="55">
        <v>0</v>
      </c>
      <c r="T67" s="55">
        <v>0</v>
      </c>
      <c r="V67" s="61">
        <f>SUM(C67/B67)</f>
        <v>0.11496820759580684</v>
      </c>
      <c r="W67" s="61">
        <f>SUM(D67/B67)</f>
        <v>6.5647018388039186E-2</v>
      </c>
      <c r="X67" s="61">
        <f>SUM(E67/B67)</f>
        <v>0.40333390616944492</v>
      </c>
      <c r="Y67" s="61">
        <f>SUM(F67/B67)</f>
        <v>0.23251417769376181</v>
      </c>
      <c r="Z67" s="61">
        <f>SUM(G67/B67)</f>
        <v>0</v>
      </c>
      <c r="AA67" s="61">
        <f t="shared" si="34"/>
        <v>0.18353669015294724</v>
      </c>
      <c r="AB67" s="61">
        <f t="shared" si="34"/>
        <v>0</v>
      </c>
      <c r="AC67" s="61">
        <f>SUM(J67/B67)</f>
        <v>0</v>
      </c>
    </row>
    <row r="68" spans="1:29" s="52" customFormat="1">
      <c r="A68" s="53" t="s">
        <v>1585</v>
      </c>
      <c r="B68" s="54">
        <f>SUM(B64:B67)</f>
        <v>30711</v>
      </c>
      <c r="C68" s="54">
        <f t="shared" ref="C68:Q68" si="35">SUM(C64:C67)</f>
        <v>11084</v>
      </c>
      <c r="D68" s="54">
        <f>SUM(D64:D67)</f>
        <v>7900</v>
      </c>
      <c r="E68" s="54">
        <f t="shared" si="35"/>
        <v>5286</v>
      </c>
      <c r="F68" s="54">
        <f t="shared" si="35"/>
        <v>3522</v>
      </c>
      <c r="G68" s="54">
        <f t="shared" si="35"/>
        <v>1311</v>
      </c>
      <c r="H68" s="54">
        <f>SUM(H64:H67)</f>
        <v>1608</v>
      </c>
      <c r="I68" s="54">
        <f>SUM(I64:I67)</f>
        <v>0</v>
      </c>
      <c r="J68" s="54">
        <f>SUM(J64:J67)</f>
        <v>0</v>
      </c>
      <c r="K68" s="54"/>
      <c r="L68" s="54">
        <f t="shared" si="35"/>
        <v>26</v>
      </c>
      <c r="M68" s="54">
        <f t="shared" si="35"/>
        <v>11</v>
      </c>
      <c r="N68" s="54">
        <f t="shared" si="35"/>
        <v>6</v>
      </c>
      <c r="O68" s="54">
        <f t="shared" si="35"/>
        <v>5</v>
      </c>
      <c r="P68" s="54">
        <f t="shared" si="35"/>
        <v>2</v>
      </c>
      <c r="Q68" s="54">
        <f t="shared" si="35"/>
        <v>0</v>
      </c>
      <c r="R68" s="54">
        <f>SUM(R64:R67)</f>
        <v>2</v>
      </c>
      <c r="S68" s="54">
        <f>SUM(S64:S67)</f>
        <v>0</v>
      </c>
      <c r="T68" s="54">
        <f>SUM(T64:T67)</f>
        <v>0</v>
      </c>
      <c r="V68" s="60">
        <f>SUM(C68/B68)</f>
        <v>0.36091302790531082</v>
      </c>
      <c r="W68" s="60">
        <f>SUM(D68/B68)</f>
        <v>0.25723682068314285</v>
      </c>
      <c r="X68" s="60">
        <f>SUM(E68/B68)</f>
        <v>0.17212073849760673</v>
      </c>
      <c r="Y68" s="60">
        <f>SUM(F68/B68)</f>
        <v>0.11468203575266191</v>
      </c>
      <c r="Z68" s="60">
        <f>SUM(G68/B68)</f>
        <v>4.26882875842532E-2</v>
      </c>
      <c r="AA68" s="60">
        <f t="shared" si="34"/>
        <v>5.2359089577024516E-2</v>
      </c>
      <c r="AB68" s="60">
        <f t="shared" si="34"/>
        <v>0</v>
      </c>
      <c r="AC68" s="60">
        <f>SUM(J68/B68)</f>
        <v>0</v>
      </c>
    </row>
    <row r="69" spans="1:29">
      <c r="A69" s="53"/>
      <c r="B69" s="54"/>
      <c r="C69" s="55"/>
      <c r="D69" s="55"/>
      <c r="E69" s="55"/>
      <c r="F69" s="55"/>
      <c r="G69" s="55"/>
      <c r="H69" s="55"/>
      <c r="I69" s="55"/>
      <c r="J69" s="55"/>
      <c r="L69" s="54"/>
      <c r="M69" s="55"/>
      <c r="N69" s="55"/>
      <c r="O69" s="55"/>
      <c r="P69" s="55"/>
      <c r="Q69" s="55"/>
      <c r="R69" s="55"/>
      <c r="S69" s="55"/>
      <c r="T69" s="55"/>
    </row>
    <row r="70" spans="1:29">
      <c r="A70" s="56" t="s">
        <v>1586</v>
      </c>
      <c r="B70" s="54">
        <f>SUM(C70:J70)</f>
        <v>4913</v>
      </c>
      <c r="C70" s="55">
        <v>2431</v>
      </c>
      <c r="D70" s="55">
        <v>1548</v>
      </c>
      <c r="E70" s="55">
        <v>934</v>
      </c>
      <c r="F70" s="55">
        <v>0</v>
      </c>
      <c r="G70" s="55">
        <v>0</v>
      </c>
      <c r="H70" s="55">
        <v>0</v>
      </c>
      <c r="I70" s="55">
        <v>0</v>
      </c>
      <c r="J70" s="55">
        <v>0</v>
      </c>
      <c r="L70" s="54">
        <f>SUM(M70:T70)</f>
        <v>5</v>
      </c>
      <c r="M70" s="55">
        <v>3</v>
      </c>
      <c r="N70" s="55">
        <v>1</v>
      </c>
      <c r="O70" s="55">
        <v>1</v>
      </c>
      <c r="P70" s="55">
        <v>0</v>
      </c>
      <c r="Q70" s="55">
        <v>0</v>
      </c>
      <c r="R70" s="55">
        <v>0</v>
      </c>
      <c r="S70" s="55">
        <v>0</v>
      </c>
      <c r="T70" s="55">
        <v>0</v>
      </c>
      <c r="V70" s="61">
        <f>SUM(C70/B70)</f>
        <v>0.49480968858131485</v>
      </c>
      <c r="W70" s="61">
        <f>SUM(D70/B70)</f>
        <v>0.31508243435782618</v>
      </c>
      <c r="X70" s="61">
        <f>SUM(E70/B70)</f>
        <v>0.19010787706085894</v>
      </c>
      <c r="Y70" s="61">
        <f>SUM(F70/B70)</f>
        <v>0</v>
      </c>
      <c r="Z70" s="61">
        <f>SUM(G70/B70)</f>
        <v>0</v>
      </c>
      <c r="AA70" s="61">
        <f t="shared" ref="AA70:AB73" si="36">SUM(H70/B70)</f>
        <v>0</v>
      </c>
      <c r="AB70" s="61">
        <f t="shared" si="36"/>
        <v>0</v>
      </c>
      <c r="AC70" s="61">
        <f>SUM(J70/B70)</f>
        <v>0</v>
      </c>
    </row>
    <row r="71" spans="1:29">
      <c r="A71" s="56" t="s">
        <v>1587</v>
      </c>
      <c r="B71" s="54">
        <f>SUM(C71:J71)</f>
        <v>5110</v>
      </c>
      <c r="C71" s="55">
        <v>2260</v>
      </c>
      <c r="D71" s="55">
        <v>1304</v>
      </c>
      <c r="E71" s="55">
        <v>948</v>
      </c>
      <c r="F71" s="55">
        <v>0</v>
      </c>
      <c r="G71" s="55">
        <v>234</v>
      </c>
      <c r="H71" s="55">
        <v>0</v>
      </c>
      <c r="I71" s="55">
        <v>0</v>
      </c>
      <c r="J71" s="55">
        <v>364</v>
      </c>
      <c r="L71" s="54">
        <f>SUM(M71:T71)</f>
        <v>5</v>
      </c>
      <c r="M71" s="55">
        <v>3</v>
      </c>
      <c r="N71" s="55">
        <v>1</v>
      </c>
      <c r="O71" s="55">
        <v>1</v>
      </c>
      <c r="P71" s="55">
        <v>0</v>
      </c>
      <c r="Q71" s="55">
        <v>0</v>
      </c>
      <c r="R71" s="55">
        <v>0</v>
      </c>
      <c r="S71" s="55">
        <v>0</v>
      </c>
      <c r="T71" s="55">
        <v>0</v>
      </c>
      <c r="V71" s="61">
        <f>SUM(C71/B71)</f>
        <v>0.44227005870841485</v>
      </c>
      <c r="W71" s="61">
        <f>SUM(D71/B71)</f>
        <v>0.2551859099804305</v>
      </c>
      <c r="X71" s="61">
        <f>SUM(E71/B71)</f>
        <v>0.18551859099804305</v>
      </c>
      <c r="Y71" s="61">
        <f>SUM(F71/B71)</f>
        <v>0</v>
      </c>
      <c r="Z71" s="61">
        <f>SUM(G71/B71)</f>
        <v>4.5792563600782779E-2</v>
      </c>
      <c r="AA71" s="61">
        <f t="shared" si="36"/>
        <v>0</v>
      </c>
      <c r="AB71" s="61">
        <f t="shared" si="36"/>
        <v>0</v>
      </c>
      <c r="AC71" s="61">
        <f>SUM(J71/B71)</f>
        <v>7.1232876712328766E-2</v>
      </c>
    </row>
    <row r="72" spans="1:29">
      <c r="A72" s="56" t="s">
        <v>1588</v>
      </c>
      <c r="B72" s="54">
        <f>SUM(C72:J72)</f>
        <v>4853</v>
      </c>
      <c r="C72" s="55">
        <v>2331</v>
      </c>
      <c r="D72" s="55">
        <v>923</v>
      </c>
      <c r="E72" s="55">
        <v>905</v>
      </c>
      <c r="F72" s="55">
        <v>0</v>
      </c>
      <c r="G72" s="55">
        <v>0</v>
      </c>
      <c r="H72" s="55">
        <v>0</v>
      </c>
      <c r="I72" s="55">
        <v>0</v>
      </c>
      <c r="J72" s="55">
        <v>694</v>
      </c>
      <c r="L72" s="54">
        <f>SUM(M72:T72)</f>
        <v>5</v>
      </c>
      <c r="M72" s="55">
        <v>2</v>
      </c>
      <c r="N72" s="55">
        <v>1</v>
      </c>
      <c r="O72" s="55">
        <v>1</v>
      </c>
      <c r="P72" s="55">
        <v>0</v>
      </c>
      <c r="Q72" s="55">
        <v>0</v>
      </c>
      <c r="R72" s="55">
        <v>0</v>
      </c>
      <c r="S72" s="55">
        <v>0</v>
      </c>
      <c r="T72" s="55">
        <v>1</v>
      </c>
      <c r="V72" s="61">
        <f>SUM(C72/B72)</f>
        <v>0.48032145064908305</v>
      </c>
      <c r="W72" s="61">
        <f>SUM(D72/B72)</f>
        <v>0.1901916340407995</v>
      </c>
      <c r="X72" s="61">
        <f>SUM(E72/B72)</f>
        <v>0.18648258808984133</v>
      </c>
      <c r="Y72" s="61">
        <f>SUM(F72/B72)</f>
        <v>0</v>
      </c>
      <c r="Z72" s="61">
        <f>SUM(G72/B72)</f>
        <v>0</v>
      </c>
      <c r="AA72" s="61">
        <f t="shared" si="36"/>
        <v>0</v>
      </c>
      <c r="AB72" s="61">
        <f t="shared" si="36"/>
        <v>0</v>
      </c>
      <c r="AC72" s="61">
        <f>SUM(J72/B72)</f>
        <v>0.14300432722027612</v>
      </c>
    </row>
    <row r="73" spans="1:29" s="52" customFormat="1">
      <c r="A73" s="53" t="s">
        <v>1589</v>
      </c>
      <c r="B73" s="54">
        <f>SUM(B70:B72)</f>
        <v>14876</v>
      </c>
      <c r="C73" s="54">
        <f t="shared" ref="C73:Q73" si="37">SUM(C70:C72)</f>
        <v>7022</v>
      </c>
      <c r="D73" s="54">
        <f>SUM(D70:D72)</f>
        <v>3775</v>
      </c>
      <c r="E73" s="54">
        <f t="shared" si="37"/>
        <v>2787</v>
      </c>
      <c r="F73" s="54">
        <f t="shared" si="37"/>
        <v>0</v>
      </c>
      <c r="G73" s="54">
        <f t="shared" si="37"/>
        <v>234</v>
      </c>
      <c r="H73" s="54">
        <f>SUM(H70:H72)</f>
        <v>0</v>
      </c>
      <c r="I73" s="54">
        <f>SUM(I70:I72)</f>
        <v>0</v>
      </c>
      <c r="J73" s="54">
        <f>SUM(J70:J72)</f>
        <v>1058</v>
      </c>
      <c r="K73" s="54"/>
      <c r="L73" s="54">
        <f t="shared" si="37"/>
        <v>15</v>
      </c>
      <c r="M73" s="54">
        <f t="shared" si="37"/>
        <v>8</v>
      </c>
      <c r="N73" s="54">
        <f t="shared" si="37"/>
        <v>3</v>
      </c>
      <c r="O73" s="54">
        <f t="shared" si="37"/>
        <v>3</v>
      </c>
      <c r="P73" s="54">
        <f t="shared" si="37"/>
        <v>0</v>
      </c>
      <c r="Q73" s="54">
        <f t="shared" si="37"/>
        <v>0</v>
      </c>
      <c r="R73" s="54">
        <f>SUM(R70:R72)</f>
        <v>0</v>
      </c>
      <c r="S73" s="54">
        <f>SUM(S70:S72)</f>
        <v>0</v>
      </c>
      <c r="T73" s="54">
        <f>SUM(T70:T72)</f>
        <v>1</v>
      </c>
      <c r="V73" s="60">
        <f>SUM(C73/B73)</f>
        <v>0.47203549341220757</v>
      </c>
      <c r="W73" s="60">
        <f>SUM(D73/B73)</f>
        <v>0.25376445280989512</v>
      </c>
      <c r="X73" s="60">
        <f>SUM(E73/B73)</f>
        <v>0.18734874966388815</v>
      </c>
      <c r="Y73" s="60">
        <f>SUM(F73/B73)</f>
        <v>0</v>
      </c>
      <c r="Z73" s="60">
        <f>SUM(G73/B73)</f>
        <v>1.5730034955633236E-2</v>
      </c>
      <c r="AA73" s="60">
        <f t="shared" si="36"/>
        <v>0</v>
      </c>
      <c r="AB73" s="60">
        <f t="shared" si="36"/>
        <v>0</v>
      </c>
      <c r="AC73" s="60">
        <f>SUM(J73/B73)</f>
        <v>7.112126915837591E-2</v>
      </c>
    </row>
    <row r="74" spans="1:29">
      <c r="A74" s="53"/>
      <c r="B74" s="54"/>
      <c r="C74" s="55"/>
      <c r="D74" s="55"/>
      <c r="E74" s="55"/>
      <c r="F74" s="55"/>
      <c r="G74" s="55"/>
      <c r="H74" s="55"/>
      <c r="I74" s="55"/>
      <c r="J74" s="55"/>
      <c r="L74" s="54"/>
      <c r="M74" s="55"/>
      <c r="N74" s="55"/>
      <c r="O74" s="55"/>
      <c r="P74" s="55"/>
      <c r="Q74" s="55"/>
      <c r="R74" s="55"/>
      <c r="S74" s="55"/>
      <c r="T74" s="55"/>
    </row>
    <row r="75" spans="1:29">
      <c r="A75" s="56" t="s">
        <v>1590</v>
      </c>
      <c r="B75" s="54">
        <f>SUM(C75:J75)</f>
        <v>7007</v>
      </c>
      <c r="C75" s="55">
        <v>1141</v>
      </c>
      <c r="D75" s="55">
        <v>0</v>
      </c>
      <c r="E75" s="55">
        <v>4021</v>
      </c>
      <c r="F75" s="55">
        <v>694</v>
      </c>
      <c r="G75" s="55">
        <v>515</v>
      </c>
      <c r="H75" s="55">
        <v>636</v>
      </c>
      <c r="I75" s="55">
        <v>0</v>
      </c>
      <c r="J75" s="55">
        <v>0</v>
      </c>
      <c r="L75" s="54">
        <f>SUM(M75:T75)</f>
        <v>7</v>
      </c>
      <c r="M75" s="55">
        <v>1</v>
      </c>
      <c r="N75" s="55">
        <v>0</v>
      </c>
      <c r="O75" s="55">
        <v>4</v>
      </c>
      <c r="P75" s="55">
        <v>1</v>
      </c>
      <c r="Q75" s="55">
        <v>0</v>
      </c>
      <c r="R75" s="55">
        <v>1</v>
      </c>
      <c r="S75" s="55">
        <v>0</v>
      </c>
      <c r="T75" s="55">
        <v>0</v>
      </c>
      <c r="V75" s="61">
        <f>SUM(C75/B75)</f>
        <v>0.16283716283716285</v>
      </c>
      <c r="W75" s="61">
        <f>SUM(D75/B75)</f>
        <v>0</v>
      </c>
      <c r="X75" s="61">
        <f>SUM(E75/B75)</f>
        <v>0.57385471671185961</v>
      </c>
      <c r="Y75" s="61">
        <f>SUM(F75/B75)</f>
        <v>9.9043813329527622E-2</v>
      </c>
      <c r="Z75" s="61">
        <f>SUM(G75/B75)</f>
        <v>7.3497930640787787E-2</v>
      </c>
      <c r="AA75" s="61">
        <f t="shared" ref="AA75:AB79" si="38">SUM(H75/B75)</f>
        <v>9.07663764806622E-2</v>
      </c>
      <c r="AB75" s="61">
        <f t="shared" si="38"/>
        <v>0</v>
      </c>
      <c r="AC75" s="61">
        <f>SUM(J75/B75)</f>
        <v>0</v>
      </c>
    </row>
    <row r="76" spans="1:29">
      <c r="A76" s="56" t="s">
        <v>1591</v>
      </c>
      <c r="B76" s="54">
        <f>SUM(C76:J76)</f>
        <v>6120</v>
      </c>
      <c r="C76" s="55">
        <v>1350</v>
      </c>
      <c r="D76" s="55">
        <v>734</v>
      </c>
      <c r="E76" s="55">
        <v>2498</v>
      </c>
      <c r="F76" s="55">
        <v>855</v>
      </c>
      <c r="G76" s="55">
        <v>326</v>
      </c>
      <c r="H76" s="55">
        <v>357</v>
      </c>
      <c r="I76" s="55">
        <v>0</v>
      </c>
      <c r="J76" s="55">
        <v>0</v>
      </c>
      <c r="L76" s="54">
        <f>SUM(M76:T76)</f>
        <v>6</v>
      </c>
      <c r="M76" s="55">
        <v>1</v>
      </c>
      <c r="N76" s="55">
        <v>1</v>
      </c>
      <c r="O76" s="55">
        <v>3</v>
      </c>
      <c r="P76" s="55">
        <v>1</v>
      </c>
      <c r="Q76" s="55">
        <v>0</v>
      </c>
      <c r="R76" s="55">
        <v>0</v>
      </c>
      <c r="S76" s="55">
        <v>0</v>
      </c>
      <c r="T76" s="55">
        <v>0</v>
      </c>
      <c r="V76" s="61">
        <f>SUM(C76/B76)</f>
        <v>0.22058823529411764</v>
      </c>
      <c r="W76" s="61">
        <f>SUM(D76/B76)</f>
        <v>0.11993464052287582</v>
      </c>
      <c r="X76" s="61">
        <f>SUM(E76/B76)</f>
        <v>0.40816993464052287</v>
      </c>
      <c r="Y76" s="61">
        <f>SUM(F76/B76)</f>
        <v>0.13970588235294118</v>
      </c>
      <c r="Z76" s="61">
        <f>SUM(G76/B76)</f>
        <v>5.3267973856209148E-2</v>
      </c>
      <c r="AA76" s="61">
        <f t="shared" si="38"/>
        <v>5.8333333333333334E-2</v>
      </c>
      <c r="AB76" s="61">
        <f t="shared" si="38"/>
        <v>0</v>
      </c>
      <c r="AC76" s="61">
        <f>SUM(J76/B76)</f>
        <v>0</v>
      </c>
    </row>
    <row r="77" spans="1:29">
      <c r="A77" s="56" t="s">
        <v>1592</v>
      </c>
      <c r="B77" s="54">
        <f>SUM(C77:J77)</f>
        <v>5187</v>
      </c>
      <c r="C77" s="55">
        <v>2890</v>
      </c>
      <c r="D77" s="55">
        <v>1137</v>
      </c>
      <c r="E77" s="55">
        <v>1160</v>
      </c>
      <c r="F77" s="55">
        <v>0</v>
      </c>
      <c r="G77" s="55">
        <v>0</v>
      </c>
      <c r="H77" s="55">
        <v>0</v>
      </c>
      <c r="I77" s="55">
        <v>0</v>
      </c>
      <c r="J77" s="55">
        <v>0</v>
      </c>
      <c r="L77" s="54">
        <f>SUM(M77:T77)</f>
        <v>5</v>
      </c>
      <c r="M77" s="55">
        <v>3</v>
      </c>
      <c r="N77" s="55">
        <v>1</v>
      </c>
      <c r="O77" s="55">
        <v>1</v>
      </c>
      <c r="P77" s="55">
        <v>0</v>
      </c>
      <c r="Q77" s="55">
        <v>0</v>
      </c>
      <c r="R77" s="55">
        <v>0</v>
      </c>
      <c r="S77" s="55">
        <v>0</v>
      </c>
      <c r="T77" s="55">
        <v>0</v>
      </c>
      <c r="V77" s="61">
        <f>SUM(C77/B77)</f>
        <v>0.55716213610950449</v>
      </c>
      <c r="W77" s="61">
        <f>SUM(D77/B77)</f>
        <v>0.21920185078079815</v>
      </c>
      <c r="X77" s="61">
        <f>SUM(E77/B77)</f>
        <v>0.22363601310969733</v>
      </c>
      <c r="Y77" s="61">
        <f>SUM(F77/B77)</f>
        <v>0</v>
      </c>
      <c r="Z77" s="61">
        <f>SUM(G77/B77)</f>
        <v>0</v>
      </c>
      <c r="AA77" s="61">
        <f t="shared" si="38"/>
        <v>0</v>
      </c>
      <c r="AB77" s="61">
        <f t="shared" si="38"/>
        <v>0</v>
      </c>
      <c r="AC77" s="61">
        <f>SUM(J77/B77)</f>
        <v>0</v>
      </c>
    </row>
    <row r="78" spans="1:29">
      <c r="A78" s="56" t="s">
        <v>1593</v>
      </c>
      <c r="B78" s="54">
        <f>SUM(C78:J78)</f>
        <v>5369</v>
      </c>
      <c r="C78" s="55">
        <v>1786</v>
      </c>
      <c r="D78" s="55">
        <v>1015</v>
      </c>
      <c r="E78" s="55">
        <v>2172</v>
      </c>
      <c r="F78" s="55">
        <v>0</v>
      </c>
      <c r="G78" s="55">
        <v>396</v>
      </c>
      <c r="H78" s="55">
        <v>0</v>
      </c>
      <c r="I78" s="55">
        <v>0</v>
      </c>
      <c r="J78" s="55">
        <v>0</v>
      </c>
      <c r="K78" s="55"/>
      <c r="L78" s="54">
        <f>SUM(M78:T78)</f>
        <v>5</v>
      </c>
      <c r="M78" s="55">
        <v>2</v>
      </c>
      <c r="N78" s="55">
        <v>1</v>
      </c>
      <c r="O78" s="55">
        <v>2</v>
      </c>
      <c r="P78" s="55">
        <v>0</v>
      </c>
      <c r="Q78" s="55">
        <v>0</v>
      </c>
      <c r="R78" s="55">
        <v>0</v>
      </c>
      <c r="S78" s="55">
        <v>0</v>
      </c>
      <c r="T78" s="55">
        <v>0</v>
      </c>
      <c r="V78" s="61">
        <f>SUM(C78/B78)</f>
        <v>0.33265040044701061</v>
      </c>
      <c r="W78" s="61">
        <f>SUM(D78/B78)</f>
        <v>0.18904823989569752</v>
      </c>
      <c r="X78" s="61">
        <f>SUM(E78/B78)</f>
        <v>0.40454460793443842</v>
      </c>
      <c r="Y78" s="61">
        <f>SUM(F78/B78)</f>
        <v>0</v>
      </c>
      <c r="Z78" s="61">
        <f>SUM(G78/B78)</f>
        <v>7.3756751722853411E-2</v>
      </c>
      <c r="AA78" s="61">
        <f t="shared" si="38"/>
        <v>0</v>
      </c>
      <c r="AB78" s="61">
        <f t="shared" si="38"/>
        <v>0</v>
      </c>
      <c r="AC78" s="61">
        <f>SUM(J78/B78)</f>
        <v>0</v>
      </c>
    </row>
    <row r="79" spans="1:29" s="52" customFormat="1">
      <c r="A79" s="53" t="s">
        <v>1594</v>
      </c>
      <c r="B79" s="54">
        <f>SUM(B75:B78)</f>
        <v>23683</v>
      </c>
      <c r="C79" s="54">
        <f t="shared" ref="C79:Q79" si="39">SUM(C75:C78)</f>
        <v>7167</v>
      </c>
      <c r="D79" s="54">
        <f>SUM(D75:D78)</f>
        <v>2886</v>
      </c>
      <c r="E79" s="54">
        <f t="shared" si="39"/>
        <v>9851</v>
      </c>
      <c r="F79" s="54">
        <f t="shared" si="39"/>
        <v>1549</v>
      </c>
      <c r="G79" s="54">
        <f t="shared" si="39"/>
        <v>1237</v>
      </c>
      <c r="H79" s="54">
        <f>SUM(H75:H78)</f>
        <v>993</v>
      </c>
      <c r="I79" s="54">
        <f>SUM(I75:I78)</f>
        <v>0</v>
      </c>
      <c r="J79" s="54">
        <f>SUM(J75:J78)</f>
        <v>0</v>
      </c>
      <c r="K79" s="54"/>
      <c r="L79" s="54">
        <f t="shared" si="39"/>
        <v>23</v>
      </c>
      <c r="M79" s="54">
        <f t="shared" si="39"/>
        <v>7</v>
      </c>
      <c r="N79" s="54">
        <f t="shared" si="39"/>
        <v>3</v>
      </c>
      <c r="O79" s="54">
        <f t="shared" si="39"/>
        <v>10</v>
      </c>
      <c r="P79" s="54">
        <f t="shared" si="39"/>
        <v>2</v>
      </c>
      <c r="Q79" s="54">
        <f t="shared" si="39"/>
        <v>0</v>
      </c>
      <c r="R79" s="54">
        <f>SUM(R75:R78)</f>
        <v>1</v>
      </c>
      <c r="S79" s="54">
        <f>SUM(S75:S78)</f>
        <v>0</v>
      </c>
      <c r="T79" s="54">
        <f>SUM(T75:T78)</f>
        <v>0</v>
      </c>
      <c r="V79" s="60">
        <f>SUM(C79/B79)</f>
        <v>0.30262213402018323</v>
      </c>
      <c r="W79" s="60">
        <f>SUM(D79/B79)</f>
        <v>0.12185956171093189</v>
      </c>
      <c r="X79" s="60">
        <f>SUM(E79/B79)</f>
        <v>0.41595237089895704</v>
      </c>
      <c r="Y79" s="60">
        <f>SUM(F79/B79)</f>
        <v>6.5405565173331084E-2</v>
      </c>
      <c r="Z79" s="60">
        <f>SUM(G79/B79)</f>
        <v>5.2231558501878987E-2</v>
      </c>
      <c r="AA79" s="60">
        <f t="shared" si="38"/>
        <v>4.1928809694717732E-2</v>
      </c>
      <c r="AB79" s="60">
        <f t="shared" si="38"/>
        <v>0</v>
      </c>
      <c r="AC79" s="60">
        <f>SUM(J79/B79)</f>
        <v>0</v>
      </c>
    </row>
    <row r="80" spans="1:29">
      <c r="A80" s="53"/>
      <c r="B80" s="54"/>
      <c r="C80" s="55"/>
      <c r="D80" s="55"/>
      <c r="E80" s="55"/>
      <c r="F80" s="55"/>
      <c r="G80" s="55"/>
      <c r="H80" s="55"/>
      <c r="I80" s="55"/>
      <c r="J80" s="55"/>
      <c r="L80" s="54"/>
      <c r="M80" s="55"/>
      <c r="N80" s="55"/>
      <c r="O80" s="55"/>
      <c r="P80" s="55"/>
      <c r="Q80" s="55"/>
      <c r="R80" s="55"/>
      <c r="S80" s="55"/>
      <c r="T80" s="55"/>
    </row>
    <row r="81" spans="1:29">
      <c r="A81" s="56" t="s">
        <v>1595</v>
      </c>
      <c r="B81" s="54">
        <f>SUM(C81:J81)</f>
        <v>8163</v>
      </c>
      <c r="C81" s="55">
        <v>3813</v>
      </c>
      <c r="D81" s="55">
        <v>3396</v>
      </c>
      <c r="E81" s="55">
        <v>0</v>
      </c>
      <c r="F81" s="55">
        <v>0</v>
      </c>
      <c r="G81" s="55">
        <v>954</v>
      </c>
      <c r="H81" s="55">
        <v>0</v>
      </c>
      <c r="I81" s="55">
        <v>0</v>
      </c>
      <c r="J81" s="55">
        <v>0</v>
      </c>
      <c r="L81" s="54">
        <f>SUM(M81:T81)</f>
        <v>7</v>
      </c>
      <c r="M81" s="55">
        <v>3</v>
      </c>
      <c r="N81" s="55">
        <v>3</v>
      </c>
      <c r="O81" s="55">
        <v>0</v>
      </c>
      <c r="P81" s="55">
        <v>0</v>
      </c>
      <c r="Q81" s="55">
        <v>1</v>
      </c>
      <c r="R81" s="55">
        <v>0</v>
      </c>
      <c r="S81" s="55">
        <v>0</v>
      </c>
      <c r="T81" s="55">
        <v>0</v>
      </c>
      <c r="V81" s="61">
        <f>SUM(C81/B81)</f>
        <v>0.46710768099963251</v>
      </c>
      <c r="W81" s="61">
        <f>SUM(D81/B81)</f>
        <v>0.41602352076442484</v>
      </c>
      <c r="X81" s="61">
        <f>SUM(E81/B81)</f>
        <v>0</v>
      </c>
      <c r="Y81" s="61">
        <f>SUM(F81/B81)</f>
        <v>0</v>
      </c>
      <c r="Z81" s="61">
        <f>SUM(G81/B81)</f>
        <v>0.11686879823594266</v>
      </c>
      <c r="AA81" s="61">
        <f t="shared" ref="AA81:AB85" si="40">SUM(H81/B81)</f>
        <v>0</v>
      </c>
      <c r="AB81" s="61">
        <f t="shared" si="40"/>
        <v>0</v>
      </c>
      <c r="AC81" s="61">
        <f>SUM(J81/B81)</f>
        <v>0</v>
      </c>
    </row>
    <row r="82" spans="1:29">
      <c r="A82" s="56" t="s">
        <v>1596</v>
      </c>
      <c r="B82" s="54">
        <f>SUM(C82:J82)</f>
        <v>9100</v>
      </c>
      <c r="C82" s="55">
        <v>4846</v>
      </c>
      <c r="D82" s="55">
        <v>2480</v>
      </c>
      <c r="E82" s="55">
        <v>1070</v>
      </c>
      <c r="F82" s="55">
        <v>0</v>
      </c>
      <c r="G82" s="55">
        <v>704</v>
      </c>
      <c r="H82" s="55">
        <v>0</v>
      </c>
      <c r="I82" s="55">
        <v>0</v>
      </c>
      <c r="J82" s="55">
        <v>0</v>
      </c>
      <c r="L82" s="54">
        <f>SUM(M82:T82)</f>
        <v>7</v>
      </c>
      <c r="M82" s="55">
        <v>4</v>
      </c>
      <c r="N82" s="55">
        <v>2</v>
      </c>
      <c r="O82" s="55">
        <v>1</v>
      </c>
      <c r="P82" s="55">
        <v>0</v>
      </c>
      <c r="Q82" s="55">
        <v>0</v>
      </c>
      <c r="R82" s="55">
        <v>0</v>
      </c>
      <c r="S82" s="55">
        <v>0</v>
      </c>
      <c r="T82" s="55">
        <v>0</v>
      </c>
      <c r="V82" s="61">
        <f>SUM(C82/B82)</f>
        <v>0.53252747252747257</v>
      </c>
      <c r="W82" s="61">
        <f>SUM(D82/B82)</f>
        <v>0.2725274725274725</v>
      </c>
      <c r="X82" s="61">
        <f>SUM(E82/B82)</f>
        <v>0.11758241758241758</v>
      </c>
      <c r="Y82" s="61">
        <f>SUM(F82/B82)</f>
        <v>0</v>
      </c>
      <c r="Z82" s="61">
        <f>SUM(G82/B82)</f>
        <v>7.7362637362637363E-2</v>
      </c>
      <c r="AA82" s="61">
        <f t="shared" si="40"/>
        <v>0</v>
      </c>
      <c r="AB82" s="61">
        <f t="shared" si="40"/>
        <v>0</v>
      </c>
      <c r="AC82" s="61">
        <f>SUM(J82/B82)</f>
        <v>0</v>
      </c>
    </row>
    <row r="83" spans="1:29">
      <c r="A83" s="56" t="s">
        <v>2449</v>
      </c>
      <c r="B83" s="54">
        <f>SUM(C83:J83)</f>
        <v>7443</v>
      </c>
      <c r="C83" s="55">
        <v>2911</v>
      </c>
      <c r="D83" s="55">
        <v>3204</v>
      </c>
      <c r="E83" s="55">
        <v>0</v>
      </c>
      <c r="F83" s="55">
        <v>0</v>
      </c>
      <c r="G83" s="55">
        <v>1328</v>
      </c>
      <c r="H83" s="55">
        <v>0</v>
      </c>
      <c r="I83" s="55">
        <v>0</v>
      </c>
      <c r="J83" s="55">
        <v>0</v>
      </c>
      <c r="L83" s="54">
        <f>SUM(M83:T83)</f>
        <v>7</v>
      </c>
      <c r="M83" s="55">
        <v>4</v>
      </c>
      <c r="N83" s="55">
        <v>2</v>
      </c>
      <c r="O83" s="55">
        <v>0</v>
      </c>
      <c r="P83" s="55">
        <v>0</v>
      </c>
      <c r="Q83" s="55">
        <v>1</v>
      </c>
      <c r="R83" s="55">
        <v>0</v>
      </c>
      <c r="S83" s="55">
        <v>0</v>
      </c>
      <c r="T83" s="55">
        <v>0</v>
      </c>
      <c r="V83" s="61">
        <f>SUM(C83/B83)</f>
        <v>0.391105736934032</v>
      </c>
      <c r="W83" s="61">
        <f>SUM(D83/B83)</f>
        <v>0.43047158403869407</v>
      </c>
      <c r="X83" s="61">
        <f>SUM(E83/B83)</f>
        <v>0</v>
      </c>
      <c r="Y83" s="61">
        <f>SUM(F83/B83)</f>
        <v>0</v>
      </c>
      <c r="Z83" s="61">
        <f>SUM(G83/B83)</f>
        <v>0.17842267902727396</v>
      </c>
      <c r="AA83" s="61">
        <f t="shared" si="40"/>
        <v>0</v>
      </c>
      <c r="AB83" s="61">
        <f t="shared" si="40"/>
        <v>0</v>
      </c>
      <c r="AC83" s="61">
        <f>SUM(J83/B83)</f>
        <v>0</v>
      </c>
    </row>
    <row r="84" spans="1:29">
      <c r="A84" s="56" t="s">
        <v>1599</v>
      </c>
      <c r="B84" s="54">
        <f>SUM(C84:J84)</f>
        <v>8207</v>
      </c>
      <c r="C84" s="55">
        <v>2531</v>
      </c>
      <c r="D84" s="55">
        <v>1488</v>
      </c>
      <c r="E84" s="55">
        <v>1093</v>
      </c>
      <c r="F84" s="55">
        <v>1873</v>
      </c>
      <c r="G84" s="55">
        <v>638</v>
      </c>
      <c r="H84" s="55">
        <v>584</v>
      </c>
      <c r="I84" s="55">
        <v>0</v>
      </c>
      <c r="J84" s="55">
        <v>0</v>
      </c>
      <c r="L84" s="54">
        <f>SUM(M84:T84)</f>
        <v>7</v>
      </c>
      <c r="M84" s="55">
        <v>2</v>
      </c>
      <c r="N84" s="55">
        <v>1</v>
      </c>
      <c r="O84" s="55">
        <v>1</v>
      </c>
      <c r="P84" s="55">
        <v>2</v>
      </c>
      <c r="Q84" s="55">
        <v>1</v>
      </c>
      <c r="R84" s="55">
        <v>0</v>
      </c>
      <c r="S84" s="55">
        <v>0</v>
      </c>
      <c r="T84" s="55">
        <v>0</v>
      </c>
      <c r="V84" s="61">
        <f>SUM(C84/B84)</f>
        <v>0.30839527232850006</v>
      </c>
      <c r="W84" s="61">
        <f>SUM(D84/B84)</f>
        <v>0.18130863896673571</v>
      </c>
      <c r="X84" s="61">
        <f>SUM(E84/B84)</f>
        <v>0.1331789935420982</v>
      </c>
      <c r="Y84" s="61">
        <f>SUM(F84/B84)</f>
        <v>0.22821981235530645</v>
      </c>
      <c r="Z84" s="61">
        <f>SUM(G84/B84)</f>
        <v>7.7738515901060068E-2</v>
      </c>
      <c r="AA84" s="61">
        <f t="shared" si="40"/>
        <v>7.1158766906299506E-2</v>
      </c>
      <c r="AB84" s="61">
        <f t="shared" si="40"/>
        <v>0</v>
      </c>
      <c r="AC84" s="61">
        <f>SUM(J84/B84)</f>
        <v>0</v>
      </c>
    </row>
    <row r="85" spans="1:29" s="52" customFormat="1">
      <c r="A85" s="53" t="s">
        <v>1600</v>
      </c>
      <c r="B85" s="54">
        <f t="shared" ref="B85:J85" si="41">SUM(B81:B84)</f>
        <v>32913</v>
      </c>
      <c r="C85" s="54">
        <f t="shared" si="41"/>
        <v>14101</v>
      </c>
      <c r="D85" s="54">
        <f t="shared" si="41"/>
        <v>10568</v>
      </c>
      <c r="E85" s="54">
        <f t="shared" si="41"/>
        <v>2163</v>
      </c>
      <c r="F85" s="54">
        <f t="shared" si="41"/>
        <v>1873</v>
      </c>
      <c r="G85" s="54">
        <f t="shared" si="41"/>
        <v>3624</v>
      </c>
      <c r="H85" s="54">
        <f t="shared" si="41"/>
        <v>584</v>
      </c>
      <c r="I85" s="54">
        <f t="shared" si="41"/>
        <v>0</v>
      </c>
      <c r="J85" s="54">
        <f t="shared" si="41"/>
        <v>0</v>
      </c>
      <c r="K85" s="54"/>
      <c r="L85" s="54">
        <f t="shared" ref="L85:T85" si="42">SUM(L81:L84)</f>
        <v>28</v>
      </c>
      <c r="M85" s="54">
        <f t="shared" si="42"/>
        <v>13</v>
      </c>
      <c r="N85" s="54">
        <f t="shared" si="42"/>
        <v>8</v>
      </c>
      <c r="O85" s="54">
        <f t="shared" si="42"/>
        <v>2</v>
      </c>
      <c r="P85" s="54">
        <f t="shared" si="42"/>
        <v>2</v>
      </c>
      <c r="Q85" s="54">
        <f t="shared" si="42"/>
        <v>3</v>
      </c>
      <c r="R85" s="54">
        <f t="shared" si="42"/>
        <v>0</v>
      </c>
      <c r="S85" s="54">
        <f t="shared" si="42"/>
        <v>0</v>
      </c>
      <c r="T85" s="54">
        <f t="shared" si="42"/>
        <v>0</v>
      </c>
      <c r="V85" s="60">
        <f>SUM(C85/B85)</f>
        <v>0.42843253425698052</v>
      </c>
      <c r="W85" s="60">
        <f>SUM(D85/B85)</f>
        <v>0.32108893142527267</v>
      </c>
      <c r="X85" s="60">
        <f>SUM(E85/B85)</f>
        <v>6.5718712970558743E-2</v>
      </c>
      <c r="Y85" s="60">
        <f>SUM(F85/B85)</f>
        <v>5.6907604897760762E-2</v>
      </c>
      <c r="Z85" s="60">
        <f>SUM(G85/B85)</f>
        <v>0.11010846777868927</v>
      </c>
      <c r="AA85" s="60">
        <f t="shared" si="40"/>
        <v>1.7743748670738007E-2</v>
      </c>
      <c r="AB85" s="60">
        <f t="shared" si="40"/>
        <v>0</v>
      </c>
      <c r="AC85" s="60">
        <f>SUM(J85/B85)</f>
        <v>0</v>
      </c>
    </row>
    <row r="86" spans="1:29">
      <c r="A86" s="53"/>
      <c r="B86" s="54"/>
      <c r="C86" s="55"/>
      <c r="D86" s="55"/>
      <c r="E86" s="55"/>
      <c r="F86" s="55"/>
      <c r="G86" s="55"/>
      <c r="H86" s="55"/>
      <c r="I86" s="55"/>
      <c r="J86" s="55"/>
      <c r="L86" s="54"/>
      <c r="M86" s="55"/>
      <c r="N86" s="55"/>
      <c r="O86" s="55"/>
      <c r="P86" s="55"/>
      <c r="Q86" s="55"/>
      <c r="R86" s="55"/>
      <c r="S86" s="55"/>
      <c r="T86" s="55"/>
    </row>
    <row r="87" spans="1:29">
      <c r="A87" s="56" t="s">
        <v>1601</v>
      </c>
      <c r="B87" s="54">
        <f>SUM(C87:J87)</f>
        <v>7301</v>
      </c>
      <c r="C87" s="55">
        <v>2020</v>
      </c>
      <c r="D87" s="55">
        <v>2285</v>
      </c>
      <c r="E87" s="55">
        <v>448</v>
      </c>
      <c r="F87" s="55">
        <v>0</v>
      </c>
      <c r="G87" s="55">
        <v>741</v>
      </c>
      <c r="H87" s="55">
        <v>0</v>
      </c>
      <c r="I87" s="55">
        <v>0</v>
      </c>
      <c r="J87" s="55">
        <v>1807</v>
      </c>
      <c r="L87" s="54">
        <f>SUM(M87:T87)</f>
        <v>7</v>
      </c>
      <c r="M87" s="55">
        <v>2</v>
      </c>
      <c r="N87" s="55">
        <v>2</v>
      </c>
      <c r="O87" s="55">
        <v>0</v>
      </c>
      <c r="P87" s="55">
        <v>0</v>
      </c>
      <c r="Q87" s="55">
        <v>1</v>
      </c>
      <c r="R87" s="55">
        <v>0</v>
      </c>
      <c r="S87" s="55">
        <v>0</v>
      </c>
      <c r="T87" s="55">
        <v>2</v>
      </c>
      <c r="V87" s="61">
        <f>SUM(C87/B87)</f>
        <v>0.27667442816052595</v>
      </c>
      <c r="W87" s="61">
        <f>SUM(D87/B87)</f>
        <v>0.31297082591425834</v>
      </c>
      <c r="X87" s="61">
        <f>SUM(E87/B87)</f>
        <v>6.1361457334611694E-2</v>
      </c>
      <c r="Y87" s="61">
        <f>SUM(F87/B87)</f>
        <v>0</v>
      </c>
      <c r="Z87" s="61">
        <f>SUM(G87/B87)</f>
        <v>0.10149294617175729</v>
      </c>
      <c r="AA87" s="61">
        <f t="shared" ref="AA87:AB90" si="43">SUM(H87/B87)</f>
        <v>0</v>
      </c>
      <c r="AB87" s="61">
        <f t="shared" si="43"/>
        <v>0</v>
      </c>
      <c r="AC87" s="61">
        <f>SUM(J87/B87)</f>
        <v>0.24750034241884675</v>
      </c>
    </row>
    <row r="88" spans="1:29">
      <c r="A88" s="56" t="s">
        <v>1603</v>
      </c>
      <c r="B88" s="54">
        <f>SUM(C88:J88)</f>
        <v>6147</v>
      </c>
      <c r="C88" s="55">
        <v>2417</v>
      </c>
      <c r="D88" s="55">
        <v>2640</v>
      </c>
      <c r="E88" s="55">
        <v>0</v>
      </c>
      <c r="F88" s="55">
        <v>0</v>
      </c>
      <c r="G88" s="55">
        <v>1047</v>
      </c>
      <c r="H88" s="55">
        <v>0</v>
      </c>
      <c r="I88" s="55">
        <v>0</v>
      </c>
      <c r="J88" s="55">
        <v>43</v>
      </c>
      <c r="L88" s="54">
        <f>SUM(M88:T88)</f>
        <v>6</v>
      </c>
      <c r="M88" s="55">
        <v>2</v>
      </c>
      <c r="N88" s="55">
        <v>3</v>
      </c>
      <c r="O88" s="55">
        <v>0</v>
      </c>
      <c r="P88" s="55">
        <v>0</v>
      </c>
      <c r="Q88" s="55">
        <v>1</v>
      </c>
      <c r="R88" s="55">
        <v>0</v>
      </c>
      <c r="S88" s="55">
        <v>0</v>
      </c>
      <c r="T88" s="55">
        <v>0</v>
      </c>
      <c r="V88" s="61">
        <f>SUM(C88/B88)</f>
        <v>0.39319993492760696</v>
      </c>
      <c r="W88" s="61">
        <f>SUM(D88/B88)</f>
        <v>0.42947779404587605</v>
      </c>
      <c r="X88" s="61">
        <f>SUM(E88/B88)</f>
        <v>0</v>
      </c>
      <c r="Y88" s="61">
        <f>SUM(F88/B88)</f>
        <v>0</v>
      </c>
      <c r="Z88" s="61">
        <f>SUM(G88/B88)</f>
        <v>0.17032698877501221</v>
      </c>
      <c r="AA88" s="61">
        <f t="shared" si="43"/>
        <v>0</v>
      </c>
      <c r="AB88" s="61">
        <f t="shared" si="43"/>
        <v>0</v>
      </c>
      <c r="AC88" s="61">
        <f>SUM(J88/B88)</f>
        <v>6.995282251504799E-3</v>
      </c>
    </row>
    <row r="89" spans="1:29">
      <c r="A89" s="56" t="s">
        <v>1604</v>
      </c>
      <c r="B89" s="54">
        <f>SUM(C89:J89)</f>
        <v>7092</v>
      </c>
      <c r="C89" s="55">
        <v>1820</v>
      </c>
      <c r="D89" s="55">
        <v>3144</v>
      </c>
      <c r="E89" s="55">
        <v>0</v>
      </c>
      <c r="F89" s="55">
        <v>0</v>
      </c>
      <c r="G89" s="55">
        <v>749</v>
      </c>
      <c r="H89" s="55">
        <v>0</v>
      </c>
      <c r="I89" s="55">
        <v>0</v>
      </c>
      <c r="J89" s="55">
        <v>1379</v>
      </c>
      <c r="L89" s="54">
        <f>SUM(M89:T89)</f>
        <v>7</v>
      </c>
      <c r="M89" s="55">
        <v>2</v>
      </c>
      <c r="N89" s="55">
        <v>3</v>
      </c>
      <c r="O89" s="55">
        <v>0</v>
      </c>
      <c r="P89" s="55">
        <v>0</v>
      </c>
      <c r="Q89" s="55">
        <v>1</v>
      </c>
      <c r="R89" s="55">
        <v>0</v>
      </c>
      <c r="S89" s="55">
        <v>0</v>
      </c>
      <c r="T89" s="55">
        <v>1</v>
      </c>
      <c r="V89" s="61">
        <f>SUM(C89/B89)</f>
        <v>0.25662718556119574</v>
      </c>
      <c r="W89" s="61">
        <f>SUM(D89/B89)</f>
        <v>0.44331641285956008</v>
      </c>
      <c r="X89" s="61">
        <f>SUM(E89/B89)</f>
        <v>0</v>
      </c>
      <c r="Y89" s="61">
        <f>SUM(F89/B89)</f>
        <v>0</v>
      </c>
      <c r="Z89" s="61">
        <f>SUM(G89/B89)</f>
        <v>0.10561195713479977</v>
      </c>
      <c r="AA89" s="61">
        <f t="shared" si="43"/>
        <v>0</v>
      </c>
      <c r="AB89" s="61">
        <f t="shared" si="43"/>
        <v>0</v>
      </c>
      <c r="AC89" s="61">
        <f>SUM(J89/B89)</f>
        <v>0.19444444444444445</v>
      </c>
    </row>
    <row r="90" spans="1:29" s="52" customFormat="1">
      <c r="A90" s="53" t="s">
        <v>1605</v>
      </c>
      <c r="B90" s="54">
        <f>SUM(B87:B89)</f>
        <v>20540</v>
      </c>
      <c r="C90" s="54">
        <f t="shared" ref="C90:Q90" si="44">SUM(C87:C89)</f>
        <v>6257</v>
      </c>
      <c r="D90" s="54">
        <f>SUM(D87:D89)</f>
        <v>8069</v>
      </c>
      <c r="E90" s="54">
        <f t="shared" si="44"/>
        <v>448</v>
      </c>
      <c r="F90" s="54">
        <f t="shared" si="44"/>
        <v>0</v>
      </c>
      <c r="G90" s="54">
        <f t="shared" si="44"/>
        <v>2537</v>
      </c>
      <c r="H90" s="54">
        <f>SUM(H87:H89)</f>
        <v>0</v>
      </c>
      <c r="I90" s="54">
        <f>SUM(I87:I89)</f>
        <v>0</v>
      </c>
      <c r="J90" s="54">
        <f>SUM(J87:J89)</f>
        <v>3229</v>
      </c>
      <c r="K90" s="54"/>
      <c r="L90" s="54">
        <f t="shared" si="44"/>
        <v>20</v>
      </c>
      <c r="M90" s="54">
        <f t="shared" si="44"/>
        <v>6</v>
      </c>
      <c r="N90" s="54">
        <f t="shared" si="44"/>
        <v>8</v>
      </c>
      <c r="O90" s="54">
        <f t="shared" si="44"/>
        <v>0</v>
      </c>
      <c r="P90" s="54">
        <f t="shared" si="44"/>
        <v>0</v>
      </c>
      <c r="Q90" s="54">
        <f t="shared" si="44"/>
        <v>3</v>
      </c>
      <c r="R90" s="54">
        <f>SUM(R87:R89)</f>
        <v>0</v>
      </c>
      <c r="S90" s="54">
        <f>SUM(S87:S89)</f>
        <v>0</v>
      </c>
      <c r="T90" s="54">
        <f>SUM(T87:T89)</f>
        <v>3</v>
      </c>
      <c r="V90" s="60">
        <f>SUM(C90/B90)</f>
        <v>0.3046251217137293</v>
      </c>
      <c r="W90" s="60">
        <f>SUM(D90/B90)</f>
        <v>0.39284323271665045</v>
      </c>
      <c r="X90" s="60">
        <f>SUM(E90/B90)</f>
        <v>2.1811100292112952E-2</v>
      </c>
      <c r="Y90" s="60">
        <f>SUM(F90/B90)</f>
        <v>0</v>
      </c>
      <c r="Z90" s="60">
        <f>SUM(G90/B90)</f>
        <v>0.12351509250243427</v>
      </c>
      <c r="AA90" s="60">
        <f t="shared" si="43"/>
        <v>0</v>
      </c>
      <c r="AB90" s="60">
        <f t="shared" si="43"/>
        <v>0</v>
      </c>
      <c r="AC90" s="60">
        <f>SUM(J90/B90)</f>
        <v>0.15720545277507303</v>
      </c>
    </row>
    <row r="91" spans="1:29">
      <c r="A91" s="53"/>
      <c r="B91" s="54"/>
      <c r="C91" s="55"/>
      <c r="D91" s="55"/>
      <c r="E91" s="55"/>
      <c r="F91" s="55"/>
      <c r="G91" s="55"/>
      <c r="H91" s="55"/>
      <c r="I91" s="55"/>
      <c r="J91" s="55"/>
      <c r="K91" s="55"/>
      <c r="L91" s="54"/>
      <c r="M91" s="55"/>
      <c r="N91" s="55"/>
      <c r="O91" s="55"/>
      <c r="P91" s="55"/>
      <c r="Q91" s="55"/>
      <c r="R91" s="55"/>
      <c r="S91" s="55"/>
      <c r="T91" s="55"/>
    </row>
    <row r="92" spans="1:29">
      <c r="A92" s="56" t="s">
        <v>1606</v>
      </c>
      <c r="B92" s="54">
        <f>SUM(C92:J92)</f>
        <v>4670</v>
      </c>
      <c r="C92" s="55">
        <v>1315</v>
      </c>
      <c r="D92" s="55">
        <v>1696</v>
      </c>
      <c r="E92" s="55">
        <v>0</v>
      </c>
      <c r="F92" s="55">
        <v>0</v>
      </c>
      <c r="G92" s="55">
        <v>801</v>
      </c>
      <c r="H92" s="55">
        <v>0</v>
      </c>
      <c r="I92" s="55">
        <v>0</v>
      </c>
      <c r="J92" s="55">
        <v>858</v>
      </c>
      <c r="L92" s="54">
        <f>SUM(M92:T92)</f>
        <v>6</v>
      </c>
      <c r="M92" s="55">
        <v>2</v>
      </c>
      <c r="N92" s="55">
        <v>2</v>
      </c>
      <c r="O92" s="55">
        <v>0</v>
      </c>
      <c r="P92" s="55">
        <v>0</v>
      </c>
      <c r="Q92" s="55">
        <v>1</v>
      </c>
      <c r="R92" s="55">
        <v>0</v>
      </c>
      <c r="S92" s="55">
        <v>0</v>
      </c>
      <c r="T92" s="55">
        <v>1</v>
      </c>
      <c r="V92" s="61">
        <f>SUM(C92/B92)</f>
        <v>0.28158458244111351</v>
      </c>
      <c r="W92" s="61">
        <f>SUM(D92/B92)</f>
        <v>0.363169164882227</v>
      </c>
      <c r="X92" s="61">
        <f>SUM(E92/B92)</f>
        <v>0</v>
      </c>
      <c r="Y92" s="61">
        <f>SUM(F92/B92)</f>
        <v>0</v>
      </c>
      <c r="Z92" s="61">
        <f>SUM(G92/B92)</f>
        <v>0.17152034261241969</v>
      </c>
      <c r="AA92" s="61">
        <f t="shared" ref="AA92:AB96" si="45">SUM(H92/B92)</f>
        <v>0</v>
      </c>
      <c r="AB92" s="61">
        <f t="shared" si="45"/>
        <v>0</v>
      </c>
      <c r="AC92" s="61">
        <f>SUM(J92/B92)</f>
        <v>0.18372591006423983</v>
      </c>
    </row>
    <row r="93" spans="1:29">
      <c r="A93" s="56" t="s">
        <v>1607</v>
      </c>
      <c r="B93" s="54">
        <f>SUM(C93:J93)</f>
        <v>6031</v>
      </c>
      <c r="C93" s="55">
        <v>1716</v>
      </c>
      <c r="D93" s="55">
        <v>1194</v>
      </c>
      <c r="E93" s="55">
        <v>0</v>
      </c>
      <c r="F93" s="55">
        <v>0</v>
      </c>
      <c r="G93" s="55">
        <v>1673</v>
      </c>
      <c r="H93" s="55">
        <v>0</v>
      </c>
      <c r="I93" s="55">
        <v>0</v>
      </c>
      <c r="J93" s="55">
        <v>1448</v>
      </c>
      <c r="L93" s="54">
        <f>SUM(M93:T93)</f>
        <v>6</v>
      </c>
      <c r="M93" s="55">
        <v>2</v>
      </c>
      <c r="N93" s="55">
        <v>1</v>
      </c>
      <c r="O93" s="55">
        <v>0</v>
      </c>
      <c r="P93" s="55">
        <v>0</v>
      </c>
      <c r="Q93" s="55">
        <v>2</v>
      </c>
      <c r="R93" s="55">
        <v>0</v>
      </c>
      <c r="S93" s="55">
        <v>0</v>
      </c>
      <c r="T93" s="55">
        <v>1</v>
      </c>
      <c r="V93" s="61">
        <f>SUM(C93/B93)</f>
        <v>0.28452992870170785</v>
      </c>
      <c r="W93" s="61">
        <f>SUM(D93/B93)</f>
        <v>0.19797711822251698</v>
      </c>
      <c r="X93" s="61">
        <f>SUM(E93/B93)</f>
        <v>0</v>
      </c>
      <c r="Y93" s="61">
        <f>SUM(F93/B93)</f>
        <v>0</v>
      </c>
      <c r="Z93" s="61">
        <f>SUM(G93/B93)</f>
        <v>0.27740009948598904</v>
      </c>
      <c r="AA93" s="61">
        <f t="shared" si="45"/>
        <v>0</v>
      </c>
      <c r="AB93" s="61">
        <f t="shared" si="45"/>
        <v>0</v>
      </c>
      <c r="AC93" s="61">
        <f>SUM(J93/B93)</f>
        <v>0.2400928535897861</v>
      </c>
    </row>
    <row r="94" spans="1:29">
      <c r="A94" s="56" t="s">
        <v>1608</v>
      </c>
      <c r="B94" s="54">
        <f>SUM(C94:J94)</f>
        <v>4803</v>
      </c>
      <c r="C94" s="55">
        <v>1685</v>
      </c>
      <c r="D94" s="55">
        <v>756</v>
      </c>
      <c r="E94" s="55">
        <v>0</v>
      </c>
      <c r="F94" s="55">
        <v>0</v>
      </c>
      <c r="G94" s="55">
        <v>1467</v>
      </c>
      <c r="H94" s="55">
        <v>0</v>
      </c>
      <c r="I94" s="55">
        <v>0</v>
      </c>
      <c r="J94" s="55">
        <v>895</v>
      </c>
      <c r="L94" s="54">
        <f>SUM(M94:T94)</f>
        <v>5</v>
      </c>
      <c r="M94" s="55">
        <v>2</v>
      </c>
      <c r="N94" s="55">
        <v>1</v>
      </c>
      <c r="O94" s="55">
        <v>0</v>
      </c>
      <c r="P94" s="55">
        <v>0</v>
      </c>
      <c r="Q94" s="55">
        <v>2</v>
      </c>
      <c r="R94" s="55">
        <v>0</v>
      </c>
      <c r="S94" s="55">
        <v>0</v>
      </c>
      <c r="T94" s="55">
        <v>0</v>
      </c>
      <c r="V94" s="61">
        <f>SUM(C94/B94)</f>
        <v>0.35082240266500103</v>
      </c>
      <c r="W94" s="61">
        <f>SUM(D94/B94)</f>
        <v>0.15740162398500937</v>
      </c>
      <c r="X94" s="61">
        <f>SUM(E94/B94)</f>
        <v>0</v>
      </c>
      <c r="Y94" s="61">
        <f>SUM(F94/B94)</f>
        <v>0</v>
      </c>
      <c r="Z94" s="61">
        <f>SUM(G94/B94)</f>
        <v>0.30543410368519675</v>
      </c>
      <c r="AA94" s="61">
        <f t="shared" si="45"/>
        <v>0</v>
      </c>
      <c r="AB94" s="61">
        <f t="shared" si="45"/>
        <v>0</v>
      </c>
      <c r="AC94" s="61">
        <f>SUM(J94/B94)</f>
        <v>0.18634186966479283</v>
      </c>
    </row>
    <row r="95" spans="1:29">
      <c r="A95" s="56" t="s">
        <v>1609</v>
      </c>
      <c r="B95" s="54">
        <f>SUM(C95:J95)</f>
        <v>6516</v>
      </c>
      <c r="C95" s="55">
        <v>2399</v>
      </c>
      <c r="D95" s="55">
        <v>1485</v>
      </c>
      <c r="E95" s="55">
        <v>0</v>
      </c>
      <c r="F95" s="55">
        <v>0</v>
      </c>
      <c r="G95" s="55">
        <v>1860</v>
      </c>
      <c r="H95" s="55">
        <v>0</v>
      </c>
      <c r="I95" s="55">
        <v>0</v>
      </c>
      <c r="J95" s="55">
        <v>772</v>
      </c>
      <c r="L95" s="54">
        <f>SUM(M95:T95)</f>
        <v>7</v>
      </c>
      <c r="M95" s="55">
        <v>2</v>
      </c>
      <c r="N95" s="55">
        <v>2</v>
      </c>
      <c r="O95" s="55">
        <v>0</v>
      </c>
      <c r="P95" s="55">
        <v>0</v>
      </c>
      <c r="Q95" s="55">
        <v>2</v>
      </c>
      <c r="R95" s="55">
        <v>0</v>
      </c>
      <c r="S95" s="55">
        <v>0</v>
      </c>
      <c r="T95" s="55">
        <v>1</v>
      </c>
      <c r="V95" s="61">
        <f>SUM(C95/B95)</f>
        <v>0.36817065684468997</v>
      </c>
      <c r="W95" s="61">
        <f>SUM(D95/B95)</f>
        <v>0.22790055248618785</v>
      </c>
      <c r="X95" s="61">
        <f>SUM(E95/B95)</f>
        <v>0</v>
      </c>
      <c r="Y95" s="61">
        <f>SUM(F95/B95)</f>
        <v>0</v>
      </c>
      <c r="Z95" s="61">
        <f>SUM(G95/B95)</f>
        <v>0.28545119705340699</v>
      </c>
      <c r="AA95" s="61">
        <f t="shared" si="45"/>
        <v>0</v>
      </c>
      <c r="AB95" s="61">
        <f t="shared" si="45"/>
        <v>0</v>
      </c>
      <c r="AC95" s="61">
        <f>SUM(J95/B95)</f>
        <v>0.11847759361571517</v>
      </c>
    </row>
    <row r="96" spans="1:29" s="52" customFormat="1">
      <c r="A96" s="53" t="s">
        <v>1610</v>
      </c>
      <c r="B96" s="54">
        <f>SUM(B92:B95)</f>
        <v>22020</v>
      </c>
      <c r="C96" s="54">
        <f t="shared" ref="C96:Q96" si="46">SUM(C92:C95)</f>
        <v>7115</v>
      </c>
      <c r="D96" s="54">
        <f>SUM(D92:D95)</f>
        <v>5131</v>
      </c>
      <c r="E96" s="54">
        <f t="shared" si="46"/>
        <v>0</v>
      </c>
      <c r="F96" s="54">
        <f t="shared" si="46"/>
        <v>0</v>
      </c>
      <c r="G96" s="54">
        <f t="shared" si="46"/>
        <v>5801</v>
      </c>
      <c r="H96" s="54">
        <f>SUM(H92:H95)</f>
        <v>0</v>
      </c>
      <c r="I96" s="54">
        <f>SUM(I92:I95)</f>
        <v>0</v>
      </c>
      <c r="J96" s="54">
        <f>SUM(J92:J95)</f>
        <v>3973</v>
      </c>
      <c r="K96" s="54"/>
      <c r="L96" s="54">
        <f t="shared" si="46"/>
        <v>24</v>
      </c>
      <c r="M96" s="54">
        <f t="shared" si="46"/>
        <v>8</v>
      </c>
      <c r="N96" s="54">
        <f t="shared" si="46"/>
        <v>6</v>
      </c>
      <c r="O96" s="54">
        <f t="shared" si="46"/>
        <v>0</v>
      </c>
      <c r="P96" s="54">
        <f t="shared" si="46"/>
        <v>0</v>
      </c>
      <c r="Q96" s="54">
        <f t="shared" si="46"/>
        <v>7</v>
      </c>
      <c r="R96" s="54">
        <f>SUM(R92:R95)</f>
        <v>0</v>
      </c>
      <c r="S96" s="54">
        <f>SUM(S92:S95)</f>
        <v>0</v>
      </c>
      <c r="T96" s="54">
        <f>SUM(T92:T95)</f>
        <v>3</v>
      </c>
      <c r="V96" s="60">
        <f>SUM(C96/B96)</f>
        <v>0.3231153496821072</v>
      </c>
      <c r="W96" s="60">
        <f>SUM(D96/B96)</f>
        <v>0.23301544050862852</v>
      </c>
      <c r="X96" s="60">
        <f>SUM(E96/B96)</f>
        <v>0</v>
      </c>
      <c r="Y96" s="60">
        <f>SUM(F96/B96)</f>
        <v>0</v>
      </c>
      <c r="Z96" s="60">
        <f>SUM(G96/B96)</f>
        <v>0.26344232515894639</v>
      </c>
      <c r="AA96" s="60">
        <f t="shared" si="45"/>
        <v>0</v>
      </c>
      <c r="AB96" s="60">
        <f t="shared" si="45"/>
        <v>0</v>
      </c>
      <c r="AC96" s="60">
        <f>SUM(J96/B96)</f>
        <v>0.18042688465031789</v>
      </c>
    </row>
    <row r="97" spans="1:29">
      <c r="A97" s="53"/>
      <c r="B97" s="54"/>
      <c r="C97" s="55"/>
      <c r="D97" s="55"/>
      <c r="E97" s="55"/>
      <c r="F97" s="55"/>
      <c r="G97" s="55"/>
      <c r="H97" s="55"/>
      <c r="I97" s="55"/>
      <c r="J97" s="55"/>
      <c r="L97" s="54"/>
      <c r="M97" s="55"/>
      <c r="N97" s="55"/>
      <c r="O97" s="55"/>
      <c r="P97" s="55"/>
      <c r="Q97" s="55"/>
      <c r="R97" s="55"/>
      <c r="S97" s="55"/>
      <c r="T97" s="55"/>
    </row>
    <row r="98" spans="1:29">
      <c r="A98" s="56" t="s">
        <v>1611</v>
      </c>
      <c r="B98" s="54">
        <f>SUM(C98:J98)</f>
        <v>7815</v>
      </c>
      <c r="C98" s="55">
        <v>1534</v>
      </c>
      <c r="D98" s="55">
        <v>4545</v>
      </c>
      <c r="E98" s="55">
        <v>0</v>
      </c>
      <c r="F98" s="55">
        <v>0</v>
      </c>
      <c r="G98" s="55">
        <v>1603</v>
      </c>
      <c r="H98" s="55">
        <v>0</v>
      </c>
      <c r="I98" s="55">
        <v>0</v>
      </c>
      <c r="J98" s="55">
        <v>133</v>
      </c>
      <c r="L98" s="54">
        <f>SUM(M98:T98)</f>
        <v>7</v>
      </c>
      <c r="M98" s="55">
        <v>2</v>
      </c>
      <c r="N98" s="55">
        <v>4</v>
      </c>
      <c r="O98" s="55">
        <v>0</v>
      </c>
      <c r="P98" s="55">
        <v>0</v>
      </c>
      <c r="Q98" s="55">
        <v>1</v>
      </c>
      <c r="R98" s="55">
        <v>0</v>
      </c>
      <c r="S98" s="55">
        <v>0</v>
      </c>
      <c r="T98" s="55">
        <v>0</v>
      </c>
      <c r="V98" s="61">
        <f>SUM(C98/B98)</f>
        <v>0.19628918746001281</v>
      </c>
      <c r="W98" s="61">
        <f>SUM(D98/B98)</f>
        <v>0.58157389635316703</v>
      </c>
      <c r="X98" s="61">
        <f>SUM(E98/B98)</f>
        <v>0</v>
      </c>
      <c r="Y98" s="61">
        <f>SUM(F98/B98)</f>
        <v>0</v>
      </c>
      <c r="Z98" s="61">
        <f>SUM(G98/B98)</f>
        <v>0.20511836212412027</v>
      </c>
      <c r="AA98" s="61">
        <f t="shared" ref="AA98:AB101" si="47">SUM(H98/B98)</f>
        <v>0</v>
      </c>
      <c r="AB98" s="61">
        <f t="shared" si="47"/>
        <v>0</v>
      </c>
      <c r="AC98" s="61">
        <f>SUM(J98/B98)</f>
        <v>1.7018554062699937E-2</v>
      </c>
    </row>
    <row r="99" spans="1:29">
      <c r="A99" s="56" t="s">
        <v>1612</v>
      </c>
      <c r="B99" s="54">
        <f>SUM(C99:J99)</f>
        <v>6803</v>
      </c>
      <c r="C99" s="55">
        <v>2169</v>
      </c>
      <c r="D99" s="55">
        <v>3140</v>
      </c>
      <c r="E99" s="55">
        <v>0</v>
      </c>
      <c r="F99" s="55">
        <v>0</v>
      </c>
      <c r="G99" s="55">
        <v>1238</v>
      </c>
      <c r="H99" s="55">
        <v>0</v>
      </c>
      <c r="I99" s="55">
        <v>0</v>
      </c>
      <c r="J99" s="55">
        <v>256</v>
      </c>
      <c r="L99" s="54">
        <f>SUM(M99:T99)</f>
        <v>7</v>
      </c>
      <c r="M99" s="55">
        <v>3</v>
      </c>
      <c r="N99" s="55">
        <v>3</v>
      </c>
      <c r="O99" s="55">
        <v>0</v>
      </c>
      <c r="P99" s="55">
        <v>0</v>
      </c>
      <c r="Q99" s="55">
        <v>1</v>
      </c>
      <c r="R99" s="55">
        <v>0</v>
      </c>
      <c r="S99" s="55">
        <v>0</v>
      </c>
      <c r="T99" s="55">
        <v>0</v>
      </c>
      <c r="V99" s="61">
        <f>SUM(C99/B99)</f>
        <v>0.31882992797295312</v>
      </c>
      <c r="W99" s="61">
        <f>SUM(D99/B99)</f>
        <v>0.4615610759958842</v>
      </c>
      <c r="X99" s="61">
        <f>SUM(E99/B99)</f>
        <v>0</v>
      </c>
      <c r="Y99" s="61">
        <f>SUM(F99/B99)</f>
        <v>0</v>
      </c>
      <c r="Z99" s="61">
        <f>SUM(G99/B99)</f>
        <v>0.18197853887990592</v>
      </c>
      <c r="AA99" s="61">
        <f t="shared" si="47"/>
        <v>0</v>
      </c>
      <c r="AB99" s="61">
        <f t="shared" si="47"/>
        <v>0</v>
      </c>
      <c r="AC99" s="61">
        <f>SUM(J99/B99)</f>
        <v>3.7630457151256798E-2</v>
      </c>
    </row>
    <row r="100" spans="1:29">
      <c r="A100" s="56" t="s">
        <v>1613</v>
      </c>
      <c r="B100" s="54">
        <f>SUM(C100:J100)</f>
        <v>8374</v>
      </c>
      <c r="C100" s="55">
        <v>2973</v>
      </c>
      <c r="D100" s="55">
        <v>3354</v>
      </c>
      <c r="E100" s="55">
        <v>456</v>
      </c>
      <c r="F100" s="55">
        <v>0</v>
      </c>
      <c r="G100" s="55">
        <v>1478</v>
      </c>
      <c r="H100" s="55">
        <v>0</v>
      </c>
      <c r="I100" s="55">
        <v>0</v>
      </c>
      <c r="J100" s="55">
        <v>113</v>
      </c>
      <c r="L100" s="54">
        <f>SUM(M100:T100)</f>
        <v>7</v>
      </c>
      <c r="M100" s="55">
        <v>3</v>
      </c>
      <c r="N100" s="55">
        <v>3</v>
      </c>
      <c r="O100" s="55">
        <v>0</v>
      </c>
      <c r="P100" s="55">
        <v>0</v>
      </c>
      <c r="Q100" s="55">
        <v>1</v>
      </c>
      <c r="R100" s="55">
        <v>0</v>
      </c>
      <c r="S100" s="55">
        <v>0</v>
      </c>
      <c r="T100" s="55">
        <v>0</v>
      </c>
      <c r="V100" s="61">
        <f>SUM(C100/B100)</f>
        <v>0.35502746596608548</v>
      </c>
      <c r="W100" s="61">
        <f>SUM(D100/B100)</f>
        <v>0.40052543587294004</v>
      </c>
      <c r="X100" s="61">
        <f>SUM(E100/B100)</f>
        <v>5.4454263195605444E-2</v>
      </c>
      <c r="Y100" s="61">
        <f>SUM(F100/B100)</f>
        <v>0</v>
      </c>
      <c r="Z100" s="61">
        <f>SUM(G100/B100)</f>
        <v>0.17649868641031766</v>
      </c>
      <c r="AA100" s="61">
        <f t="shared" si="47"/>
        <v>0</v>
      </c>
      <c r="AB100" s="61">
        <f t="shared" si="47"/>
        <v>0</v>
      </c>
      <c r="AC100" s="61">
        <f>SUM(J100/B100)</f>
        <v>1.349414855505135E-2</v>
      </c>
    </row>
    <row r="101" spans="1:29" s="52" customFormat="1">
      <c r="A101" s="53" t="s">
        <v>1614</v>
      </c>
      <c r="B101" s="54">
        <f t="shared" ref="B101:J101" si="48">SUM(B98:B100)</f>
        <v>22992</v>
      </c>
      <c r="C101" s="54">
        <f t="shared" si="48"/>
        <v>6676</v>
      </c>
      <c r="D101" s="54">
        <f t="shared" si="48"/>
        <v>11039</v>
      </c>
      <c r="E101" s="54">
        <f t="shared" si="48"/>
        <v>456</v>
      </c>
      <c r="F101" s="54">
        <f t="shared" si="48"/>
        <v>0</v>
      </c>
      <c r="G101" s="54">
        <f t="shared" si="48"/>
        <v>4319</v>
      </c>
      <c r="H101" s="54">
        <f t="shared" si="48"/>
        <v>0</v>
      </c>
      <c r="I101" s="54">
        <f t="shared" si="48"/>
        <v>0</v>
      </c>
      <c r="J101" s="54">
        <f t="shared" si="48"/>
        <v>502</v>
      </c>
      <c r="K101" s="54"/>
      <c r="L101" s="54">
        <f t="shared" ref="L101:T101" si="49">SUM(L98:L100)</f>
        <v>21</v>
      </c>
      <c r="M101" s="54">
        <f t="shared" si="49"/>
        <v>8</v>
      </c>
      <c r="N101" s="54">
        <f t="shared" si="49"/>
        <v>10</v>
      </c>
      <c r="O101" s="54">
        <f t="shared" si="49"/>
        <v>0</v>
      </c>
      <c r="P101" s="54">
        <f t="shared" si="49"/>
        <v>0</v>
      </c>
      <c r="Q101" s="54">
        <f t="shared" si="49"/>
        <v>3</v>
      </c>
      <c r="R101" s="54">
        <f t="shared" si="49"/>
        <v>0</v>
      </c>
      <c r="S101" s="54">
        <f t="shared" si="49"/>
        <v>0</v>
      </c>
      <c r="T101" s="54">
        <f t="shared" si="49"/>
        <v>0</v>
      </c>
      <c r="V101" s="60">
        <f>SUM(C101/B101)</f>
        <v>0.2903618649965205</v>
      </c>
      <c r="W101" s="60">
        <f>SUM(D101/B101)</f>
        <v>0.48012352122477381</v>
      </c>
      <c r="X101" s="60">
        <f>SUM(E101/B101)</f>
        <v>1.9832985386221295E-2</v>
      </c>
      <c r="Y101" s="60">
        <f>SUM(F101/B101)</f>
        <v>0</v>
      </c>
      <c r="Z101" s="60">
        <f>SUM(G101/B101)</f>
        <v>0.18784794711203898</v>
      </c>
      <c r="AA101" s="60">
        <f t="shared" si="47"/>
        <v>0</v>
      </c>
      <c r="AB101" s="60">
        <f t="shared" si="47"/>
        <v>0</v>
      </c>
      <c r="AC101" s="60">
        <f>SUM(J101/B101)</f>
        <v>2.1833681280445372E-2</v>
      </c>
    </row>
    <row r="102" spans="1:29">
      <c r="A102" s="53"/>
      <c r="B102" s="54"/>
      <c r="C102" s="55"/>
      <c r="D102" s="55"/>
      <c r="E102" s="55"/>
      <c r="F102" s="55"/>
      <c r="G102" s="55"/>
      <c r="H102" s="55"/>
      <c r="I102" s="55"/>
      <c r="J102" s="55"/>
      <c r="L102" s="54"/>
      <c r="M102" s="55"/>
      <c r="N102" s="55"/>
      <c r="O102" s="55"/>
      <c r="P102" s="55"/>
      <c r="Q102" s="55"/>
      <c r="R102" s="55"/>
      <c r="S102" s="55"/>
      <c r="T102" s="55"/>
    </row>
    <row r="103" spans="1:29">
      <c r="A103" s="56" t="s">
        <v>1617</v>
      </c>
      <c r="B103" s="54">
        <f>SUM(C103:J103)</f>
        <v>6051</v>
      </c>
      <c r="C103" s="55">
        <v>2672</v>
      </c>
      <c r="D103" s="55">
        <v>2096</v>
      </c>
      <c r="E103" s="55">
        <v>760</v>
      </c>
      <c r="F103" s="55">
        <v>0</v>
      </c>
      <c r="G103" s="55">
        <v>523</v>
      </c>
      <c r="H103" s="55">
        <v>0</v>
      </c>
      <c r="I103" s="55">
        <v>0</v>
      </c>
      <c r="J103" s="55">
        <v>0</v>
      </c>
      <c r="L103" s="54">
        <f>SUM(M103:T103)</f>
        <v>7</v>
      </c>
      <c r="M103" s="55">
        <v>4</v>
      </c>
      <c r="N103" s="55">
        <v>2</v>
      </c>
      <c r="O103" s="55">
        <v>1</v>
      </c>
      <c r="P103" s="55">
        <v>0</v>
      </c>
      <c r="Q103" s="55">
        <v>0</v>
      </c>
      <c r="R103" s="55">
        <v>0</v>
      </c>
      <c r="S103" s="55">
        <v>0</v>
      </c>
      <c r="T103" s="55">
        <v>0</v>
      </c>
      <c r="V103" s="61">
        <f>SUM(C103/B103)</f>
        <v>0.44157990414807469</v>
      </c>
      <c r="W103" s="61">
        <f>SUM(D103/B103)</f>
        <v>0.34638902660717236</v>
      </c>
      <c r="X103" s="61">
        <f>SUM(E103/B103)</f>
        <v>0.12559907453313501</v>
      </c>
      <c r="Y103" s="61">
        <f>SUM(F103/B103)</f>
        <v>0</v>
      </c>
      <c r="Z103" s="61">
        <f>SUM(G103/B103)</f>
        <v>8.6431994711617915E-2</v>
      </c>
      <c r="AA103" s="61">
        <f t="shared" ref="AA103:AB106" si="50">SUM(H103/B103)</f>
        <v>0</v>
      </c>
      <c r="AB103" s="61">
        <f t="shared" si="50"/>
        <v>0</v>
      </c>
      <c r="AC103" s="61">
        <f>SUM(J103/B103)</f>
        <v>0</v>
      </c>
    </row>
    <row r="104" spans="1:29">
      <c r="A104" s="56" t="s">
        <v>1615</v>
      </c>
      <c r="B104" s="54">
        <f>SUM(C104:J104)</f>
        <v>4146</v>
      </c>
      <c r="C104" s="55">
        <v>1777</v>
      </c>
      <c r="D104" s="55">
        <v>1116</v>
      </c>
      <c r="E104" s="55">
        <v>670</v>
      </c>
      <c r="F104" s="55">
        <v>0</v>
      </c>
      <c r="G104" s="55">
        <v>520</v>
      </c>
      <c r="H104" s="55">
        <v>63</v>
      </c>
      <c r="I104" s="55">
        <v>0</v>
      </c>
      <c r="J104" s="55">
        <v>0</v>
      </c>
      <c r="K104" s="55"/>
      <c r="L104" s="54">
        <f>SUM(M104:T104)</f>
        <v>7</v>
      </c>
      <c r="M104" s="55">
        <v>3</v>
      </c>
      <c r="N104" s="55">
        <v>2</v>
      </c>
      <c r="O104" s="55">
        <v>1</v>
      </c>
      <c r="P104" s="55">
        <v>0</v>
      </c>
      <c r="Q104" s="55">
        <v>1</v>
      </c>
      <c r="R104" s="55">
        <v>0</v>
      </c>
      <c r="S104" s="55">
        <v>0</v>
      </c>
      <c r="T104" s="55">
        <v>0</v>
      </c>
      <c r="V104" s="61">
        <f>SUM(C104/B104)</f>
        <v>0.4286058851905451</v>
      </c>
      <c r="W104" s="61">
        <f>SUM(D104/B104)</f>
        <v>0.26917510853835019</v>
      </c>
      <c r="X104" s="61">
        <f>SUM(E104/B104)</f>
        <v>0.16160154365653642</v>
      </c>
      <c r="Y104" s="61">
        <f>SUM(F104/B104)</f>
        <v>0</v>
      </c>
      <c r="Z104" s="61">
        <f>SUM(G104/B104)</f>
        <v>0.12542209358417752</v>
      </c>
      <c r="AA104" s="61">
        <f t="shared" si="50"/>
        <v>1.5195369030390739E-2</v>
      </c>
      <c r="AB104" s="61">
        <f t="shared" si="50"/>
        <v>0</v>
      </c>
      <c r="AC104" s="61">
        <f>SUM(J104/B104)</f>
        <v>0</v>
      </c>
    </row>
    <row r="105" spans="1:29">
      <c r="A105" s="56" t="s">
        <v>1616</v>
      </c>
      <c r="B105" s="54">
        <f>SUM(C105:J105)</f>
        <v>4882</v>
      </c>
      <c r="C105" s="55">
        <v>1546</v>
      </c>
      <c r="D105" s="55">
        <v>1058</v>
      </c>
      <c r="E105" s="55">
        <v>1261</v>
      </c>
      <c r="F105" s="55">
        <v>675</v>
      </c>
      <c r="G105" s="55">
        <v>107</v>
      </c>
      <c r="H105" s="55">
        <v>0</v>
      </c>
      <c r="I105" s="55">
        <v>235</v>
      </c>
      <c r="J105" s="55">
        <v>0</v>
      </c>
      <c r="L105" s="54">
        <f>SUM(M105:T105)</f>
        <v>5</v>
      </c>
      <c r="M105" s="55">
        <v>2</v>
      </c>
      <c r="N105" s="55">
        <v>1</v>
      </c>
      <c r="O105" s="55">
        <v>1</v>
      </c>
      <c r="P105" s="55">
        <v>1</v>
      </c>
      <c r="Q105" s="55">
        <v>0</v>
      </c>
      <c r="R105" s="55">
        <v>0</v>
      </c>
      <c r="S105" s="55">
        <v>0</v>
      </c>
      <c r="T105" s="55">
        <v>0</v>
      </c>
      <c r="V105" s="61">
        <f>SUM(C105/B105)</f>
        <v>0.31667349446947973</v>
      </c>
      <c r="W105" s="61">
        <f>SUM(D105/B105)</f>
        <v>0.21671446128635805</v>
      </c>
      <c r="X105" s="61">
        <f>SUM(E105/B105)</f>
        <v>0.25829578041786155</v>
      </c>
      <c r="Y105" s="61">
        <f>SUM(F105/B105)</f>
        <v>0.13826300696435886</v>
      </c>
      <c r="Z105" s="61">
        <f>SUM(G105/B105)</f>
        <v>2.1917247029905777E-2</v>
      </c>
      <c r="AA105" s="61">
        <f t="shared" si="50"/>
        <v>0</v>
      </c>
      <c r="AB105" s="61">
        <f t="shared" si="50"/>
        <v>0.15200517464424321</v>
      </c>
      <c r="AC105" s="61">
        <f>SUM(J105/B105)</f>
        <v>0</v>
      </c>
    </row>
    <row r="106" spans="1:29" s="52" customFormat="1">
      <c r="A106" s="53" t="s">
        <v>1618</v>
      </c>
      <c r="B106" s="54">
        <f>SUM(B103:B105)</f>
        <v>15079</v>
      </c>
      <c r="C106" s="54">
        <f t="shared" ref="C106:Q106" si="51">SUM(C103:C105)</f>
        <v>5995</v>
      </c>
      <c r="D106" s="54">
        <f>SUM(D103:D105)</f>
        <v>4270</v>
      </c>
      <c r="E106" s="54">
        <f t="shared" si="51"/>
        <v>2691</v>
      </c>
      <c r="F106" s="54">
        <f t="shared" si="51"/>
        <v>675</v>
      </c>
      <c r="G106" s="54">
        <f t="shared" si="51"/>
        <v>1150</v>
      </c>
      <c r="H106" s="54">
        <f>SUM(H103:H105)</f>
        <v>63</v>
      </c>
      <c r="I106" s="54">
        <f>SUM(I103:I105)</f>
        <v>235</v>
      </c>
      <c r="J106" s="54">
        <f>SUM(J103:J105)</f>
        <v>0</v>
      </c>
      <c r="K106" s="54"/>
      <c r="L106" s="54">
        <f t="shared" si="51"/>
        <v>19</v>
      </c>
      <c r="M106" s="54">
        <f t="shared" si="51"/>
        <v>9</v>
      </c>
      <c r="N106" s="54">
        <f t="shared" si="51"/>
        <v>5</v>
      </c>
      <c r="O106" s="54">
        <f t="shared" si="51"/>
        <v>3</v>
      </c>
      <c r="P106" s="54">
        <f t="shared" si="51"/>
        <v>1</v>
      </c>
      <c r="Q106" s="54">
        <f t="shared" si="51"/>
        <v>1</v>
      </c>
      <c r="R106" s="54">
        <f>SUM(R103:R105)</f>
        <v>0</v>
      </c>
      <c r="S106" s="54">
        <f>SUM(S103:S105)</f>
        <v>0</v>
      </c>
      <c r="T106" s="54">
        <f>SUM(T103:T105)</f>
        <v>0</v>
      </c>
      <c r="V106" s="60">
        <f>SUM(C106/B106)</f>
        <v>0.39757278334107038</v>
      </c>
      <c r="W106" s="60">
        <f>SUM(D106/B106)</f>
        <v>0.28317527687512434</v>
      </c>
      <c r="X106" s="60">
        <f>SUM(E106/B106)</f>
        <v>0.17846011008687579</v>
      </c>
      <c r="Y106" s="60">
        <f>SUM(F106/B106)</f>
        <v>4.4764241660587574E-2</v>
      </c>
      <c r="Z106" s="60">
        <f>SUM(G106/B106)</f>
        <v>7.6265004310630685E-2</v>
      </c>
      <c r="AA106" s="60">
        <f t="shared" si="50"/>
        <v>4.177995888321507E-3</v>
      </c>
      <c r="AB106" s="60">
        <f t="shared" si="50"/>
        <v>3.9199332777314431E-2</v>
      </c>
      <c r="AC106" s="60">
        <f>SUM(J106/B106)</f>
        <v>0</v>
      </c>
    </row>
    <row r="107" spans="1:29">
      <c r="A107" s="53"/>
      <c r="B107" s="54"/>
      <c r="C107" s="55"/>
      <c r="D107" s="55"/>
      <c r="E107" s="55"/>
      <c r="F107" s="55"/>
      <c r="G107" s="55"/>
      <c r="H107" s="55"/>
      <c r="I107" s="55"/>
      <c r="J107" s="55"/>
      <c r="L107" s="54"/>
      <c r="M107" s="55"/>
      <c r="N107" s="55"/>
      <c r="O107" s="55"/>
      <c r="P107" s="55"/>
      <c r="Q107" s="55"/>
      <c r="R107" s="55"/>
      <c r="S107" s="55"/>
      <c r="T107" s="55"/>
    </row>
    <row r="108" spans="1:29">
      <c r="A108" s="56" t="s">
        <v>2450</v>
      </c>
      <c r="B108" s="54">
        <f>SUM(C108:J108)</f>
        <v>6499</v>
      </c>
      <c r="C108" s="55">
        <v>1479</v>
      </c>
      <c r="D108" s="55">
        <v>2449</v>
      </c>
      <c r="E108" s="55">
        <v>1367</v>
      </c>
      <c r="F108" s="55">
        <v>0</v>
      </c>
      <c r="G108" s="55">
        <v>0</v>
      </c>
      <c r="H108" s="55">
        <v>0</v>
      </c>
      <c r="I108" s="55">
        <v>0</v>
      </c>
      <c r="J108" s="55">
        <v>1204</v>
      </c>
      <c r="L108" s="54">
        <f>SUM(M108:T108)</f>
        <v>7</v>
      </c>
      <c r="M108" s="55">
        <v>2</v>
      </c>
      <c r="N108" s="55">
        <v>3</v>
      </c>
      <c r="O108" s="55">
        <v>1</v>
      </c>
      <c r="P108" s="55">
        <v>0</v>
      </c>
      <c r="Q108" s="55">
        <v>0</v>
      </c>
      <c r="R108" s="55">
        <v>0</v>
      </c>
      <c r="S108" s="55">
        <v>0</v>
      </c>
      <c r="T108" s="55">
        <v>1</v>
      </c>
      <c r="V108" s="61">
        <f>SUM(C108/B108)</f>
        <v>0.22757347284197568</v>
      </c>
      <c r="W108" s="61">
        <f>SUM(D108/B108)</f>
        <v>0.37682720418525928</v>
      </c>
      <c r="X108" s="61">
        <f>SUM(E108/B108)</f>
        <v>0.21034005231574088</v>
      </c>
      <c r="Y108" s="61">
        <f>SUM(F108/B108)</f>
        <v>0</v>
      </c>
      <c r="Z108" s="61">
        <f>SUM(G108/B108)</f>
        <v>0</v>
      </c>
      <c r="AA108" s="61">
        <f t="shared" ref="AA108:AB112" si="52">SUM(H108/B108)</f>
        <v>0</v>
      </c>
      <c r="AB108" s="61">
        <f t="shared" si="52"/>
        <v>0</v>
      </c>
      <c r="AC108" s="61">
        <f>SUM(J108/B108)</f>
        <v>0.18525927065702416</v>
      </c>
    </row>
    <row r="109" spans="1:29">
      <c r="A109" s="56" t="s">
        <v>2451</v>
      </c>
      <c r="B109" s="54">
        <f>SUM(C109:J109)</f>
        <v>5301</v>
      </c>
      <c r="C109" s="55">
        <v>1873</v>
      </c>
      <c r="D109" s="55">
        <v>2572</v>
      </c>
      <c r="E109" s="55">
        <v>0</v>
      </c>
      <c r="F109" s="55">
        <v>0</v>
      </c>
      <c r="G109" s="55">
        <v>0</v>
      </c>
      <c r="H109" s="55">
        <v>0</v>
      </c>
      <c r="I109" s="55">
        <v>0</v>
      </c>
      <c r="J109" s="55">
        <v>856</v>
      </c>
      <c r="L109" s="54">
        <f>SUM(M109:T109)</f>
        <v>5</v>
      </c>
      <c r="M109" s="55">
        <v>2</v>
      </c>
      <c r="N109" s="55">
        <v>3</v>
      </c>
      <c r="O109" s="55">
        <v>0</v>
      </c>
      <c r="P109" s="55">
        <v>0</v>
      </c>
      <c r="Q109" s="55">
        <v>0</v>
      </c>
      <c r="R109" s="55">
        <v>0</v>
      </c>
      <c r="S109" s="55">
        <v>0</v>
      </c>
      <c r="T109" s="55">
        <v>0</v>
      </c>
      <c r="V109" s="61">
        <f>SUM(C109/B109)</f>
        <v>0.35332956046029051</v>
      </c>
      <c r="W109" s="61">
        <f>SUM(D109/B109)</f>
        <v>0.48519147330692325</v>
      </c>
      <c r="X109" s="61">
        <f>SUM(E109/B109)</f>
        <v>0</v>
      </c>
      <c r="Y109" s="61">
        <f>SUM(F109/B109)</f>
        <v>0</v>
      </c>
      <c r="Z109" s="61">
        <f>SUM(G109/B109)</f>
        <v>0</v>
      </c>
      <c r="AA109" s="61">
        <f t="shared" si="52"/>
        <v>0</v>
      </c>
      <c r="AB109" s="61">
        <f t="shared" si="52"/>
        <v>0</v>
      </c>
      <c r="AC109" s="61">
        <f>SUM(J109/B109)</f>
        <v>0.16147896623278626</v>
      </c>
    </row>
    <row r="110" spans="1:29">
      <c r="A110" s="56" t="s">
        <v>2452</v>
      </c>
      <c r="B110" s="54">
        <f>SUM(C110:J110)</f>
        <v>4794</v>
      </c>
      <c r="C110" s="55">
        <v>1266</v>
      </c>
      <c r="D110" s="55">
        <v>3528</v>
      </c>
      <c r="E110" s="55">
        <v>0</v>
      </c>
      <c r="F110" s="55">
        <v>0</v>
      </c>
      <c r="G110" s="55">
        <v>0</v>
      </c>
      <c r="H110" s="55">
        <v>0</v>
      </c>
      <c r="I110" s="55">
        <v>0</v>
      </c>
      <c r="J110" s="55">
        <v>0</v>
      </c>
      <c r="L110" s="54">
        <f>SUM(M110:T110)</f>
        <v>6</v>
      </c>
      <c r="M110" s="55">
        <v>1</v>
      </c>
      <c r="N110" s="55">
        <v>5</v>
      </c>
      <c r="O110" s="55">
        <v>0</v>
      </c>
      <c r="P110" s="55">
        <v>0</v>
      </c>
      <c r="Q110" s="55">
        <v>0</v>
      </c>
      <c r="R110" s="55">
        <v>0</v>
      </c>
      <c r="S110" s="55">
        <v>0</v>
      </c>
      <c r="T110" s="55">
        <v>0</v>
      </c>
      <c r="V110" s="61">
        <f>SUM(C110/B110)</f>
        <v>0.26408010012515643</v>
      </c>
      <c r="W110" s="61">
        <f>SUM(D110/B110)</f>
        <v>0.73591989987484352</v>
      </c>
      <c r="X110" s="61">
        <f>SUM(E110/B110)</f>
        <v>0</v>
      </c>
      <c r="Y110" s="61">
        <f>SUM(F110/B110)</f>
        <v>0</v>
      </c>
      <c r="Z110" s="61">
        <f>SUM(G110/B110)</f>
        <v>0</v>
      </c>
      <c r="AA110" s="61">
        <f t="shared" si="52"/>
        <v>0</v>
      </c>
      <c r="AB110" s="61">
        <f t="shared" si="52"/>
        <v>0</v>
      </c>
      <c r="AC110" s="61">
        <f>SUM(J110/B110)</f>
        <v>0</v>
      </c>
    </row>
    <row r="111" spans="1:29">
      <c r="A111" s="56" t="s">
        <v>2453</v>
      </c>
      <c r="B111" s="54">
        <f>SUM(C111:J111)</f>
        <v>5037</v>
      </c>
      <c r="C111" s="55">
        <v>1572</v>
      </c>
      <c r="D111" s="55">
        <v>3465</v>
      </c>
      <c r="E111" s="55">
        <v>0</v>
      </c>
      <c r="F111" s="55">
        <v>0</v>
      </c>
      <c r="G111" s="55">
        <v>0</v>
      </c>
      <c r="H111" s="55">
        <v>0</v>
      </c>
      <c r="I111" s="55">
        <v>0</v>
      </c>
      <c r="J111" s="55">
        <v>0</v>
      </c>
      <c r="L111" s="54">
        <f>SUM(M111:T111)</f>
        <v>5</v>
      </c>
      <c r="M111" s="55">
        <v>1</v>
      </c>
      <c r="N111" s="55">
        <v>4</v>
      </c>
      <c r="O111" s="55">
        <v>0</v>
      </c>
      <c r="P111" s="55">
        <v>0</v>
      </c>
      <c r="Q111" s="55">
        <v>0</v>
      </c>
      <c r="R111" s="55">
        <v>0</v>
      </c>
      <c r="S111" s="55">
        <v>0</v>
      </c>
      <c r="T111" s="55">
        <v>0</v>
      </c>
      <c r="V111" s="61">
        <f>SUM(C111/B111)</f>
        <v>0.31209053007742704</v>
      </c>
      <c r="W111" s="61">
        <f>SUM(D111/B111)</f>
        <v>0.68790946992257296</v>
      </c>
      <c r="X111" s="61">
        <f>SUM(E111/B111)</f>
        <v>0</v>
      </c>
      <c r="Y111" s="61">
        <f>SUM(F111/B111)</f>
        <v>0</v>
      </c>
      <c r="Z111" s="61">
        <f>SUM(G111/B111)</f>
        <v>0</v>
      </c>
      <c r="AA111" s="61">
        <f t="shared" si="52"/>
        <v>0</v>
      </c>
      <c r="AB111" s="61">
        <f t="shared" si="52"/>
        <v>0</v>
      </c>
      <c r="AC111" s="61">
        <f>SUM(J111/B111)</f>
        <v>0</v>
      </c>
    </row>
    <row r="112" spans="1:29" s="52" customFormat="1">
      <c r="A112" s="53" t="s">
        <v>1623</v>
      </c>
      <c r="B112" s="54">
        <f>SUM(B108:B111)</f>
        <v>21631</v>
      </c>
      <c r="C112" s="54">
        <f t="shared" ref="C112:Q112" si="53">SUM(C108:C111)</f>
        <v>6190</v>
      </c>
      <c r="D112" s="54">
        <f>SUM(D108:D111)</f>
        <v>12014</v>
      </c>
      <c r="E112" s="54">
        <f t="shared" si="53"/>
        <v>1367</v>
      </c>
      <c r="F112" s="54">
        <f t="shared" si="53"/>
        <v>0</v>
      </c>
      <c r="G112" s="54">
        <f t="shared" si="53"/>
        <v>0</v>
      </c>
      <c r="H112" s="54">
        <f>SUM(H108:H111)</f>
        <v>0</v>
      </c>
      <c r="I112" s="54">
        <f>SUM(I108:I111)</f>
        <v>0</v>
      </c>
      <c r="J112" s="54">
        <f>SUM(J108:J111)</f>
        <v>2060</v>
      </c>
      <c r="K112" s="54"/>
      <c r="L112" s="54">
        <f t="shared" si="53"/>
        <v>23</v>
      </c>
      <c r="M112" s="54">
        <f t="shared" si="53"/>
        <v>6</v>
      </c>
      <c r="N112" s="54">
        <f t="shared" si="53"/>
        <v>15</v>
      </c>
      <c r="O112" s="54">
        <f t="shared" si="53"/>
        <v>1</v>
      </c>
      <c r="P112" s="54">
        <f t="shared" si="53"/>
        <v>0</v>
      </c>
      <c r="Q112" s="54">
        <f t="shared" si="53"/>
        <v>0</v>
      </c>
      <c r="R112" s="54">
        <f>SUM(R108:R111)</f>
        <v>0</v>
      </c>
      <c r="S112" s="54">
        <f>SUM(S108:S111)</f>
        <v>0</v>
      </c>
      <c r="T112" s="54">
        <f>SUM(T108:T111)</f>
        <v>1</v>
      </c>
      <c r="V112" s="60">
        <f>SUM(C112/B112)</f>
        <v>0.28616337663538438</v>
      </c>
      <c r="W112" s="60">
        <f>SUM(D112/B112)</f>
        <v>0.55540659239055057</v>
      </c>
      <c r="X112" s="60">
        <f>SUM(E112/B112)</f>
        <v>6.3196338588137391E-2</v>
      </c>
      <c r="Y112" s="60">
        <f>SUM(F112/B112)</f>
        <v>0</v>
      </c>
      <c r="Z112" s="60">
        <f>SUM(G112/B112)</f>
        <v>0</v>
      </c>
      <c r="AA112" s="60">
        <f t="shared" si="52"/>
        <v>0</v>
      </c>
      <c r="AB112" s="60">
        <f t="shared" si="52"/>
        <v>0</v>
      </c>
      <c r="AC112" s="60">
        <f>SUM(J112/B112)</f>
        <v>9.5233692385927604E-2</v>
      </c>
    </row>
    <row r="113" spans="1:29">
      <c r="A113" s="53"/>
      <c r="B113" s="54"/>
      <c r="C113" s="55"/>
      <c r="D113" s="55"/>
      <c r="E113" s="55"/>
      <c r="F113" s="55"/>
      <c r="G113" s="55"/>
      <c r="H113" s="55"/>
      <c r="I113" s="55"/>
      <c r="J113" s="55"/>
      <c r="L113" s="54"/>
      <c r="M113" s="55"/>
      <c r="N113" s="55"/>
      <c r="O113" s="55"/>
      <c r="P113" s="55"/>
      <c r="Q113" s="55"/>
      <c r="R113" s="55"/>
      <c r="S113" s="55"/>
      <c r="T113" s="55"/>
    </row>
    <row r="114" spans="1:29">
      <c r="A114" s="56" t="s">
        <v>1624</v>
      </c>
      <c r="B114" s="54">
        <f>SUM(C114:J114)</f>
        <v>3945</v>
      </c>
      <c r="C114" s="55">
        <v>989</v>
      </c>
      <c r="D114" s="55">
        <v>1626</v>
      </c>
      <c r="E114" s="55">
        <v>550</v>
      </c>
      <c r="F114" s="55">
        <v>532</v>
      </c>
      <c r="G114" s="55">
        <v>248</v>
      </c>
      <c r="H114" s="55">
        <v>0</v>
      </c>
      <c r="I114" s="55">
        <v>0</v>
      </c>
      <c r="J114" s="55">
        <v>0</v>
      </c>
      <c r="L114" s="54">
        <f>SUM(M114:T114)</f>
        <v>6</v>
      </c>
      <c r="M114" s="55">
        <v>2</v>
      </c>
      <c r="N114" s="55">
        <v>2</v>
      </c>
      <c r="O114" s="55">
        <v>1</v>
      </c>
      <c r="P114" s="55">
        <v>1</v>
      </c>
      <c r="Q114" s="55">
        <v>0</v>
      </c>
      <c r="R114" s="55">
        <v>0</v>
      </c>
      <c r="S114" s="55">
        <v>0</v>
      </c>
      <c r="T114" s="55">
        <v>0</v>
      </c>
      <c r="V114" s="61">
        <f>SUM(C114/B114)</f>
        <v>0.25069708491761722</v>
      </c>
      <c r="W114" s="61">
        <f>SUM(D114/B114)</f>
        <v>0.41216730038022814</v>
      </c>
      <c r="X114" s="61">
        <f>SUM(E114/B114)</f>
        <v>0.13941698352344739</v>
      </c>
      <c r="Y114" s="61">
        <f>SUM(F114/B114)</f>
        <v>0.13485424588086184</v>
      </c>
      <c r="Z114" s="61">
        <f>SUM(G114/B114)</f>
        <v>6.2864385297845368E-2</v>
      </c>
      <c r="AA114" s="61">
        <f t="shared" ref="AA114:AB117" si="54">SUM(H114/B114)</f>
        <v>0</v>
      </c>
      <c r="AB114" s="61">
        <f t="shared" si="54"/>
        <v>0</v>
      </c>
      <c r="AC114" s="61">
        <f>SUM(J114/B114)</f>
        <v>0</v>
      </c>
    </row>
    <row r="115" spans="1:29">
      <c r="A115" s="56" t="s">
        <v>1625</v>
      </c>
      <c r="B115" s="54">
        <f>SUM(C115:J115)</f>
        <v>2740</v>
      </c>
      <c r="C115" s="55">
        <v>960</v>
      </c>
      <c r="D115" s="55">
        <v>1093</v>
      </c>
      <c r="E115" s="55">
        <v>0</v>
      </c>
      <c r="F115" s="55">
        <v>0</v>
      </c>
      <c r="G115" s="55">
        <v>0</v>
      </c>
      <c r="H115" s="55">
        <v>0</v>
      </c>
      <c r="I115" s="55">
        <v>0</v>
      </c>
      <c r="J115" s="55">
        <v>687</v>
      </c>
      <c r="L115" s="54">
        <f>SUM(M115:T115)</f>
        <v>5</v>
      </c>
      <c r="M115" s="55">
        <v>2</v>
      </c>
      <c r="N115" s="55">
        <v>2</v>
      </c>
      <c r="O115" s="55">
        <v>0</v>
      </c>
      <c r="P115" s="55">
        <v>0</v>
      </c>
      <c r="Q115" s="55">
        <v>0</v>
      </c>
      <c r="R115" s="55">
        <v>0</v>
      </c>
      <c r="S115" s="55">
        <v>0</v>
      </c>
      <c r="T115" s="55">
        <v>1</v>
      </c>
      <c r="V115" s="61">
        <f>SUM(C115/B115)</f>
        <v>0.35036496350364965</v>
      </c>
      <c r="W115" s="61">
        <f>SUM(D115/B115)</f>
        <v>0.39890510948905111</v>
      </c>
      <c r="X115" s="61">
        <f>SUM(E115/B115)</f>
        <v>0</v>
      </c>
      <c r="Y115" s="61">
        <f>SUM(F115/B115)</f>
        <v>0</v>
      </c>
      <c r="Z115" s="61">
        <f>SUM(G115/B115)</f>
        <v>0</v>
      </c>
      <c r="AA115" s="61">
        <f t="shared" si="54"/>
        <v>0</v>
      </c>
      <c r="AB115" s="61">
        <f t="shared" si="54"/>
        <v>0</v>
      </c>
      <c r="AC115" s="61">
        <f>SUM(J115/B115)</f>
        <v>0.25072992700729929</v>
      </c>
    </row>
    <row r="116" spans="1:29">
      <c r="A116" s="56" t="s">
        <v>1626</v>
      </c>
      <c r="B116" s="54">
        <f>SUM(C116:J116)</f>
        <v>2972</v>
      </c>
      <c r="C116" s="55">
        <v>937</v>
      </c>
      <c r="D116" s="55">
        <v>1325</v>
      </c>
      <c r="E116" s="55">
        <v>675</v>
      </c>
      <c r="F116" s="55">
        <v>0</v>
      </c>
      <c r="G116" s="55">
        <v>0</v>
      </c>
      <c r="H116" s="55">
        <v>0</v>
      </c>
      <c r="I116" s="55">
        <v>0</v>
      </c>
      <c r="J116" s="55">
        <v>35</v>
      </c>
      <c r="L116" s="54">
        <f>SUM(M116:T116)</f>
        <v>5</v>
      </c>
      <c r="M116" s="55">
        <v>2</v>
      </c>
      <c r="N116" s="55">
        <v>2</v>
      </c>
      <c r="O116" s="55">
        <v>1</v>
      </c>
      <c r="P116" s="55">
        <v>0</v>
      </c>
      <c r="Q116" s="55">
        <v>0</v>
      </c>
      <c r="R116" s="55">
        <v>0</v>
      </c>
      <c r="S116" s="55">
        <v>0</v>
      </c>
      <c r="T116" s="55">
        <v>0</v>
      </c>
      <c r="V116" s="61">
        <f>SUM(C116/B116)</f>
        <v>0.31527590847913861</v>
      </c>
      <c r="W116" s="61">
        <f>SUM(D116/B116)</f>
        <v>0.44582772543741589</v>
      </c>
      <c r="X116" s="61">
        <f>SUM(E116/B116)</f>
        <v>0.22711978465679677</v>
      </c>
      <c r="Y116" s="61">
        <f>SUM(F116/B116)</f>
        <v>0</v>
      </c>
      <c r="Z116" s="61">
        <f>SUM(G116/B116)</f>
        <v>0</v>
      </c>
      <c r="AA116" s="61">
        <f t="shared" si="54"/>
        <v>0</v>
      </c>
      <c r="AB116" s="61">
        <f t="shared" si="54"/>
        <v>0</v>
      </c>
      <c r="AC116" s="61">
        <f>SUM(J116/B116)</f>
        <v>1.1776581426648721E-2</v>
      </c>
    </row>
    <row r="117" spans="1:29" s="52" customFormat="1">
      <c r="A117" s="53" t="s">
        <v>1627</v>
      </c>
      <c r="B117" s="54">
        <f>SUM(B114:B116)</f>
        <v>9657</v>
      </c>
      <c r="C117" s="54">
        <f t="shared" ref="C117:Q117" si="55">SUM(C114:C116)</f>
        <v>2886</v>
      </c>
      <c r="D117" s="54">
        <f>SUM(D114:D116)</f>
        <v>4044</v>
      </c>
      <c r="E117" s="54">
        <f t="shared" si="55"/>
        <v>1225</v>
      </c>
      <c r="F117" s="54">
        <f t="shared" si="55"/>
        <v>532</v>
      </c>
      <c r="G117" s="54">
        <f t="shared" si="55"/>
        <v>248</v>
      </c>
      <c r="H117" s="54">
        <f>SUM(H114:H116)</f>
        <v>0</v>
      </c>
      <c r="I117" s="54">
        <f>SUM(I114:I116)</f>
        <v>0</v>
      </c>
      <c r="J117" s="54">
        <f>SUM(J114:J116)</f>
        <v>722</v>
      </c>
      <c r="K117" s="54"/>
      <c r="L117" s="54">
        <f t="shared" si="55"/>
        <v>16</v>
      </c>
      <c r="M117" s="54">
        <f t="shared" si="55"/>
        <v>6</v>
      </c>
      <c r="N117" s="54">
        <f t="shared" si="55"/>
        <v>6</v>
      </c>
      <c r="O117" s="54">
        <f t="shared" si="55"/>
        <v>2</v>
      </c>
      <c r="P117" s="54">
        <f t="shared" si="55"/>
        <v>1</v>
      </c>
      <c r="Q117" s="54">
        <f t="shared" si="55"/>
        <v>0</v>
      </c>
      <c r="R117" s="54">
        <f>SUM(R114:R116)</f>
        <v>0</v>
      </c>
      <c r="S117" s="54">
        <f>SUM(S114:S116)</f>
        <v>0</v>
      </c>
      <c r="T117" s="54">
        <f>SUM(T114:T116)</f>
        <v>1</v>
      </c>
      <c r="V117" s="60">
        <f>SUM(C117/B117)</f>
        <v>0.2988505747126437</v>
      </c>
      <c r="W117" s="60">
        <f>SUM(D117/B117)</f>
        <v>0.41876359117738426</v>
      </c>
      <c r="X117" s="60">
        <f>SUM(E117/B117)</f>
        <v>0.12685098891995444</v>
      </c>
      <c r="Y117" s="60">
        <f>SUM(F117/B117)</f>
        <v>5.5089572330951644E-2</v>
      </c>
      <c r="Z117" s="60">
        <f>SUM(G117/B117)</f>
        <v>2.5680853267060162E-2</v>
      </c>
      <c r="AA117" s="60">
        <f t="shared" si="54"/>
        <v>0</v>
      </c>
      <c r="AB117" s="60">
        <f t="shared" si="54"/>
        <v>0</v>
      </c>
      <c r="AC117" s="60">
        <f>SUM(J117/B117)</f>
        <v>7.4764419592005804E-2</v>
      </c>
    </row>
    <row r="118" spans="1:29">
      <c r="A118" s="53"/>
      <c r="B118" s="54"/>
      <c r="C118" s="55"/>
      <c r="D118" s="55"/>
      <c r="E118" s="55"/>
      <c r="F118" s="55"/>
      <c r="G118" s="55"/>
      <c r="H118" s="55"/>
      <c r="I118" s="55"/>
      <c r="J118" s="55"/>
      <c r="L118" s="54"/>
      <c r="M118" s="55"/>
      <c r="N118" s="55"/>
      <c r="O118" s="55"/>
      <c r="P118" s="55"/>
      <c r="Q118" s="55"/>
      <c r="R118" s="55"/>
      <c r="S118" s="55"/>
      <c r="T118" s="55"/>
    </row>
    <row r="119" spans="1:29">
      <c r="A119" s="56" t="s">
        <v>1628</v>
      </c>
      <c r="B119" s="54">
        <f>SUM(C119:J119)</f>
        <v>1997</v>
      </c>
      <c r="C119" s="55">
        <v>255</v>
      </c>
      <c r="D119" s="55">
        <v>524</v>
      </c>
      <c r="E119" s="55">
        <v>570</v>
      </c>
      <c r="F119" s="55">
        <v>276</v>
      </c>
      <c r="G119" s="55">
        <v>0</v>
      </c>
      <c r="H119" s="55">
        <v>0</v>
      </c>
      <c r="I119" s="55">
        <v>0</v>
      </c>
      <c r="J119" s="55">
        <v>372</v>
      </c>
      <c r="K119" s="55"/>
      <c r="L119" s="54">
        <f>SUM(M119:T119)</f>
        <v>5</v>
      </c>
      <c r="M119" s="55">
        <v>1</v>
      </c>
      <c r="N119" s="55">
        <v>1</v>
      </c>
      <c r="O119" s="55">
        <v>1</v>
      </c>
      <c r="P119" s="55">
        <v>1</v>
      </c>
      <c r="Q119" s="55">
        <v>0</v>
      </c>
      <c r="R119" s="55">
        <v>0</v>
      </c>
      <c r="S119" s="55">
        <v>0</v>
      </c>
      <c r="T119" s="55">
        <v>1</v>
      </c>
      <c r="V119" s="61">
        <f>SUM(C119/B119)</f>
        <v>0.12769153730595895</v>
      </c>
      <c r="W119" s="61">
        <f>SUM(D119/B119)</f>
        <v>0.26239359038557836</v>
      </c>
      <c r="X119" s="61">
        <f>SUM(E119/B119)</f>
        <v>0.28542814221331997</v>
      </c>
      <c r="Y119" s="61">
        <f>SUM(F119/B119)</f>
        <v>0.13820731096644967</v>
      </c>
      <c r="Z119" s="61">
        <f>SUM(G119/B119)</f>
        <v>0</v>
      </c>
      <c r="AA119" s="61">
        <f t="shared" ref="AA119:AB122" si="56">SUM(H119/B119)</f>
        <v>0</v>
      </c>
      <c r="AB119" s="61">
        <f t="shared" si="56"/>
        <v>0</v>
      </c>
      <c r="AC119" s="61">
        <f>SUM(J119/B119)</f>
        <v>0.18627941912869303</v>
      </c>
    </row>
    <row r="120" spans="1:29">
      <c r="A120" s="56" t="s">
        <v>1629</v>
      </c>
      <c r="B120" s="54">
        <f>SUM(C120:J120)</f>
        <v>1948</v>
      </c>
      <c r="C120" s="55">
        <v>567</v>
      </c>
      <c r="D120" s="55">
        <v>813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568</v>
      </c>
      <c r="L120" s="54">
        <f>SUM(M120:T120)</f>
        <v>5</v>
      </c>
      <c r="M120" s="55">
        <v>1</v>
      </c>
      <c r="N120" s="55">
        <v>2</v>
      </c>
      <c r="O120" s="55">
        <v>0</v>
      </c>
      <c r="P120" s="55">
        <v>0</v>
      </c>
      <c r="Q120" s="55">
        <v>0</v>
      </c>
      <c r="R120" s="55">
        <v>0</v>
      </c>
      <c r="S120" s="55">
        <v>0</v>
      </c>
      <c r="T120" s="55">
        <v>2</v>
      </c>
      <c r="V120" s="61">
        <f>SUM(C120/B120)</f>
        <v>0.29106776180698152</v>
      </c>
      <c r="W120" s="61">
        <f>SUM(D120/B120)</f>
        <v>0.4173511293634497</v>
      </c>
      <c r="X120" s="61">
        <f>SUM(E120/B120)</f>
        <v>0</v>
      </c>
      <c r="Y120" s="61">
        <f>SUM(F120/B120)</f>
        <v>0</v>
      </c>
      <c r="Z120" s="61">
        <f>SUM(G120/B120)</f>
        <v>0</v>
      </c>
      <c r="AA120" s="61">
        <f t="shared" si="56"/>
        <v>0</v>
      </c>
      <c r="AB120" s="61">
        <f t="shared" si="56"/>
        <v>0</v>
      </c>
      <c r="AC120" s="61">
        <f>SUM(J120/B120)</f>
        <v>0.29158110882956878</v>
      </c>
    </row>
    <row r="121" spans="1:29">
      <c r="A121" s="56" t="s">
        <v>1630</v>
      </c>
      <c r="B121" s="54">
        <f>SUM(C121:J121)</f>
        <v>2425</v>
      </c>
      <c r="C121" s="55">
        <v>213</v>
      </c>
      <c r="D121" s="55">
        <v>0</v>
      </c>
      <c r="E121" s="55">
        <v>1369</v>
      </c>
      <c r="F121" s="55">
        <v>501</v>
      </c>
      <c r="G121" s="55">
        <v>0</v>
      </c>
      <c r="H121" s="55">
        <v>0</v>
      </c>
      <c r="I121" s="55">
        <v>71</v>
      </c>
      <c r="J121" s="55">
        <v>271</v>
      </c>
      <c r="L121" s="54">
        <f>SUM(M121:T121)</f>
        <v>5</v>
      </c>
      <c r="M121" s="55">
        <v>0</v>
      </c>
      <c r="N121" s="55">
        <v>0</v>
      </c>
      <c r="O121" s="55">
        <v>3</v>
      </c>
      <c r="P121" s="55">
        <v>1</v>
      </c>
      <c r="Q121" s="55">
        <v>0</v>
      </c>
      <c r="R121" s="55">
        <v>0</v>
      </c>
      <c r="S121" s="55">
        <v>0</v>
      </c>
      <c r="T121" s="55">
        <v>1</v>
      </c>
      <c r="V121" s="61">
        <f>SUM(C121/B121)</f>
        <v>8.7835051546391749E-2</v>
      </c>
      <c r="W121" s="61">
        <f>SUM(D121/B121)</f>
        <v>0</v>
      </c>
      <c r="X121" s="61">
        <f>SUM(E121/B121)</f>
        <v>0.56453608247422682</v>
      </c>
      <c r="Y121" s="61">
        <f>SUM(F121/B121)</f>
        <v>0.20659793814432989</v>
      </c>
      <c r="Z121" s="61">
        <f>SUM(G121/B121)</f>
        <v>0</v>
      </c>
      <c r="AA121" s="61">
        <f t="shared" si="56"/>
        <v>0</v>
      </c>
      <c r="AB121" s="61">
        <f t="shared" si="56"/>
        <v>0.33333333333333331</v>
      </c>
      <c r="AC121" s="61">
        <f>SUM(J121/B121)</f>
        <v>0.11175257731958763</v>
      </c>
    </row>
    <row r="122" spans="1:29" s="52" customFormat="1">
      <c r="A122" s="53" t="s">
        <v>1631</v>
      </c>
      <c r="B122" s="54">
        <f>SUM(B119:B121)</f>
        <v>6370</v>
      </c>
      <c r="C122" s="54">
        <f t="shared" ref="C122:Q122" si="57">SUM(C119:C121)</f>
        <v>1035</v>
      </c>
      <c r="D122" s="54">
        <f>SUM(D119:D121)</f>
        <v>1337</v>
      </c>
      <c r="E122" s="54">
        <f t="shared" si="57"/>
        <v>1939</v>
      </c>
      <c r="F122" s="54">
        <f t="shared" si="57"/>
        <v>777</v>
      </c>
      <c r="G122" s="54">
        <f t="shared" si="57"/>
        <v>0</v>
      </c>
      <c r="H122" s="54">
        <f>SUM(H119:H121)</f>
        <v>0</v>
      </c>
      <c r="I122" s="54">
        <f>SUM(I119:I121)</f>
        <v>71</v>
      </c>
      <c r="J122" s="54">
        <f>SUM(J119:J121)</f>
        <v>1211</v>
      </c>
      <c r="K122" s="54"/>
      <c r="L122" s="54">
        <f t="shared" si="57"/>
        <v>15</v>
      </c>
      <c r="M122" s="54">
        <f t="shared" si="57"/>
        <v>2</v>
      </c>
      <c r="N122" s="54">
        <f t="shared" si="57"/>
        <v>3</v>
      </c>
      <c r="O122" s="54">
        <f t="shared" si="57"/>
        <v>4</v>
      </c>
      <c r="P122" s="54">
        <f t="shared" si="57"/>
        <v>2</v>
      </c>
      <c r="Q122" s="54">
        <f t="shared" si="57"/>
        <v>0</v>
      </c>
      <c r="R122" s="54">
        <f>SUM(R119:R121)</f>
        <v>0</v>
      </c>
      <c r="S122" s="54">
        <f>SUM(S119:S121)</f>
        <v>0</v>
      </c>
      <c r="T122" s="54">
        <f>SUM(T119:T121)</f>
        <v>4</v>
      </c>
      <c r="V122" s="60">
        <f>SUM(C122/B122)</f>
        <v>0.16248037676609106</v>
      </c>
      <c r="W122" s="60">
        <f>SUM(D122/B122)</f>
        <v>0.20989010989010989</v>
      </c>
      <c r="X122" s="60">
        <f>SUM(E122/B122)</f>
        <v>0.30439560439560437</v>
      </c>
      <c r="Y122" s="60">
        <f>SUM(F122/B122)</f>
        <v>0.12197802197802197</v>
      </c>
      <c r="Z122" s="60">
        <f>SUM(G122/B122)</f>
        <v>0</v>
      </c>
      <c r="AA122" s="60">
        <f t="shared" si="56"/>
        <v>0</v>
      </c>
      <c r="AB122" s="60">
        <f t="shared" si="56"/>
        <v>6.8599033816425126E-2</v>
      </c>
      <c r="AC122" s="60">
        <f>SUM(J122/B122)</f>
        <v>0.1901098901098901</v>
      </c>
    </row>
    <row r="123" spans="1:29">
      <c r="A123" s="53"/>
      <c r="B123" s="54"/>
      <c r="C123" s="55"/>
      <c r="D123" s="55"/>
      <c r="E123" s="55"/>
      <c r="F123" s="55"/>
      <c r="G123" s="55"/>
      <c r="H123" s="55"/>
      <c r="I123" s="55"/>
      <c r="J123" s="55"/>
      <c r="L123" s="54"/>
      <c r="M123" s="55"/>
      <c r="N123" s="55"/>
      <c r="O123" s="55"/>
      <c r="P123" s="55"/>
      <c r="Q123" s="55"/>
      <c r="R123" s="55"/>
      <c r="S123" s="55"/>
      <c r="T123" s="55"/>
    </row>
    <row r="124" spans="1:29">
      <c r="A124" s="56" t="s">
        <v>1632</v>
      </c>
      <c r="B124" s="54">
        <f>SUM(C124:J124)</f>
        <v>3515</v>
      </c>
      <c r="C124" s="55">
        <v>1016</v>
      </c>
      <c r="D124" s="55">
        <v>1289</v>
      </c>
      <c r="E124" s="55">
        <v>0</v>
      </c>
      <c r="F124" s="55">
        <v>0</v>
      </c>
      <c r="G124" s="55">
        <v>455</v>
      </c>
      <c r="H124" s="55">
        <v>0</v>
      </c>
      <c r="I124" s="55">
        <v>0</v>
      </c>
      <c r="J124" s="55">
        <v>755</v>
      </c>
      <c r="L124" s="54">
        <f>SUM(M124:T124)</f>
        <v>5</v>
      </c>
      <c r="M124" s="55">
        <v>1</v>
      </c>
      <c r="N124" s="55">
        <v>2</v>
      </c>
      <c r="O124" s="55">
        <v>0</v>
      </c>
      <c r="P124" s="55">
        <v>0</v>
      </c>
      <c r="Q124" s="55">
        <v>1</v>
      </c>
      <c r="R124" s="55">
        <v>0</v>
      </c>
      <c r="S124" s="55">
        <v>0</v>
      </c>
      <c r="T124" s="55">
        <v>1</v>
      </c>
      <c r="V124" s="61">
        <f>SUM(C124/B124)</f>
        <v>0.28904694167852063</v>
      </c>
      <c r="W124" s="61">
        <f>SUM(D124/B124)</f>
        <v>0.36671408250355619</v>
      </c>
      <c r="X124" s="61">
        <f>SUM(E124/B124)</f>
        <v>0</v>
      </c>
      <c r="Y124" s="61">
        <f>SUM(F124/B124)</f>
        <v>0</v>
      </c>
      <c r="Z124" s="61">
        <f>SUM(G124/B124)</f>
        <v>0.12944523470839261</v>
      </c>
      <c r="AA124" s="61">
        <f t="shared" ref="AA124:AB127" si="58">SUM(H124/B124)</f>
        <v>0</v>
      </c>
      <c r="AB124" s="61">
        <f t="shared" si="58"/>
        <v>0</v>
      </c>
      <c r="AC124" s="61">
        <f>SUM(J124/B124)</f>
        <v>0.21479374110953059</v>
      </c>
    </row>
    <row r="125" spans="1:29">
      <c r="A125" s="56" t="s">
        <v>1633</v>
      </c>
      <c r="B125" s="54">
        <f>SUM(C125:J125)</f>
        <v>3683</v>
      </c>
      <c r="C125" s="55">
        <v>1843</v>
      </c>
      <c r="D125" s="55">
        <v>1489</v>
      </c>
      <c r="E125" s="55">
        <v>0</v>
      </c>
      <c r="F125" s="55">
        <v>0</v>
      </c>
      <c r="G125" s="55">
        <v>351</v>
      </c>
      <c r="H125" s="55">
        <v>0</v>
      </c>
      <c r="I125" s="55">
        <v>0</v>
      </c>
      <c r="J125" s="55">
        <v>0</v>
      </c>
      <c r="L125" s="54">
        <f>SUM(M125:T125)</f>
        <v>5</v>
      </c>
      <c r="M125" s="55">
        <v>3</v>
      </c>
      <c r="N125" s="55">
        <v>2</v>
      </c>
      <c r="O125" s="55">
        <v>0</v>
      </c>
      <c r="P125" s="55">
        <v>0</v>
      </c>
      <c r="Q125" s="55">
        <v>0</v>
      </c>
      <c r="R125" s="55">
        <v>0</v>
      </c>
      <c r="S125" s="55">
        <v>0</v>
      </c>
      <c r="T125" s="55">
        <v>0</v>
      </c>
      <c r="V125" s="61">
        <f>SUM(C125/B125)</f>
        <v>0.50040727667662233</v>
      </c>
      <c r="W125" s="61">
        <f>SUM(D125/B125)</f>
        <v>0.40428998099375507</v>
      </c>
      <c r="X125" s="61">
        <f>SUM(E125/B125)</f>
        <v>0</v>
      </c>
      <c r="Y125" s="61">
        <f>SUM(F125/B125)</f>
        <v>0</v>
      </c>
      <c r="Z125" s="61">
        <f>SUM(G125/B125)</f>
        <v>9.5302742329622589E-2</v>
      </c>
      <c r="AA125" s="61">
        <f t="shared" si="58"/>
        <v>0</v>
      </c>
      <c r="AB125" s="61">
        <f t="shared" si="58"/>
        <v>0</v>
      </c>
      <c r="AC125" s="61">
        <f>SUM(J125/B125)</f>
        <v>0</v>
      </c>
    </row>
    <row r="126" spans="1:29">
      <c r="A126" s="56" t="s">
        <v>1634</v>
      </c>
      <c r="B126" s="54">
        <f>SUM(C126:J126)</f>
        <v>3676</v>
      </c>
      <c r="C126" s="55">
        <v>1198</v>
      </c>
      <c r="D126" s="55">
        <v>1511</v>
      </c>
      <c r="E126" s="55">
        <v>0</v>
      </c>
      <c r="F126" s="55">
        <v>0</v>
      </c>
      <c r="G126" s="55">
        <v>967</v>
      </c>
      <c r="H126" s="55">
        <v>0</v>
      </c>
      <c r="I126" s="55">
        <v>0</v>
      </c>
      <c r="J126" s="55">
        <v>0</v>
      </c>
      <c r="L126" s="54">
        <f>SUM(M126:T126)</f>
        <v>5</v>
      </c>
      <c r="M126" s="55">
        <v>2</v>
      </c>
      <c r="N126" s="55">
        <v>2</v>
      </c>
      <c r="O126" s="55">
        <v>0</v>
      </c>
      <c r="P126" s="55">
        <v>0</v>
      </c>
      <c r="Q126" s="55">
        <v>1</v>
      </c>
      <c r="R126" s="55">
        <v>0</v>
      </c>
      <c r="S126" s="55">
        <v>0</v>
      </c>
      <c r="T126" s="55">
        <v>0</v>
      </c>
      <c r="V126" s="61">
        <f>SUM(C126/B126)</f>
        <v>0.32589771490750818</v>
      </c>
      <c r="W126" s="61">
        <f>SUM(D126/B126)</f>
        <v>0.41104461371055495</v>
      </c>
      <c r="X126" s="61">
        <f>SUM(E126/B126)</f>
        <v>0</v>
      </c>
      <c r="Y126" s="61">
        <f>SUM(F126/B126)</f>
        <v>0</v>
      </c>
      <c r="Z126" s="61">
        <f>SUM(G126/B126)</f>
        <v>0.26305767138193686</v>
      </c>
      <c r="AA126" s="61">
        <f t="shared" si="58"/>
        <v>0</v>
      </c>
      <c r="AB126" s="61">
        <f t="shared" si="58"/>
        <v>0</v>
      </c>
      <c r="AC126" s="61">
        <f>SUM(J126/B126)</f>
        <v>0</v>
      </c>
    </row>
    <row r="127" spans="1:29" s="52" customFormat="1">
      <c r="A127" s="53" t="s">
        <v>1635</v>
      </c>
      <c r="B127" s="54">
        <f>SUM(B124:B126)</f>
        <v>10874</v>
      </c>
      <c r="C127" s="54">
        <f t="shared" ref="C127:Q127" si="59">SUM(C124:C126)</f>
        <v>4057</v>
      </c>
      <c r="D127" s="54">
        <f>SUM(D124:D126)</f>
        <v>4289</v>
      </c>
      <c r="E127" s="54">
        <f t="shared" si="59"/>
        <v>0</v>
      </c>
      <c r="F127" s="54">
        <f t="shared" si="59"/>
        <v>0</v>
      </c>
      <c r="G127" s="54">
        <f t="shared" si="59"/>
        <v>1773</v>
      </c>
      <c r="H127" s="54">
        <f>SUM(H124:H126)</f>
        <v>0</v>
      </c>
      <c r="I127" s="54">
        <f>SUM(I124:I126)</f>
        <v>0</v>
      </c>
      <c r="J127" s="54">
        <f>SUM(J124:J126)</f>
        <v>755</v>
      </c>
      <c r="K127" s="54"/>
      <c r="L127" s="54">
        <f t="shared" si="59"/>
        <v>15</v>
      </c>
      <c r="M127" s="54">
        <f t="shared" si="59"/>
        <v>6</v>
      </c>
      <c r="N127" s="54">
        <f t="shared" si="59"/>
        <v>6</v>
      </c>
      <c r="O127" s="54">
        <f t="shared" si="59"/>
        <v>0</v>
      </c>
      <c r="P127" s="54">
        <f t="shared" si="59"/>
        <v>0</v>
      </c>
      <c r="Q127" s="54">
        <f t="shared" si="59"/>
        <v>2</v>
      </c>
      <c r="R127" s="54">
        <f>SUM(R124:R126)</f>
        <v>0</v>
      </c>
      <c r="S127" s="54">
        <f>SUM(S124:S126)</f>
        <v>0</v>
      </c>
      <c r="T127" s="54">
        <f>SUM(T124:T126)</f>
        <v>1</v>
      </c>
      <c r="V127" s="60">
        <f>SUM(C127/B127)</f>
        <v>0.37309177855434983</v>
      </c>
      <c r="W127" s="60">
        <f>SUM(D127/B127)</f>
        <v>0.3944270737539084</v>
      </c>
      <c r="X127" s="60">
        <f>SUM(E127/B127)</f>
        <v>0</v>
      </c>
      <c r="Y127" s="60">
        <f>SUM(F127/B127)</f>
        <v>0</v>
      </c>
      <c r="Z127" s="60">
        <f>SUM(G127/B127)</f>
        <v>0.16304947581386794</v>
      </c>
      <c r="AA127" s="60">
        <f t="shared" si="58"/>
        <v>0</v>
      </c>
      <c r="AB127" s="60">
        <f t="shared" si="58"/>
        <v>0</v>
      </c>
      <c r="AC127" s="60">
        <f>SUM(J127/B127)</f>
        <v>6.943167187787383E-2</v>
      </c>
    </row>
    <row r="128" spans="1:29">
      <c r="A128" s="53"/>
      <c r="B128" s="54"/>
      <c r="C128" s="55"/>
      <c r="D128" s="55"/>
      <c r="E128" s="55"/>
      <c r="F128" s="55"/>
      <c r="G128" s="55"/>
      <c r="H128" s="55"/>
      <c r="I128" s="55"/>
      <c r="J128" s="55"/>
      <c r="L128" s="54"/>
      <c r="M128" s="55"/>
      <c r="N128" s="55"/>
      <c r="O128" s="55"/>
      <c r="P128" s="55"/>
      <c r="Q128" s="55"/>
      <c r="R128" s="55"/>
      <c r="S128" s="55"/>
      <c r="T128" s="55"/>
    </row>
    <row r="129" spans="1:29">
      <c r="A129" s="56" t="s">
        <v>1636</v>
      </c>
      <c r="B129" s="54">
        <f>SUM(C129:J129)</f>
        <v>3579</v>
      </c>
      <c r="C129" s="55">
        <v>986</v>
      </c>
      <c r="D129" s="55">
        <v>922</v>
      </c>
      <c r="E129" s="55">
        <v>0</v>
      </c>
      <c r="F129" s="55">
        <v>0</v>
      </c>
      <c r="G129" s="55">
        <v>765</v>
      </c>
      <c r="H129" s="55">
        <v>0</v>
      </c>
      <c r="I129" s="55">
        <v>0</v>
      </c>
      <c r="J129" s="55">
        <v>906</v>
      </c>
      <c r="L129" s="54">
        <f>SUM(M129:T129)</f>
        <v>5</v>
      </c>
      <c r="M129" s="55">
        <v>2</v>
      </c>
      <c r="N129" s="55">
        <v>1</v>
      </c>
      <c r="O129" s="55">
        <v>0</v>
      </c>
      <c r="P129" s="55">
        <v>0</v>
      </c>
      <c r="Q129" s="55">
        <v>1</v>
      </c>
      <c r="R129" s="55">
        <v>0</v>
      </c>
      <c r="S129" s="55">
        <v>0</v>
      </c>
      <c r="T129" s="55">
        <v>1</v>
      </c>
      <c r="V129" s="61">
        <f>SUM(C129/B129)</f>
        <v>0.27549594858899135</v>
      </c>
      <c r="W129" s="61">
        <f>SUM(D129/B129)</f>
        <v>0.25761385861972619</v>
      </c>
      <c r="X129" s="61">
        <f>SUM(E129/B129)</f>
        <v>0</v>
      </c>
      <c r="Y129" s="61">
        <f>SUM(F129/B129)</f>
        <v>0</v>
      </c>
      <c r="Z129" s="61">
        <f>SUM(G129/B129)</f>
        <v>0.21374685666387258</v>
      </c>
      <c r="AA129" s="61">
        <f t="shared" ref="AA129:AB132" si="60">SUM(H129/B129)</f>
        <v>0</v>
      </c>
      <c r="AB129" s="61">
        <f t="shared" si="60"/>
        <v>0</v>
      </c>
      <c r="AC129" s="61">
        <f>SUM(J129/B129)</f>
        <v>0.25314333612740991</v>
      </c>
    </row>
    <row r="130" spans="1:29">
      <c r="A130" s="56" t="s">
        <v>1637</v>
      </c>
      <c r="B130" s="54">
        <f>SUM(C130:J130)</f>
        <v>3359</v>
      </c>
      <c r="C130" s="55">
        <v>986</v>
      </c>
      <c r="D130" s="55">
        <v>993</v>
      </c>
      <c r="E130" s="55">
        <v>0</v>
      </c>
      <c r="F130" s="55">
        <v>0</v>
      </c>
      <c r="G130" s="55">
        <v>1066</v>
      </c>
      <c r="H130" s="55">
        <v>0</v>
      </c>
      <c r="I130" s="55">
        <v>0</v>
      </c>
      <c r="J130" s="55">
        <v>314</v>
      </c>
      <c r="L130" s="54">
        <f>SUM(M130:T130)</f>
        <v>5</v>
      </c>
      <c r="M130" s="55">
        <v>2</v>
      </c>
      <c r="N130" s="55">
        <v>1</v>
      </c>
      <c r="O130" s="55">
        <v>0</v>
      </c>
      <c r="P130" s="55">
        <v>0</v>
      </c>
      <c r="Q130" s="55">
        <v>1</v>
      </c>
      <c r="R130" s="55">
        <v>0</v>
      </c>
      <c r="S130" s="55">
        <v>0</v>
      </c>
      <c r="T130" s="55">
        <v>1</v>
      </c>
      <c r="V130" s="61">
        <f>SUM(C130/B130)</f>
        <v>0.29353974397142008</v>
      </c>
      <c r="W130" s="61">
        <f>SUM(D130/B130)</f>
        <v>0.29562369752902651</v>
      </c>
      <c r="X130" s="61">
        <f>SUM(E130/B130)</f>
        <v>0</v>
      </c>
      <c r="Y130" s="61">
        <f>SUM(F130/B130)</f>
        <v>0</v>
      </c>
      <c r="Z130" s="61">
        <f>SUM(G130/B130)</f>
        <v>0.31735635605835072</v>
      </c>
      <c r="AA130" s="61">
        <f t="shared" si="60"/>
        <v>0</v>
      </c>
      <c r="AB130" s="61">
        <f t="shared" si="60"/>
        <v>0</v>
      </c>
      <c r="AC130" s="61">
        <f>SUM(J130/B130)</f>
        <v>9.3480202441202739E-2</v>
      </c>
    </row>
    <row r="131" spans="1:29">
      <c r="A131" s="56" t="s">
        <v>1638</v>
      </c>
      <c r="B131" s="54">
        <f>SUM(C131:J131)</f>
        <v>3653</v>
      </c>
      <c r="C131" s="55">
        <v>1593</v>
      </c>
      <c r="D131" s="55">
        <v>947</v>
      </c>
      <c r="E131" s="55">
        <v>0</v>
      </c>
      <c r="F131" s="55">
        <v>0</v>
      </c>
      <c r="G131" s="55">
        <v>803</v>
      </c>
      <c r="H131" s="55">
        <v>0</v>
      </c>
      <c r="I131" s="55">
        <v>0</v>
      </c>
      <c r="J131" s="55">
        <v>310</v>
      </c>
      <c r="L131" s="54">
        <f>SUM(M131:T131)</f>
        <v>5</v>
      </c>
      <c r="M131" s="55">
        <v>3</v>
      </c>
      <c r="N131" s="55">
        <v>1</v>
      </c>
      <c r="O131" s="55">
        <v>0</v>
      </c>
      <c r="P131" s="55">
        <v>0</v>
      </c>
      <c r="Q131" s="55">
        <v>1</v>
      </c>
      <c r="R131" s="55">
        <v>0</v>
      </c>
      <c r="S131" s="55">
        <v>0</v>
      </c>
      <c r="T131" s="55">
        <v>0</v>
      </c>
      <c r="V131" s="61">
        <f>SUM(C131/B131)</f>
        <v>0.43607993430057485</v>
      </c>
      <c r="W131" s="61">
        <f>SUM(D131/B131)</f>
        <v>0.25923898165891046</v>
      </c>
      <c r="X131" s="61">
        <f>SUM(E131/B131)</f>
        <v>0</v>
      </c>
      <c r="Y131" s="61">
        <f>SUM(F131/B131)</f>
        <v>0</v>
      </c>
      <c r="Z131" s="61">
        <f>SUM(G131/B131)</f>
        <v>0.21981932658089243</v>
      </c>
      <c r="AA131" s="61">
        <f t="shared" si="60"/>
        <v>0</v>
      </c>
      <c r="AB131" s="61">
        <f t="shared" si="60"/>
        <v>0</v>
      </c>
      <c r="AC131" s="61">
        <f>SUM(J131/B131)</f>
        <v>8.4861757459622225E-2</v>
      </c>
    </row>
    <row r="132" spans="1:29" s="52" customFormat="1">
      <c r="A132" s="53" t="s">
        <v>1639</v>
      </c>
      <c r="B132" s="54">
        <f>SUM(B129:B131)</f>
        <v>10591</v>
      </c>
      <c r="C132" s="54">
        <f t="shared" ref="C132:Q132" si="61">SUM(C129:C131)</f>
        <v>3565</v>
      </c>
      <c r="D132" s="54">
        <f>SUM(D129:D131)</f>
        <v>2862</v>
      </c>
      <c r="E132" s="54">
        <f t="shared" si="61"/>
        <v>0</v>
      </c>
      <c r="F132" s="54">
        <f t="shared" si="61"/>
        <v>0</v>
      </c>
      <c r="G132" s="54">
        <f t="shared" si="61"/>
        <v>2634</v>
      </c>
      <c r="H132" s="54">
        <f>SUM(H129:H131)</f>
        <v>0</v>
      </c>
      <c r="I132" s="54">
        <f>SUM(I129:I131)</f>
        <v>0</v>
      </c>
      <c r="J132" s="54">
        <f>SUM(J129:J131)</f>
        <v>1530</v>
      </c>
      <c r="K132" s="54"/>
      <c r="L132" s="54">
        <f t="shared" si="61"/>
        <v>15</v>
      </c>
      <c r="M132" s="54">
        <f t="shared" si="61"/>
        <v>7</v>
      </c>
      <c r="N132" s="54">
        <f t="shared" si="61"/>
        <v>3</v>
      </c>
      <c r="O132" s="54">
        <f t="shared" si="61"/>
        <v>0</v>
      </c>
      <c r="P132" s="54">
        <f t="shared" si="61"/>
        <v>0</v>
      </c>
      <c r="Q132" s="54">
        <f t="shared" si="61"/>
        <v>3</v>
      </c>
      <c r="R132" s="54">
        <f>SUM(R129:R131)</f>
        <v>0</v>
      </c>
      <c r="S132" s="54">
        <f>SUM(S129:S131)</f>
        <v>0</v>
      </c>
      <c r="T132" s="54">
        <f>SUM(T129:T131)</f>
        <v>2</v>
      </c>
      <c r="V132" s="60">
        <f>SUM(C132/B132)</f>
        <v>0.33660655273345291</v>
      </c>
      <c r="W132" s="60">
        <f>SUM(D132/B132)</f>
        <v>0.27022944009064298</v>
      </c>
      <c r="X132" s="60">
        <f>SUM(E132/B132)</f>
        <v>0</v>
      </c>
      <c r="Y132" s="60">
        <f>SUM(F132/B132)</f>
        <v>0</v>
      </c>
      <c r="Z132" s="60">
        <f>SUM(G132/B132)</f>
        <v>0.2487017278821641</v>
      </c>
      <c r="AA132" s="60">
        <f t="shared" si="60"/>
        <v>0</v>
      </c>
      <c r="AB132" s="60">
        <f t="shared" si="60"/>
        <v>0</v>
      </c>
      <c r="AC132" s="60">
        <f>SUM(J132/B132)</f>
        <v>0.14446227929373998</v>
      </c>
    </row>
    <row r="133" spans="1:29">
      <c r="A133" s="53"/>
      <c r="B133" s="54"/>
      <c r="C133" s="55"/>
      <c r="D133" s="55"/>
      <c r="E133" s="55"/>
      <c r="F133" s="55"/>
      <c r="G133" s="55"/>
      <c r="H133" s="55"/>
      <c r="I133" s="55"/>
      <c r="J133" s="55"/>
      <c r="L133" s="54"/>
      <c r="M133" s="55"/>
      <c r="N133" s="55"/>
      <c r="O133" s="55"/>
      <c r="P133" s="55"/>
      <c r="Q133" s="55"/>
      <c r="R133" s="55"/>
      <c r="S133" s="55"/>
      <c r="T133" s="55"/>
    </row>
    <row r="134" spans="1:29">
      <c r="A134" s="56" t="s">
        <v>1640</v>
      </c>
      <c r="B134" s="54">
        <f>SUM(C134:J134)</f>
        <v>5100</v>
      </c>
      <c r="C134" s="55">
        <v>2063</v>
      </c>
      <c r="D134" s="55">
        <v>1363</v>
      </c>
      <c r="E134" s="55">
        <v>765</v>
      </c>
      <c r="F134" s="55">
        <v>0</v>
      </c>
      <c r="G134" s="55">
        <v>791</v>
      </c>
      <c r="H134" s="55">
        <v>0</v>
      </c>
      <c r="I134" s="55">
        <v>0</v>
      </c>
      <c r="J134" s="55">
        <v>118</v>
      </c>
      <c r="K134" s="55"/>
      <c r="L134" s="54">
        <f>SUM(M134:T134)</f>
        <v>5</v>
      </c>
      <c r="M134" s="55">
        <v>2</v>
      </c>
      <c r="N134" s="55">
        <v>2</v>
      </c>
      <c r="O134" s="55">
        <v>0</v>
      </c>
      <c r="P134" s="55">
        <v>0</v>
      </c>
      <c r="Q134" s="55">
        <v>1</v>
      </c>
      <c r="R134" s="55">
        <v>0</v>
      </c>
      <c r="S134" s="55">
        <v>0</v>
      </c>
      <c r="T134" s="55">
        <v>0</v>
      </c>
      <c r="V134" s="61">
        <f t="shared" ref="V134:V139" si="62">SUM(C134/B134)</f>
        <v>0.4045098039215686</v>
      </c>
      <c r="W134" s="61">
        <f t="shared" ref="W134:W139" si="63">SUM(D134/B134)</f>
        <v>0.26725490196078433</v>
      </c>
      <c r="X134" s="61">
        <f t="shared" ref="X134:X139" si="64">SUM(E134/B134)</f>
        <v>0.15</v>
      </c>
      <c r="Y134" s="61">
        <f t="shared" ref="Y134:Y139" si="65">SUM(F134/B134)</f>
        <v>0</v>
      </c>
      <c r="Z134" s="61">
        <f t="shared" ref="Z134:Z139" si="66">SUM(G134/B134)</f>
        <v>0.15509803921568627</v>
      </c>
      <c r="AA134" s="61">
        <f t="shared" ref="AA134:AB139" si="67">SUM(H134/B134)</f>
        <v>0</v>
      </c>
      <c r="AB134" s="61">
        <f t="shared" si="67"/>
        <v>0</v>
      </c>
      <c r="AC134" s="61">
        <f t="shared" ref="AC134:AC139" si="68">SUM(J134/B134)</f>
        <v>2.3137254901960783E-2</v>
      </c>
    </row>
    <row r="135" spans="1:29">
      <c r="A135" s="56" t="s">
        <v>1641</v>
      </c>
      <c r="B135" s="54">
        <f>SUM(C135:J135)</f>
        <v>5221</v>
      </c>
      <c r="C135" s="55">
        <v>1150</v>
      </c>
      <c r="D135" s="55">
        <v>1332</v>
      </c>
      <c r="E135" s="55">
        <v>0</v>
      </c>
      <c r="F135" s="55">
        <v>0</v>
      </c>
      <c r="G135" s="55">
        <v>290</v>
      </c>
      <c r="H135" s="55">
        <v>0</v>
      </c>
      <c r="I135" s="55">
        <v>0</v>
      </c>
      <c r="J135" s="55">
        <v>2449</v>
      </c>
      <c r="L135" s="54">
        <f>SUM(M135:T135)</f>
        <v>5</v>
      </c>
      <c r="M135" s="55">
        <v>1</v>
      </c>
      <c r="N135" s="55">
        <v>1</v>
      </c>
      <c r="O135" s="55">
        <v>0</v>
      </c>
      <c r="P135" s="55">
        <v>0</v>
      </c>
      <c r="Q135" s="55">
        <v>0</v>
      </c>
      <c r="R135" s="55">
        <v>0</v>
      </c>
      <c r="S135" s="55">
        <v>0</v>
      </c>
      <c r="T135" s="55">
        <v>3</v>
      </c>
      <c r="V135" s="61">
        <f t="shared" si="62"/>
        <v>0.22026431718061673</v>
      </c>
      <c r="W135" s="61">
        <f t="shared" si="63"/>
        <v>0.25512353955181</v>
      </c>
      <c r="X135" s="61">
        <f t="shared" si="64"/>
        <v>0</v>
      </c>
      <c r="Y135" s="61">
        <f t="shared" si="65"/>
        <v>0</v>
      </c>
      <c r="Z135" s="61">
        <f t="shared" si="66"/>
        <v>5.5544914767285958E-2</v>
      </c>
      <c r="AA135" s="61">
        <f t="shared" si="67"/>
        <v>0</v>
      </c>
      <c r="AB135" s="61">
        <f t="shared" si="67"/>
        <v>0</v>
      </c>
      <c r="AC135" s="61">
        <f t="shared" si="68"/>
        <v>0.46906722850028731</v>
      </c>
    </row>
    <row r="136" spans="1:29">
      <c r="A136" s="56" t="s">
        <v>2454</v>
      </c>
      <c r="B136" s="54">
        <f>SUM(C136:J136)</f>
        <v>4602</v>
      </c>
      <c r="C136" s="55">
        <v>1578</v>
      </c>
      <c r="D136" s="55">
        <v>1739</v>
      </c>
      <c r="E136" s="55">
        <v>0</v>
      </c>
      <c r="F136" s="55">
        <v>0</v>
      </c>
      <c r="G136" s="55">
        <v>293</v>
      </c>
      <c r="H136" s="55">
        <v>193</v>
      </c>
      <c r="I136" s="55">
        <v>0</v>
      </c>
      <c r="J136" s="55">
        <v>799</v>
      </c>
      <c r="L136" s="54">
        <f>SUM(M136:T136)</f>
        <v>5</v>
      </c>
      <c r="M136" s="55">
        <v>2</v>
      </c>
      <c r="N136" s="55">
        <v>2</v>
      </c>
      <c r="O136" s="55">
        <v>0</v>
      </c>
      <c r="P136" s="55">
        <v>0</v>
      </c>
      <c r="Q136" s="55">
        <v>0</v>
      </c>
      <c r="R136" s="55">
        <v>0</v>
      </c>
      <c r="S136" s="55">
        <v>0</v>
      </c>
      <c r="T136" s="55">
        <v>1</v>
      </c>
      <c r="V136" s="61">
        <f t="shared" si="62"/>
        <v>0.34289439374185138</v>
      </c>
      <c r="W136" s="61">
        <f t="shared" si="63"/>
        <v>0.37787918296392875</v>
      </c>
      <c r="X136" s="61">
        <f t="shared" si="64"/>
        <v>0</v>
      </c>
      <c r="Y136" s="61">
        <f t="shared" si="65"/>
        <v>0</v>
      </c>
      <c r="Z136" s="61">
        <f t="shared" si="66"/>
        <v>6.3667970447631464E-2</v>
      </c>
      <c r="AA136" s="61">
        <f t="shared" si="67"/>
        <v>4.1938287700999569E-2</v>
      </c>
      <c r="AB136" s="61">
        <f t="shared" si="67"/>
        <v>0</v>
      </c>
      <c r="AC136" s="61">
        <f t="shared" si="68"/>
        <v>0.17362016514558887</v>
      </c>
    </row>
    <row r="137" spans="1:29">
      <c r="A137" s="56" t="s">
        <v>2455</v>
      </c>
      <c r="B137" s="54">
        <f>SUM(C137:J137)</f>
        <v>5203</v>
      </c>
      <c r="C137" s="55">
        <v>2717</v>
      </c>
      <c r="D137" s="55">
        <v>1683</v>
      </c>
      <c r="E137" s="55">
        <v>207</v>
      </c>
      <c r="F137" s="55">
        <v>0</v>
      </c>
      <c r="G137" s="55">
        <v>596</v>
      </c>
      <c r="H137" s="55">
        <v>0</v>
      </c>
      <c r="I137" s="55">
        <v>0</v>
      </c>
      <c r="J137" s="55">
        <v>0</v>
      </c>
      <c r="L137" s="54">
        <f>SUM(M137:T137)</f>
        <v>5</v>
      </c>
      <c r="M137" s="55">
        <v>3</v>
      </c>
      <c r="N137" s="55">
        <v>2</v>
      </c>
      <c r="O137" s="55">
        <v>0</v>
      </c>
      <c r="P137" s="55">
        <v>0</v>
      </c>
      <c r="Q137" s="55">
        <v>0</v>
      </c>
      <c r="R137" s="55">
        <v>0</v>
      </c>
      <c r="S137" s="55">
        <v>0</v>
      </c>
      <c r="T137" s="55">
        <v>0</v>
      </c>
      <c r="V137" s="61">
        <f t="shared" si="62"/>
        <v>0.52219873150105711</v>
      </c>
      <c r="W137" s="61">
        <f t="shared" si="63"/>
        <v>0.32346723044397463</v>
      </c>
      <c r="X137" s="61">
        <f t="shared" si="64"/>
        <v>3.9784739573323083E-2</v>
      </c>
      <c r="Y137" s="61">
        <f t="shared" si="65"/>
        <v>0</v>
      </c>
      <c r="Z137" s="61">
        <f t="shared" si="66"/>
        <v>0.1145492984816452</v>
      </c>
      <c r="AA137" s="61">
        <f>SUM(H137/B137)</f>
        <v>0</v>
      </c>
      <c r="AB137" s="61">
        <f>SUM(I137/C137)</f>
        <v>0</v>
      </c>
      <c r="AC137" s="61">
        <f t="shared" si="68"/>
        <v>0</v>
      </c>
    </row>
    <row r="138" spans="1:29">
      <c r="A138" s="56" t="s">
        <v>2456</v>
      </c>
      <c r="B138" s="54">
        <f>SUM(C138:J138)</f>
        <v>5275</v>
      </c>
      <c r="C138" s="55">
        <v>2052</v>
      </c>
      <c r="D138" s="55">
        <v>1706</v>
      </c>
      <c r="E138" s="55">
        <v>0</v>
      </c>
      <c r="F138" s="55">
        <v>0</v>
      </c>
      <c r="G138" s="55">
        <v>638</v>
      </c>
      <c r="H138" s="55">
        <v>0</v>
      </c>
      <c r="I138" s="55">
        <v>0</v>
      </c>
      <c r="J138" s="55">
        <v>879</v>
      </c>
      <c r="L138" s="54">
        <f>SUM(M138:T138)</f>
        <v>5</v>
      </c>
      <c r="M138" s="55">
        <v>2</v>
      </c>
      <c r="N138" s="55">
        <v>2</v>
      </c>
      <c r="O138" s="55">
        <v>0</v>
      </c>
      <c r="P138" s="55">
        <v>0</v>
      </c>
      <c r="Q138" s="55">
        <v>1</v>
      </c>
      <c r="R138" s="55">
        <v>0</v>
      </c>
      <c r="S138" s="55">
        <v>0</v>
      </c>
      <c r="T138" s="55">
        <v>0</v>
      </c>
      <c r="V138" s="61">
        <f t="shared" si="62"/>
        <v>0.38900473933649288</v>
      </c>
      <c r="W138" s="61">
        <f t="shared" si="63"/>
        <v>0.32341232227488154</v>
      </c>
      <c r="X138" s="61">
        <f t="shared" si="64"/>
        <v>0</v>
      </c>
      <c r="Y138" s="61">
        <f t="shared" si="65"/>
        <v>0</v>
      </c>
      <c r="Z138" s="61">
        <f t="shared" si="66"/>
        <v>0.1209478672985782</v>
      </c>
      <c r="AA138" s="61">
        <f t="shared" si="67"/>
        <v>0</v>
      </c>
      <c r="AB138" s="61">
        <f t="shared" si="67"/>
        <v>0</v>
      </c>
      <c r="AC138" s="61">
        <f t="shared" si="68"/>
        <v>0.16663507109004738</v>
      </c>
    </row>
    <row r="139" spans="1:29" s="52" customFormat="1">
      <c r="A139" s="53" t="s">
        <v>1644</v>
      </c>
      <c r="B139" s="54">
        <f>SUM(B134:B138)</f>
        <v>25401</v>
      </c>
      <c r="C139" s="54">
        <f t="shared" ref="C139:Q139" si="69">SUM(C134:C138)</f>
        <v>9560</v>
      </c>
      <c r="D139" s="54">
        <f>SUM(D134:D138)</f>
        <v>7823</v>
      </c>
      <c r="E139" s="54">
        <f t="shared" si="69"/>
        <v>972</v>
      </c>
      <c r="F139" s="54">
        <f t="shared" si="69"/>
        <v>0</v>
      </c>
      <c r="G139" s="54">
        <f t="shared" si="69"/>
        <v>2608</v>
      </c>
      <c r="H139" s="54">
        <f>SUM(H134:H138)</f>
        <v>193</v>
      </c>
      <c r="I139" s="54">
        <f>SUM(I134:I138)</f>
        <v>0</v>
      </c>
      <c r="J139" s="54">
        <f>SUM(J134:J138)</f>
        <v>4245</v>
      </c>
      <c r="K139" s="54"/>
      <c r="L139" s="54">
        <f t="shared" si="69"/>
        <v>25</v>
      </c>
      <c r="M139" s="54">
        <f t="shared" si="69"/>
        <v>10</v>
      </c>
      <c r="N139" s="54">
        <f t="shared" si="69"/>
        <v>9</v>
      </c>
      <c r="O139" s="54">
        <f t="shared" si="69"/>
        <v>0</v>
      </c>
      <c r="P139" s="54">
        <f t="shared" si="69"/>
        <v>0</v>
      </c>
      <c r="Q139" s="54">
        <f t="shared" si="69"/>
        <v>2</v>
      </c>
      <c r="R139" s="54">
        <f>SUM(R134:R138)</f>
        <v>0</v>
      </c>
      <c r="S139" s="54">
        <f>SUM(S134:S138)</f>
        <v>0</v>
      </c>
      <c r="T139" s="54">
        <f>SUM(T134:T138)</f>
        <v>4</v>
      </c>
      <c r="V139" s="60">
        <f t="shared" si="62"/>
        <v>0.3763631353096335</v>
      </c>
      <c r="W139" s="60">
        <f t="shared" si="63"/>
        <v>0.30798000078737059</v>
      </c>
      <c r="X139" s="60">
        <f t="shared" si="64"/>
        <v>3.8266209991732608E-2</v>
      </c>
      <c r="Y139" s="60">
        <f t="shared" si="65"/>
        <v>0</v>
      </c>
      <c r="Z139" s="60">
        <f t="shared" si="66"/>
        <v>0.10267312310538955</v>
      </c>
      <c r="AA139" s="60">
        <f t="shared" si="67"/>
        <v>7.5981260580292118E-3</v>
      </c>
      <c r="AB139" s="60">
        <f t="shared" si="67"/>
        <v>0</v>
      </c>
      <c r="AC139" s="60">
        <f t="shared" si="68"/>
        <v>0.16711940474784456</v>
      </c>
    </row>
    <row r="140" spans="1:29">
      <c r="A140" s="53"/>
      <c r="B140" s="54"/>
      <c r="C140" s="55"/>
      <c r="D140" s="55"/>
      <c r="E140" s="55"/>
      <c r="F140" s="55"/>
      <c r="G140" s="55"/>
      <c r="H140" s="55"/>
      <c r="I140" s="55"/>
      <c r="J140" s="55"/>
      <c r="L140" s="54"/>
      <c r="M140" s="55"/>
      <c r="N140" s="55"/>
      <c r="O140" s="55"/>
      <c r="P140" s="55"/>
      <c r="Q140" s="55"/>
      <c r="R140" s="55"/>
      <c r="S140" s="55"/>
      <c r="T140" s="55"/>
    </row>
    <row r="141" spans="1:29">
      <c r="A141" s="56" t="s">
        <v>1645</v>
      </c>
      <c r="B141" s="54">
        <f t="shared" ref="B141:B149" si="70">SUM(C141:J141)</f>
        <v>12175</v>
      </c>
      <c r="C141" s="55">
        <v>2625</v>
      </c>
      <c r="D141" s="55">
        <v>2174</v>
      </c>
      <c r="E141" s="55">
        <v>0</v>
      </c>
      <c r="F141" s="55">
        <v>432</v>
      </c>
      <c r="G141" s="55">
        <v>626</v>
      </c>
      <c r="H141" s="55">
        <v>157</v>
      </c>
      <c r="I141" s="55">
        <v>0</v>
      </c>
      <c r="J141" s="55">
        <v>6161</v>
      </c>
      <c r="L141" s="54">
        <f t="shared" ref="L141:L149" si="71">SUM(M141:T141)</f>
        <v>6</v>
      </c>
      <c r="M141" s="55">
        <v>2</v>
      </c>
      <c r="N141" s="55">
        <v>1</v>
      </c>
      <c r="O141" s="55">
        <v>0</v>
      </c>
      <c r="P141" s="55">
        <v>0</v>
      </c>
      <c r="Q141" s="55">
        <v>0</v>
      </c>
      <c r="R141" s="55">
        <v>0</v>
      </c>
      <c r="S141" s="55">
        <v>0</v>
      </c>
      <c r="T141" s="55">
        <v>3</v>
      </c>
      <c r="V141" s="61">
        <f t="shared" ref="V141:V150" si="72">SUM(C141/B141)</f>
        <v>0.21560574948665298</v>
      </c>
      <c r="W141" s="61">
        <f t="shared" ref="W141:W150" si="73">SUM(D141/B141)</f>
        <v>0.17856262833675565</v>
      </c>
      <c r="X141" s="61">
        <f t="shared" ref="X141:X150" si="74">SUM(E141/B141)</f>
        <v>0</v>
      </c>
      <c r="Y141" s="61">
        <f t="shared" ref="Y141:Y150" si="75">SUM(F141/B141)</f>
        <v>3.5482546201232035E-2</v>
      </c>
      <c r="Z141" s="61">
        <f t="shared" ref="Z141:Z150" si="76">SUM(G141/B141)</f>
        <v>5.1416837782340866E-2</v>
      </c>
      <c r="AA141" s="61">
        <f t="shared" ref="AA141:AA150" si="77">SUM(H141/B141)</f>
        <v>1.2895277207392197E-2</v>
      </c>
      <c r="AB141" s="61">
        <f t="shared" ref="AB141:AB150" si="78">SUM(I141/C141)</f>
        <v>0</v>
      </c>
      <c r="AC141" s="61">
        <f t="shared" ref="AC141:AC150" si="79">SUM(J141/B141)</f>
        <v>0.50603696098562634</v>
      </c>
    </row>
    <row r="142" spans="1:29">
      <c r="A142" s="56" t="s">
        <v>1646</v>
      </c>
      <c r="B142" s="54">
        <f t="shared" si="70"/>
        <v>12279</v>
      </c>
      <c r="C142" s="55">
        <v>3547</v>
      </c>
      <c r="D142" s="55">
        <v>5831</v>
      </c>
      <c r="E142" s="55">
        <v>340</v>
      </c>
      <c r="F142" s="55">
        <v>566</v>
      </c>
      <c r="G142" s="55">
        <v>1019</v>
      </c>
      <c r="H142" s="55">
        <v>303</v>
      </c>
      <c r="I142" s="55">
        <v>0</v>
      </c>
      <c r="J142" s="55">
        <v>673</v>
      </c>
      <c r="L142" s="54">
        <f t="shared" si="71"/>
        <v>6</v>
      </c>
      <c r="M142" s="55">
        <v>2</v>
      </c>
      <c r="N142" s="55">
        <v>3</v>
      </c>
      <c r="O142" s="55">
        <v>0</v>
      </c>
      <c r="P142" s="55">
        <v>0</v>
      </c>
      <c r="Q142" s="55">
        <v>1</v>
      </c>
      <c r="R142" s="55">
        <v>0</v>
      </c>
      <c r="S142" s="55">
        <v>0</v>
      </c>
      <c r="T142" s="55">
        <v>0</v>
      </c>
      <c r="V142" s="61">
        <f t="shared" si="72"/>
        <v>0.288867171593778</v>
      </c>
      <c r="W142" s="61">
        <f t="shared" si="73"/>
        <v>0.47487580421858455</v>
      </c>
      <c r="X142" s="61">
        <f t="shared" si="74"/>
        <v>2.7689551266389771E-2</v>
      </c>
      <c r="Y142" s="61">
        <f t="shared" si="75"/>
        <v>4.6094958872872384E-2</v>
      </c>
      <c r="Z142" s="61">
        <f t="shared" si="76"/>
        <v>8.2987213942503454E-2</v>
      </c>
      <c r="AA142" s="61">
        <f t="shared" si="77"/>
        <v>2.4676276569753238E-2</v>
      </c>
      <c r="AB142" s="61">
        <f t="shared" si="78"/>
        <v>0</v>
      </c>
      <c r="AC142" s="61">
        <f t="shared" si="79"/>
        <v>5.4809023536118578E-2</v>
      </c>
    </row>
    <row r="143" spans="1:29">
      <c r="A143" s="56" t="s">
        <v>1647</v>
      </c>
      <c r="B143" s="54">
        <f t="shared" si="70"/>
        <v>15512</v>
      </c>
      <c r="C143" s="55">
        <v>6595</v>
      </c>
      <c r="D143" s="55">
        <v>5142</v>
      </c>
      <c r="E143" s="55">
        <v>188</v>
      </c>
      <c r="F143" s="55">
        <v>0</v>
      </c>
      <c r="G143" s="55">
        <v>3587</v>
      </c>
      <c r="H143" s="55">
        <v>0</v>
      </c>
      <c r="I143" s="55">
        <v>0</v>
      </c>
      <c r="J143" s="55">
        <v>0</v>
      </c>
      <c r="L143" s="54">
        <f t="shared" si="71"/>
        <v>7</v>
      </c>
      <c r="M143" s="55">
        <v>3</v>
      </c>
      <c r="N143" s="55">
        <v>2</v>
      </c>
      <c r="O143" s="55">
        <v>0</v>
      </c>
      <c r="P143" s="55">
        <v>0</v>
      </c>
      <c r="Q143" s="55">
        <v>2</v>
      </c>
      <c r="R143" s="55">
        <v>0</v>
      </c>
      <c r="S143" s="55">
        <v>0</v>
      </c>
      <c r="T143" s="55">
        <v>0</v>
      </c>
      <c r="V143" s="61">
        <f t="shared" si="72"/>
        <v>0.42515471892728213</v>
      </c>
      <c r="W143" s="61">
        <f t="shared" si="73"/>
        <v>0.33148530170190821</v>
      </c>
      <c r="X143" s="61">
        <f t="shared" si="74"/>
        <v>1.2119649303764827E-2</v>
      </c>
      <c r="Y143" s="61">
        <f t="shared" si="75"/>
        <v>0</v>
      </c>
      <c r="Z143" s="61">
        <f t="shared" si="76"/>
        <v>0.23124033006704486</v>
      </c>
      <c r="AA143" s="61">
        <f t="shared" si="77"/>
        <v>0</v>
      </c>
      <c r="AB143" s="61">
        <f t="shared" si="78"/>
        <v>0</v>
      </c>
      <c r="AC143" s="61">
        <f t="shared" si="79"/>
        <v>0</v>
      </c>
    </row>
    <row r="144" spans="1:29">
      <c r="A144" s="56" t="s">
        <v>1648</v>
      </c>
      <c r="B144" s="54">
        <f t="shared" si="70"/>
        <v>12787</v>
      </c>
      <c r="C144" s="55">
        <v>5329</v>
      </c>
      <c r="D144" s="55">
        <v>3256</v>
      </c>
      <c r="E144" s="55">
        <v>1332</v>
      </c>
      <c r="F144" s="55">
        <v>0</v>
      </c>
      <c r="G144" s="55">
        <v>2368</v>
      </c>
      <c r="H144" s="55">
        <v>133</v>
      </c>
      <c r="I144" s="55">
        <v>0</v>
      </c>
      <c r="J144" s="55">
        <v>369</v>
      </c>
      <c r="L144" s="54">
        <f t="shared" si="71"/>
        <v>5</v>
      </c>
      <c r="M144" s="55">
        <v>2</v>
      </c>
      <c r="N144" s="55">
        <v>2</v>
      </c>
      <c r="O144" s="55">
        <v>0</v>
      </c>
      <c r="P144" s="55">
        <v>0</v>
      </c>
      <c r="Q144" s="55">
        <v>1</v>
      </c>
      <c r="R144" s="55">
        <v>0</v>
      </c>
      <c r="S144" s="55">
        <v>0</v>
      </c>
      <c r="T144" s="55">
        <v>0</v>
      </c>
      <c r="V144" s="61">
        <f t="shared" si="72"/>
        <v>0.4167513881285681</v>
      </c>
      <c r="W144" s="61">
        <f t="shared" si="73"/>
        <v>0.25463361226245407</v>
      </c>
      <c r="X144" s="61">
        <f t="shared" si="74"/>
        <v>0.10416829592554938</v>
      </c>
      <c r="Y144" s="61">
        <f t="shared" si="75"/>
        <v>0</v>
      </c>
      <c r="Z144" s="61">
        <f t="shared" si="76"/>
        <v>0.18518808164542114</v>
      </c>
      <c r="AA144" s="61">
        <f t="shared" si="77"/>
        <v>1.0401188707280832E-2</v>
      </c>
      <c r="AB144" s="61">
        <f t="shared" si="78"/>
        <v>0</v>
      </c>
      <c r="AC144" s="61">
        <f t="shared" si="79"/>
        <v>2.8857433330726517E-2</v>
      </c>
    </row>
    <row r="145" spans="1:29">
      <c r="A145" s="56" t="s">
        <v>1649</v>
      </c>
      <c r="B145" s="54">
        <f t="shared" si="70"/>
        <v>13013</v>
      </c>
      <c r="C145" s="55">
        <v>4260</v>
      </c>
      <c r="D145" s="55">
        <v>2208</v>
      </c>
      <c r="E145" s="55">
        <v>2556</v>
      </c>
      <c r="F145" s="55">
        <v>0</v>
      </c>
      <c r="G145" s="55">
        <v>1248</v>
      </c>
      <c r="H145" s="55">
        <v>444</v>
      </c>
      <c r="I145" s="55">
        <v>0</v>
      </c>
      <c r="J145" s="55">
        <v>2297</v>
      </c>
      <c r="L145" s="54">
        <f t="shared" si="71"/>
        <v>6</v>
      </c>
      <c r="M145" s="55">
        <v>2</v>
      </c>
      <c r="N145" s="55">
        <v>1</v>
      </c>
      <c r="O145" s="55">
        <v>1</v>
      </c>
      <c r="P145" s="55">
        <v>0</v>
      </c>
      <c r="Q145" s="55">
        <v>1</v>
      </c>
      <c r="R145" s="55">
        <v>0</v>
      </c>
      <c r="S145" s="55">
        <v>0</v>
      </c>
      <c r="T145" s="55">
        <v>1</v>
      </c>
      <c r="V145" s="61">
        <f t="shared" si="72"/>
        <v>0.32736494274955813</v>
      </c>
      <c r="W145" s="61">
        <f t="shared" si="73"/>
        <v>0.16967647736878505</v>
      </c>
      <c r="X145" s="61">
        <f t="shared" si="74"/>
        <v>0.19641896564973488</v>
      </c>
      <c r="Y145" s="61">
        <f t="shared" si="75"/>
        <v>0</v>
      </c>
      <c r="Z145" s="61">
        <f t="shared" si="76"/>
        <v>9.5904095904095904E-2</v>
      </c>
      <c r="AA145" s="61">
        <f t="shared" si="77"/>
        <v>3.4119726427418735E-2</v>
      </c>
      <c r="AB145" s="61">
        <f t="shared" si="78"/>
        <v>0</v>
      </c>
      <c r="AC145" s="61">
        <f t="shared" si="79"/>
        <v>0.17651579190040728</v>
      </c>
    </row>
    <row r="146" spans="1:29">
      <c r="A146" s="56" t="s">
        <v>1650</v>
      </c>
      <c r="B146" s="54">
        <f t="shared" si="70"/>
        <v>14359</v>
      </c>
      <c r="C146" s="55">
        <v>2509</v>
      </c>
      <c r="D146" s="55">
        <v>1642</v>
      </c>
      <c r="E146" s="55">
        <v>2303</v>
      </c>
      <c r="F146" s="55">
        <v>4096</v>
      </c>
      <c r="G146" s="55">
        <v>535</v>
      </c>
      <c r="H146" s="55">
        <v>1344</v>
      </c>
      <c r="I146" s="55">
        <v>0</v>
      </c>
      <c r="J146" s="55">
        <v>1930</v>
      </c>
      <c r="L146" s="54">
        <f t="shared" si="71"/>
        <v>6</v>
      </c>
      <c r="M146" s="55">
        <v>1</v>
      </c>
      <c r="N146" s="55">
        <v>1</v>
      </c>
      <c r="O146" s="55">
        <v>1</v>
      </c>
      <c r="P146" s="55">
        <v>2</v>
      </c>
      <c r="Q146" s="55">
        <v>0</v>
      </c>
      <c r="R146" s="55">
        <v>1</v>
      </c>
      <c r="S146" s="55">
        <v>0</v>
      </c>
      <c r="T146" s="55">
        <v>0</v>
      </c>
      <c r="V146" s="61">
        <f t="shared" si="72"/>
        <v>0.17473361654711331</v>
      </c>
      <c r="W146" s="61">
        <f t="shared" si="73"/>
        <v>0.11435336722612996</v>
      </c>
      <c r="X146" s="61">
        <f t="shared" si="74"/>
        <v>0.16038721359426145</v>
      </c>
      <c r="Y146" s="61">
        <f t="shared" si="75"/>
        <v>0.28525663347029739</v>
      </c>
      <c r="Z146" s="61">
        <f t="shared" si="76"/>
        <v>3.7258862037746358E-2</v>
      </c>
      <c r="AA146" s="61">
        <f t="shared" si="77"/>
        <v>9.359983285744132E-2</v>
      </c>
      <c r="AB146" s="61">
        <f t="shared" si="78"/>
        <v>0</v>
      </c>
      <c r="AC146" s="61">
        <f t="shared" si="79"/>
        <v>0.13441047426701025</v>
      </c>
    </row>
    <row r="147" spans="1:29">
      <c r="A147" s="56" t="s">
        <v>1651</v>
      </c>
      <c r="B147" s="54">
        <f t="shared" si="70"/>
        <v>10988</v>
      </c>
      <c r="C147" s="55">
        <v>3300</v>
      </c>
      <c r="D147" s="55">
        <v>2427</v>
      </c>
      <c r="E147" s="55">
        <v>2008</v>
      </c>
      <c r="F147" s="55">
        <v>614</v>
      </c>
      <c r="G147" s="55">
        <v>1859</v>
      </c>
      <c r="H147" s="55">
        <v>550</v>
      </c>
      <c r="I147" s="55">
        <v>0</v>
      </c>
      <c r="J147" s="55">
        <v>230</v>
      </c>
      <c r="L147" s="54">
        <f t="shared" si="71"/>
        <v>5</v>
      </c>
      <c r="M147" s="55">
        <v>2</v>
      </c>
      <c r="N147" s="55">
        <v>1</v>
      </c>
      <c r="O147" s="55">
        <v>1</v>
      </c>
      <c r="P147" s="55">
        <v>0</v>
      </c>
      <c r="Q147" s="55">
        <v>1</v>
      </c>
      <c r="R147" s="55">
        <v>0</v>
      </c>
      <c r="S147" s="55">
        <v>0</v>
      </c>
      <c r="T147" s="55">
        <v>0</v>
      </c>
      <c r="V147" s="61">
        <f t="shared" si="72"/>
        <v>0.30032763014197306</v>
      </c>
      <c r="W147" s="61">
        <f t="shared" si="73"/>
        <v>0.22087732071350563</v>
      </c>
      <c r="X147" s="61">
        <f t="shared" si="74"/>
        <v>0.1827448125227521</v>
      </c>
      <c r="Y147" s="61">
        <f t="shared" si="75"/>
        <v>5.5879140880961048E-2</v>
      </c>
      <c r="Z147" s="61">
        <f t="shared" si="76"/>
        <v>0.16918456497997816</v>
      </c>
      <c r="AA147" s="61">
        <f t="shared" si="77"/>
        <v>5.0054605023662178E-2</v>
      </c>
      <c r="AB147" s="61">
        <f t="shared" si="78"/>
        <v>0</v>
      </c>
      <c r="AC147" s="61">
        <f t="shared" si="79"/>
        <v>2.093192573716782E-2</v>
      </c>
    </row>
    <row r="148" spans="1:29">
      <c r="A148" s="56" t="s">
        <v>1652</v>
      </c>
      <c r="B148" s="54">
        <f t="shared" si="70"/>
        <v>12721</v>
      </c>
      <c r="C148" s="55">
        <v>0</v>
      </c>
      <c r="D148" s="55">
        <v>372</v>
      </c>
      <c r="E148" s="55">
        <v>4987</v>
      </c>
      <c r="F148" s="55">
        <v>5616</v>
      </c>
      <c r="G148" s="55">
        <v>931</v>
      </c>
      <c r="H148" s="55">
        <v>386</v>
      </c>
      <c r="I148" s="55">
        <v>0</v>
      </c>
      <c r="J148" s="55">
        <v>429</v>
      </c>
      <c r="K148" s="55"/>
      <c r="L148" s="54">
        <f t="shared" si="71"/>
        <v>5</v>
      </c>
      <c r="M148" s="55">
        <v>0</v>
      </c>
      <c r="N148" s="55">
        <v>0</v>
      </c>
      <c r="O148" s="55">
        <v>2</v>
      </c>
      <c r="P148" s="55">
        <v>2</v>
      </c>
      <c r="Q148" s="55">
        <v>1</v>
      </c>
      <c r="R148" s="55">
        <v>0</v>
      </c>
      <c r="S148" s="55">
        <v>0</v>
      </c>
      <c r="T148" s="55">
        <v>0</v>
      </c>
      <c r="V148" s="61">
        <f t="shared" si="72"/>
        <v>0</v>
      </c>
      <c r="W148" s="61">
        <f t="shared" si="73"/>
        <v>2.9242984042135052E-2</v>
      </c>
      <c r="X148" s="61">
        <f t="shared" si="74"/>
        <v>0.39202892854335353</v>
      </c>
      <c r="Y148" s="61">
        <f t="shared" si="75"/>
        <v>0.44147472682965178</v>
      </c>
      <c r="Z148" s="61">
        <f t="shared" si="76"/>
        <v>7.3186070277493909E-2</v>
      </c>
      <c r="AA148" s="61">
        <f t="shared" si="77"/>
        <v>3.0343526452322932E-2</v>
      </c>
      <c r="AB148" s="61" t="e">
        <f t="shared" si="78"/>
        <v>#DIV/0!</v>
      </c>
      <c r="AC148" s="61">
        <f t="shared" si="79"/>
        <v>3.3723763855042846E-2</v>
      </c>
    </row>
    <row r="149" spans="1:29">
      <c r="A149" s="56" t="s">
        <v>1653</v>
      </c>
      <c r="B149" s="54">
        <f t="shared" si="70"/>
        <v>11813</v>
      </c>
      <c r="C149" s="55">
        <v>0</v>
      </c>
      <c r="D149" s="55">
        <v>0</v>
      </c>
      <c r="E149" s="55">
        <v>2765</v>
      </c>
      <c r="F149" s="55">
        <v>6753</v>
      </c>
      <c r="G149" s="55">
        <v>1113</v>
      </c>
      <c r="H149" s="55">
        <v>1115</v>
      </c>
      <c r="I149" s="55">
        <v>0</v>
      </c>
      <c r="J149" s="55">
        <v>67</v>
      </c>
      <c r="L149" s="54">
        <f t="shared" si="71"/>
        <v>5</v>
      </c>
      <c r="M149" s="55">
        <v>0</v>
      </c>
      <c r="N149" s="55">
        <v>0</v>
      </c>
      <c r="O149" s="55">
        <v>1</v>
      </c>
      <c r="P149" s="55">
        <v>3</v>
      </c>
      <c r="Q149" s="55">
        <v>1</v>
      </c>
      <c r="R149" s="55">
        <v>0</v>
      </c>
      <c r="S149" s="55">
        <v>0</v>
      </c>
      <c r="T149" s="55">
        <v>0</v>
      </c>
      <c r="V149" s="61">
        <f t="shared" si="72"/>
        <v>0</v>
      </c>
      <c r="W149" s="61">
        <f t="shared" si="73"/>
        <v>0</v>
      </c>
      <c r="X149" s="61">
        <f t="shared" si="74"/>
        <v>0.23406416659612292</v>
      </c>
      <c r="Y149" s="61">
        <f t="shared" si="75"/>
        <v>0.57165834250402103</v>
      </c>
      <c r="Z149" s="61">
        <f t="shared" si="76"/>
        <v>9.4218234148819094E-2</v>
      </c>
      <c r="AA149" s="61">
        <f t="shared" si="77"/>
        <v>9.4387539151781941E-2</v>
      </c>
      <c r="AB149" s="61" t="e">
        <f t="shared" si="78"/>
        <v>#DIV/0!</v>
      </c>
      <c r="AC149" s="61">
        <f t="shared" si="79"/>
        <v>5.6717175992550576E-3</v>
      </c>
    </row>
    <row r="150" spans="1:29" s="52" customFormat="1">
      <c r="A150" s="53" t="s">
        <v>1654</v>
      </c>
      <c r="B150" s="54">
        <f>SUM(B141:B149)</f>
        <v>115647</v>
      </c>
      <c r="C150" s="54">
        <f t="shared" ref="C150:Q150" si="80">SUM(C141:C149)</f>
        <v>28165</v>
      </c>
      <c r="D150" s="54">
        <f>SUM(D141:D149)</f>
        <v>23052</v>
      </c>
      <c r="E150" s="54">
        <f t="shared" si="80"/>
        <v>16479</v>
      </c>
      <c r="F150" s="54">
        <f t="shared" si="80"/>
        <v>18077</v>
      </c>
      <c r="G150" s="54">
        <f t="shared" si="80"/>
        <v>13286</v>
      </c>
      <c r="H150" s="54">
        <f>SUM(H141:H149)</f>
        <v>4432</v>
      </c>
      <c r="I150" s="54">
        <f>SUM(I141:I149)</f>
        <v>0</v>
      </c>
      <c r="J150" s="54">
        <f>SUM(J141:J149)</f>
        <v>12156</v>
      </c>
      <c r="K150" s="54"/>
      <c r="L150" s="54">
        <f t="shared" si="80"/>
        <v>51</v>
      </c>
      <c r="M150" s="54">
        <f t="shared" si="80"/>
        <v>14</v>
      </c>
      <c r="N150" s="54">
        <f t="shared" si="80"/>
        <v>11</v>
      </c>
      <c r="O150" s="54">
        <f t="shared" si="80"/>
        <v>6</v>
      </c>
      <c r="P150" s="54">
        <f t="shared" si="80"/>
        <v>7</v>
      </c>
      <c r="Q150" s="54">
        <f t="shared" si="80"/>
        <v>8</v>
      </c>
      <c r="R150" s="54">
        <f>SUM(R141:R149)</f>
        <v>1</v>
      </c>
      <c r="S150" s="54">
        <f>SUM(S141:S149)</f>
        <v>0</v>
      </c>
      <c r="T150" s="54">
        <f>SUM(T141:T149)</f>
        <v>4</v>
      </c>
      <c r="V150" s="60">
        <f t="shared" si="72"/>
        <v>0.24354285022525443</v>
      </c>
      <c r="W150" s="60">
        <f t="shared" si="73"/>
        <v>0.19933072193831228</v>
      </c>
      <c r="X150" s="60">
        <f t="shared" si="74"/>
        <v>0.14249396871514178</v>
      </c>
      <c r="Y150" s="60">
        <f t="shared" si="75"/>
        <v>0.15631188011794511</v>
      </c>
      <c r="Z150" s="60">
        <f t="shared" si="76"/>
        <v>0.11488408691967798</v>
      </c>
      <c r="AA150" s="60">
        <f t="shared" si="77"/>
        <v>3.8323518984495923E-2</v>
      </c>
      <c r="AB150" s="60">
        <f t="shared" si="78"/>
        <v>0</v>
      </c>
      <c r="AC150" s="60">
        <f t="shared" si="79"/>
        <v>0.10511297309917249</v>
      </c>
    </row>
    <row r="151" spans="1:29">
      <c r="A151" s="53"/>
      <c r="B151" s="54"/>
      <c r="C151" s="55"/>
      <c r="D151" s="55"/>
      <c r="E151" s="55"/>
      <c r="F151" s="55"/>
      <c r="G151" s="55"/>
      <c r="H151" s="55"/>
      <c r="I151" s="55"/>
      <c r="J151" s="55"/>
      <c r="L151" s="54"/>
      <c r="M151" s="55"/>
      <c r="N151" s="55"/>
      <c r="O151" s="55"/>
      <c r="P151" s="55"/>
      <c r="Q151" s="55"/>
      <c r="R151" s="55"/>
      <c r="S151" s="55"/>
      <c r="T151" s="55"/>
    </row>
    <row r="152" spans="1:29" s="52" customFormat="1">
      <c r="A152" s="53" t="s">
        <v>1255</v>
      </c>
      <c r="B152" s="54">
        <f t="shared" ref="B152:J152" si="81">SUM(B150+B139+B132+B127+B122+B117+B112+B106+B101+B96+B90+B85+B79+B73+B68+B62+B55+B49+B44+B39+B32+B27+B22+B16+B11+B6)</f>
        <v>633271</v>
      </c>
      <c r="C152" s="54">
        <f t="shared" si="81"/>
        <v>186218</v>
      </c>
      <c r="D152" s="54">
        <f t="shared" si="81"/>
        <v>153922</v>
      </c>
      <c r="E152" s="54">
        <f t="shared" si="81"/>
        <v>112514</v>
      </c>
      <c r="F152" s="54">
        <f t="shared" si="81"/>
        <v>74930</v>
      </c>
      <c r="G152" s="54">
        <f t="shared" si="81"/>
        <v>45207</v>
      </c>
      <c r="H152" s="54">
        <f t="shared" si="81"/>
        <v>10276</v>
      </c>
      <c r="I152" s="54">
        <f t="shared" si="81"/>
        <v>8648</v>
      </c>
      <c r="J152" s="54">
        <f t="shared" si="81"/>
        <v>41556</v>
      </c>
      <c r="K152" s="54"/>
      <c r="L152" s="54">
        <f t="shared" ref="L152:T152" si="82">SUM(L150+L139+L132+L127+L122+L117+L112+L106+L101+L96+L90+L85+L79+L73+L68+L62+L55+L49+L44+L39+L32+L27+L22+L16+L11+L6)</f>
        <v>566</v>
      </c>
      <c r="M152" s="54">
        <f t="shared" si="82"/>
        <v>190</v>
      </c>
      <c r="N152" s="54">
        <f t="shared" si="82"/>
        <v>142</v>
      </c>
      <c r="O152" s="54">
        <f t="shared" si="82"/>
        <v>101</v>
      </c>
      <c r="P152" s="54">
        <f t="shared" si="82"/>
        <v>59</v>
      </c>
      <c r="Q152" s="54">
        <f t="shared" si="82"/>
        <v>34</v>
      </c>
      <c r="R152" s="54">
        <f t="shared" si="82"/>
        <v>4</v>
      </c>
      <c r="S152" s="54">
        <f t="shared" si="82"/>
        <v>5</v>
      </c>
      <c r="T152" s="54">
        <f t="shared" si="82"/>
        <v>31</v>
      </c>
      <c r="V152" s="60">
        <f>SUM(C152/B152)</f>
        <v>0.29405736248778169</v>
      </c>
      <c r="W152" s="60">
        <f>SUM(D152/B152)</f>
        <v>0.24305865893116849</v>
      </c>
      <c r="X152" s="60">
        <f>SUM(E152/B152)</f>
        <v>0.17767117079417816</v>
      </c>
      <c r="Y152" s="60">
        <f>SUM(F152/B152)</f>
        <v>0.11832217170847868</v>
      </c>
      <c r="Z152" s="60">
        <f>SUM(G152/B152)</f>
        <v>7.1386499618646682E-2</v>
      </c>
      <c r="AA152" s="60">
        <f>SUM(H152/B152)</f>
        <v>1.6226860222558745E-2</v>
      </c>
      <c r="AB152" s="60">
        <f>SUM(I152/C152)</f>
        <v>4.6440193751409641E-2</v>
      </c>
      <c r="AC152" s="60">
        <f>SUM(J152/B152)</f>
        <v>6.5621195349226474E-2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41.xml><?xml version="1.0" encoding="utf-8"?>
<worksheet xmlns="http://schemas.openxmlformats.org/spreadsheetml/2006/main" xmlns:r="http://schemas.openxmlformats.org/officeDocument/2006/relationships">
  <sheetPr codeName="Sheet31"/>
  <dimension ref="A1:Z152"/>
  <sheetViews>
    <sheetView workbookViewId="0">
      <pane ySplit="1" topLeftCell="A127" activePane="bottomLeft" state="frozen"/>
      <selection pane="bottomLeft" activeCell="J151" sqref="J151"/>
    </sheetView>
  </sheetViews>
  <sheetFormatPr defaultRowHeight="15"/>
  <cols>
    <col min="1" max="1" width="23.5703125" style="47" customWidth="1"/>
    <col min="2" max="2" width="8.7109375" style="47" customWidth="1"/>
    <col min="3" max="4" width="8.85546875" customWidth="1"/>
    <col min="5" max="5" width="8.7109375" customWidth="1"/>
    <col min="6" max="6" width="7.85546875" customWidth="1"/>
    <col min="7" max="7" width="7.7109375" customWidth="1"/>
    <col min="8" max="8" width="8.140625" customWidth="1"/>
    <col min="10" max="10" width="1.140625" customWidth="1"/>
    <col min="11" max="11" width="6.7109375" style="47" customWidth="1"/>
    <col min="12" max="14" width="5.42578125" customWidth="1"/>
    <col min="15" max="15" width="5.28515625" customWidth="1"/>
    <col min="16" max="16" width="5.42578125" customWidth="1"/>
    <col min="17" max="17" width="5.28515625" customWidth="1"/>
    <col min="18" max="18" width="5.42578125" customWidth="1"/>
    <col min="19" max="19" width="1.140625" customWidth="1"/>
    <col min="20" max="26" width="7.7109375" style="61" customWidth="1"/>
  </cols>
  <sheetData>
    <row r="1" spans="1:26">
      <c r="A1" s="47" t="s">
        <v>1528</v>
      </c>
      <c r="B1" s="47" t="s">
        <v>1248</v>
      </c>
      <c r="C1" s="49" t="s">
        <v>2206</v>
      </c>
      <c r="D1" s="50" t="s">
        <v>1258</v>
      </c>
      <c r="E1" s="48" t="s">
        <v>1261</v>
      </c>
      <c r="F1" s="74" t="s">
        <v>1864</v>
      </c>
      <c r="G1" s="66" t="s">
        <v>1529</v>
      </c>
      <c r="H1" s="73" t="s">
        <v>2443</v>
      </c>
      <c r="I1" s="52" t="s">
        <v>1254</v>
      </c>
      <c r="J1" s="47"/>
      <c r="K1" s="47" t="s">
        <v>1250</v>
      </c>
      <c r="L1" s="49" t="s">
        <v>2206</v>
      </c>
      <c r="M1" s="50" t="s">
        <v>1258</v>
      </c>
      <c r="N1" s="48" t="s">
        <v>1261</v>
      </c>
      <c r="O1" s="74" t="s">
        <v>1864</v>
      </c>
      <c r="P1" s="66" t="s">
        <v>1269</v>
      </c>
      <c r="Q1" s="73" t="s">
        <v>2443</v>
      </c>
      <c r="R1" s="52" t="s">
        <v>1254</v>
      </c>
      <c r="T1" s="49" t="s">
        <v>2206</v>
      </c>
      <c r="U1" s="50" t="s">
        <v>1258</v>
      </c>
      <c r="V1" s="48" t="s">
        <v>1261</v>
      </c>
      <c r="W1" s="74" t="s">
        <v>1864</v>
      </c>
      <c r="X1" s="66" t="s">
        <v>1529</v>
      </c>
      <c r="Y1" s="73" t="s">
        <v>2443</v>
      </c>
      <c r="Z1" s="60" t="s">
        <v>1254</v>
      </c>
    </row>
    <row r="2" spans="1:26">
      <c r="A2" s="56" t="s">
        <v>801</v>
      </c>
      <c r="B2" s="54">
        <f>SUM(C2:I2)</f>
        <v>6598</v>
      </c>
      <c r="C2" s="55">
        <v>1404</v>
      </c>
      <c r="D2" s="55">
        <v>548</v>
      </c>
      <c r="E2" s="55">
        <v>908</v>
      </c>
      <c r="F2" s="55">
        <v>1292</v>
      </c>
      <c r="G2" s="55">
        <v>0</v>
      </c>
      <c r="H2" s="55">
        <v>0</v>
      </c>
      <c r="I2" s="55">
        <v>2446</v>
      </c>
      <c r="K2" s="54">
        <f>SUM(L2:R2)</f>
        <v>4</v>
      </c>
      <c r="L2" s="55">
        <v>1</v>
      </c>
      <c r="M2" s="55">
        <v>0</v>
      </c>
      <c r="N2" s="55">
        <v>1</v>
      </c>
      <c r="O2" s="55">
        <v>1</v>
      </c>
      <c r="P2" s="55">
        <v>0</v>
      </c>
      <c r="Q2" s="55">
        <v>0</v>
      </c>
      <c r="R2" s="55">
        <v>1</v>
      </c>
      <c r="T2" s="61">
        <f t="shared" ref="T2:T7" si="0">SUM(C2/B2)</f>
        <v>0.21279175507729614</v>
      </c>
      <c r="U2" s="61">
        <f t="shared" ref="U2:U7" si="1">SUM(D2/B2)</f>
        <v>8.3055471354956042E-2</v>
      </c>
      <c r="V2" s="61">
        <f t="shared" ref="V2:V7" si="2">SUM(E2/B2)</f>
        <v>0.13761745983631404</v>
      </c>
      <c r="W2" s="61">
        <f t="shared" ref="W2:W7" si="3">SUM(F2/B2)</f>
        <v>0.19581691421642922</v>
      </c>
      <c r="X2" s="61">
        <f t="shared" ref="X2:X7" si="4">SUM(G2/B2)</f>
        <v>0</v>
      </c>
      <c r="Y2" s="61">
        <f t="shared" ref="Y2:Y7" si="5">SUM(H2/B2)</f>
        <v>0</v>
      </c>
      <c r="Z2" s="61">
        <f t="shared" ref="Z2:Z7" si="6">SUM(I2/B2)</f>
        <v>0.37071839951500457</v>
      </c>
    </row>
    <row r="3" spans="1:26">
      <c r="A3" s="56" t="s">
        <v>802</v>
      </c>
      <c r="B3" s="54">
        <f>SUM(C3:I3)</f>
        <v>5665</v>
      </c>
      <c r="C3" s="55">
        <v>2948</v>
      </c>
      <c r="D3" s="55">
        <v>796</v>
      </c>
      <c r="E3" s="55">
        <v>705</v>
      </c>
      <c r="F3" s="55">
        <v>1216</v>
      </c>
      <c r="G3" s="55">
        <v>0</v>
      </c>
      <c r="H3" s="55">
        <v>0</v>
      </c>
      <c r="I3" s="55">
        <v>0</v>
      </c>
      <c r="K3" s="54">
        <f>SUM(L3:R3)</f>
        <v>4</v>
      </c>
      <c r="L3" s="55">
        <v>2</v>
      </c>
      <c r="M3" s="55">
        <v>1</v>
      </c>
      <c r="N3" s="55">
        <v>0</v>
      </c>
      <c r="O3" s="55">
        <v>1</v>
      </c>
      <c r="P3" s="55">
        <v>0</v>
      </c>
      <c r="Q3" s="55">
        <v>0</v>
      </c>
      <c r="R3" s="55">
        <v>0</v>
      </c>
      <c r="T3" s="61">
        <f t="shared" si="0"/>
        <v>0.52038834951456314</v>
      </c>
      <c r="U3" s="61">
        <f t="shared" si="1"/>
        <v>0.14051191526919682</v>
      </c>
      <c r="V3" s="61">
        <f t="shared" si="2"/>
        <v>0.12444836716681378</v>
      </c>
      <c r="W3" s="61">
        <f t="shared" si="3"/>
        <v>0.21465136804942631</v>
      </c>
      <c r="X3" s="61">
        <f t="shared" si="4"/>
        <v>0</v>
      </c>
      <c r="Y3" s="61">
        <f t="shared" si="5"/>
        <v>0</v>
      </c>
      <c r="Z3" s="61">
        <f t="shared" si="6"/>
        <v>0</v>
      </c>
    </row>
    <row r="4" spans="1:26">
      <c r="A4" s="56" t="s">
        <v>803</v>
      </c>
      <c r="B4" s="54">
        <f>SUM(C4:I4)</f>
        <v>5920</v>
      </c>
      <c r="C4" s="55">
        <v>1634</v>
      </c>
      <c r="D4" s="55">
        <v>468</v>
      </c>
      <c r="E4" s="55">
        <v>976</v>
      </c>
      <c r="F4" s="55">
        <v>1994</v>
      </c>
      <c r="G4" s="55">
        <v>0</v>
      </c>
      <c r="H4" s="55">
        <v>0</v>
      </c>
      <c r="I4" s="55">
        <v>848</v>
      </c>
      <c r="K4" s="54">
        <f>SUM(L4:R4)</f>
        <v>4</v>
      </c>
      <c r="L4" s="55">
        <v>1</v>
      </c>
      <c r="M4" s="55">
        <v>0</v>
      </c>
      <c r="N4" s="55">
        <v>1</v>
      </c>
      <c r="O4" s="55">
        <v>1</v>
      </c>
      <c r="P4" s="55">
        <v>0</v>
      </c>
      <c r="Q4" s="55">
        <v>0</v>
      </c>
      <c r="R4" s="55">
        <v>1</v>
      </c>
      <c r="T4" s="61">
        <f t="shared" si="0"/>
        <v>0.2760135135135135</v>
      </c>
      <c r="U4" s="61">
        <f t="shared" si="1"/>
        <v>7.9054054054054052E-2</v>
      </c>
      <c r="V4" s="61">
        <f>SUM(E4/B4)</f>
        <v>0.16486486486486487</v>
      </c>
      <c r="W4" s="61">
        <f t="shared" si="3"/>
        <v>0.3368243243243243</v>
      </c>
      <c r="X4" s="61">
        <f t="shared" si="4"/>
        <v>0</v>
      </c>
      <c r="Y4" s="61">
        <f t="shared" si="5"/>
        <v>0</v>
      </c>
      <c r="Z4" s="61">
        <f t="shared" si="6"/>
        <v>0.14324324324324325</v>
      </c>
    </row>
    <row r="5" spans="1:26">
      <c r="A5" s="56" t="s">
        <v>804</v>
      </c>
      <c r="B5" s="54">
        <f>SUM(C5:I5)</f>
        <v>6287</v>
      </c>
      <c r="C5" s="55">
        <v>2315</v>
      </c>
      <c r="D5" s="55">
        <v>1171</v>
      </c>
      <c r="E5" s="55">
        <v>1630</v>
      </c>
      <c r="F5" s="55">
        <v>992</v>
      </c>
      <c r="G5" s="55">
        <v>179</v>
      </c>
      <c r="H5" s="55">
        <v>0</v>
      </c>
      <c r="I5" s="55">
        <v>0</v>
      </c>
      <c r="K5" s="54">
        <f>SUM(L5:R5)</f>
        <v>4</v>
      </c>
      <c r="L5" s="55">
        <v>2</v>
      </c>
      <c r="M5" s="55">
        <v>1</v>
      </c>
      <c r="N5" s="55">
        <v>1</v>
      </c>
      <c r="O5" s="55">
        <v>0</v>
      </c>
      <c r="P5" s="55">
        <v>0</v>
      </c>
      <c r="Q5" s="55">
        <v>0</v>
      </c>
      <c r="R5" s="55">
        <v>0</v>
      </c>
      <c r="T5" s="61">
        <f t="shared" si="0"/>
        <v>0.36822013679020199</v>
      </c>
      <c r="U5" s="61">
        <f t="shared" si="1"/>
        <v>0.18625735644981709</v>
      </c>
      <c r="V5" s="61">
        <f t="shared" si="2"/>
        <v>0.25926515031016384</v>
      </c>
      <c r="W5" s="61">
        <f t="shared" si="3"/>
        <v>0.15778590742802609</v>
      </c>
      <c r="X5" s="61">
        <f t="shared" si="4"/>
        <v>2.8471449021790999E-2</v>
      </c>
      <c r="Y5" s="61">
        <f t="shared" si="5"/>
        <v>0</v>
      </c>
      <c r="Z5" s="61">
        <f t="shared" si="6"/>
        <v>0</v>
      </c>
    </row>
    <row r="6" spans="1:26">
      <c r="A6" s="56" t="s">
        <v>805</v>
      </c>
      <c r="B6" s="54">
        <f>SUM(C6:I6)</f>
        <v>6111</v>
      </c>
      <c r="C6" s="55">
        <v>2094</v>
      </c>
      <c r="D6" s="55">
        <v>767</v>
      </c>
      <c r="E6" s="55">
        <v>1217</v>
      </c>
      <c r="F6" s="55">
        <v>1373</v>
      </c>
      <c r="G6" s="55">
        <v>298</v>
      </c>
      <c r="H6" s="55">
        <v>0</v>
      </c>
      <c r="I6" s="55">
        <v>362</v>
      </c>
      <c r="J6" s="55"/>
      <c r="K6" s="54">
        <f>SUM(L6:R6)</f>
        <v>4</v>
      </c>
      <c r="L6" s="55">
        <v>2</v>
      </c>
      <c r="M6" s="55">
        <v>0</v>
      </c>
      <c r="N6" s="55">
        <v>1</v>
      </c>
      <c r="O6" s="55">
        <v>1</v>
      </c>
      <c r="P6" s="55">
        <v>0</v>
      </c>
      <c r="Q6" s="55">
        <v>0</v>
      </c>
      <c r="R6" s="55">
        <v>0</v>
      </c>
      <c r="T6" s="61">
        <f t="shared" si="0"/>
        <v>0.34266077565046638</v>
      </c>
      <c r="U6" s="61">
        <f t="shared" si="1"/>
        <v>0.12551137293405334</v>
      </c>
      <c r="V6" s="61">
        <f t="shared" si="2"/>
        <v>0.19914907543773522</v>
      </c>
      <c r="W6" s="61">
        <f t="shared" si="3"/>
        <v>0.22467681230567829</v>
      </c>
      <c r="X6" s="61">
        <f t="shared" si="4"/>
        <v>4.8764522991327115E-2</v>
      </c>
      <c r="Y6" s="61">
        <f t="shared" si="5"/>
        <v>0</v>
      </c>
      <c r="Z6" s="61">
        <f t="shared" si="6"/>
        <v>5.9237440680739648E-2</v>
      </c>
    </row>
    <row r="7" spans="1:26" s="52" customFormat="1">
      <c r="A7" s="53" t="s">
        <v>1532</v>
      </c>
      <c r="B7" s="54">
        <f>SUM(B2:B6)</f>
        <v>30581</v>
      </c>
      <c r="C7" s="54">
        <f t="shared" ref="C7:N7" si="7">SUM(C2:C6)</f>
        <v>10395</v>
      </c>
      <c r="D7" s="54">
        <f>SUM(D2:D6)</f>
        <v>3750</v>
      </c>
      <c r="E7" s="54">
        <f t="shared" si="7"/>
        <v>5436</v>
      </c>
      <c r="F7" s="54">
        <f>SUM(F2:F6)</f>
        <v>6867</v>
      </c>
      <c r="G7" s="54">
        <f>SUM(G2:G6)</f>
        <v>477</v>
      </c>
      <c r="H7" s="54">
        <f>SUM(H2:H6)</f>
        <v>0</v>
      </c>
      <c r="I7" s="54">
        <f>SUM(I2:I6)</f>
        <v>3656</v>
      </c>
      <c r="J7" s="54"/>
      <c r="K7" s="54">
        <f t="shared" si="7"/>
        <v>20</v>
      </c>
      <c r="L7" s="54">
        <f t="shared" si="7"/>
        <v>8</v>
      </c>
      <c r="M7" s="54">
        <f t="shared" si="7"/>
        <v>2</v>
      </c>
      <c r="N7" s="54">
        <f t="shared" si="7"/>
        <v>4</v>
      </c>
      <c r="O7" s="54">
        <f>SUM(O2:O6)</f>
        <v>4</v>
      </c>
      <c r="P7" s="54">
        <f>SUM(P2:P6)</f>
        <v>0</v>
      </c>
      <c r="Q7" s="54">
        <f>SUM(Q2:Q6)</f>
        <v>0</v>
      </c>
      <c r="R7" s="54">
        <f>SUM(R2:R6)</f>
        <v>2</v>
      </c>
      <c r="T7" s="60">
        <f t="shared" si="0"/>
        <v>0.33991694189202448</v>
      </c>
      <c r="U7" s="60">
        <f t="shared" si="1"/>
        <v>0.12262515941270724</v>
      </c>
      <c r="V7" s="60">
        <f t="shared" si="2"/>
        <v>0.17775743108466041</v>
      </c>
      <c r="W7" s="60">
        <f t="shared" si="3"/>
        <v>0.22455119191654949</v>
      </c>
      <c r="X7" s="60">
        <f t="shared" si="4"/>
        <v>1.5597920277296361E-2</v>
      </c>
      <c r="Y7" s="60">
        <f t="shared" si="5"/>
        <v>0</v>
      </c>
      <c r="Z7" s="60">
        <f t="shared" si="6"/>
        <v>0.11955135541676204</v>
      </c>
    </row>
    <row r="8" spans="1:26">
      <c r="A8" s="53"/>
      <c r="B8" s="54"/>
      <c r="C8" s="55"/>
      <c r="D8" s="55"/>
      <c r="E8" s="55"/>
      <c r="F8" s="55"/>
      <c r="G8" s="55"/>
      <c r="H8" s="55"/>
      <c r="I8" s="55"/>
      <c r="K8" s="54"/>
      <c r="L8" s="55"/>
      <c r="M8" s="55"/>
      <c r="N8" s="55"/>
      <c r="O8" s="55"/>
      <c r="P8" s="55"/>
      <c r="Q8" s="55"/>
      <c r="R8" s="55"/>
    </row>
    <row r="9" spans="1:26">
      <c r="A9" s="56" t="s">
        <v>228</v>
      </c>
      <c r="B9" s="54">
        <f>SUM(C9:I9)</f>
        <v>5444</v>
      </c>
      <c r="C9" s="55">
        <v>1336</v>
      </c>
      <c r="D9" s="55">
        <v>804</v>
      </c>
      <c r="E9" s="55">
        <v>1754</v>
      </c>
      <c r="F9" s="55">
        <v>1267</v>
      </c>
      <c r="G9" s="55">
        <v>87</v>
      </c>
      <c r="H9" s="55">
        <v>0</v>
      </c>
      <c r="I9" s="55">
        <v>196</v>
      </c>
      <c r="K9" s="54">
        <f>SUM(L9:R9)</f>
        <v>5</v>
      </c>
      <c r="L9" s="55">
        <v>1</v>
      </c>
      <c r="M9" s="55">
        <v>1</v>
      </c>
      <c r="N9" s="55">
        <v>2</v>
      </c>
      <c r="O9" s="55">
        <v>1</v>
      </c>
      <c r="P9" s="55">
        <v>0</v>
      </c>
      <c r="Q9" s="55">
        <v>0</v>
      </c>
      <c r="R9" s="55">
        <v>0</v>
      </c>
      <c r="T9" s="61">
        <f>SUM(C9/B9)</f>
        <v>0.24540778839088906</v>
      </c>
      <c r="U9" s="61">
        <f>SUM(D9/B9)</f>
        <v>0.14768552534900808</v>
      </c>
      <c r="V9" s="61">
        <f>SUM(E9/B9)</f>
        <v>0.32218956649522412</v>
      </c>
      <c r="W9" s="61">
        <f>SUM(F9/B9)</f>
        <v>0.23273328434974283</v>
      </c>
      <c r="X9" s="61">
        <f>SUM(G9/B9)</f>
        <v>1.5980896399706099E-2</v>
      </c>
      <c r="Y9" s="61">
        <f>SUM(H9/B9)</f>
        <v>0</v>
      </c>
      <c r="Z9" s="61">
        <f>SUM(I9/B9)</f>
        <v>3.6002939015429829E-2</v>
      </c>
    </row>
    <row r="10" spans="1:26">
      <c r="A10" s="56" t="s">
        <v>229</v>
      </c>
      <c r="B10" s="54">
        <f>SUM(C10:I10)</f>
        <v>4511</v>
      </c>
      <c r="C10" s="55">
        <v>1148</v>
      </c>
      <c r="D10" s="55">
        <v>766</v>
      </c>
      <c r="E10" s="55">
        <v>393</v>
      </c>
      <c r="F10" s="55">
        <v>623</v>
      </c>
      <c r="G10" s="55">
        <v>570</v>
      </c>
      <c r="H10" s="55">
        <v>407</v>
      </c>
      <c r="I10" s="55">
        <v>604</v>
      </c>
      <c r="K10" s="54">
        <f>SUM(L10:R10)</f>
        <v>4</v>
      </c>
      <c r="L10" s="55">
        <v>1</v>
      </c>
      <c r="M10" s="55">
        <v>1</v>
      </c>
      <c r="N10" s="55">
        <v>0</v>
      </c>
      <c r="O10" s="55">
        <v>1</v>
      </c>
      <c r="P10" s="55">
        <v>1</v>
      </c>
      <c r="Q10" s="55">
        <v>0</v>
      </c>
      <c r="R10" s="55">
        <v>0</v>
      </c>
      <c r="T10" s="61">
        <f>SUM(C10/B10)</f>
        <v>0.25448902682332075</v>
      </c>
      <c r="U10" s="61">
        <f>SUM(D10/B10)</f>
        <v>0.16980713810684991</v>
      </c>
      <c r="V10" s="61">
        <f>SUM(E10/B10)</f>
        <v>8.712037242296608E-2</v>
      </c>
      <c r="W10" s="61">
        <f t="shared" ref="W10:W73" si="8">SUM(F10/B10)</f>
        <v>0.13810684992241187</v>
      </c>
      <c r="X10" s="61">
        <f>SUM(G10/B10)</f>
        <v>0.12635779206384393</v>
      </c>
      <c r="Y10" s="61">
        <f>SUM(H10/B10)</f>
        <v>9.0223897140323653E-2</v>
      </c>
      <c r="Z10" s="61">
        <f>SUM(I10/B10)</f>
        <v>0.13389492352028376</v>
      </c>
    </row>
    <row r="11" spans="1:26">
      <c r="A11" s="56" t="s">
        <v>230</v>
      </c>
      <c r="B11" s="54">
        <f>SUM(C11:I11)</f>
        <v>7515</v>
      </c>
      <c r="C11" s="55">
        <v>1305</v>
      </c>
      <c r="D11" s="55">
        <v>1450</v>
      </c>
      <c r="E11" s="55">
        <v>2280</v>
      </c>
      <c r="F11" s="55">
        <v>1347</v>
      </c>
      <c r="G11" s="55">
        <v>1059</v>
      </c>
      <c r="H11" s="55">
        <v>0</v>
      </c>
      <c r="I11" s="55">
        <v>74</v>
      </c>
      <c r="K11" s="54">
        <f>SUM(L11:R11)</f>
        <v>7</v>
      </c>
      <c r="L11" s="55">
        <v>2</v>
      </c>
      <c r="M11" s="55">
        <v>1</v>
      </c>
      <c r="N11" s="55">
        <v>2</v>
      </c>
      <c r="O11" s="55">
        <v>1</v>
      </c>
      <c r="P11" s="55">
        <v>1</v>
      </c>
      <c r="Q11" s="55">
        <v>0</v>
      </c>
      <c r="R11" s="55">
        <v>0</v>
      </c>
      <c r="T11" s="61">
        <f>SUM(C11/B11)</f>
        <v>0.17365269461077845</v>
      </c>
      <c r="U11" s="61">
        <f>SUM(D11/B11)</f>
        <v>0.19294743845642048</v>
      </c>
      <c r="V11" s="61">
        <f>SUM(E11/B11)</f>
        <v>0.30339321357285431</v>
      </c>
      <c r="W11" s="61">
        <f t="shared" si="8"/>
        <v>0.17924151696606785</v>
      </c>
      <c r="X11" s="61">
        <f>SUM(G11/B11)</f>
        <v>0.14091816367265469</v>
      </c>
      <c r="Y11" s="61">
        <f>SUM(H11/B11)</f>
        <v>0</v>
      </c>
      <c r="Z11" s="61">
        <f>SUM(I11/B11)</f>
        <v>9.8469727212242182E-3</v>
      </c>
    </row>
    <row r="12" spans="1:26">
      <c r="A12" s="56" t="s">
        <v>231</v>
      </c>
      <c r="B12" s="54">
        <f>SUM(C12:I12)</f>
        <v>4171</v>
      </c>
      <c r="C12" s="55">
        <v>427</v>
      </c>
      <c r="D12" s="55">
        <v>576</v>
      </c>
      <c r="E12" s="55">
        <v>986</v>
      </c>
      <c r="F12" s="55">
        <v>1572</v>
      </c>
      <c r="G12" s="55">
        <v>235</v>
      </c>
      <c r="H12" s="55">
        <v>0</v>
      </c>
      <c r="I12" s="55">
        <v>375</v>
      </c>
      <c r="K12" s="54">
        <f>SUM(L12:R12)</f>
        <v>4</v>
      </c>
      <c r="L12" s="55">
        <v>0</v>
      </c>
      <c r="M12" s="55">
        <v>1</v>
      </c>
      <c r="N12" s="55">
        <v>1</v>
      </c>
      <c r="O12" s="55">
        <v>2</v>
      </c>
      <c r="P12" s="55">
        <v>0</v>
      </c>
      <c r="Q12" s="55">
        <v>0</v>
      </c>
      <c r="R12" s="55">
        <v>0</v>
      </c>
      <c r="T12" s="61">
        <f>SUM(C12/B12)</f>
        <v>0.10237353152721169</v>
      </c>
      <c r="U12" s="61">
        <f>SUM(D12/B12)</f>
        <v>0.13809637976504435</v>
      </c>
      <c r="V12" s="61">
        <f>SUM(E12/B12)</f>
        <v>0.23639415008391274</v>
      </c>
      <c r="W12" s="61">
        <f t="shared" si="8"/>
        <v>0.37688803644210023</v>
      </c>
      <c r="X12" s="61">
        <f>SUM(G12/B12)</f>
        <v>5.6341404938863582E-2</v>
      </c>
      <c r="Y12" s="61">
        <f>SUM(H12/B12)</f>
        <v>0</v>
      </c>
      <c r="Z12" s="61">
        <f>SUM(I12/B12)</f>
        <v>8.9906497242867423E-2</v>
      </c>
    </row>
    <row r="13" spans="1:26" s="52" customFormat="1">
      <c r="A13" s="53" t="s">
        <v>1531</v>
      </c>
      <c r="B13" s="54">
        <f>SUM(B9:B12)</f>
        <v>21641</v>
      </c>
      <c r="C13" s="54">
        <f t="shared" ref="C13:N13" si="9">SUM(C9:C12)</f>
        <v>4216</v>
      </c>
      <c r="D13" s="54">
        <f>SUM(D9:D12)</f>
        <v>3596</v>
      </c>
      <c r="E13" s="54">
        <f t="shared" si="9"/>
        <v>5413</v>
      </c>
      <c r="F13" s="54">
        <f>SUM(F9:F12)</f>
        <v>4809</v>
      </c>
      <c r="G13" s="54">
        <f>SUM(G9:G12)</f>
        <v>1951</v>
      </c>
      <c r="H13" s="54">
        <f>SUM(H9:H12)</f>
        <v>407</v>
      </c>
      <c r="I13" s="54">
        <f>SUM(I9:I12)</f>
        <v>1249</v>
      </c>
      <c r="J13" s="54"/>
      <c r="K13" s="54">
        <f t="shared" si="9"/>
        <v>20</v>
      </c>
      <c r="L13" s="54">
        <f t="shared" si="9"/>
        <v>4</v>
      </c>
      <c r="M13" s="54">
        <f t="shared" si="9"/>
        <v>4</v>
      </c>
      <c r="N13" s="54">
        <f t="shared" si="9"/>
        <v>5</v>
      </c>
      <c r="O13" s="54">
        <f>SUM(O9:O12)</f>
        <v>5</v>
      </c>
      <c r="P13" s="54">
        <f>SUM(P9:P12)</f>
        <v>2</v>
      </c>
      <c r="Q13" s="54">
        <f>SUM(Q9:Q12)</f>
        <v>0</v>
      </c>
      <c r="R13" s="54">
        <f>SUM(R9:R12)</f>
        <v>0</v>
      </c>
      <c r="T13" s="60">
        <f>SUM(C13/B13)</f>
        <v>0.19481539670070699</v>
      </c>
      <c r="U13" s="60">
        <f>SUM(D13/B13)</f>
        <v>0.16616607365648536</v>
      </c>
      <c r="V13" s="60">
        <f>SUM(E13/B13)</f>
        <v>0.25012707361027681</v>
      </c>
      <c r="W13" s="60">
        <f t="shared" si="8"/>
        <v>0.2222170879349383</v>
      </c>
      <c r="X13" s="60">
        <f>SUM(G13/B13)</f>
        <v>9.0152950418187702E-2</v>
      </c>
      <c r="Y13" s="60">
        <f>SUM(H13/B13)</f>
        <v>1.8806894320964836E-2</v>
      </c>
      <c r="Z13" s="60">
        <f>SUM(I13/B13)</f>
        <v>5.7714523358439997E-2</v>
      </c>
    </row>
    <row r="14" spans="1:26">
      <c r="A14" s="53"/>
      <c r="B14" s="54"/>
      <c r="C14" s="55"/>
      <c r="D14" s="55"/>
      <c r="E14" s="55"/>
      <c r="F14" s="55"/>
      <c r="G14" s="55"/>
      <c r="H14" s="55"/>
      <c r="I14" s="55"/>
      <c r="K14" s="54"/>
      <c r="L14" s="55"/>
      <c r="M14" s="55"/>
      <c r="N14" s="55"/>
      <c r="O14" s="55"/>
      <c r="P14" s="55"/>
      <c r="Q14" s="55"/>
      <c r="R14" s="55"/>
      <c r="W14" s="105"/>
    </row>
    <row r="15" spans="1:26">
      <c r="A15" s="56" t="s">
        <v>232</v>
      </c>
      <c r="B15" s="54">
        <f>SUM(C15:I15)</f>
        <v>5969</v>
      </c>
      <c r="C15" s="55">
        <v>1504</v>
      </c>
      <c r="D15" s="55">
        <v>2116</v>
      </c>
      <c r="E15" s="55">
        <v>1029</v>
      </c>
      <c r="F15" s="55">
        <v>0</v>
      </c>
      <c r="G15" s="55">
        <v>0</v>
      </c>
      <c r="H15" s="55">
        <v>0</v>
      </c>
      <c r="I15" s="55">
        <v>1320</v>
      </c>
      <c r="K15" s="54">
        <f>SUM(L15:R15)</f>
        <v>5</v>
      </c>
      <c r="L15" s="55">
        <v>1</v>
      </c>
      <c r="M15" s="55">
        <v>2</v>
      </c>
      <c r="N15" s="55">
        <v>1</v>
      </c>
      <c r="O15" s="55">
        <v>0</v>
      </c>
      <c r="P15" s="55">
        <v>0</v>
      </c>
      <c r="Q15" s="55">
        <v>0</v>
      </c>
      <c r="R15" s="55">
        <v>1</v>
      </c>
      <c r="T15" s="61">
        <f>SUM(C15/B15)</f>
        <v>0.25196850393700787</v>
      </c>
      <c r="U15" s="61">
        <f>SUM(D15/B15)</f>
        <v>0.35449824091137544</v>
      </c>
      <c r="V15" s="61">
        <f>SUM(E15/B15)</f>
        <v>0.17239068520690232</v>
      </c>
      <c r="W15" s="105">
        <f t="shared" si="8"/>
        <v>0</v>
      </c>
      <c r="X15" s="61">
        <f>SUM(G15/B15)</f>
        <v>0</v>
      </c>
      <c r="Y15" s="61">
        <f>SUM(H15/B15)</f>
        <v>0</v>
      </c>
      <c r="Z15" s="61">
        <f>SUM(I15/B15)</f>
        <v>0.22114256994471435</v>
      </c>
    </row>
    <row r="16" spans="1:26">
      <c r="A16" s="56" t="s">
        <v>233</v>
      </c>
      <c r="B16" s="54">
        <f>SUM(C16:I16)</f>
        <v>5820</v>
      </c>
      <c r="C16" s="55">
        <v>1591</v>
      </c>
      <c r="D16" s="55">
        <v>1800</v>
      </c>
      <c r="E16" s="55">
        <v>1414</v>
      </c>
      <c r="F16" s="55">
        <v>0</v>
      </c>
      <c r="G16" s="55">
        <v>0</v>
      </c>
      <c r="H16" s="55">
        <v>0</v>
      </c>
      <c r="I16" s="55">
        <v>1015</v>
      </c>
      <c r="K16" s="54">
        <f>SUM(L16:R16)</f>
        <v>5</v>
      </c>
      <c r="L16" s="55">
        <v>2</v>
      </c>
      <c r="M16" s="55">
        <v>1</v>
      </c>
      <c r="N16" s="55">
        <v>1</v>
      </c>
      <c r="O16" s="55">
        <v>0</v>
      </c>
      <c r="P16" s="55">
        <v>0</v>
      </c>
      <c r="Q16" s="55">
        <v>0</v>
      </c>
      <c r="R16" s="55">
        <v>1</v>
      </c>
      <c r="T16" s="61">
        <f>SUM(C16/B16)</f>
        <v>0.27336769759450169</v>
      </c>
      <c r="U16" s="61">
        <f>SUM(D16/B16)</f>
        <v>0.30927835051546393</v>
      </c>
      <c r="V16" s="61">
        <f>SUM(E16/B16)</f>
        <v>0.2429553264604811</v>
      </c>
      <c r="W16" s="105">
        <f t="shared" si="8"/>
        <v>0</v>
      </c>
      <c r="X16" s="61">
        <f>SUM(G16/B16)</f>
        <v>0</v>
      </c>
      <c r="Y16" s="61">
        <f>SUM(H16/B16)</f>
        <v>0</v>
      </c>
      <c r="Z16" s="61">
        <f>SUM(I16/B16)</f>
        <v>0.17439862542955326</v>
      </c>
    </row>
    <row r="17" spans="1:26">
      <c r="A17" s="56" t="s">
        <v>234</v>
      </c>
      <c r="B17" s="54">
        <f>SUM(C17:I17)</f>
        <v>5301</v>
      </c>
      <c r="C17" s="55">
        <v>450</v>
      </c>
      <c r="D17" s="55">
        <v>371</v>
      </c>
      <c r="E17" s="55">
        <v>1446</v>
      </c>
      <c r="F17" s="55">
        <v>0</v>
      </c>
      <c r="G17" s="55">
        <v>288</v>
      </c>
      <c r="H17" s="55">
        <v>0</v>
      </c>
      <c r="I17" s="55">
        <v>2746</v>
      </c>
      <c r="K17" s="54">
        <f>SUM(L17:R17)</f>
        <v>5</v>
      </c>
      <c r="L17" s="55">
        <v>1</v>
      </c>
      <c r="M17" s="55">
        <v>0</v>
      </c>
      <c r="N17" s="55">
        <v>2</v>
      </c>
      <c r="O17" s="55">
        <v>0</v>
      </c>
      <c r="P17" s="55">
        <v>0</v>
      </c>
      <c r="Q17" s="55">
        <v>0</v>
      </c>
      <c r="R17" s="55">
        <v>2</v>
      </c>
      <c r="T17" s="61">
        <f>SUM(C17/B17)</f>
        <v>8.4889643463497449E-2</v>
      </c>
      <c r="U17" s="61">
        <f>SUM(D17/B17)</f>
        <v>6.9986794944350117E-2</v>
      </c>
      <c r="V17" s="61">
        <f>SUM(E17/B17)</f>
        <v>0.2727787209960385</v>
      </c>
      <c r="W17" s="105">
        <f t="shared" si="8"/>
        <v>0</v>
      </c>
      <c r="X17" s="61">
        <f>SUM(G17/B17)</f>
        <v>5.4329371816638369E-2</v>
      </c>
      <c r="Y17" s="61">
        <f>SUM(H17/B17)</f>
        <v>0</v>
      </c>
      <c r="Z17" s="61">
        <f>SUM(I17/B17)</f>
        <v>0.51801546877947557</v>
      </c>
    </row>
    <row r="18" spans="1:26" s="52" customFormat="1">
      <c r="A18" s="53" t="s">
        <v>1533</v>
      </c>
      <c r="B18" s="54">
        <f>SUM(B15:B17)</f>
        <v>17090</v>
      </c>
      <c r="C18" s="54">
        <f t="shared" ref="C18:N18" si="10">SUM(C15:C17)</f>
        <v>3545</v>
      </c>
      <c r="D18" s="54">
        <f>SUM(D15:D17)</f>
        <v>4287</v>
      </c>
      <c r="E18" s="54">
        <f t="shared" si="10"/>
        <v>3889</v>
      </c>
      <c r="F18" s="54">
        <f>SUM(F15:F17)</f>
        <v>0</v>
      </c>
      <c r="G18" s="54">
        <f>SUM(G15:G17)</f>
        <v>288</v>
      </c>
      <c r="H18" s="54">
        <f>SUM(H15:H17)</f>
        <v>0</v>
      </c>
      <c r="I18" s="54">
        <f>SUM(I15:I17)</f>
        <v>5081</v>
      </c>
      <c r="J18" s="54"/>
      <c r="K18" s="54">
        <f t="shared" si="10"/>
        <v>15</v>
      </c>
      <c r="L18" s="54">
        <f t="shared" si="10"/>
        <v>4</v>
      </c>
      <c r="M18" s="54">
        <f t="shared" si="10"/>
        <v>3</v>
      </c>
      <c r="N18" s="54">
        <f t="shared" si="10"/>
        <v>4</v>
      </c>
      <c r="O18" s="54">
        <f>SUM(O15:O17)</f>
        <v>0</v>
      </c>
      <c r="P18" s="54">
        <f>SUM(P15:P17)</f>
        <v>0</v>
      </c>
      <c r="Q18" s="54">
        <f>SUM(Q15:Q17)</f>
        <v>0</v>
      </c>
      <c r="R18" s="54">
        <f>SUM(R15:R17)</f>
        <v>4</v>
      </c>
      <c r="T18" s="60">
        <f>SUM(C18/B18)</f>
        <v>0.20743124634289059</v>
      </c>
      <c r="U18" s="60">
        <f>SUM(D18/B18)</f>
        <v>0.25084844938560563</v>
      </c>
      <c r="V18" s="60">
        <f>SUM(E18/B18)</f>
        <v>0.2275599765944997</v>
      </c>
      <c r="W18" s="60">
        <f t="shared" si="8"/>
        <v>0</v>
      </c>
      <c r="X18" s="60">
        <f>SUM(G18/B18)</f>
        <v>1.6851960210649504E-2</v>
      </c>
      <c r="Y18" s="60">
        <f>SUM(H18/B18)</f>
        <v>0</v>
      </c>
      <c r="Z18" s="60">
        <f>SUM(I18/B18)</f>
        <v>0.29730836746635458</v>
      </c>
    </row>
    <row r="19" spans="1:26">
      <c r="A19" s="53"/>
      <c r="B19" s="54"/>
      <c r="C19" s="55"/>
      <c r="D19" s="55"/>
      <c r="E19" s="55"/>
      <c r="F19" s="55"/>
      <c r="G19" s="55"/>
      <c r="H19" s="55"/>
      <c r="I19" s="55"/>
      <c r="K19" s="54"/>
      <c r="L19" s="55"/>
      <c r="M19" s="55"/>
      <c r="N19" s="55"/>
      <c r="O19" s="55"/>
      <c r="P19" s="55"/>
      <c r="Q19" s="55"/>
      <c r="R19" s="55"/>
      <c r="W19" s="105"/>
    </row>
    <row r="20" spans="1:26">
      <c r="A20" s="56" t="s">
        <v>235</v>
      </c>
      <c r="B20" s="54">
        <f>SUM(C20:I20)</f>
        <v>5934</v>
      </c>
      <c r="C20" s="55">
        <v>1979</v>
      </c>
      <c r="D20" s="55">
        <v>1153</v>
      </c>
      <c r="E20" s="55">
        <v>1745</v>
      </c>
      <c r="F20" s="55">
        <v>0</v>
      </c>
      <c r="G20" s="55">
        <v>0</v>
      </c>
      <c r="H20" s="55">
        <v>0</v>
      </c>
      <c r="I20" s="55">
        <v>1057</v>
      </c>
      <c r="K20" s="54">
        <f>SUM(L20:R20)</f>
        <v>5</v>
      </c>
      <c r="L20" s="55">
        <v>2</v>
      </c>
      <c r="M20" s="55">
        <v>1</v>
      </c>
      <c r="N20" s="55">
        <v>1</v>
      </c>
      <c r="O20" s="55">
        <v>0</v>
      </c>
      <c r="P20" s="55">
        <v>0</v>
      </c>
      <c r="Q20" s="55">
        <v>0</v>
      </c>
      <c r="R20" s="55">
        <v>1</v>
      </c>
      <c r="T20" s="61">
        <f>SUM(C20/B20)</f>
        <v>0.33350185372430063</v>
      </c>
      <c r="U20" s="61">
        <f>SUM(D20/B20)</f>
        <v>0.19430401078530501</v>
      </c>
      <c r="V20" s="61">
        <f>SUM(E20/B20)</f>
        <v>0.29406808223795078</v>
      </c>
      <c r="W20" s="105">
        <f t="shared" si="8"/>
        <v>0</v>
      </c>
      <c r="X20" s="61">
        <f>SUM(G20/B20)</f>
        <v>0</v>
      </c>
      <c r="Y20" s="61">
        <f>SUM(H20/B20)</f>
        <v>0</v>
      </c>
      <c r="Z20" s="61">
        <f>SUM(I20/B20)</f>
        <v>0.17812605325244354</v>
      </c>
    </row>
    <row r="21" spans="1:26">
      <c r="A21" s="56" t="s">
        <v>236</v>
      </c>
      <c r="B21" s="54">
        <f>SUM(C21:I21)</f>
        <v>5976</v>
      </c>
      <c r="C21" s="55">
        <v>918</v>
      </c>
      <c r="D21" s="55">
        <v>497</v>
      </c>
      <c r="E21" s="55">
        <v>1138</v>
      </c>
      <c r="F21" s="55">
        <v>0</v>
      </c>
      <c r="G21" s="55">
        <v>0</v>
      </c>
      <c r="H21" s="55">
        <v>0</v>
      </c>
      <c r="I21" s="55">
        <v>3423</v>
      </c>
      <c r="K21" s="54">
        <f>SUM(L21:R21)</f>
        <v>5</v>
      </c>
      <c r="L21" s="55">
        <v>1</v>
      </c>
      <c r="M21" s="55">
        <v>0</v>
      </c>
      <c r="N21" s="55">
        <v>1</v>
      </c>
      <c r="O21" s="55">
        <v>0</v>
      </c>
      <c r="P21" s="55">
        <v>0</v>
      </c>
      <c r="Q21" s="55">
        <v>0</v>
      </c>
      <c r="R21" s="55">
        <v>3</v>
      </c>
      <c r="T21" s="61">
        <f>SUM(C21/B21)</f>
        <v>0.1536144578313253</v>
      </c>
      <c r="U21" s="61">
        <f>SUM(D21/B21)</f>
        <v>8.3165997322623822E-2</v>
      </c>
      <c r="V21" s="61">
        <f>SUM(E21/B21)</f>
        <v>0.19042838018741634</v>
      </c>
      <c r="W21" s="105">
        <f t="shared" si="8"/>
        <v>0</v>
      </c>
      <c r="X21" s="61">
        <f>SUM(G21/B21)</f>
        <v>0</v>
      </c>
      <c r="Y21" s="61">
        <f>SUM(H21/B21)</f>
        <v>0</v>
      </c>
      <c r="Z21" s="61">
        <f>SUM(I21/B21)</f>
        <v>0.57279116465863456</v>
      </c>
    </row>
    <row r="22" spans="1:26">
      <c r="A22" s="56" t="s">
        <v>237</v>
      </c>
      <c r="B22" s="54">
        <f>SUM(C22:I22)</f>
        <v>5751</v>
      </c>
      <c r="C22" s="55">
        <v>2199</v>
      </c>
      <c r="D22" s="55">
        <v>1361</v>
      </c>
      <c r="E22" s="55">
        <v>1324</v>
      </c>
      <c r="F22" s="55">
        <v>0</v>
      </c>
      <c r="G22" s="55">
        <v>0</v>
      </c>
      <c r="H22" s="55">
        <v>0</v>
      </c>
      <c r="I22" s="55">
        <v>867</v>
      </c>
      <c r="K22" s="54">
        <f>SUM(L22:R22)</f>
        <v>5</v>
      </c>
      <c r="L22" s="55">
        <v>3</v>
      </c>
      <c r="M22" s="55">
        <v>1</v>
      </c>
      <c r="N22" s="55">
        <v>1</v>
      </c>
      <c r="O22" s="55">
        <v>0</v>
      </c>
      <c r="P22" s="55">
        <v>0</v>
      </c>
      <c r="Q22" s="55">
        <v>0</v>
      </c>
      <c r="R22" s="55">
        <v>0</v>
      </c>
      <c r="T22" s="61">
        <f>SUM(C22/B22)</f>
        <v>0.38236828377673449</v>
      </c>
      <c r="U22" s="61">
        <f>SUM(D22/B22)</f>
        <v>0.23665449487045731</v>
      </c>
      <c r="V22" s="61">
        <f>SUM(E22/B22)</f>
        <v>0.2302208311597983</v>
      </c>
      <c r="W22" s="105">
        <f t="shared" si="8"/>
        <v>0</v>
      </c>
      <c r="X22" s="61">
        <f>SUM(G22/B22)</f>
        <v>0</v>
      </c>
      <c r="Y22" s="61">
        <f>SUM(H22/B22)</f>
        <v>0</v>
      </c>
      <c r="Z22" s="61">
        <f>SUM(I22/B22)</f>
        <v>0.1507563901930099</v>
      </c>
    </row>
    <row r="23" spans="1:26">
      <c r="A23" s="56" t="s">
        <v>238</v>
      </c>
      <c r="B23" s="54">
        <f>SUM(C23:I23)</f>
        <v>5647</v>
      </c>
      <c r="C23" s="55">
        <v>2131</v>
      </c>
      <c r="D23" s="55">
        <v>1124</v>
      </c>
      <c r="E23" s="55">
        <v>579</v>
      </c>
      <c r="F23" s="55">
        <v>1062</v>
      </c>
      <c r="G23" s="55">
        <v>0</v>
      </c>
      <c r="H23" s="55">
        <v>0</v>
      </c>
      <c r="I23" s="55">
        <v>751</v>
      </c>
      <c r="K23" s="54">
        <f>SUM(L23:R23)</f>
        <v>5</v>
      </c>
      <c r="L23" s="55">
        <v>2</v>
      </c>
      <c r="M23" s="55">
        <v>1</v>
      </c>
      <c r="N23" s="55">
        <v>0</v>
      </c>
      <c r="O23" s="55">
        <v>1</v>
      </c>
      <c r="P23" s="55">
        <v>0</v>
      </c>
      <c r="Q23" s="55">
        <v>0</v>
      </c>
      <c r="R23" s="55">
        <v>1</v>
      </c>
      <c r="T23" s="61">
        <f>SUM(C23/B23)</f>
        <v>0.37736851425535684</v>
      </c>
      <c r="U23" s="61">
        <f>SUM(D23/B23)</f>
        <v>0.19904374003895875</v>
      </c>
      <c r="V23" s="61">
        <f>SUM(E23/B23)</f>
        <v>0.10253231804497963</v>
      </c>
      <c r="W23" s="105">
        <f t="shared" si="8"/>
        <v>0.1880644590047813</v>
      </c>
      <c r="X23" s="61">
        <f>SUM(G23/B23)</f>
        <v>0</v>
      </c>
      <c r="Y23" s="61">
        <f>SUM(H23/B23)</f>
        <v>0</v>
      </c>
      <c r="Z23" s="61">
        <f>SUM(I23/B23)</f>
        <v>0.1329909686559235</v>
      </c>
    </row>
    <row r="24" spans="1:26" s="52" customFormat="1">
      <c r="A24" s="53" t="s">
        <v>1546</v>
      </c>
      <c r="B24" s="54">
        <f>SUM(B20:B23)</f>
        <v>23308</v>
      </c>
      <c r="C24" s="54">
        <f t="shared" ref="C24:N24" si="11">SUM(C20:C23)</f>
        <v>7227</v>
      </c>
      <c r="D24" s="54">
        <f>SUM(D20:D23)</f>
        <v>4135</v>
      </c>
      <c r="E24" s="54">
        <f t="shared" si="11"/>
        <v>4786</v>
      </c>
      <c r="F24" s="54">
        <f>SUM(F20:F23)</f>
        <v>1062</v>
      </c>
      <c r="G24" s="54">
        <f>SUM(G20:G23)</f>
        <v>0</v>
      </c>
      <c r="H24" s="54">
        <f>SUM(H20:H23)</f>
        <v>0</v>
      </c>
      <c r="I24" s="54">
        <f>SUM(I20:I23)</f>
        <v>6098</v>
      </c>
      <c r="J24" s="54"/>
      <c r="K24" s="54">
        <f t="shared" si="11"/>
        <v>20</v>
      </c>
      <c r="L24" s="54">
        <f t="shared" si="11"/>
        <v>8</v>
      </c>
      <c r="M24" s="54">
        <f t="shared" si="11"/>
        <v>3</v>
      </c>
      <c r="N24" s="54">
        <f t="shared" si="11"/>
        <v>3</v>
      </c>
      <c r="O24" s="54">
        <f>SUM(O20:O23)</f>
        <v>1</v>
      </c>
      <c r="P24" s="54">
        <f>SUM(P20:P23)</f>
        <v>0</v>
      </c>
      <c r="Q24" s="54">
        <f>SUM(Q20:Q23)</f>
        <v>0</v>
      </c>
      <c r="R24" s="54">
        <f>SUM(R20:R23)</f>
        <v>5</v>
      </c>
      <c r="T24" s="60">
        <f>SUM(C24/B24)</f>
        <v>0.31006521366054574</v>
      </c>
      <c r="U24" s="60">
        <f>SUM(D24/B24)</f>
        <v>0.17740689891882616</v>
      </c>
      <c r="V24" s="60">
        <f>SUM(E24/B24)</f>
        <v>0.20533722327097992</v>
      </c>
      <c r="W24" s="60">
        <f t="shared" si="8"/>
        <v>4.5563754933928266E-2</v>
      </c>
      <c r="X24" s="60">
        <f>SUM(G24/B24)</f>
        <v>0</v>
      </c>
      <c r="Y24" s="60">
        <f>SUM(H24/B24)</f>
        <v>0</v>
      </c>
      <c r="Z24" s="60">
        <f>SUM(I24/B24)</f>
        <v>0.2616269092157199</v>
      </c>
    </row>
    <row r="25" spans="1:26">
      <c r="A25" s="53"/>
      <c r="B25" s="54"/>
      <c r="C25" s="55"/>
      <c r="D25" s="55"/>
      <c r="E25" s="55"/>
      <c r="F25" s="55"/>
      <c r="G25" s="55"/>
      <c r="H25" s="55"/>
      <c r="I25" s="55"/>
      <c r="K25" s="54"/>
      <c r="L25" s="55"/>
      <c r="M25" s="55"/>
      <c r="N25" s="55"/>
      <c r="O25" s="55"/>
      <c r="P25" s="55"/>
      <c r="Q25" s="55"/>
      <c r="R25" s="55"/>
      <c r="W25" s="105"/>
    </row>
    <row r="26" spans="1:26">
      <c r="A26" s="56" t="s">
        <v>239</v>
      </c>
      <c r="B26" s="54">
        <f>SUM(C26:I26)</f>
        <v>4385</v>
      </c>
      <c r="C26" s="55">
        <v>470</v>
      </c>
      <c r="D26" s="55">
        <v>1087</v>
      </c>
      <c r="E26" s="55">
        <v>1285</v>
      </c>
      <c r="F26" s="55">
        <v>0</v>
      </c>
      <c r="G26" s="55">
        <v>0</v>
      </c>
      <c r="H26" s="55">
        <v>0</v>
      </c>
      <c r="I26" s="55">
        <v>1543</v>
      </c>
      <c r="K26" s="54">
        <f>SUM(L26:R26)</f>
        <v>5</v>
      </c>
      <c r="L26" s="55">
        <v>1</v>
      </c>
      <c r="M26" s="55">
        <v>1</v>
      </c>
      <c r="N26" s="55">
        <v>1</v>
      </c>
      <c r="O26" s="55">
        <v>0</v>
      </c>
      <c r="P26" s="55">
        <v>0</v>
      </c>
      <c r="Q26" s="55">
        <v>0</v>
      </c>
      <c r="R26" s="55">
        <v>2</v>
      </c>
      <c r="T26" s="61">
        <f>SUM(C26/B26)</f>
        <v>0.10718358038768529</v>
      </c>
      <c r="U26" s="61">
        <f>SUM(D26/B26)</f>
        <v>0.24789053591790194</v>
      </c>
      <c r="V26" s="61">
        <f>SUM(E26/B26)</f>
        <v>0.29304446978335236</v>
      </c>
      <c r="W26" s="105">
        <f t="shared" si="8"/>
        <v>0</v>
      </c>
      <c r="X26" s="61">
        <f>SUM(G26/B26)</f>
        <v>0</v>
      </c>
      <c r="Y26" s="61">
        <f>SUM(H26/B26)</f>
        <v>0</v>
      </c>
      <c r="Z26" s="61">
        <f>SUM(I26/B26)</f>
        <v>0.35188141391106043</v>
      </c>
    </row>
    <row r="27" spans="1:26">
      <c r="A27" s="56" t="s">
        <v>240</v>
      </c>
      <c r="B27" s="54">
        <f>SUM(C27:I27)</f>
        <v>6388</v>
      </c>
      <c r="C27" s="55">
        <v>1441</v>
      </c>
      <c r="D27" s="55">
        <v>1502</v>
      </c>
      <c r="E27" s="55">
        <v>1802</v>
      </c>
      <c r="F27" s="55">
        <v>0</v>
      </c>
      <c r="G27" s="55">
        <v>0</v>
      </c>
      <c r="H27" s="55">
        <v>0</v>
      </c>
      <c r="I27" s="55">
        <v>1643</v>
      </c>
      <c r="K27" s="54">
        <f>SUM(L27:R27)</f>
        <v>6</v>
      </c>
      <c r="L27" s="55">
        <v>2</v>
      </c>
      <c r="M27" s="55">
        <v>1</v>
      </c>
      <c r="N27" s="55">
        <v>2</v>
      </c>
      <c r="O27" s="55">
        <v>0</v>
      </c>
      <c r="P27" s="55">
        <v>0</v>
      </c>
      <c r="Q27" s="55">
        <v>0</v>
      </c>
      <c r="R27" s="55">
        <v>1</v>
      </c>
      <c r="T27" s="61">
        <f>SUM(C27/B27)</f>
        <v>0.22557921102066375</v>
      </c>
      <c r="U27" s="61">
        <f>SUM(D27/B27)</f>
        <v>0.23512836568566062</v>
      </c>
      <c r="V27" s="61">
        <f>SUM(E27/B27)</f>
        <v>0.28209142141515342</v>
      </c>
      <c r="W27" s="105">
        <f t="shared" si="8"/>
        <v>0</v>
      </c>
      <c r="X27" s="61">
        <f>SUM(G27/B27)</f>
        <v>0</v>
      </c>
      <c r="Y27" s="61">
        <f>SUM(H27/B27)</f>
        <v>0</v>
      </c>
      <c r="Z27" s="61">
        <f>SUM(I27/B27)</f>
        <v>0.25720100187852224</v>
      </c>
    </row>
    <row r="28" spans="1:26">
      <c r="A28" s="56" t="s">
        <v>241</v>
      </c>
      <c r="B28" s="54">
        <f>SUM(C28:I28)</f>
        <v>4858</v>
      </c>
      <c r="C28" s="55">
        <v>1491</v>
      </c>
      <c r="D28" s="55">
        <v>1356</v>
      </c>
      <c r="E28" s="55">
        <v>2011</v>
      </c>
      <c r="F28" s="55">
        <v>0</v>
      </c>
      <c r="G28" s="55">
        <v>0</v>
      </c>
      <c r="H28" s="55">
        <v>0</v>
      </c>
      <c r="I28" s="55">
        <v>0</v>
      </c>
      <c r="K28" s="54">
        <f>SUM(L28:R28)</f>
        <v>4</v>
      </c>
      <c r="L28" s="55">
        <v>1</v>
      </c>
      <c r="M28" s="55">
        <v>1</v>
      </c>
      <c r="N28" s="55">
        <v>2</v>
      </c>
      <c r="O28" s="55">
        <v>0</v>
      </c>
      <c r="P28" s="55">
        <v>0</v>
      </c>
      <c r="Q28" s="55">
        <v>0</v>
      </c>
      <c r="R28" s="55">
        <v>0</v>
      </c>
      <c r="T28" s="61">
        <f>SUM(C28/B28)</f>
        <v>0.3069164265129683</v>
      </c>
      <c r="U28" s="61">
        <f>SUM(D28/B28)</f>
        <v>0.27912721284479208</v>
      </c>
      <c r="V28" s="61">
        <f>SUM(E28/B28)</f>
        <v>0.41395636064223962</v>
      </c>
      <c r="W28" s="105">
        <f t="shared" si="8"/>
        <v>0</v>
      </c>
      <c r="X28" s="61">
        <f>SUM(G28/B28)</f>
        <v>0</v>
      </c>
      <c r="Y28" s="61">
        <f>SUM(H28/B28)</f>
        <v>0</v>
      </c>
      <c r="Z28" s="61">
        <f>SUM(I28/B28)</f>
        <v>0</v>
      </c>
    </row>
    <row r="29" spans="1:26" s="52" customFormat="1">
      <c r="A29" s="53" t="s">
        <v>1550</v>
      </c>
      <c r="B29" s="54">
        <f>SUM(B26:B28)</f>
        <v>15631</v>
      </c>
      <c r="C29" s="54">
        <f t="shared" ref="C29:N29" si="12">SUM(C26:C28)</f>
        <v>3402</v>
      </c>
      <c r="D29" s="54">
        <f>SUM(D26:D28)</f>
        <v>3945</v>
      </c>
      <c r="E29" s="54">
        <f t="shared" si="12"/>
        <v>5098</v>
      </c>
      <c r="F29" s="54">
        <f>SUM(F26:F28)</f>
        <v>0</v>
      </c>
      <c r="G29" s="54">
        <f>SUM(G26:G28)</f>
        <v>0</v>
      </c>
      <c r="H29" s="54">
        <f>SUM(H26:H28)</f>
        <v>0</v>
      </c>
      <c r="I29" s="54">
        <f>SUM(I26:I28)</f>
        <v>3186</v>
      </c>
      <c r="J29" s="54"/>
      <c r="K29" s="54">
        <f t="shared" si="12"/>
        <v>15</v>
      </c>
      <c r="L29" s="54">
        <f t="shared" si="12"/>
        <v>4</v>
      </c>
      <c r="M29" s="54">
        <f t="shared" si="12"/>
        <v>3</v>
      </c>
      <c r="N29" s="54">
        <f t="shared" si="12"/>
        <v>5</v>
      </c>
      <c r="O29" s="54">
        <f>SUM(O26:O28)</f>
        <v>0</v>
      </c>
      <c r="P29" s="54">
        <f>SUM(P26:P28)</f>
        <v>0</v>
      </c>
      <c r="Q29" s="54">
        <f>SUM(Q26:Q28)</f>
        <v>0</v>
      </c>
      <c r="R29" s="54">
        <f>SUM(R26:R28)</f>
        <v>3</v>
      </c>
      <c r="T29" s="60">
        <f>SUM(C29/B29)</f>
        <v>0.21764442454097627</v>
      </c>
      <c r="U29" s="60">
        <f>SUM(D29/B29)</f>
        <v>0.25238308489540018</v>
      </c>
      <c r="V29" s="60">
        <f>SUM(E29/B29)</f>
        <v>0.32614675964429657</v>
      </c>
      <c r="W29" s="60">
        <f t="shared" si="8"/>
        <v>0</v>
      </c>
      <c r="X29" s="60">
        <f>SUM(G29/B29)</f>
        <v>0</v>
      </c>
      <c r="Y29" s="60">
        <f>SUM(H29/B29)</f>
        <v>0</v>
      </c>
      <c r="Z29" s="60">
        <f>SUM(I29/B29)</f>
        <v>0.20382573091932699</v>
      </c>
    </row>
    <row r="30" spans="1:26">
      <c r="A30" s="53"/>
      <c r="B30" s="54"/>
      <c r="C30" s="55"/>
      <c r="D30" s="55"/>
      <c r="E30" s="55"/>
      <c r="F30" s="55"/>
      <c r="G30" s="55"/>
      <c r="H30" s="55"/>
      <c r="I30" s="55"/>
      <c r="K30" s="54"/>
      <c r="L30" s="55"/>
      <c r="M30" s="55"/>
      <c r="N30" s="55"/>
      <c r="O30" s="55"/>
      <c r="P30" s="55"/>
      <c r="Q30" s="55"/>
      <c r="R30" s="55"/>
      <c r="W30" s="105"/>
    </row>
    <row r="31" spans="1:26">
      <c r="A31" s="56" t="s">
        <v>242</v>
      </c>
      <c r="B31" s="54">
        <f>SUM(C31:I31)</f>
        <v>6354</v>
      </c>
      <c r="C31" s="55">
        <v>569</v>
      </c>
      <c r="D31" s="55">
        <v>823</v>
      </c>
      <c r="E31" s="55">
        <v>2487</v>
      </c>
      <c r="F31" s="55">
        <v>0</v>
      </c>
      <c r="G31" s="55">
        <v>0</v>
      </c>
      <c r="H31" s="55">
        <v>466</v>
      </c>
      <c r="I31" s="55">
        <v>2009</v>
      </c>
      <c r="K31" s="54">
        <f>SUM(L31:R31)</f>
        <v>5</v>
      </c>
      <c r="L31" s="55">
        <v>0</v>
      </c>
      <c r="M31" s="55">
        <v>1</v>
      </c>
      <c r="N31" s="55">
        <v>3</v>
      </c>
      <c r="O31" s="55">
        <v>0</v>
      </c>
      <c r="P31" s="55">
        <v>0</v>
      </c>
      <c r="Q31" s="55">
        <v>0</v>
      </c>
      <c r="R31" s="55">
        <v>1</v>
      </c>
      <c r="T31" s="61">
        <f>SUM(C31/B31)</f>
        <v>8.9549889833175952E-2</v>
      </c>
      <c r="U31" s="61">
        <f>SUM(D31/B31)</f>
        <v>0.12952470884482217</v>
      </c>
      <c r="V31" s="61">
        <f>SUM(E31/B31)</f>
        <v>0.39140698772426818</v>
      </c>
      <c r="W31" s="105">
        <f t="shared" si="8"/>
        <v>0</v>
      </c>
      <c r="X31" s="61">
        <f>SUM(G31/B31)</f>
        <v>0</v>
      </c>
      <c r="Y31" s="61">
        <f>SUM(H31/B31)</f>
        <v>7.3339628580421784E-2</v>
      </c>
      <c r="Z31" s="61">
        <f>SUM(I31/B31)</f>
        <v>0.31617878501731195</v>
      </c>
    </row>
    <row r="32" spans="1:26">
      <c r="A32" s="56" t="s">
        <v>243</v>
      </c>
      <c r="B32" s="54">
        <f>SUM(C32:I32)</f>
        <v>5807</v>
      </c>
      <c r="C32" s="55">
        <v>690</v>
      </c>
      <c r="D32" s="55">
        <v>1180</v>
      </c>
      <c r="E32" s="55">
        <v>606</v>
      </c>
      <c r="F32" s="55">
        <v>1961</v>
      </c>
      <c r="G32" s="55">
        <v>0</v>
      </c>
      <c r="H32" s="55">
        <v>0</v>
      </c>
      <c r="I32" s="55">
        <v>1370</v>
      </c>
      <c r="K32" s="54">
        <f>SUM(L32:R32)</f>
        <v>5</v>
      </c>
      <c r="L32" s="55">
        <v>1</v>
      </c>
      <c r="M32" s="55">
        <v>1</v>
      </c>
      <c r="N32" s="55">
        <v>1</v>
      </c>
      <c r="O32" s="55">
        <v>1</v>
      </c>
      <c r="P32" s="55">
        <v>0</v>
      </c>
      <c r="Q32" s="55">
        <v>0</v>
      </c>
      <c r="R32" s="55">
        <v>1</v>
      </c>
      <c r="T32" s="61">
        <f>SUM(C32/B32)</f>
        <v>0.11882211124504907</v>
      </c>
      <c r="U32" s="61">
        <f>SUM(D32/B32)</f>
        <v>0.20320303082486654</v>
      </c>
      <c r="V32" s="61">
        <f>SUM(E32/B32)</f>
        <v>0.1043568107456518</v>
      </c>
      <c r="W32" s="105">
        <f t="shared" si="8"/>
        <v>0.337695884277596</v>
      </c>
      <c r="X32" s="61">
        <f>SUM(G32/B32)</f>
        <v>0</v>
      </c>
      <c r="Y32" s="61">
        <f>SUM(H32/B32)</f>
        <v>0</v>
      </c>
      <c r="Z32" s="61">
        <f>SUM(I32/B32)</f>
        <v>0.23592216290683657</v>
      </c>
    </row>
    <row r="33" spans="1:26">
      <c r="A33" s="56" t="s">
        <v>244</v>
      </c>
      <c r="B33" s="54">
        <f>SUM(C33:I33)</f>
        <v>6708</v>
      </c>
      <c r="C33" s="55">
        <v>602</v>
      </c>
      <c r="D33" s="55">
        <v>2531</v>
      </c>
      <c r="E33" s="55">
        <v>1732</v>
      </c>
      <c r="F33" s="55">
        <v>0</v>
      </c>
      <c r="G33" s="55">
        <v>288</v>
      </c>
      <c r="H33" s="55">
        <v>0</v>
      </c>
      <c r="I33" s="55">
        <v>1555</v>
      </c>
      <c r="K33" s="54">
        <f>SUM(L33:R33)</f>
        <v>5</v>
      </c>
      <c r="L33" s="55">
        <v>1</v>
      </c>
      <c r="M33" s="55">
        <v>2</v>
      </c>
      <c r="N33" s="55">
        <v>1</v>
      </c>
      <c r="O33" s="55">
        <v>0</v>
      </c>
      <c r="P33" s="55">
        <v>0</v>
      </c>
      <c r="Q33" s="55">
        <v>0</v>
      </c>
      <c r="R33" s="55">
        <v>1</v>
      </c>
      <c r="T33" s="61">
        <f>SUM(C33/B33)</f>
        <v>8.9743589743589744E-2</v>
      </c>
      <c r="U33" s="61">
        <f>SUM(D33/B33)</f>
        <v>0.37731067382230171</v>
      </c>
      <c r="V33" s="61">
        <f>SUM(E33/B33)</f>
        <v>0.25819916517590935</v>
      </c>
      <c r="W33" s="105">
        <f t="shared" si="8"/>
        <v>0</v>
      </c>
      <c r="X33" s="61">
        <f>SUM(G33/B33)</f>
        <v>4.2933810375670838E-2</v>
      </c>
      <c r="Y33" s="61">
        <f>SUM(H33/B33)</f>
        <v>0</v>
      </c>
      <c r="Z33" s="61">
        <f>SUM(I33/B33)</f>
        <v>0.23181276088252833</v>
      </c>
    </row>
    <row r="34" spans="1:26" s="52" customFormat="1">
      <c r="A34" s="53" t="s">
        <v>1554</v>
      </c>
      <c r="B34" s="54">
        <f>SUM(B31:B33)</f>
        <v>18869</v>
      </c>
      <c r="C34" s="54">
        <f t="shared" ref="C34:N34" si="13">SUM(C31:C33)</f>
        <v>1861</v>
      </c>
      <c r="D34" s="54">
        <f>SUM(D31:D33)</f>
        <v>4534</v>
      </c>
      <c r="E34" s="54">
        <f t="shared" si="13"/>
        <v>4825</v>
      </c>
      <c r="F34" s="54">
        <f>SUM(F31:F33)</f>
        <v>1961</v>
      </c>
      <c r="G34" s="54">
        <f>SUM(G31:G33)</f>
        <v>288</v>
      </c>
      <c r="H34" s="54">
        <f>SUM(H31:H33)</f>
        <v>466</v>
      </c>
      <c r="I34" s="54">
        <f>SUM(I31:I33)</f>
        <v>4934</v>
      </c>
      <c r="J34" s="54"/>
      <c r="K34" s="54">
        <f t="shared" si="13"/>
        <v>15</v>
      </c>
      <c r="L34" s="54">
        <f t="shared" si="13"/>
        <v>2</v>
      </c>
      <c r="M34" s="54">
        <f t="shared" si="13"/>
        <v>4</v>
      </c>
      <c r="N34" s="54">
        <f t="shared" si="13"/>
        <v>5</v>
      </c>
      <c r="O34" s="54">
        <f>SUM(O31:O33)</f>
        <v>1</v>
      </c>
      <c r="P34" s="54">
        <f>SUM(P31:P33)</f>
        <v>0</v>
      </c>
      <c r="Q34" s="54">
        <f>SUM(Q31:Q33)</f>
        <v>0</v>
      </c>
      <c r="R34" s="54">
        <f>SUM(R31:R33)</f>
        <v>3</v>
      </c>
      <c r="T34" s="60">
        <f>SUM(C34/B34)</f>
        <v>9.8627378239440358E-2</v>
      </c>
      <c r="U34" s="60">
        <f>SUM(D34/B34)</f>
        <v>0.2402883035666967</v>
      </c>
      <c r="V34" s="60">
        <f>SUM(E34/B34)</f>
        <v>0.25571042450580317</v>
      </c>
      <c r="W34" s="60">
        <f t="shared" si="8"/>
        <v>0.10392707615665907</v>
      </c>
      <c r="X34" s="60">
        <f>SUM(G34/B34)</f>
        <v>1.5263130001589909E-2</v>
      </c>
      <c r="Y34" s="60">
        <f>SUM(H34/B34)</f>
        <v>2.469659229423923E-2</v>
      </c>
      <c r="Z34" s="60">
        <f>SUM(I34/B34)</f>
        <v>0.26148709523557156</v>
      </c>
    </row>
    <row r="35" spans="1:26">
      <c r="A35" s="53"/>
      <c r="B35" s="54"/>
      <c r="C35" s="55"/>
      <c r="D35" s="55"/>
      <c r="E35" s="55"/>
      <c r="F35" s="55"/>
      <c r="G35" s="55"/>
      <c r="H35" s="55"/>
      <c r="I35" s="55"/>
      <c r="K35" s="54"/>
      <c r="L35" s="55"/>
      <c r="M35" s="55"/>
      <c r="N35" s="55"/>
      <c r="O35" s="55"/>
      <c r="P35" s="55"/>
      <c r="Q35" s="55"/>
      <c r="R35" s="55"/>
      <c r="W35" s="105"/>
    </row>
    <row r="36" spans="1:26">
      <c r="A36" s="56" t="s">
        <v>245</v>
      </c>
      <c r="B36" s="54">
        <f>SUM(C36:I36)</f>
        <v>8508</v>
      </c>
      <c r="C36" s="55">
        <v>2055</v>
      </c>
      <c r="D36" s="55">
        <v>2318</v>
      </c>
      <c r="E36" s="55">
        <v>3605</v>
      </c>
      <c r="F36" s="55">
        <v>0</v>
      </c>
      <c r="G36" s="55">
        <v>491</v>
      </c>
      <c r="H36" s="55">
        <v>0</v>
      </c>
      <c r="I36" s="55">
        <v>39</v>
      </c>
      <c r="K36" s="54">
        <f>SUM(L36:R36)</f>
        <v>6</v>
      </c>
      <c r="L36" s="55">
        <v>1</v>
      </c>
      <c r="M36" s="55">
        <v>2</v>
      </c>
      <c r="N36" s="55">
        <v>3</v>
      </c>
      <c r="O36" s="55">
        <v>0</v>
      </c>
      <c r="P36" s="55">
        <v>0</v>
      </c>
      <c r="Q36" s="55">
        <v>0</v>
      </c>
      <c r="R36" s="55">
        <v>0</v>
      </c>
      <c r="T36" s="61">
        <f t="shared" ref="T36:T41" si="14">SUM(C36/B36)</f>
        <v>0.2415373765867419</v>
      </c>
      <c r="U36" s="61">
        <f t="shared" ref="U36:U41" si="15">SUM(D36/B36)</f>
        <v>0.27244945933239306</v>
      </c>
      <c r="V36" s="61">
        <f t="shared" ref="V36:V41" si="16">SUM(E36/B36)</f>
        <v>0.42371885284438177</v>
      </c>
      <c r="W36" s="105">
        <f t="shared" si="8"/>
        <v>0</v>
      </c>
      <c r="X36" s="61">
        <f t="shared" ref="X36:X41" si="17">SUM(G36/B36)</f>
        <v>5.7710390220968501E-2</v>
      </c>
      <c r="Y36" s="61">
        <f t="shared" ref="Y36:Y41" si="18">SUM(H36/B36)</f>
        <v>0</v>
      </c>
      <c r="Z36" s="61">
        <f t="shared" ref="Z36:Z41" si="19">SUM(I36/B36)</f>
        <v>4.5839210155148094E-3</v>
      </c>
    </row>
    <row r="37" spans="1:26">
      <c r="A37" s="56" t="s">
        <v>246</v>
      </c>
      <c r="B37" s="54">
        <f>SUM(C37:I37)</f>
        <v>7686</v>
      </c>
      <c r="C37" s="55">
        <v>2157</v>
      </c>
      <c r="D37" s="55">
        <v>2792</v>
      </c>
      <c r="E37" s="55">
        <v>1581</v>
      </c>
      <c r="F37" s="55">
        <v>410</v>
      </c>
      <c r="G37" s="55">
        <v>707</v>
      </c>
      <c r="H37" s="55">
        <v>0</v>
      </c>
      <c r="I37" s="55">
        <v>39</v>
      </c>
      <c r="K37" s="54">
        <f>SUM(L37:R37)</f>
        <v>5</v>
      </c>
      <c r="L37" s="55">
        <v>2</v>
      </c>
      <c r="M37" s="55">
        <v>2</v>
      </c>
      <c r="N37" s="55">
        <v>1</v>
      </c>
      <c r="O37" s="55">
        <v>0</v>
      </c>
      <c r="P37" s="55">
        <v>0</v>
      </c>
      <c r="Q37" s="55">
        <v>0</v>
      </c>
      <c r="R37" s="55">
        <v>0</v>
      </c>
      <c r="T37" s="61">
        <f t="shared" si="14"/>
        <v>0.28064012490241996</v>
      </c>
      <c r="U37" s="61">
        <f t="shared" si="15"/>
        <v>0.36325787145459276</v>
      </c>
      <c r="V37" s="61">
        <f t="shared" si="16"/>
        <v>0.20569867291178767</v>
      </c>
      <c r="W37" s="105">
        <f t="shared" si="8"/>
        <v>5.3343741868332031E-2</v>
      </c>
      <c r="X37" s="61">
        <f t="shared" si="17"/>
        <v>9.1985428051001822E-2</v>
      </c>
      <c r="Y37" s="61">
        <f t="shared" si="18"/>
        <v>0</v>
      </c>
      <c r="Z37" s="61">
        <f t="shared" si="19"/>
        <v>5.0741608118657303E-3</v>
      </c>
    </row>
    <row r="38" spans="1:26">
      <c r="A38" s="56" t="s">
        <v>247</v>
      </c>
      <c r="B38" s="54">
        <f>SUM(C38:I38)</f>
        <v>4644</v>
      </c>
      <c r="C38" s="55">
        <v>0</v>
      </c>
      <c r="D38" s="55">
        <v>0</v>
      </c>
      <c r="E38" s="55">
        <v>2460</v>
      </c>
      <c r="F38" s="55">
        <v>1244</v>
      </c>
      <c r="G38" s="55">
        <v>213</v>
      </c>
      <c r="H38" s="55">
        <v>143</v>
      </c>
      <c r="I38" s="55">
        <v>584</v>
      </c>
      <c r="J38" s="55"/>
      <c r="K38" s="54">
        <f>SUM(L38:R38)</f>
        <v>5</v>
      </c>
      <c r="L38" s="55">
        <v>0</v>
      </c>
      <c r="M38" s="55">
        <v>0</v>
      </c>
      <c r="N38" s="55">
        <v>3</v>
      </c>
      <c r="O38" s="55">
        <v>2</v>
      </c>
      <c r="P38" s="55">
        <v>0</v>
      </c>
      <c r="Q38" s="55">
        <v>0</v>
      </c>
      <c r="R38" s="55">
        <v>0</v>
      </c>
      <c r="T38" s="61">
        <f t="shared" si="14"/>
        <v>0</v>
      </c>
      <c r="U38" s="61">
        <f t="shared" si="15"/>
        <v>0</v>
      </c>
      <c r="V38" s="61">
        <f t="shared" si="16"/>
        <v>0.52971576227390182</v>
      </c>
      <c r="W38" s="105">
        <f t="shared" si="8"/>
        <v>0.26787252368647718</v>
      </c>
      <c r="X38" s="61">
        <f t="shared" si="17"/>
        <v>4.5865633074935401E-2</v>
      </c>
      <c r="Y38" s="61">
        <f t="shared" si="18"/>
        <v>3.0792420327304049E-2</v>
      </c>
      <c r="Z38" s="61">
        <f t="shared" si="19"/>
        <v>0.12575366063738158</v>
      </c>
    </row>
    <row r="39" spans="1:26">
      <c r="A39" s="56" t="s">
        <v>248</v>
      </c>
      <c r="B39" s="54">
        <f>SUM(C39:I39)</f>
        <v>3273</v>
      </c>
      <c r="C39" s="55">
        <v>0</v>
      </c>
      <c r="D39" s="55">
        <v>507</v>
      </c>
      <c r="E39" s="55">
        <v>1579</v>
      </c>
      <c r="F39" s="55">
        <v>866</v>
      </c>
      <c r="G39" s="55">
        <v>141</v>
      </c>
      <c r="H39" s="55">
        <v>0</v>
      </c>
      <c r="I39" s="55">
        <v>180</v>
      </c>
      <c r="K39" s="54">
        <f>SUM(L39:R39)</f>
        <v>5</v>
      </c>
      <c r="L39" s="55">
        <v>0</v>
      </c>
      <c r="M39" s="55">
        <v>1</v>
      </c>
      <c r="N39" s="55">
        <v>3</v>
      </c>
      <c r="O39" s="55">
        <v>1</v>
      </c>
      <c r="P39" s="55">
        <v>0</v>
      </c>
      <c r="Q39" s="55">
        <v>0</v>
      </c>
      <c r="R39" s="55">
        <v>0</v>
      </c>
      <c r="T39" s="61">
        <f t="shared" si="14"/>
        <v>0</v>
      </c>
      <c r="U39" s="61">
        <f t="shared" si="15"/>
        <v>0.15490375802016498</v>
      </c>
      <c r="V39" s="61">
        <f t="shared" si="16"/>
        <v>0.48243201955392606</v>
      </c>
      <c r="W39" s="105">
        <f t="shared" si="8"/>
        <v>0.26458906202260923</v>
      </c>
      <c r="X39" s="61">
        <f t="shared" si="17"/>
        <v>4.3079743354720437E-2</v>
      </c>
      <c r="Y39" s="61">
        <f t="shared" si="18"/>
        <v>0</v>
      </c>
      <c r="Z39" s="61">
        <f t="shared" si="19"/>
        <v>5.4995417048579284E-2</v>
      </c>
    </row>
    <row r="40" spans="1:26">
      <c r="A40" s="56" t="s">
        <v>249</v>
      </c>
      <c r="B40" s="54">
        <f>SUM(C40:I40)</f>
        <v>9095</v>
      </c>
      <c r="C40" s="55">
        <v>956</v>
      </c>
      <c r="D40" s="55">
        <v>560</v>
      </c>
      <c r="E40" s="55">
        <v>4480</v>
      </c>
      <c r="F40" s="55">
        <v>2033</v>
      </c>
      <c r="G40" s="55">
        <v>563</v>
      </c>
      <c r="H40" s="55">
        <v>0</v>
      </c>
      <c r="I40" s="55">
        <v>503</v>
      </c>
      <c r="K40" s="54">
        <f>SUM(L40:R40)</f>
        <v>6</v>
      </c>
      <c r="L40" s="55">
        <v>1</v>
      </c>
      <c r="M40" s="55">
        <v>0</v>
      </c>
      <c r="N40" s="55">
        <v>4</v>
      </c>
      <c r="O40" s="55">
        <v>1</v>
      </c>
      <c r="P40" s="55">
        <v>0</v>
      </c>
      <c r="Q40" s="55">
        <v>0</v>
      </c>
      <c r="R40" s="55">
        <v>0</v>
      </c>
      <c r="T40" s="61">
        <f t="shared" si="14"/>
        <v>0.1051126992853216</v>
      </c>
      <c r="U40" s="61">
        <f t="shared" si="15"/>
        <v>6.1572292468389224E-2</v>
      </c>
      <c r="V40" s="61">
        <f t="shared" si="16"/>
        <v>0.49257833974711379</v>
      </c>
      <c r="W40" s="105">
        <f t="shared" si="8"/>
        <v>0.22352941176470589</v>
      </c>
      <c r="X40" s="61">
        <f t="shared" si="17"/>
        <v>6.1902144035184167E-2</v>
      </c>
      <c r="Y40" s="61">
        <f t="shared" si="18"/>
        <v>0</v>
      </c>
      <c r="Z40" s="61">
        <f t="shared" si="19"/>
        <v>5.5305112699285321E-2</v>
      </c>
    </row>
    <row r="41" spans="1:26" s="52" customFormat="1">
      <c r="A41" s="53" t="s">
        <v>1560</v>
      </c>
      <c r="B41" s="54">
        <f>SUM(B36:B40)</f>
        <v>33206</v>
      </c>
      <c r="C41" s="54">
        <f t="shared" ref="C41:N41" si="20">SUM(C36:C40)</f>
        <v>5168</v>
      </c>
      <c r="D41" s="54">
        <f>SUM(D36:D40)</f>
        <v>6177</v>
      </c>
      <c r="E41" s="54">
        <f t="shared" si="20"/>
        <v>13705</v>
      </c>
      <c r="F41" s="54">
        <f>SUM(F36:F40)</f>
        <v>4553</v>
      </c>
      <c r="G41" s="54">
        <f>SUM(G36:G40)</f>
        <v>2115</v>
      </c>
      <c r="H41" s="54">
        <f>SUM(H36:H40)</f>
        <v>143</v>
      </c>
      <c r="I41" s="54">
        <f>SUM(I36:I40)</f>
        <v>1345</v>
      </c>
      <c r="J41" s="54"/>
      <c r="K41" s="54">
        <f t="shared" si="20"/>
        <v>27</v>
      </c>
      <c r="L41" s="54">
        <f t="shared" si="20"/>
        <v>4</v>
      </c>
      <c r="M41" s="54">
        <f t="shared" si="20"/>
        <v>5</v>
      </c>
      <c r="N41" s="54">
        <f t="shared" si="20"/>
        <v>14</v>
      </c>
      <c r="O41" s="54">
        <f>SUM(O36:O40)</f>
        <v>4</v>
      </c>
      <c r="P41" s="54">
        <f>SUM(P36:P40)</f>
        <v>0</v>
      </c>
      <c r="Q41" s="54">
        <f>SUM(Q36:Q40)</f>
        <v>0</v>
      </c>
      <c r="R41" s="54">
        <f>SUM(R36:R40)</f>
        <v>0</v>
      </c>
      <c r="T41" s="60">
        <f t="shared" si="14"/>
        <v>0.15563452388122628</v>
      </c>
      <c r="U41" s="60">
        <f t="shared" si="15"/>
        <v>0.18602059868698428</v>
      </c>
      <c r="V41" s="60">
        <f t="shared" si="16"/>
        <v>0.41272661567186653</v>
      </c>
      <c r="W41" s="60">
        <f t="shared" si="8"/>
        <v>0.13711377461904475</v>
      </c>
      <c r="X41" s="60">
        <f t="shared" si="17"/>
        <v>6.369330843823405E-2</v>
      </c>
      <c r="Y41" s="60">
        <f t="shared" si="18"/>
        <v>4.3064506414503406E-3</v>
      </c>
      <c r="Z41" s="60">
        <f t="shared" si="19"/>
        <v>4.0504728061193762E-2</v>
      </c>
    </row>
    <row r="42" spans="1:26">
      <c r="A42" s="53"/>
      <c r="B42" s="54"/>
      <c r="C42" s="55"/>
      <c r="D42" s="55"/>
      <c r="E42" s="55"/>
      <c r="F42" s="55"/>
      <c r="G42" s="55"/>
      <c r="H42" s="55"/>
      <c r="I42" s="55"/>
      <c r="K42" s="54"/>
      <c r="L42" s="55"/>
      <c r="M42" s="55"/>
      <c r="N42" s="55"/>
      <c r="O42" s="55"/>
      <c r="P42" s="55"/>
      <c r="Q42" s="55"/>
      <c r="R42" s="55"/>
      <c r="W42" s="105"/>
    </row>
    <row r="43" spans="1:26">
      <c r="A43" s="56" t="s">
        <v>250</v>
      </c>
      <c r="B43" s="54">
        <f>SUM(C43:I43)</f>
        <v>3908</v>
      </c>
      <c r="C43" s="55">
        <v>1287</v>
      </c>
      <c r="D43" s="55">
        <v>654</v>
      </c>
      <c r="E43" s="55">
        <v>1967</v>
      </c>
      <c r="F43" s="55">
        <v>0</v>
      </c>
      <c r="G43" s="55">
        <v>0</v>
      </c>
      <c r="H43" s="55">
        <v>0</v>
      </c>
      <c r="I43" s="55">
        <v>0</v>
      </c>
      <c r="K43" s="54">
        <f>SUM(L43:R43)</f>
        <v>6</v>
      </c>
      <c r="L43" s="55">
        <v>2</v>
      </c>
      <c r="M43" s="55">
        <v>1</v>
      </c>
      <c r="N43" s="55">
        <v>3</v>
      </c>
      <c r="O43" s="55">
        <v>0</v>
      </c>
      <c r="P43" s="55">
        <v>0</v>
      </c>
      <c r="Q43" s="55">
        <v>0</v>
      </c>
      <c r="R43" s="55">
        <v>0</v>
      </c>
      <c r="T43" s="61">
        <f>SUM(C43/B43)</f>
        <v>0.32932446264073695</v>
      </c>
      <c r="U43" s="61">
        <f>SUM(D43/B43)</f>
        <v>0.16734902763561924</v>
      </c>
      <c r="V43" s="61">
        <f>SUM(E43/B43)</f>
        <v>0.50332650972364379</v>
      </c>
      <c r="W43" s="105">
        <f t="shared" si="8"/>
        <v>0</v>
      </c>
      <c r="X43" s="61">
        <f>SUM(G43/B43)</f>
        <v>0</v>
      </c>
      <c r="Y43" s="61">
        <f>SUM(H43/B43)</f>
        <v>0</v>
      </c>
      <c r="Z43" s="61">
        <f>SUM(I43/B43)</f>
        <v>0</v>
      </c>
    </row>
    <row r="44" spans="1:26">
      <c r="A44" s="56" t="s">
        <v>251</v>
      </c>
      <c r="B44" s="54">
        <f>SUM(C44:I44)</f>
        <v>3595</v>
      </c>
      <c r="C44" s="55">
        <v>1212</v>
      </c>
      <c r="D44" s="55">
        <v>295</v>
      </c>
      <c r="E44" s="55">
        <v>881</v>
      </c>
      <c r="F44" s="55">
        <v>643</v>
      </c>
      <c r="G44" s="55">
        <v>0</v>
      </c>
      <c r="H44" s="55">
        <v>63</v>
      </c>
      <c r="I44" s="55">
        <v>501</v>
      </c>
      <c r="K44" s="54">
        <f>SUM(L44:R44)</f>
        <v>5</v>
      </c>
      <c r="L44" s="55">
        <v>2</v>
      </c>
      <c r="M44" s="55">
        <v>0</v>
      </c>
      <c r="N44" s="55">
        <v>1</v>
      </c>
      <c r="O44" s="55">
        <v>1</v>
      </c>
      <c r="P44" s="55">
        <v>0</v>
      </c>
      <c r="Q44" s="55">
        <v>0</v>
      </c>
      <c r="R44" s="55">
        <v>1</v>
      </c>
      <c r="T44" s="61">
        <f>SUM(C44/B44)</f>
        <v>0.33713490959666204</v>
      </c>
      <c r="U44" s="61">
        <f>SUM(D44/B44)</f>
        <v>8.2058414464534074E-2</v>
      </c>
      <c r="V44" s="61">
        <f>SUM(E44/B44)</f>
        <v>0.24506258692628652</v>
      </c>
      <c r="W44" s="105">
        <f t="shared" si="8"/>
        <v>0.17885952712100139</v>
      </c>
      <c r="X44" s="61">
        <f>SUM(G44/B44)</f>
        <v>0</v>
      </c>
      <c r="Y44" s="61">
        <f>SUM(H44/B44)</f>
        <v>1.7524339360222532E-2</v>
      </c>
      <c r="Z44" s="61">
        <f>SUM(I44/B44)</f>
        <v>0.13936022253129346</v>
      </c>
    </row>
    <row r="45" spans="1:26">
      <c r="A45" s="56" t="s">
        <v>252</v>
      </c>
      <c r="B45" s="54">
        <f>SUM(C45:I45)</f>
        <v>4223</v>
      </c>
      <c r="C45" s="55">
        <v>1867</v>
      </c>
      <c r="D45" s="55">
        <v>970</v>
      </c>
      <c r="E45" s="55">
        <v>1163</v>
      </c>
      <c r="F45" s="55">
        <v>0</v>
      </c>
      <c r="G45" s="55">
        <v>223</v>
      </c>
      <c r="H45" s="55">
        <v>0</v>
      </c>
      <c r="I45" s="55">
        <v>0</v>
      </c>
      <c r="K45" s="54">
        <f>SUM(L45:R45)</f>
        <v>4</v>
      </c>
      <c r="L45" s="55">
        <v>2</v>
      </c>
      <c r="M45" s="55">
        <v>1</v>
      </c>
      <c r="N45" s="55">
        <v>1</v>
      </c>
      <c r="O45" s="55">
        <v>0</v>
      </c>
      <c r="P45" s="55">
        <v>0</v>
      </c>
      <c r="Q45" s="55">
        <v>0</v>
      </c>
      <c r="R45" s="55">
        <v>0</v>
      </c>
      <c r="T45" s="61">
        <f>SUM(C45/B45)</f>
        <v>0.44210277054226854</v>
      </c>
      <c r="U45" s="61">
        <f>SUM(D45/B45)</f>
        <v>0.22969452995500828</v>
      </c>
      <c r="V45" s="61">
        <f>SUM(E45/B45)</f>
        <v>0.27539663746152027</v>
      </c>
      <c r="W45" s="105">
        <f t="shared" si="8"/>
        <v>0</v>
      </c>
      <c r="X45" s="61">
        <f>SUM(G45/B45)</f>
        <v>5.2806062041202938E-2</v>
      </c>
      <c r="Y45" s="61">
        <f>SUM(H45/B45)</f>
        <v>0</v>
      </c>
      <c r="Z45" s="61">
        <f>SUM(I45/B45)</f>
        <v>0</v>
      </c>
    </row>
    <row r="46" spans="1:26" s="52" customFormat="1">
      <c r="A46" s="53" t="s">
        <v>1561</v>
      </c>
      <c r="B46" s="54">
        <f>SUM(B43:B45)</f>
        <v>11726</v>
      </c>
      <c r="C46" s="54">
        <f t="shared" ref="C46:N46" si="21">SUM(C43:C45)</f>
        <v>4366</v>
      </c>
      <c r="D46" s="54">
        <f>SUM(D43:D45)</f>
        <v>1919</v>
      </c>
      <c r="E46" s="54">
        <f t="shared" si="21"/>
        <v>4011</v>
      </c>
      <c r="F46" s="54">
        <f>SUM(F43:F45)</f>
        <v>643</v>
      </c>
      <c r="G46" s="54">
        <f>SUM(G43:G45)</f>
        <v>223</v>
      </c>
      <c r="H46" s="54">
        <f>SUM(H43:H45)</f>
        <v>63</v>
      </c>
      <c r="I46" s="54">
        <f>SUM(I43:I45)</f>
        <v>501</v>
      </c>
      <c r="J46" s="54"/>
      <c r="K46" s="54">
        <f t="shared" si="21"/>
        <v>15</v>
      </c>
      <c r="L46" s="54">
        <f t="shared" si="21"/>
        <v>6</v>
      </c>
      <c r="M46" s="54">
        <f t="shared" si="21"/>
        <v>2</v>
      </c>
      <c r="N46" s="54">
        <f t="shared" si="21"/>
        <v>5</v>
      </c>
      <c r="O46" s="54">
        <f>SUM(O43:O45)</f>
        <v>1</v>
      </c>
      <c r="P46" s="54">
        <f>SUM(P43:P45)</f>
        <v>0</v>
      </c>
      <c r="Q46" s="54">
        <f>SUM(Q43:Q45)</f>
        <v>0</v>
      </c>
      <c r="R46" s="54">
        <f>SUM(R43:R45)</f>
        <v>1</v>
      </c>
      <c r="T46" s="60">
        <f>SUM(C46/B46)</f>
        <v>0.37233498209107962</v>
      </c>
      <c r="U46" s="60">
        <f>SUM(D46/B46)</f>
        <v>0.16365341975098072</v>
      </c>
      <c r="V46" s="60">
        <f>SUM(E46/B46)</f>
        <v>0.34206037864574451</v>
      </c>
      <c r="W46" s="60">
        <f t="shared" si="8"/>
        <v>5.4835408493945081E-2</v>
      </c>
      <c r="X46" s="60">
        <f>SUM(G46/B46)</f>
        <v>1.9017567798055603E-2</v>
      </c>
      <c r="Y46" s="60">
        <f>SUM(H46/B46)</f>
        <v>5.3726761043834219E-3</v>
      </c>
      <c r="Z46" s="60">
        <f>SUM(I46/B46)</f>
        <v>4.272556711581102E-2</v>
      </c>
    </row>
    <row r="47" spans="1:26">
      <c r="A47" s="53"/>
      <c r="B47" s="54"/>
      <c r="C47" s="55"/>
      <c r="D47" s="55"/>
      <c r="E47" s="55"/>
      <c r="F47" s="55"/>
      <c r="G47" s="55"/>
      <c r="H47" s="55"/>
      <c r="I47" s="55"/>
      <c r="K47" s="54"/>
      <c r="L47" s="55"/>
      <c r="M47" s="55"/>
      <c r="N47" s="55"/>
      <c r="O47" s="55"/>
      <c r="P47" s="55"/>
      <c r="Q47" s="55"/>
      <c r="R47" s="55"/>
      <c r="W47" s="105"/>
    </row>
    <row r="48" spans="1:26">
      <c r="A48" s="56" t="s">
        <v>261</v>
      </c>
      <c r="B48" s="54">
        <f>SUM(C48:I48)</f>
        <v>7008</v>
      </c>
      <c r="C48" s="55">
        <v>2395</v>
      </c>
      <c r="D48" s="55">
        <v>1829</v>
      </c>
      <c r="E48" s="55">
        <v>1962</v>
      </c>
      <c r="F48" s="55">
        <v>0</v>
      </c>
      <c r="G48" s="55">
        <v>117</v>
      </c>
      <c r="H48" s="55">
        <v>0</v>
      </c>
      <c r="I48" s="55">
        <v>705</v>
      </c>
      <c r="K48" s="54">
        <f>SUM(L48:R48)</f>
        <v>6</v>
      </c>
      <c r="L48" s="55">
        <v>2</v>
      </c>
      <c r="M48" s="55">
        <v>2</v>
      </c>
      <c r="N48" s="55">
        <v>2</v>
      </c>
      <c r="O48" s="55">
        <v>0</v>
      </c>
      <c r="P48" s="55">
        <v>0</v>
      </c>
      <c r="Q48" s="55">
        <v>0</v>
      </c>
      <c r="R48" s="55">
        <v>0</v>
      </c>
      <c r="T48" s="61">
        <f>SUM(C48/B48)</f>
        <v>0.34175228310502281</v>
      </c>
      <c r="U48" s="61">
        <f>SUM(D48/B48)</f>
        <v>0.26098744292237441</v>
      </c>
      <c r="V48" s="61">
        <f>SUM(E48/B48)</f>
        <v>0.27996575342465752</v>
      </c>
      <c r="W48" s="105">
        <f t="shared" si="8"/>
        <v>0</v>
      </c>
      <c r="X48" s="61">
        <f>SUM(G48/B48)</f>
        <v>1.6695205479452056E-2</v>
      </c>
      <c r="Y48" s="61">
        <f>SUM(H48/B48)</f>
        <v>0</v>
      </c>
      <c r="Z48" s="61">
        <f>SUM(I48/B48)</f>
        <v>0.10059931506849315</v>
      </c>
    </row>
    <row r="49" spans="1:26">
      <c r="A49" s="56" t="s">
        <v>262</v>
      </c>
      <c r="B49" s="54">
        <f>SUM(C49:I49)</f>
        <v>6549</v>
      </c>
      <c r="C49" s="55">
        <v>2844</v>
      </c>
      <c r="D49" s="55">
        <v>2240</v>
      </c>
      <c r="E49" s="55">
        <v>658</v>
      </c>
      <c r="F49" s="55">
        <v>0</v>
      </c>
      <c r="G49" s="55">
        <v>746</v>
      </c>
      <c r="H49" s="55">
        <v>0</v>
      </c>
      <c r="I49" s="55">
        <v>61</v>
      </c>
      <c r="K49" s="54">
        <f>SUM(L49:R49)</f>
        <v>7</v>
      </c>
      <c r="L49" s="55">
        <v>4</v>
      </c>
      <c r="M49" s="55">
        <v>2</v>
      </c>
      <c r="N49" s="55">
        <v>0</v>
      </c>
      <c r="O49" s="55">
        <v>0</v>
      </c>
      <c r="P49" s="55">
        <v>1</v>
      </c>
      <c r="Q49" s="55">
        <v>0</v>
      </c>
      <c r="R49" s="55">
        <v>0</v>
      </c>
      <c r="T49" s="61">
        <f>SUM(C49/B49)</f>
        <v>0.43426477324782409</v>
      </c>
      <c r="U49" s="61">
        <f>SUM(D49/B49)</f>
        <v>0.34203695220644376</v>
      </c>
      <c r="V49" s="61">
        <f>SUM(E49/B49)</f>
        <v>0.10047335471064285</v>
      </c>
      <c r="W49" s="105">
        <f t="shared" si="8"/>
        <v>0</v>
      </c>
      <c r="X49" s="61">
        <f>SUM(G49/B49)</f>
        <v>0.1139105206901817</v>
      </c>
      <c r="Y49" s="61">
        <f>SUM(H49/B49)</f>
        <v>0</v>
      </c>
      <c r="Z49" s="61">
        <f>SUM(I49/B49)</f>
        <v>9.3143991449076199E-3</v>
      </c>
    </row>
    <row r="50" spans="1:26">
      <c r="A50" s="56" t="s">
        <v>263</v>
      </c>
      <c r="B50" s="54">
        <f>SUM(C50:I50)</f>
        <v>8858</v>
      </c>
      <c r="C50" s="55">
        <v>2431</v>
      </c>
      <c r="D50" s="55">
        <v>3371</v>
      </c>
      <c r="E50" s="55">
        <v>0</v>
      </c>
      <c r="F50" s="55">
        <v>0</v>
      </c>
      <c r="G50" s="55">
        <v>554</v>
      </c>
      <c r="H50" s="55">
        <v>0</v>
      </c>
      <c r="I50" s="55">
        <v>2502</v>
      </c>
      <c r="K50" s="54">
        <f>SUM(L50:R50)</f>
        <v>7</v>
      </c>
      <c r="L50" s="55">
        <v>2</v>
      </c>
      <c r="M50" s="55">
        <v>2</v>
      </c>
      <c r="N50" s="55">
        <v>0</v>
      </c>
      <c r="O50" s="55">
        <v>0</v>
      </c>
      <c r="P50" s="55">
        <v>0</v>
      </c>
      <c r="Q50" s="55">
        <v>0</v>
      </c>
      <c r="R50" s="55">
        <v>3</v>
      </c>
      <c r="T50" s="61">
        <f>SUM(C50/B50)</f>
        <v>0.27444118311131183</v>
      </c>
      <c r="U50" s="61">
        <f>SUM(D50/B50)</f>
        <v>0.38055994581169567</v>
      </c>
      <c r="V50" s="61">
        <f>SUM(E50/B50)</f>
        <v>0</v>
      </c>
      <c r="W50" s="105">
        <f t="shared" si="8"/>
        <v>0</v>
      </c>
      <c r="X50" s="61">
        <f>SUM(G50/B50)</f>
        <v>6.2542334612779402E-2</v>
      </c>
      <c r="Y50" s="61">
        <f>SUM(H50/B50)</f>
        <v>0</v>
      </c>
      <c r="Z50" s="61">
        <f>SUM(I50/B50)</f>
        <v>0.28245653646421315</v>
      </c>
    </row>
    <row r="51" spans="1:26" s="52" customFormat="1">
      <c r="A51" s="53" t="s">
        <v>1569</v>
      </c>
      <c r="B51" s="54">
        <f t="shared" ref="B51:I51" si="22">SUM(B48:B50)</f>
        <v>22415</v>
      </c>
      <c r="C51" s="54">
        <f t="shared" si="22"/>
        <v>7670</v>
      </c>
      <c r="D51" s="54">
        <f t="shared" si="22"/>
        <v>7440</v>
      </c>
      <c r="E51" s="54">
        <f t="shared" si="22"/>
        <v>2620</v>
      </c>
      <c r="F51" s="54">
        <f t="shared" si="22"/>
        <v>0</v>
      </c>
      <c r="G51" s="54">
        <f t="shared" si="22"/>
        <v>1417</v>
      </c>
      <c r="H51" s="54">
        <f t="shared" si="22"/>
        <v>0</v>
      </c>
      <c r="I51" s="54">
        <f t="shared" si="22"/>
        <v>3268</v>
      </c>
      <c r="J51" s="54"/>
      <c r="K51" s="54">
        <f t="shared" ref="K51:R51" si="23">SUM(K48:K50)</f>
        <v>20</v>
      </c>
      <c r="L51" s="54">
        <f t="shared" si="23"/>
        <v>8</v>
      </c>
      <c r="M51" s="54">
        <f t="shared" si="23"/>
        <v>6</v>
      </c>
      <c r="N51" s="54">
        <f t="shared" si="23"/>
        <v>2</v>
      </c>
      <c r="O51" s="54">
        <f t="shared" si="23"/>
        <v>0</v>
      </c>
      <c r="P51" s="54">
        <f t="shared" si="23"/>
        <v>1</v>
      </c>
      <c r="Q51" s="54">
        <f t="shared" si="23"/>
        <v>0</v>
      </c>
      <c r="R51" s="54">
        <f t="shared" si="23"/>
        <v>3</v>
      </c>
      <c r="T51" s="60">
        <f>SUM(C51/B51)</f>
        <v>0.34218157483827794</v>
      </c>
      <c r="U51" s="60">
        <f>SUM(D51/B51)</f>
        <v>0.33192058889136739</v>
      </c>
      <c r="V51" s="60">
        <f>SUM(E51/B51)</f>
        <v>0.11688601383002453</v>
      </c>
      <c r="W51" s="60">
        <f t="shared" si="8"/>
        <v>0</v>
      </c>
      <c r="X51" s="60">
        <f>SUM(G51/B51)</f>
        <v>6.3216596029444572E-2</v>
      </c>
      <c r="Y51" s="60">
        <f>SUM(H51/B51)</f>
        <v>0</v>
      </c>
      <c r="Z51" s="60">
        <f>SUM(I51/B51)</f>
        <v>0.14579522641088558</v>
      </c>
    </row>
    <row r="52" spans="1:26">
      <c r="A52" s="53"/>
      <c r="B52" s="54"/>
      <c r="C52" s="55"/>
      <c r="D52" s="55"/>
      <c r="E52" s="55"/>
      <c r="F52" s="55"/>
      <c r="G52" s="55"/>
      <c r="H52" s="55"/>
      <c r="I52" s="55"/>
      <c r="J52" s="55"/>
      <c r="K52" s="54"/>
      <c r="L52" s="55"/>
      <c r="M52" s="55"/>
      <c r="N52" s="55"/>
      <c r="O52" s="55"/>
      <c r="P52" s="55"/>
      <c r="Q52" s="55"/>
      <c r="R52" s="55"/>
      <c r="W52" s="105"/>
    </row>
    <row r="53" spans="1:26">
      <c r="A53" s="56" t="s">
        <v>264</v>
      </c>
      <c r="B53" s="54">
        <f>SUM(C53:I53)</f>
        <v>4118</v>
      </c>
      <c r="C53" s="55">
        <v>1548</v>
      </c>
      <c r="D53" s="55">
        <v>1122</v>
      </c>
      <c r="E53" s="55">
        <v>1374</v>
      </c>
      <c r="F53" s="55">
        <v>0</v>
      </c>
      <c r="G53" s="55">
        <v>0</v>
      </c>
      <c r="H53" s="55">
        <v>0</v>
      </c>
      <c r="I53" s="55">
        <v>74</v>
      </c>
      <c r="K53" s="54">
        <f>SUM(L53:R53)</f>
        <v>4</v>
      </c>
      <c r="L53" s="55">
        <v>2</v>
      </c>
      <c r="M53" s="55">
        <v>1</v>
      </c>
      <c r="N53" s="55">
        <v>1</v>
      </c>
      <c r="O53" s="55">
        <v>0</v>
      </c>
      <c r="P53" s="55">
        <v>0</v>
      </c>
      <c r="Q53" s="55">
        <v>0</v>
      </c>
      <c r="R53" s="55">
        <v>0</v>
      </c>
      <c r="T53" s="61">
        <f>SUM(C53/B53)</f>
        <v>0.37591063623118021</v>
      </c>
      <c r="U53" s="61">
        <f>SUM(D53/B53)</f>
        <v>0.2724623603691112</v>
      </c>
      <c r="V53" s="61">
        <f>SUM(E53/B53)</f>
        <v>0.33365711510441964</v>
      </c>
      <c r="W53" s="105">
        <f t="shared" si="8"/>
        <v>0</v>
      </c>
      <c r="X53" s="61">
        <f>SUM(G53/B53)</f>
        <v>0</v>
      </c>
      <c r="Y53" s="61">
        <f>SUM(H53/B53)</f>
        <v>0</v>
      </c>
      <c r="Z53" s="61">
        <f>SUM(I53/B53)</f>
        <v>1.7969888295288974E-2</v>
      </c>
    </row>
    <row r="54" spans="1:26">
      <c r="A54" s="56" t="s">
        <v>265</v>
      </c>
      <c r="B54" s="54">
        <f>SUM(C54:I54)</f>
        <v>8620</v>
      </c>
      <c r="C54" s="55">
        <v>4498</v>
      </c>
      <c r="D54" s="55">
        <v>1937</v>
      </c>
      <c r="E54" s="55">
        <v>1394</v>
      </c>
      <c r="F54" s="55">
        <v>0</v>
      </c>
      <c r="G54" s="55">
        <v>0</v>
      </c>
      <c r="H54" s="55">
        <v>0</v>
      </c>
      <c r="I54" s="55">
        <v>791</v>
      </c>
      <c r="K54" s="54">
        <f>SUM(L54:R54)</f>
        <v>6</v>
      </c>
      <c r="L54" s="55">
        <v>3</v>
      </c>
      <c r="M54" s="55">
        <v>1</v>
      </c>
      <c r="N54" s="55">
        <v>1</v>
      </c>
      <c r="O54" s="55">
        <v>0</v>
      </c>
      <c r="P54" s="55">
        <v>0</v>
      </c>
      <c r="Q54" s="55">
        <v>0</v>
      </c>
      <c r="R54" s="55">
        <v>1</v>
      </c>
      <c r="T54" s="61">
        <f>SUM(C54/B54)</f>
        <v>0.52180974477958242</v>
      </c>
      <c r="U54" s="61">
        <f>SUM(D54/B54)</f>
        <v>0.22470997679814386</v>
      </c>
      <c r="V54" s="61">
        <f>SUM(E54/B54)</f>
        <v>0.1617169373549884</v>
      </c>
      <c r="W54" s="105">
        <f t="shared" si="8"/>
        <v>0</v>
      </c>
      <c r="X54" s="61">
        <f>SUM(G54/B54)</f>
        <v>0</v>
      </c>
      <c r="Y54" s="61">
        <f>SUM(H54/B54)</f>
        <v>0</v>
      </c>
      <c r="Z54" s="61">
        <f>SUM(I54/B54)</f>
        <v>9.1763341067285384E-2</v>
      </c>
    </row>
    <row r="55" spans="1:26">
      <c r="A55" s="56" t="s">
        <v>266</v>
      </c>
      <c r="B55" s="54">
        <f>SUM(C55:I55)</f>
        <v>5583</v>
      </c>
      <c r="C55" s="55">
        <v>1412</v>
      </c>
      <c r="D55" s="55">
        <v>705</v>
      </c>
      <c r="E55" s="55">
        <v>2603</v>
      </c>
      <c r="F55" s="55">
        <v>493</v>
      </c>
      <c r="G55" s="55">
        <v>0</v>
      </c>
      <c r="H55" s="55">
        <v>0</v>
      </c>
      <c r="I55" s="55">
        <v>370</v>
      </c>
      <c r="K55" s="54">
        <f>SUM(L55:R55)</f>
        <v>5</v>
      </c>
      <c r="L55" s="55">
        <v>1</v>
      </c>
      <c r="M55" s="55">
        <v>1</v>
      </c>
      <c r="N55" s="55">
        <v>3</v>
      </c>
      <c r="O55" s="55">
        <v>0</v>
      </c>
      <c r="P55" s="55">
        <v>0</v>
      </c>
      <c r="Q55" s="55">
        <v>0</v>
      </c>
      <c r="R55" s="55">
        <v>0</v>
      </c>
      <c r="T55" s="61">
        <f>SUM(C55/B55)</f>
        <v>0.25291062152964355</v>
      </c>
      <c r="U55" s="61">
        <f>SUM(D55/B55)</f>
        <v>0.12627619559376679</v>
      </c>
      <c r="V55" s="61">
        <f>SUM(E55/B55)</f>
        <v>0.46623679025613468</v>
      </c>
      <c r="W55" s="105">
        <f t="shared" si="8"/>
        <v>8.8303779330109258E-2</v>
      </c>
      <c r="X55" s="61">
        <f>SUM(G55/B55)</f>
        <v>0</v>
      </c>
      <c r="Y55" s="61">
        <f>SUM(H55/B55)</f>
        <v>0</v>
      </c>
      <c r="Z55" s="61">
        <f>SUM(I55/B55)</f>
        <v>6.6272613290345686E-2</v>
      </c>
    </row>
    <row r="56" spans="1:26">
      <c r="A56" s="56" t="s">
        <v>267</v>
      </c>
      <c r="B56" s="54">
        <f>SUM(C56:I56)</f>
        <v>5599</v>
      </c>
      <c r="C56" s="55">
        <v>1809</v>
      </c>
      <c r="D56" s="55">
        <v>653</v>
      </c>
      <c r="E56" s="55">
        <v>1992</v>
      </c>
      <c r="F56" s="55">
        <v>0</v>
      </c>
      <c r="G56" s="55">
        <v>0</v>
      </c>
      <c r="H56" s="55">
        <v>0</v>
      </c>
      <c r="I56" s="55">
        <v>1145</v>
      </c>
      <c r="K56" s="54">
        <f>SUM(L56:R56)</f>
        <v>5</v>
      </c>
      <c r="L56" s="55">
        <v>2</v>
      </c>
      <c r="M56" s="55">
        <v>0</v>
      </c>
      <c r="N56" s="55">
        <v>2</v>
      </c>
      <c r="O56" s="55">
        <v>0</v>
      </c>
      <c r="P56" s="55">
        <v>0</v>
      </c>
      <c r="Q56" s="55">
        <v>0</v>
      </c>
      <c r="R56" s="55">
        <v>1</v>
      </c>
      <c r="T56" s="61">
        <f>SUM(C56/B56)</f>
        <v>0.32309340953741739</v>
      </c>
      <c r="U56" s="61">
        <f>SUM(D56/B56)</f>
        <v>0.11662796928022862</v>
      </c>
      <c r="V56" s="61">
        <f>SUM(E56/B56)</f>
        <v>0.35577781746740489</v>
      </c>
      <c r="W56" s="105">
        <f t="shared" si="8"/>
        <v>0</v>
      </c>
      <c r="X56" s="61">
        <f>SUM(G56/B56)</f>
        <v>0</v>
      </c>
      <c r="Y56" s="61">
        <f>SUM(H56/B56)</f>
        <v>0</v>
      </c>
      <c r="Z56" s="61">
        <f>SUM(I56/B56)</f>
        <v>0.20450080371494911</v>
      </c>
    </row>
    <row r="57" spans="1:26" s="52" customFormat="1">
      <c r="A57" s="53" t="s">
        <v>1574</v>
      </c>
      <c r="B57" s="54">
        <f>SUM(B53:B56)</f>
        <v>23920</v>
      </c>
      <c r="C57" s="54">
        <f t="shared" ref="C57:N57" si="24">SUM(C53:C56)</f>
        <v>9267</v>
      </c>
      <c r="D57" s="54">
        <f>SUM(D53:D56)</f>
        <v>4417</v>
      </c>
      <c r="E57" s="54">
        <f t="shared" si="24"/>
        <v>7363</v>
      </c>
      <c r="F57" s="54">
        <f>SUM(F53:F56)</f>
        <v>493</v>
      </c>
      <c r="G57" s="54">
        <f>SUM(G53:G56)</f>
        <v>0</v>
      </c>
      <c r="H57" s="54">
        <f>SUM(H53:H56)</f>
        <v>0</v>
      </c>
      <c r="I57" s="54">
        <f>SUM(I53:I56)</f>
        <v>2380</v>
      </c>
      <c r="J57" s="54"/>
      <c r="K57" s="54">
        <f t="shared" si="24"/>
        <v>20</v>
      </c>
      <c r="L57" s="54">
        <f t="shared" si="24"/>
        <v>8</v>
      </c>
      <c r="M57" s="54">
        <f t="shared" si="24"/>
        <v>3</v>
      </c>
      <c r="N57" s="54">
        <f t="shared" si="24"/>
        <v>7</v>
      </c>
      <c r="O57" s="54">
        <f>SUM(O53:O56)</f>
        <v>0</v>
      </c>
      <c r="P57" s="54">
        <f>SUM(P53:P56)</f>
        <v>0</v>
      </c>
      <c r="Q57" s="54">
        <f>SUM(Q53:Q56)</f>
        <v>0</v>
      </c>
      <c r="R57" s="54">
        <f>SUM(R53:R56)</f>
        <v>2</v>
      </c>
      <c r="T57" s="60">
        <f>SUM(C57/B57)</f>
        <v>0.38741638795986622</v>
      </c>
      <c r="U57" s="60">
        <f>SUM(D57/B57)</f>
        <v>0.1846571906354515</v>
      </c>
      <c r="V57" s="60">
        <f>SUM(E57/B57)</f>
        <v>0.30781772575250838</v>
      </c>
      <c r="W57" s="60">
        <f t="shared" si="8"/>
        <v>2.0610367892976589E-2</v>
      </c>
      <c r="X57" s="60">
        <f>SUM(G57/B57)</f>
        <v>0</v>
      </c>
      <c r="Y57" s="60">
        <f>SUM(H57/B57)</f>
        <v>0</v>
      </c>
      <c r="Z57" s="60">
        <f>SUM(I57/B57)</f>
        <v>9.9498327759197328E-2</v>
      </c>
    </row>
    <row r="58" spans="1:26">
      <c r="A58" s="53"/>
      <c r="B58" s="54"/>
      <c r="C58" s="55"/>
      <c r="D58" s="55"/>
      <c r="E58" s="55"/>
      <c r="F58" s="55"/>
      <c r="G58" s="55"/>
      <c r="H58" s="55"/>
      <c r="I58" s="55"/>
      <c r="K58" s="54"/>
      <c r="L58" s="55"/>
      <c r="M58" s="55"/>
      <c r="N58" s="55"/>
      <c r="O58" s="55"/>
      <c r="P58" s="55"/>
      <c r="Q58" s="55"/>
      <c r="R58" s="55"/>
      <c r="W58" s="105"/>
    </row>
    <row r="59" spans="1:26">
      <c r="A59" s="56" t="s">
        <v>268</v>
      </c>
      <c r="B59" s="54">
        <f t="shared" ref="B59:B64" si="25">SUM(C59:I59)</f>
        <v>6231</v>
      </c>
      <c r="C59" s="55">
        <v>2207</v>
      </c>
      <c r="D59" s="55">
        <v>1439</v>
      </c>
      <c r="E59" s="55">
        <v>1985</v>
      </c>
      <c r="F59" s="55">
        <v>0</v>
      </c>
      <c r="G59" s="55">
        <v>0</v>
      </c>
      <c r="H59" s="55">
        <v>0</v>
      </c>
      <c r="I59" s="55">
        <v>600</v>
      </c>
      <c r="K59" s="54">
        <f t="shared" ref="K59:K64" si="26">SUM(L59:R59)</f>
        <v>5</v>
      </c>
      <c r="L59" s="55">
        <v>2</v>
      </c>
      <c r="M59" s="55">
        <v>1</v>
      </c>
      <c r="N59" s="55">
        <v>2</v>
      </c>
      <c r="O59" s="55">
        <v>0</v>
      </c>
      <c r="P59" s="55">
        <v>0</v>
      </c>
      <c r="Q59" s="55">
        <v>0</v>
      </c>
      <c r="R59" s="55">
        <v>0</v>
      </c>
      <c r="T59" s="61">
        <f t="shared" ref="T59:T65" si="27">SUM(C59/B59)</f>
        <v>0.35419675814476009</v>
      </c>
      <c r="U59" s="61">
        <f t="shared" ref="U59:U65" si="28">SUM(D59/B59)</f>
        <v>0.23094206387417751</v>
      </c>
      <c r="V59" s="61">
        <f t="shared" ref="V59:V65" si="29">SUM(E59/B59)</f>
        <v>0.31856844808216978</v>
      </c>
      <c r="W59" s="105">
        <f t="shared" si="8"/>
        <v>0</v>
      </c>
      <c r="X59" s="61">
        <f t="shared" ref="X59:X65" si="30">SUM(G59/B59)</f>
        <v>0</v>
      </c>
      <c r="Y59" s="61">
        <f t="shared" ref="Y59:Y65" si="31">SUM(H59/B59)</f>
        <v>0</v>
      </c>
      <c r="Z59" s="61">
        <f t="shared" ref="Z59:Z65" si="32">SUM(I59/B59)</f>
        <v>9.6292729898892634E-2</v>
      </c>
    </row>
    <row r="60" spans="1:26">
      <c r="A60" s="56" t="s">
        <v>269</v>
      </c>
      <c r="B60" s="54">
        <f t="shared" si="25"/>
        <v>4867</v>
      </c>
      <c r="C60" s="55">
        <v>433</v>
      </c>
      <c r="D60" s="55">
        <v>135</v>
      </c>
      <c r="E60" s="55">
        <v>3115</v>
      </c>
      <c r="F60" s="55">
        <v>412</v>
      </c>
      <c r="G60" s="55">
        <v>174</v>
      </c>
      <c r="H60" s="55">
        <v>0</v>
      </c>
      <c r="I60" s="55">
        <v>598</v>
      </c>
      <c r="K60" s="54">
        <f t="shared" si="26"/>
        <v>4</v>
      </c>
      <c r="L60" s="55">
        <v>0</v>
      </c>
      <c r="M60" s="55">
        <v>0</v>
      </c>
      <c r="N60" s="55">
        <v>4</v>
      </c>
      <c r="O60" s="55">
        <v>0</v>
      </c>
      <c r="P60" s="55">
        <v>0</v>
      </c>
      <c r="Q60" s="55">
        <v>0</v>
      </c>
      <c r="R60" s="55">
        <v>0</v>
      </c>
      <c r="T60" s="61">
        <f t="shared" si="27"/>
        <v>8.8966509143209374E-2</v>
      </c>
      <c r="U60" s="61">
        <f t="shared" si="28"/>
        <v>2.7737826176289296E-2</v>
      </c>
      <c r="V60" s="61">
        <f t="shared" si="29"/>
        <v>0.64002465584549006</v>
      </c>
      <c r="W60" s="105">
        <f t="shared" si="8"/>
        <v>8.4651736182453252E-2</v>
      </c>
      <c r="X60" s="61">
        <f t="shared" si="30"/>
        <v>3.575097596055065E-2</v>
      </c>
      <c r="Y60" s="61">
        <f t="shared" si="31"/>
        <v>0</v>
      </c>
      <c r="Z60" s="61">
        <f t="shared" si="32"/>
        <v>0.1228682966920074</v>
      </c>
    </row>
    <row r="61" spans="1:26">
      <c r="A61" s="56" t="s">
        <v>270</v>
      </c>
      <c r="B61" s="54">
        <f t="shared" si="25"/>
        <v>4066</v>
      </c>
      <c r="C61" s="55">
        <v>1058</v>
      </c>
      <c r="D61" s="55">
        <v>901</v>
      </c>
      <c r="E61" s="55">
        <v>1625</v>
      </c>
      <c r="F61" s="55">
        <v>0</v>
      </c>
      <c r="G61" s="55">
        <v>87</v>
      </c>
      <c r="H61" s="55">
        <v>0</v>
      </c>
      <c r="I61" s="55">
        <v>395</v>
      </c>
      <c r="K61" s="54">
        <f t="shared" si="26"/>
        <v>4</v>
      </c>
      <c r="L61" s="55">
        <v>1</v>
      </c>
      <c r="M61" s="55">
        <v>1</v>
      </c>
      <c r="N61" s="55">
        <v>2</v>
      </c>
      <c r="O61" s="55">
        <v>0</v>
      </c>
      <c r="P61" s="55">
        <v>0</v>
      </c>
      <c r="Q61" s="55">
        <v>0</v>
      </c>
      <c r="R61" s="55">
        <v>0</v>
      </c>
      <c r="T61" s="61">
        <f t="shared" si="27"/>
        <v>0.26020659124446632</v>
      </c>
      <c r="U61" s="61">
        <f t="shared" si="28"/>
        <v>0.22159370388588293</v>
      </c>
      <c r="V61" s="61">
        <f t="shared" si="29"/>
        <v>0.39965568125922285</v>
      </c>
      <c r="W61" s="105">
        <f t="shared" si="8"/>
        <v>0</v>
      </c>
      <c r="X61" s="61">
        <f t="shared" si="30"/>
        <v>2.1396950319724543E-2</v>
      </c>
      <c r="Y61" s="61">
        <f t="shared" si="31"/>
        <v>0</v>
      </c>
      <c r="Z61" s="61">
        <f t="shared" si="32"/>
        <v>9.7147073290703392E-2</v>
      </c>
    </row>
    <row r="62" spans="1:26">
      <c r="A62" s="56" t="s">
        <v>271</v>
      </c>
      <c r="B62" s="54">
        <f t="shared" si="25"/>
        <v>7730</v>
      </c>
      <c r="C62" s="55">
        <v>1480</v>
      </c>
      <c r="D62" s="55">
        <v>303</v>
      </c>
      <c r="E62" s="55">
        <v>2871</v>
      </c>
      <c r="F62" s="55">
        <v>0</v>
      </c>
      <c r="G62" s="55">
        <v>588</v>
      </c>
      <c r="H62" s="55">
        <v>490</v>
      </c>
      <c r="I62" s="55">
        <v>1998</v>
      </c>
      <c r="K62" s="54">
        <f t="shared" si="26"/>
        <v>7</v>
      </c>
      <c r="L62" s="55">
        <v>2</v>
      </c>
      <c r="M62" s="55">
        <v>0</v>
      </c>
      <c r="N62" s="55">
        <v>3</v>
      </c>
      <c r="O62" s="55">
        <v>0</v>
      </c>
      <c r="P62" s="55">
        <v>0</v>
      </c>
      <c r="Q62" s="55">
        <v>0</v>
      </c>
      <c r="R62" s="55">
        <v>2</v>
      </c>
      <c r="T62" s="61">
        <f t="shared" si="27"/>
        <v>0.19146183699870634</v>
      </c>
      <c r="U62" s="61">
        <f t="shared" si="28"/>
        <v>3.9197930142302717E-2</v>
      </c>
      <c r="V62" s="61">
        <f t="shared" si="29"/>
        <v>0.37141009055627427</v>
      </c>
      <c r="W62" s="105">
        <f t="shared" si="8"/>
        <v>0</v>
      </c>
      <c r="X62" s="61">
        <f t="shared" si="30"/>
        <v>7.6067270375161714E-2</v>
      </c>
      <c r="Y62" s="61">
        <f t="shared" si="31"/>
        <v>6.3389391979301421E-2</v>
      </c>
      <c r="Z62" s="61">
        <f t="shared" si="32"/>
        <v>0.25847347994825354</v>
      </c>
    </row>
    <row r="63" spans="1:26">
      <c r="A63" s="56" t="s">
        <v>272</v>
      </c>
      <c r="B63" s="54">
        <f t="shared" si="25"/>
        <v>6970</v>
      </c>
      <c r="C63" s="55">
        <v>530</v>
      </c>
      <c r="D63" s="55">
        <v>255</v>
      </c>
      <c r="E63" s="55">
        <v>2786</v>
      </c>
      <c r="F63" s="55">
        <v>530</v>
      </c>
      <c r="G63" s="55">
        <v>0</v>
      </c>
      <c r="H63" s="55">
        <v>0</v>
      </c>
      <c r="I63" s="55">
        <v>2869</v>
      </c>
      <c r="K63" s="54">
        <f t="shared" si="26"/>
        <v>6</v>
      </c>
      <c r="L63" s="55">
        <v>0</v>
      </c>
      <c r="M63" s="55">
        <v>0</v>
      </c>
      <c r="N63" s="55">
        <v>3</v>
      </c>
      <c r="O63" s="55">
        <v>1</v>
      </c>
      <c r="P63" s="55">
        <v>0</v>
      </c>
      <c r="Q63" s="55">
        <v>0</v>
      </c>
      <c r="R63" s="55">
        <v>2</v>
      </c>
      <c r="T63" s="61">
        <f>SUM(C63/B63)</f>
        <v>7.6040172166427542E-2</v>
      </c>
      <c r="U63" s="61">
        <f>SUM(D63/B63)</f>
        <v>3.6585365853658534E-2</v>
      </c>
      <c r="V63" s="61">
        <f>SUM(E63/B63)</f>
        <v>0.39971305595408896</v>
      </c>
      <c r="W63" s="105">
        <f>SUM(F63/B63)</f>
        <v>7.6040172166427542E-2</v>
      </c>
      <c r="X63" s="61">
        <f>SUM(G63/B63)</f>
        <v>0</v>
      </c>
      <c r="Y63" s="61">
        <f>SUM(H63/B63)</f>
        <v>0</v>
      </c>
      <c r="Z63" s="61">
        <f>SUM(I63/B63)</f>
        <v>0.41162123385939742</v>
      </c>
    </row>
    <row r="64" spans="1:26">
      <c r="A64" s="56" t="s">
        <v>273</v>
      </c>
      <c r="B64" s="54">
        <f t="shared" si="25"/>
        <v>4646</v>
      </c>
      <c r="C64" s="55">
        <v>752</v>
      </c>
      <c r="D64" s="55">
        <v>258</v>
      </c>
      <c r="E64" s="55">
        <v>2015</v>
      </c>
      <c r="F64" s="55">
        <v>1004</v>
      </c>
      <c r="G64" s="55">
        <v>391</v>
      </c>
      <c r="H64" s="55">
        <v>192</v>
      </c>
      <c r="I64" s="55">
        <v>34</v>
      </c>
      <c r="K64" s="54">
        <f t="shared" si="26"/>
        <v>4</v>
      </c>
      <c r="L64" s="55">
        <v>1</v>
      </c>
      <c r="M64" s="55">
        <v>0</v>
      </c>
      <c r="N64" s="55">
        <v>2</v>
      </c>
      <c r="O64" s="55">
        <v>1</v>
      </c>
      <c r="P64" s="55">
        <v>0</v>
      </c>
      <c r="Q64" s="55">
        <v>0</v>
      </c>
      <c r="R64" s="55">
        <v>0</v>
      </c>
      <c r="T64" s="61">
        <f t="shared" si="27"/>
        <v>0.16185966422729228</v>
      </c>
      <c r="U64" s="61">
        <f t="shared" si="28"/>
        <v>5.5531640120533791E-2</v>
      </c>
      <c r="V64" s="61">
        <f t="shared" si="29"/>
        <v>0.43370641411967281</v>
      </c>
      <c r="W64" s="105">
        <f t="shared" si="8"/>
        <v>0.21609987085665089</v>
      </c>
      <c r="X64" s="61">
        <f t="shared" si="30"/>
        <v>8.4158415841584164E-2</v>
      </c>
      <c r="Y64" s="61">
        <f t="shared" si="31"/>
        <v>4.1325871717606544E-2</v>
      </c>
      <c r="Z64" s="61">
        <f t="shared" si="32"/>
        <v>7.3181231166594921E-3</v>
      </c>
    </row>
    <row r="65" spans="1:26" s="52" customFormat="1">
      <c r="A65" s="53" t="s">
        <v>1580</v>
      </c>
      <c r="B65" s="54">
        <f>SUM(B59:B64)</f>
        <v>34510</v>
      </c>
      <c r="C65" s="54">
        <f t="shared" ref="C65:N65" si="33">SUM(C59:C64)</f>
        <v>6460</v>
      </c>
      <c r="D65" s="54">
        <f>SUM(D59:D64)</f>
        <v>3291</v>
      </c>
      <c r="E65" s="54">
        <f t="shared" si="33"/>
        <v>14397</v>
      </c>
      <c r="F65" s="54">
        <f>SUM(F59:F64)</f>
        <v>1946</v>
      </c>
      <c r="G65" s="54">
        <f>SUM(G59:G64)</f>
        <v>1240</v>
      </c>
      <c r="H65" s="54">
        <f>SUM(H59:H64)</f>
        <v>682</v>
      </c>
      <c r="I65" s="54">
        <f>SUM(I59:I64)</f>
        <v>6494</v>
      </c>
      <c r="J65" s="54"/>
      <c r="K65" s="54">
        <f t="shared" si="33"/>
        <v>30</v>
      </c>
      <c r="L65" s="54">
        <f t="shared" si="33"/>
        <v>6</v>
      </c>
      <c r="M65" s="54">
        <f t="shared" si="33"/>
        <v>2</v>
      </c>
      <c r="N65" s="54">
        <f t="shared" si="33"/>
        <v>16</v>
      </c>
      <c r="O65" s="54">
        <f>SUM(O59:O64)</f>
        <v>2</v>
      </c>
      <c r="P65" s="54">
        <f>SUM(P59:P64)</f>
        <v>0</v>
      </c>
      <c r="Q65" s="54">
        <f>SUM(Q59:Q64)</f>
        <v>0</v>
      </c>
      <c r="R65" s="54">
        <f>SUM(R59:R64)</f>
        <v>4</v>
      </c>
      <c r="T65" s="60">
        <f t="shared" si="27"/>
        <v>0.18719211822660098</v>
      </c>
      <c r="U65" s="60">
        <f t="shared" si="28"/>
        <v>9.5363662706461891E-2</v>
      </c>
      <c r="V65" s="60">
        <f t="shared" si="29"/>
        <v>0.41718342509417561</v>
      </c>
      <c r="W65" s="60">
        <f t="shared" si="8"/>
        <v>5.63894523326572E-2</v>
      </c>
      <c r="X65" s="60">
        <f t="shared" si="30"/>
        <v>3.5931614024920316E-2</v>
      </c>
      <c r="Y65" s="60">
        <f t="shared" si="31"/>
        <v>1.9762387713706173E-2</v>
      </c>
      <c r="Z65" s="60">
        <f t="shared" si="32"/>
        <v>0.18817733990147784</v>
      </c>
    </row>
    <row r="66" spans="1:26">
      <c r="A66" s="53"/>
      <c r="B66" s="54"/>
      <c r="C66" s="55"/>
      <c r="D66" s="55"/>
      <c r="E66" s="55"/>
      <c r="F66" s="55"/>
      <c r="G66" s="55"/>
      <c r="H66" s="55"/>
      <c r="I66" s="55"/>
      <c r="K66" s="54"/>
      <c r="L66" s="55"/>
      <c r="M66" s="55"/>
      <c r="N66" s="55"/>
      <c r="O66" s="55"/>
      <c r="P66" s="55"/>
      <c r="Q66" s="55"/>
      <c r="R66" s="55"/>
      <c r="W66" s="105"/>
    </row>
    <row r="67" spans="1:26">
      <c r="A67" s="56" t="s">
        <v>274</v>
      </c>
      <c r="B67" s="54">
        <f>SUM(C67:I67)</f>
        <v>6174</v>
      </c>
      <c r="C67" s="55">
        <v>915</v>
      </c>
      <c r="D67" s="55">
        <v>766</v>
      </c>
      <c r="E67" s="55">
        <v>3081</v>
      </c>
      <c r="F67" s="55">
        <v>0</v>
      </c>
      <c r="G67" s="55">
        <v>0</v>
      </c>
      <c r="H67" s="55">
        <v>1220</v>
      </c>
      <c r="I67" s="55">
        <v>192</v>
      </c>
      <c r="J67" s="55"/>
      <c r="K67" s="54">
        <f>SUM(L67:R67)</f>
        <v>5</v>
      </c>
      <c r="L67" s="55">
        <v>1</v>
      </c>
      <c r="M67" s="55">
        <v>0</v>
      </c>
      <c r="N67" s="55">
        <v>3</v>
      </c>
      <c r="O67" s="55">
        <v>0</v>
      </c>
      <c r="P67" s="55">
        <v>0</v>
      </c>
      <c r="Q67" s="55">
        <v>1</v>
      </c>
      <c r="R67" s="55">
        <v>0</v>
      </c>
      <c r="T67" s="61">
        <f>SUM(C67/B67)</f>
        <v>0.14820213799805637</v>
      </c>
      <c r="U67" s="61">
        <f>SUM(D67/B67)</f>
        <v>0.12406867508908326</v>
      </c>
      <c r="V67" s="61">
        <f>SUM(E67/B67)</f>
        <v>0.49902818270165211</v>
      </c>
      <c r="W67" s="105">
        <f t="shared" si="8"/>
        <v>0</v>
      </c>
      <c r="X67" s="61">
        <f>SUM(G67/B67)</f>
        <v>0</v>
      </c>
      <c r="Y67" s="61">
        <f>SUM(H67/B67)</f>
        <v>0.19760285066407515</v>
      </c>
      <c r="Z67" s="61">
        <f>SUM(I67/B67)</f>
        <v>3.1098153547133137E-2</v>
      </c>
    </row>
    <row r="68" spans="1:26">
      <c r="A68" s="56" t="s">
        <v>275</v>
      </c>
      <c r="B68" s="54">
        <f>SUM(C68:I68)</f>
        <v>8118</v>
      </c>
      <c r="C68" s="55">
        <v>2967</v>
      </c>
      <c r="D68" s="55">
        <v>2492</v>
      </c>
      <c r="E68" s="55">
        <v>1343</v>
      </c>
      <c r="F68" s="55">
        <v>0</v>
      </c>
      <c r="G68" s="55">
        <v>775</v>
      </c>
      <c r="H68" s="55">
        <v>541</v>
      </c>
      <c r="I68" s="55">
        <v>0</v>
      </c>
      <c r="K68" s="54">
        <f>SUM(L68:R68)</f>
        <v>7</v>
      </c>
      <c r="L68" s="55">
        <v>3</v>
      </c>
      <c r="M68" s="55">
        <v>2</v>
      </c>
      <c r="N68" s="55">
        <v>1</v>
      </c>
      <c r="O68" s="55">
        <v>0</v>
      </c>
      <c r="P68" s="55">
        <v>1</v>
      </c>
      <c r="Q68" s="55">
        <v>0</v>
      </c>
      <c r="R68" s="55">
        <v>0</v>
      </c>
      <c r="T68" s="61">
        <f>SUM(C68/B68)</f>
        <v>0.36548410938654841</v>
      </c>
      <c r="U68" s="61">
        <f>SUM(D68/B68)</f>
        <v>0.30697216063069721</v>
      </c>
      <c r="V68" s="61">
        <f>SUM(E68/B68)</f>
        <v>0.16543483616654348</v>
      </c>
      <c r="W68" s="105">
        <f t="shared" si="8"/>
        <v>0</v>
      </c>
      <c r="X68" s="61">
        <f>SUM(G68/B68)</f>
        <v>9.5466863759546688E-2</v>
      </c>
      <c r="Y68" s="61">
        <f>SUM(H68/B68)</f>
        <v>6.6642030056664206E-2</v>
      </c>
      <c r="Z68" s="61">
        <f>SUM(I68/B68)</f>
        <v>0</v>
      </c>
    </row>
    <row r="69" spans="1:26">
      <c r="A69" s="56" t="s">
        <v>276</v>
      </c>
      <c r="B69" s="54">
        <f>SUM(C69:I69)</f>
        <v>9150</v>
      </c>
      <c r="C69" s="55">
        <v>2421</v>
      </c>
      <c r="D69" s="55">
        <v>2017</v>
      </c>
      <c r="E69" s="55">
        <v>1738</v>
      </c>
      <c r="F69" s="55">
        <v>0</v>
      </c>
      <c r="G69" s="55">
        <v>579</v>
      </c>
      <c r="H69" s="55">
        <v>1298</v>
      </c>
      <c r="I69" s="55">
        <v>1097</v>
      </c>
      <c r="K69" s="54">
        <f>SUM(L69:R69)</f>
        <v>6</v>
      </c>
      <c r="L69" s="55">
        <v>2</v>
      </c>
      <c r="M69" s="55">
        <v>2</v>
      </c>
      <c r="N69" s="55">
        <v>1</v>
      </c>
      <c r="O69" s="55">
        <v>0</v>
      </c>
      <c r="P69" s="55">
        <v>0</v>
      </c>
      <c r="Q69" s="55">
        <v>1</v>
      </c>
      <c r="R69" s="55">
        <v>0</v>
      </c>
      <c r="T69" s="61">
        <f>SUM(C69/B69)</f>
        <v>0.26459016393442625</v>
      </c>
      <c r="U69" s="61">
        <f>SUM(D69/B69)</f>
        <v>0.22043715846994535</v>
      </c>
      <c r="V69" s="61">
        <f>SUM(E69/B69)</f>
        <v>0.18994535519125683</v>
      </c>
      <c r="W69" s="105">
        <f t="shared" si="8"/>
        <v>0</v>
      </c>
      <c r="X69" s="61">
        <f>SUM(G69/B69)</f>
        <v>6.3278688524590163E-2</v>
      </c>
      <c r="Y69" s="61">
        <f>SUM(H69/B69)</f>
        <v>0.14185792349726775</v>
      </c>
      <c r="Z69" s="61">
        <f>SUM(I69/B69)</f>
        <v>0.11989071038251366</v>
      </c>
    </row>
    <row r="70" spans="1:26">
      <c r="A70" s="56" t="s">
        <v>277</v>
      </c>
      <c r="B70" s="54">
        <f>SUM(C70:I70)</f>
        <v>9218</v>
      </c>
      <c r="C70" s="55">
        <v>3742</v>
      </c>
      <c r="D70" s="55">
        <v>3561</v>
      </c>
      <c r="E70" s="55">
        <v>639</v>
      </c>
      <c r="F70" s="55">
        <v>0</v>
      </c>
      <c r="G70" s="55">
        <v>0</v>
      </c>
      <c r="H70" s="55">
        <v>0</v>
      </c>
      <c r="I70" s="55">
        <v>1276</v>
      </c>
      <c r="K70" s="54">
        <f>SUM(L70:R70)</f>
        <v>7</v>
      </c>
      <c r="L70" s="55">
        <v>3</v>
      </c>
      <c r="M70" s="55">
        <v>3</v>
      </c>
      <c r="N70" s="55">
        <v>0</v>
      </c>
      <c r="O70" s="55">
        <v>0</v>
      </c>
      <c r="P70" s="55">
        <v>0</v>
      </c>
      <c r="Q70" s="55">
        <v>0</v>
      </c>
      <c r="R70" s="55">
        <v>1</v>
      </c>
      <c r="T70" s="61">
        <f>SUM(C70/B70)</f>
        <v>0.40594489043176396</v>
      </c>
      <c r="U70" s="61">
        <f>SUM(D70/B70)</f>
        <v>0.3863093946626166</v>
      </c>
      <c r="V70" s="61">
        <f>SUM(E70/B70)</f>
        <v>6.9320893903232803E-2</v>
      </c>
      <c r="W70" s="105">
        <f t="shared" si="8"/>
        <v>0</v>
      </c>
      <c r="X70" s="61">
        <f>SUM(G70/B70)</f>
        <v>0</v>
      </c>
      <c r="Y70" s="61">
        <f>SUM(H70/B70)</f>
        <v>0</v>
      </c>
      <c r="Z70" s="61">
        <f>SUM(I70/B70)</f>
        <v>0.13842482100238662</v>
      </c>
    </row>
    <row r="71" spans="1:26" s="52" customFormat="1">
      <c r="A71" s="53" t="s">
        <v>1585</v>
      </c>
      <c r="B71" s="54">
        <f>SUM(B67:B70)</f>
        <v>32660</v>
      </c>
      <c r="C71" s="54">
        <f t="shared" ref="C71:N71" si="34">SUM(C67:C70)</f>
        <v>10045</v>
      </c>
      <c r="D71" s="54">
        <f>SUM(D67:D70)</f>
        <v>8836</v>
      </c>
      <c r="E71" s="54">
        <f t="shared" si="34"/>
        <v>6801</v>
      </c>
      <c r="F71" s="54">
        <f>SUM(F67:F70)</f>
        <v>0</v>
      </c>
      <c r="G71" s="54">
        <f>SUM(G67:G70)</f>
        <v>1354</v>
      </c>
      <c r="H71" s="54">
        <f>SUM(H67:H70)</f>
        <v>3059</v>
      </c>
      <c r="I71" s="54">
        <f>SUM(I67:I70)</f>
        <v>2565</v>
      </c>
      <c r="J71" s="54"/>
      <c r="K71" s="54">
        <f t="shared" si="34"/>
        <v>25</v>
      </c>
      <c r="L71" s="54">
        <f t="shared" si="34"/>
        <v>9</v>
      </c>
      <c r="M71" s="54">
        <f t="shared" si="34"/>
        <v>7</v>
      </c>
      <c r="N71" s="54">
        <f t="shared" si="34"/>
        <v>5</v>
      </c>
      <c r="O71" s="54">
        <f>SUM(O67:O70)</f>
        <v>0</v>
      </c>
      <c r="P71" s="54">
        <f>SUM(P67:P70)</f>
        <v>1</v>
      </c>
      <c r="Q71" s="54">
        <f>SUM(Q67:Q70)</f>
        <v>2</v>
      </c>
      <c r="R71" s="54">
        <f>SUM(R67:R70)</f>
        <v>1</v>
      </c>
      <c r="T71" s="60">
        <f>SUM(C71/B71)</f>
        <v>0.30756276791181875</v>
      </c>
      <c r="U71" s="60">
        <f>SUM(D71/B71)</f>
        <v>0.27054500918554808</v>
      </c>
      <c r="V71" s="60">
        <f>SUM(E71/B71)</f>
        <v>0.2082363747703613</v>
      </c>
      <c r="W71" s="60">
        <f t="shared" si="8"/>
        <v>0</v>
      </c>
      <c r="X71" s="60">
        <f>SUM(G71/B71)</f>
        <v>4.1457440293937539E-2</v>
      </c>
      <c r="Y71" s="60">
        <f>SUM(H71/B71)</f>
        <v>9.3661971830985916E-2</v>
      </c>
      <c r="Z71" s="60">
        <f>SUM(I71/B71)</f>
        <v>7.8536436007348442E-2</v>
      </c>
    </row>
    <row r="72" spans="1:26">
      <c r="A72" s="53"/>
      <c r="B72" s="54"/>
      <c r="C72" s="55"/>
      <c r="D72" s="55"/>
      <c r="E72" s="55"/>
      <c r="F72" s="55"/>
      <c r="G72" s="55"/>
      <c r="H72" s="55"/>
      <c r="I72" s="55"/>
      <c r="K72" s="54"/>
      <c r="L72" s="55"/>
      <c r="M72" s="55"/>
      <c r="N72" s="55"/>
      <c r="O72" s="55"/>
      <c r="P72" s="55"/>
      <c r="Q72" s="55"/>
      <c r="R72" s="55"/>
      <c r="W72" s="105"/>
    </row>
    <row r="73" spans="1:26">
      <c r="A73" s="56" t="s">
        <v>278</v>
      </c>
      <c r="B73" s="54">
        <f>SUM(C73:I73)</f>
        <v>7876</v>
      </c>
      <c r="C73" s="55">
        <v>2734</v>
      </c>
      <c r="D73" s="55">
        <v>1989</v>
      </c>
      <c r="E73" s="55">
        <v>1092</v>
      </c>
      <c r="F73" s="55">
        <v>0</v>
      </c>
      <c r="G73" s="55">
        <v>573</v>
      </c>
      <c r="H73" s="55">
        <v>0</v>
      </c>
      <c r="I73" s="55">
        <v>1488</v>
      </c>
      <c r="K73" s="54">
        <f>SUM(L73:R73)</f>
        <v>7</v>
      </c>
      <c r="L73" s="55">
        <v>3</v>
      </c>
      <c r="M73" s="55">
        <v>2</v>
      </c>
      <c r="N73" s="55">
        <v>1</v>
      </c>
      <c r="O73" s="55">
        <v>0</v>
      </c>
      <c r="P73" s="55">
        <v>0</v>
      </c>
      <c r="Q73" s="55">
        <v>0</v>
      </c>
      <c r="R73" s="55">
        <v>1</v>
      </c>
      <c r="T73" s="61">
        <f>SUM(C73/B73)</f>
        <v>0.34713052310817671</v>
      </c>
      <c r="U73" s="61">
        <f>SUM(D73/B73)</f>
        <v>0.25253936008125955</v>
      </c>
      <c r="V73" s="61">
        <f>SUM(E73/B73)</f>
        <v>0.13864906043676994</v>
      </c>
      <c r="W73" s="105">
        <f t="shared" si="8"/>
        <v>0</v>
      </c>
      <c r="X73" s="61">
        <f>SUM(G73/B73)</f>
        <v>7.2752666328085316E-2</v>
      </c>
      <c r="Y73" s="61">
        <f>SUM(H73/B73)</f>
        <v>0</v>
      </c>
      <c r="Z73" s="61">
        <f>SUM(I73/B73)</f>
        <v>0.18892839004570849</v>
      </c>
    </row>
    <row r="74" spans="1:26">
      <c r="A74" s="56" t="s">
        <v>279</v>
      </c>
      <c r="B74" s="54">
        <f>SUM(C74:I74)</f>
        <v>6956</v>
      </c>
      <c r="C74" s="55">
        <v>3507</v>
      </c>
      <c r="D74" s="55">
        <v>1940</v>
      </c>
      <c r="E74" s="55">
        <v>1125</v>
      </c>
      <c r="F74" s="55">
        <v>0</v>
      </c>
      <c r="G74" s="55">
        <v>104</v>
      </c>
      <c r="H74" s="55">
        <v>0</v>
      </c>
      <c r="I74" s="55">
        <v>280</v>
      </c>
      <c r="K74" s="54">
        <f>SUM(L74:R74)</f>
        <v>8</v>
      </c>
      <c r="L74" s="55">
        <v>5</v>
      </c>
      <c r="M74" s="55">
        <v>2</v>
      </c>
      <c r="N74" s="55">
        <v>1</v>
      </c>
      <c r="O74" s="55">
        <v>0</v>
      </c>
      <c r="P74" s="55">
        <v>0</v>
      </c>
      <c r="Q74" s="55">
        <v>0</v>
      </c>
      <c r="R74" s="55">
        <v>0</v>
      </c>
      <c r="T74" s="61">
        <f>SUM(C74/B74)</f>
        <v>0.50416906267970096</v>
      </c>
      <c r="U74" s="61">
        <f>SUM(D74/B74)</f>
        <v>0.27889591719378953</v>
      </c>
      <c r="V74" s="61">
        <f>SUM(E74/B74)</f>
        <v>0.16173087981598619</v>
      </c>
      <c r="W74" s="105">
        <f t="shared" ref="W74:W133" si="35">SUM(F74/B74)</f>
        <v>0</v>
      </c>
      <c r="X74" s="61">
        <f>SUM(G74/B74)</f>
        <v>1.4951121334100058E-2</v>
      </c>
      <c r="Y74" s="61">
        <f>SUM(H74/B74)</f>
        <v>0</v>
      </c>
      <c r="Z74" s="61">
        <f>SUM(I74/B74)</f>
        <v>4.0253018976423229E-2</v>
      </c>
    </row>
    <row r="75" spans="1:26" s="52" customFormat="1">
      <c r="A75" s="53" t="s">
        <v>1589</v>
      </c>
      <c r="B75" s="54">
        <f t="shared" ref="B75:I75" si="36">SUM(B73:B74)</f>
        <v>14832</v>
      </c>
      <c r="C75" s="54">
        <f t="shared" si="36"/>
        <v>6241</v>
      </c>
      <c r="D75" s="54">
        <f t="shared" si="36"/>
        <v>3929</v>
      </c>
      <c r="E75" s="54">
        <f t="shared" si="36"/>
        <v>2217</v>
      </c>
      <c r="F75" s="54">
        <f t="shared" si="36"/>
        <v>0</v>
      </c>
      <c r="G75" s="54">
        <f t="shared" si="36"/>
        <v>677</v>
      </c>
      <c r="H75" s="54">
        <f t="shared" si="36"/>
        <v>0</v>
      </c>
      <c r="I75" s="54">
        <f t="shared" si="36"/>
        <v>1768</v>
      </c>
      <c r="J75" s="54"/>
      <c r="K75" s="54">
        <f t="shared" ref="K75:R75" si="37">SUM(K73:K74)</f>
        <v>15</v>
      </c>
      <c r="L75" s="54">
        <f t="shared" si="37"/>
        <v>8</v>
      </c>
      <c r="M75" s="54">
        <f t="shared" si="37"/>
        <v>4</v>
      </c>
      <c r="N75" s="54">
        <f t="shared" si="37"/>
        <v>2</v>
      </c>
      <c r="O75" s="54">
        <f t="shared" si="37"/>
        <v>0</v>
      </c>
      <c r="P75" s="54">
        <f t="shared" si="37"/>
        <v>0</v>
      </c>
      <c r="Q75" s="54">
        <f t="shared" si="37"/>
        <v>0</v>
      </c>
      <c r="R75" s="54">
        <f t="shared" si="37"/>
        <v>1</v>
      </c>
      <c r="T75" s="60">
        <f>SUM(C75/B75)</f>
        <v>0.42077939590075514</v>
      </c>
      <c r="U75" s="60">
        <f>SUM(D75/B75)</f>
        <v>0.26490021574973033</v>
      </c>
      <c r="V75" s="60">
        <f>SUM(E75/B75)</f>
        <v>0.14947411003236247</v>
      </c>
      <c r="W75" s="60">
        <f t="shared" si="35"/>
        <v>0</v>
      </c>
      <c r="X75" s="60">
        <f>SUM(G75/B75)</f>
        <v>4.5644552319309598E-2</v>
      </c>
      <c r="Y75" s="60">
        <f>SUM(H75/B75)</f>
        <v>0</v>
      </c>
      <c r="Z75" s="60">
        <f>SUM(I75/B75)</f>
        <v>0.1192017259978425</v>
      </c>
    </row>
    <row r="76" spans="1:26">
      <c r="A76" s="53"/>
      <c r="B76" s="54"/>
      <c r="C76" s="55"/>
      <c r="D76" s="55"/>
      <c r="E76" s="55"/>
      <c r="F76" s="55"/>
      <c r="G76" s="55"/>
      <c r="H76" s="55"/>
      <c r="I76" s="55"/>
      <c r="K76" s="54"/>
      <c r="L76" s="55"/>
      <c r="M76" s="55"/>
      <c r="N76" s="55"/>
      <c r="O76" s="55"/>
      <c r="P76" s="55"/>
      <c r="Q76" s="55"/>
      <c r="R76" s="55"/>
      <c r="W76" s="105"/>
    </row>
    <row r="77" spans="1:26">
      <c r="A77" s="56" t="s">
        <v>282</v>
      </c>
      <c r="B77" s="54">
        <f>SUM(C77:I77)</f>
        <v>8398</v>
      </c>
      <c r="C77" s="55">
        <v>3612</v>
      </c>
      <c r="D77" s="55">
        <v>2051</v>
      </c>
      <c r="E77" s="55">
        <v>2049</v>
      </c>
      <c r="F77" s="55">
        <v>0</v>
      </c>
      <c r="G77" s="55">
        <v>612</v>
      </c>
      <c r="H77" s="55">
        <v>0</v>
      </c>
      <c r="I77" s="55">
        <v>74</v>
      </c>
      <c r="K77" s="54">
        <f>SUM(L77:R77)</f>
        <v>7</v>
      </c>
      <c r="L77" s="55">
        <v>3</v>
      </c>
      <c r="M77" s="55">
        <v>2</v>
      </c>
      <c r="N77" s="55">
        <v>2</v>
      </c>
      <c r="O77" s="55">
        <v>0</v>
      </c>
      <c r="P77" s="55">
        <v>0</v>
      </c>
      <c r="Q77" s="55">
        <v>0</v>
      </c>
      <c r="R77" s="55">
        <v>0</v>
      </c>
      <c r="T77" s="61">
        <f>SUM(C77/B77)</f>
        <v>0.43010240533460348</v>
      </c>
      <c r="U77" s="61">
        <f>SUM(D77/B77)</f>
        <v>0.24422481543224578</v>
      </c>
      <c r="V77" s="61">
        <f>SUM(E77/B77)</f>
        <v>0.24398666349130746</v>
      </c>
      <c r="W77" s="105">
        <f t="shared" si="35"/>
        <v>0</v>
      </c>
      <c r="X77" s="61">
        <f>SUM(G77/B77)</f>
        <v>7.28744939271255E-2</v>
      </c>
      <c r="Y77" s="61">
        <f>SUM(H77/B77)</f>
        <v>0</v>
      </c>
      <c r="Z77" s="61">
        <f>SUM(I77/B77)</f>
        <v>8.8116218147177901E-3</v>
      </c>
    </row>
    <row r="78" spans="1:26">
      <c r="A78" s="56" t="s">
        <v>283</v>
      </c>
      <c r="B78" s="54">
        <f>SUM(C78:I78)</f>
        <v>7936</v>
      </c>
      <c r="C78" s="55">
        <v>1388</v>
      </c>
      <c r="D78" s="55">
        <v>0</v>
      </c>
      <c r="E78" s="55">
        <v>4006</v>
      </c>
      <c r="F78" s="55">
        <v>0</v>
      </c>
      <c r="G78" s="55">
        <v>756</v>
      </c>
      <c r="H78" s="55">
        <v>1121</v>
      </c>
      <c r="I78" s="55">
        <v>665</v>
      </c>
      <c r="K78" s="54">
        <f>SUM(L78:R78)</f>
        <v>6</v>
      </c>
      <c r="L78" s="55">
        <v>1</v>
      </c>
      <c r="M78" s="55">
        <v>0</v>
      </c>
      <c r="N78" s="55">
        <v>3</v>
      </c>
      <c r="O78" s="55">
        <v>0</v>
      </c>
      <c r="P78" s="55">
        <v>0</v>
      </c>
      <c r="Q78" s="55">
        <v>1</v>
      </c>
      <c r="R78" s="55">
        <v>1</v>
      </c>
      <c r="T78" s="61">
        <f>SUM(C78/B78)</f>
        <v>0.17489919354838709</v>
      </c>
      <c r="U78" s="61">
        <f>SUM(D78/B78)</f>
        <v>0</v>
      </c>
      <c r="V78" s="61">
        <f>SUM(E78/B78)</f>
        <v>0.50478830645161288</v>
      </c>
      <c r="W78" s="105">
        <f t="shared" si="35"/>
        <v>0</v>
      </c>
      <c r="X78" s="61">
        <f>SUM(G78/B78)</f>
        <v>9.5262096774193547E-2</v>
      </c>
      <c r="Y78" s="61">
        <f>SUM(H78/B78)</f>
        <v>0.14125504032258066</v>
      </c>
      <c r="Z78" s="61">
        <f>SUM(I78/B78)</f>
        <v>8.3795362903225812E-2</v>
      </c>
    </row>
    <row r="79" spans="1:26">
      <c r="A79" s="56" t="s">
        <v>284</v>
      </c>
      <c r="B79" s="54">
        <f>SUM(C79:I79)</f>
        <v>8162</v>
      </c>
      <c r="C79" s="55">
        <v>1694</v>
      </c>
      <c r="D79" s="55">
        <v>1137</v>
      </c>
      <c r="E79" s="55">
        <v>4178</v>
      </c>
      <c r="F79" s="55">
        <v>0</v>
      </c>
      <c r="G79" s="55">
        <v>687</v>
      </c>
      <c r="H79" s="55">
        <v>466</v>
      </c>
      <c r="I79" s="55">
        <v>0</v>
      </c>
      <c r="K79" s="54">
        <f>SUM(L79:R79)</f>
        <v>7</v>
      </c>
      <c r="L79" s="55">
        <v>1</v>
      </c>
      <c r="M79" s="55">
        <v>1</v>
      </c>
      <c r="N79" s="55">
        <v>4</v>
      </c>
      <c r="O79" s="55">
        <v>0</v>
      </c>
      <c r="P79" s="55">
        <v>1</v>
      </c>
      <c r="Q79" s="55">
        <v>0</v>
      </c>
      <c r="R79" s="55">
        <v>0</v>
      </c>
      <c r="T79" s="61">
        <f>SUM(C79/B79)</f>
        <v>0.20754716981132076</v>
      </c>
      <c r="U79" s="61">
        <f>SUM(D79/B79)</f>
        <v>0.13930409213428083</v>
      </c>
      <c r="V79" s="61">
        <f>SUM(E79/B79)</f>
        <v>0.51188434207302136</v>
      </c>
      <c r="W79" s="105">
        <f t="shared" si="35"/>
        <v>0</v>
      </c>
      <c r="X79" s="61">
        <f>SUM(G79/B79)</f>
        <v>8.4170546434697374E-2</v>
      </c>
      <c r="Y79" s="61">
        <f>SUM(H79/B79)</f>
        <v>5.7093849546679738E-2</v>
      </c>
      <c r="Z79" s="61">
        <f>SUM(I79/B79)</f>
        <v>0</v>
      </c>
    </row>
    <row r="80" spans="1:26" s="52" customFormat="1">
      <c r="A80" s="53" t="s">
        <v>1594</v>
      </c>
      <c r="B80" s="54">
        <f t="shared" ref="B80:I80" si="38">SUM(B77:B79)</f>
        <v>24496</v>
      </c>
      <c r="C80" s="54">
        <f t="shared" si="38"/>
        <v>6694</v>
      </c>
      <c r="D80" s="54">
        <f t="shared" si="38"/>
        <v>3188</v>
      </c>
      <c r="E80" s="54">
        <f t="shared" si="38"/>
        <v>10233</v>
      </c>
      <c r="F80" s="54">
        <f t="shared" si="38"/>
        <v>0</v>
      </c>
      <c r="G80" s="54">
        <f t="shared" si="38"/>
        <v>2055</v>
      </c>
      <c r="H80" s="54">
        <f t="shared" si="38"/>
        <v>1587</v>
      </c>
      <c r="I80" s="54">
        <f t="shared" si="38"/>
        <v>739</v>
      </c>
      <c r="J80" s="54"/>
      <c r="K80" s="54">
        <f t="shared" ref="K80:R80" si="39">SUM(K77:K79)</f>
        <v>20</v>
      </c>
      <c r="L80" s="54">
        <f t="shared" si="39"/>
        <v>5</v>
      </c>
      <c r="M80" s="54">
        <f t="shared" si="39"/>
        <v>3</v>
      </c>
      <c r="N80" s="54">
        <f t="shared" si="39"/>
        <v>9</v>
      </c>
      <c r="O80" s="54">
        <f t="shared" si="39"/>
        <v>0</v>
      </c>
      <c r="P80" s="54">
        <f t="shared" si="39"/>
        <v>1</v>
      </c>
      <c r="Q80" s="54">
        <f t="shared" si="39"/>
        <v>1</v>
      </c>
      <c r="R80" s="54">
        <f t="shared" si="39"/>
        <v>1</v>
      </c>
      <c r="T80" s="60">
        <f>SUM(C80/B80)</f>
        <v>0.27326910516002612</v>
      </c>
      <c r="U80" s="60">
        <f>SUM(D80/B80)</f>
        <v>0.13014369693011105</v>
      </c>
      <c r="V80" s="60">
        <f>SUM(E80/B80)</f>
        <v>0.41774167210973218</v>
      </c>
      <c r="W80" s="60">
        <f t="shared" si="35"/>
        <v>0</v>
      </c>
      <c r="X80" s="60">
        <f>SUM(G80/B80)</f>
        <v>8.389124755062051E-2</v>
      </c>
      <c r="Y80" s="60">
        <f>SUM(H80/B80)</f>
        <v>6.4786087524493802E-2</v>
      </c>
      <c r="Z80" s="60">
        <f>SUM(I80/B80)</f>
        <v>3.0168190725016329E-2</v>
      </c>
    </row>
    <row r="81" spans="1:26">
      <c r="A81" s="53"/>
      <c r="B81" s="54"/>
      <c r="C81" s="55"/>
      <c r="D81" s="55"/>
      <c r="E81" s="55"/>
      <c r="F81" s="55"/>
      <c r="G81" s="55"/>
      <c r="H81" s="55"/>
      <c r="I81" s="55"/>
      <c r="K81" s="54"/>
      <c r="L81" s="55"/>
      <c r="M81" s="55"/>
      <c r="N81" s="55"/>
      <c r="O81" s="55"/>
      <c r="P81" s="55"/>
      <c r="Q81" s="55"/>
      <c r="R81" s="55"/>
      <c r="W81" s="105"/>
    </row>
    <row r="82" spans="1:26">
      <c r="A82" s="56" t="s">
        <v>285</v>
      </c>
      <c r="B82" s="54">
        <f>SUM(C82:I82)</f>
        <v>5033</v>
      </c>
      <c r="C82" s="55">
        <v>2609</v>
      </c>
      <c r="D82" s="55">
        <v>1519</v>
      </c>
      <c r="E82" s="55">
        <v>905</v>
      </c>
      <c r="F82" s="55">
        <v>0</v>
      </c>
      <c r="G82" s="55">
        <v>0</v>
      </c>
      <c r="H82" s="55">
        <v>0</v>
      </c>
      <c r="I82" s="55">
        <v>0</v>
      </c>
      <c r="K82" s="54">
        <f>SUM(L82:R82)</f>
        <v>4</v>
      </c>
      <c r="L82" s="55">
        <v>2</v>
      </c>
      <c r="M82" s="55">
        <v>1</v>
      </c>
      <c r="N82" s="55">
        <v>1</v>
      </c>
      <c r="O82" s="55">
        <v>0</v>
      </c>
      <c r="P82" s="55">
        <v>0</v>
      </c>
      <c r="Q82" s="55">
        <v>0</v>
      </c>
      <c r="R82" s="55">
        <v>0</v>
      </c>
      <c r="T82" s="61">
        <f t="shared" ref="T82:T87" si="40">SUM(C82/B82)</f>
        <v>0.51837870057619706</v>
      </c>
      <c r="U82" s="61">
        <f t="shared" ref="U82:U87" si="41">SUM(D82/B82)</f>
        <v>0.30180806675938804</v>
      </c>
      <c r="V82" s="61">
        <f t="shared" ref="V82:V87" si="42">SUM(E82/B82)</f>
        <v>0.17981323266441487</v>
      </c>
      <c r="W82" s="105">
        <f t="shared" si="35"/>
        <v>0</v>
      </c>
      <c r="X82" s="61">
        <f t="shared" ref="X82:X87" si="43">SUM(G82/B82)</f>
        <v>0</v>
      </c>
      <c r="Y82" s="61">
        <f t="shared" ref="Y82:Y87" si="44">SUM(H82/B82)</f>
        <v>0</v>
      </c>
      <c r="Z82" s="61">
        <f t="shared" ref="Z82:Z87" si="45">SUM(I82/B82)</f>
        <v>0</v>
      </c>
    </row>
    <row r="83" spans="1:26">
      <c r="A83" s="56" t="s">
        <v>286</v>
      </c>
      <c r="B83" s="54">
        <f>SUM(C83:I83)</f>
        <v>5856</v>
      </c>
      <c r="C83" s="55">
        <v>2324</v>
      </c>
      <c r="D83" s="55">
        <v>2558</v>
      </c>
      <c r="E83" s="55">
        <v>0</v>
      </c>
      <c r="F83" s="55">
        <v>0</v>
      </c>
      <c r="G83" s="55">
        <v>623</v>
      </c>
      <c r="H83" s="55">
        <v>0</v>
      </c>
      <c r="I83" s="55">
        <v>351</v>
      </c>
      <c r="K83" s="54">
        <f>SUM(L83:R83)</f>
        <v>5</v>
      </c>
      <c r="L83" s="55">
        <v>2</v>
      </c>
      <c r="M83" s="55">
        <v>3</v>
      </c>
      <c r="N83" s="55">
        <v>0</v>
      </c>
      <c r="O83" s="55">
        <v>0</v>
      </c>
      <c r="P83" s="55">
        <v>0</v>
      </c>
      <c r="Q83" s="55">
        <v>0</v>
      </c>
      <c r="R83" s="55">
        <v>0</v>
      </c>
      <c r="T83" s="61">
        <f t="shared" si="40"/>
        <v>0.39685792349726778</v>
      </c>
      <c r="U83" s="61">
        <f t="shared" si="41"/>
        <v>0.43681693989071041</v>
      </c>
      <c r="V83" s="61">
        <f t="shared" si="42"/>
        <v>0</v>
      </c>
      <c r="W83" s="105">
        <f t="shared" si="35"/>
        <v>0</v>
      </c>
      <c r="X83" s="61">
        <f t="shared" si="43"/>
        <v>0.10638661202185792</v>
      </c>
      <c r="Y83" s="61">
        <f t="shared" si="44"/>
        <v>0</v>
      </c>
      <c r="Z83" s="61">
        <f t="shared" si="45"/>
        <v>5.9938524590163932E-2</v>
      </c>
    </row>
    <row r="84" spans="1:26">
      <c r="A84" s="56" t="s">
        <v>287</v>
      </c>
      <c r="B84" s="54">
        <f>SUM(C84:I84)</f>
        <v>6796</v>
      </c>
      <c r="C84" s="55">
        <v>1397</v>
      </c>
      <c r="D84" s="55">
        <v>3691</v>
      </c>
      <c r="E84" s="55">
        <v>0</v>
      </c>
      <c r="F84" s="55">
        <v>0</v>
      </c>
      <c r="G84" s="55">
        <v>811</v>
      </c>
      <c r="H84" s="55">
        <v>0</v>
      </c>
      <c r="I84" s="55">
        <v>897</v>
      </c>
      <c r="K84" s="54">
        <f>SUM(L84:R84)</f>
        <v>5</v>
      </c>
      <c r="L84" s="55">
        <v>1</v>
      </c>
      <c r="M84" s="55">
        <v>3</v>
      </c>
      <c r="N84" s="55">
        <v>0</v>
      </c>
      <c r="O84" s="55">
        <v>0</v>
      </c>
      <c r="P84" s="55">
        <v>1</v>
      </c>
      <c r="Q84" s="55">
        <v>0</v>
      </c>
      <c r="R84" s="55">
        <v>0</v>
      </c>
      <c r="T84" s="61">
        <f t="shared" si="40"/>
        <v>0.205562095350206</v>
      </c>
      <c r="U84" s="61">
        <f t="shared" si="41"/>
        <v>0.54311359623307831</v>
      </c>
      <c r="V84" s="61">
        <f t="shared" si="42"/>
        <v>0</v>
      </c>
      <c r="W84" s="105">
        <f t="shared" si="35"/>
        <v>0</v>
      </c>
      <c r="X84" s="61">
        <f t="shared" si="43"/>
        <v>0.11933490288404944</v>
      </c>
      <c r="Y84" s="61">
        <f t="shared" si="44"/>
        <v>0</v>
      </c>
      <c r="Z84" s="61">
        <f t="shared" si="45"/>
        <v>0.13198940553266628</v>
      </c>
    </row>
    <row r="85" spans="1:26">
      <c r="A85" s="56" t="s">
        <v>288</v>
      </c>
      <c r="B85" s="54">
        <f>SUM(C85:I85)</f>
        <v>8451</v>
      </c>
      <c r="C85" s="55">
        <v>2311</v>
      </c>
      <c r="D85" s="55">
        <v>4190</v>
      </c>
      <c r="E85" s="55">
        <v>0</v>
      </c>
      <c r="F85" s="55">
        <v>0</v>
      </c>
      <c r="G85" s="55">
        <v>1565</v>
      </c>
      <c r="H85" s="55">
        <v>0</v>
      </c>
      <c r="I85" s="55">
        <v>385</v>
      </c>
      <c r="K85" s="54">
        <f>SUM(L85:R85)</f>
        <v>5</v>
      </c>
      <c r="L85" s="55">
        <v>2</v>
      </c>
      <c r="M85" s="55">
        <v>2</v>
      </c>
      <c r="N85" s="55">
        <v>0</v>
      </c>
      <c r="O85" s="55">
        <v>0</v>
      </c>
      <c r="P85" s="55">
        <v>1</v>
      </c>
      <c r="Q85" s="55">
        <v>0</v>
      </c>
      <c r="R85" s="55">
        <v>0</v>
      </c>
      <c r="T85" s="61">
        <f t="shared" si="40"/>
        <v>0.27345876227665367</v>
      </c>
      <c r="U85" s="61">
        <f t="shared" si="41"/>
        <v>0.49579931369068747</v>
      </c>
      <c r="V85" s="61">
        <f t="shared" si="42"/>
        <v>0</v>
      </c>
      <c r="W85" s="105">
        <f t="shared" si="35"/>
        <v>0</v>
      </c>
      <c r="X85" s="61">
        <f t="shared" si="43"/>
        <v>0.18518518518518517</v>
      </c>
      <c r="Y85" s="61">
        <f t="shared" si="44"/>
        <v>0</v>
      </c>
      <c r="Z85" s="61">
        <f t="shared" si="45"/>
        <v>4.5556738847473674E-2</v>
      </c>
    </row>
    <row r="86" spans="1:26">
      <c r="A86" s="56" t="s">
        <v>289</v>
      </c>
      <c r="B86" s="54">
        <f>SUM(C86:I86)</f>
        <v>6368</v>
      </c>
      <c r="C86" s="55">
        <v>1830</v>
      </c>
      <c r="D86" s="55">
        <v>1909</v>
      </c>
      <c r="E86" s="55">
        <v>1013</v>
      </c>
      <c r="F86" s="55">
        <v>0</v>
      </c>
      <c r="G86" s="55">
        <v>977</v>
      </c>
      <c r="H86" s="55">
        <v>462</v>
      </c>
      <c r="I86" s="55">
        <v>177</v>
      </c>
      <c r="K86" s="54">
        <f>SUM(L86:R86)</f>
        <v>4</v>
      </c>
      <c r="L86" s="55">
        <v>1</v>
      </c>
      <c r="M86" s="55">
        <v>1</v>
      </c>
      <c r="N86" s="55">
        <v>1</v>
      </c>
      <c r="O86" s="55">
        <v>0</v>
      </c>
      <c r="P86" s="55">
        <v>0</v>
      </c>
      <c r="Q86" s="55">
        <v>0</v>
      </c>
      <c r="R86" s="55">
        <v>1</v>
      </c>
      <c r="T86" s="61">
        <f t="shared" si="40"/>
        <v>0.28737437185929648</v>
      </c>
      <c r="U86" s="61">
        <f t="shared" si="41"/>
        <v>0.29978015075376885</v>
      </c>
      <c r="V86" s="61">
        <f t="shared" si="42"/>
        <v>0.15907663316582915</v>
      </c>
      <c r="W86" s="105">
        <f t="shared" si="35"/>
        <v>0</v>
      </c>
      <c r="X86" s="61">
        <f t="shared" si="43"/>
        <v>0.15342336683417085</v>
      </c>
      <c r="Y86" s="61">
        <f t="shared" si="44"/>
        <v>7.2550251256281409E-2</v>
      </c>
      <c r="Z86" s="61">
        <f t="shared" si="45"/>
        <v>2.7795226130653265E-2</v>
      </c>
    </row>
    <row r="87" spans="1:26" s="52" customFormat="1">
      <c r="A87" s="53" t="s">
        <v>1600</v>
      </c>
      <c r="B87" s="54">
        <f>SUM(B82:B86)</f>
        <v>32504</v>
      </c>
      <c r="C87" s="54">
        <f t="shared" ref="C87:N87" si="46">SUM(C82:C86)</f>
        <v>10471</v>
      </c>
      <c r="D87" s="54">
        <f>SUM(D82:D86)</f>
        <v>13867</v>
      </c>
      <c r="E87" s="54">
        <f t="shared" si="46"/>
        <v>1918</v>
      </c>
      <c r="F87" s="54">
        <f>SUM(F82:F86)</f>
        <v>0</v>
      </c>
      <c r="G87" s="54">
        <f>SUM(G82:G86)</f>
        <v>3976</v>
      </c>
      <c r="H87" s="54">
        <f>SUM(H82:H86)</f>
        <v>462</v>
      </c>
      <c r="I87" s="54">
        <f>SUM(I82:I86)</f>
        <v>1810</v>
      </c>
      <c r="J87" s="54"/>
      <c r="K87" s="54">
        <f t="shared" si="46"/>
        <v>23</v>
      </c>
      <c r="L87" s="54">
        <f t="shared" si="46"/>
        <v>8</v>
      </c>
      <c r="M87" s="54">
        <f t="shared" si="46"/>
        <v>10</v>
      </c>
      <c r="N87" s="54">
        <f t="shared" si="46"/>
        <v>2</v>
      </c>
      <c r="O87" s="54">
        <f>SUM(O82:O86)</f>
        <v>0</v>
      </c>
      <c r="P87" s="54">
        <f>SUM(P82:P86)</f>
        <v>2</v>
      </c>
      <c r="Q87" s="54">
        <f>SUM(Q82:Q86)</f>
        <v>0</v>
      </c>
      <c r="R87" s="54">
        <f>SUM(R82:R86)</f>
        <v>1</v>
      </c>
      <c r="T87" s="60">
        <f t="shared" si="40"/>
        <v>0.32214496677332022</v>
      </c>
      <c r="U87" s="60">
        <f t="shared" si="41"/>
        <v>0.42662441545655921</v>
      </c>
      <c r="V87" s="60">
        <f t="shared" si="42"/>
        <v>5.9008122077282794E-2</v>
      </c>
      <c r="W87" s="60">
        <f>SUM(F87/B87)</f>
        <v>0</v>
      </c>
      <c r="X87" s="60">
        <f t="shared" si="43"/>
        <v>0.12232340634998769</v>
      </c>
      <c r="Y87" s="60">
        <f t="shared" si="44"/>
        <v>1.4213635244892936E-2</v>
      </c>
      <c r="Z87" s="60">
        <f t="shared" si="45"/>
        <v>5.5685454097957172E-2</v>
      </c>
    </row>
    <row r="88" spans="1:26">
      <c r="A88" s="53"/>
      <c r="B88" s="54"/>
      <c r="C88" s="55"/>
      <c r="D88" s="55"/>
      <c r="E88" s="55"/>
      <c r="F88" s="55"/>
      <c r="G88" s="55"/>
      <c r="H88" s="55"/>
      <c r="I88" s="55"/>
      <c r="K88" s="54"/>
      <c r="L88" s="55"/>
      <c r="M88" s="55"/>
      <c r="N88" s="55"/>
      <c r="O88" s="55"/>
      <c r="P88" s="55"/>
      <c r="Q88" s="55"/>
      <c r="R88" s="55"/>
      <c r="W88" s="105"/>
    </row>
    <row r="89" spans="1:26">
      <c r="A89" s="56" t="s">
        <v>310</v>
      </c>
      <c r="B89" s="54">
        <f>SUM(C89:I89)</f>
        <v>7927</v>
      </c>
      <c r="C89" s="55">
        <v>1961</v>
      </c>
      <c r="D89" s="55">
        <v>2533</v>
      </c>
      <c r="E89" s="55">
        <v>942</v>
      </c>
      <c r="F89" s="55">
        <v>0</v>
      </c>
      <c r="G89" s="55">
        <v>764</v>
      </c>
      <c r="H89" s="55">
        <v>0</v>
      </c>
      <c r="I89" s="55">
        <v>1727</v>
      </c>
      <c r="K89" s="54">
        <f>SUM(L89:R89)</f>
        <v>7</v>
      </c>
      <c r="L89" s="55">
        <v>2</v>
      </c>
      <c r="M89" s="55">
        <v>2</v>
      </c>
      <c r="N89" s="55">
        <v>1</v>
      </c>
      <c r="O89" s="55">
        <v>0</v>
      </c>
      <c r="P89" s="55">
        <v>1</v>
      </c>
      <c r="Q89" s="55">
        <v>0</v>
      </c>
      <c r="R89" s="55">
        <v>1</v>
      </c>
      <c r="T89" s="61">
        <f>SUM(C89/B89)</f>
        <v>0.24738236407215844</v>
      </c>
      <c r="U89" s="61">
        <f>SUM(D89/B89)</f>
        <v>0.31954080989024852</v>
      </c>
      <c r="V89" s="61">
        <f>SUM(E89/B89)</f>
        <v>0.11883436356755393</v>
      </c>
      <c r="W89" s="105">
        <f t="shared" si="35"/>
        <v>0</v>
      </c>
      <c r="X89" s="61">
        <f>SUM(G89/B89)</f>
        <v>9.6379462596190235E-2</v>
      </c>
      <c r="Y89" s="61">
        <f>SUM(H89/B89)</f>
        <v>0</v>
      </c>
      <c r="Z89" s="61">
        <f>SUM(I89/B89)</f>
        <v>0.21786299987384888</v>
      </c>
    </row>
    <row r="90" spans="1:26">
      <c r="A90" s="56" t="s">
        <v>311</v>
      </c>
      <c r="B90" s="54">
        <f>SUM(C90:I90)</f>
        <v>8339</v>
      </c>
      <c r="C90" s="55">
        <v>1169</v>
      </c>
      <c r="D90" s="55">
        <v>3356</v>
      </c>
      <c r="E90" s="55">
        <v>0</v>
      </c>
      <c r="F90" s="55">
        <v>0</v>
      </c>
      <c r="G90" s="55">
        <v>1054</v>
      </c>
      <c r="H90" s="55">
        <v>0</v>
      </c>
      <c r="I90" s="55">
        <v>2760</v>
      </c>
      <c r="K90" s="54">
        <f>SUM(L90:R90)</f>
        <v>6</v>
      </c>
      <c r="L90" s="55">
        <v>0</v>
      </c>
      <c r="M90" s="55">
        <v>3</v>
      </c>
      <c r="N90" s="55">
        <v>0</v>
      </c>
      <c r="O90" s="55">
        <v>0</v>
      </c>
      <c r="P90" s="55">
        <v>1</v>
      </c>
      <c r="Q90" s="55">
        <v>0</v>
      </c>
      <c r="R90" s="55">
        <v>2</v>
      </c>
      <c r="T90" s="61">
        <f>SUM(C90/B90)</f>
        <v>0.14018467442139346</v>
      </c>
      <c r="U90" s="61">
        <f>SUM(D90/B90)</f>
        <v>0.402446336491186</v>
      </c>
      <c r="V90" s="61">
        <f>SUM(E90/B90)</f>
        <v>0</v>
      </c>
      <c r="W90" s="105">
        <f t="shared" si="35"/>
        <v>0</v>
      </c>
      <c r="X90" s="61">
        <f>SUM(G90/B90)</f>
        <v>0.12639405204460966</v>
      </c>
      <c r="Y90" s="61">
        <f>SUM(H90/B90)</f>
        <v>0</v>
      </c>
      <c r="Z90" s="61">
        <f>SUM(I90/B90)</f>
        <v>0.33097493704281089</v>
      </c>
    </row>
    <row r="91" spans="1:26">
      <c r="A91" s="56" t="s">
        <v>312</v>
      </c>
      <c r="B91" s="54">
        <f>SUM(C91:I91)</f>
        <v>5648</v>
      </c>
      <c r="C91" s="55">
        <v>1629</v>
      </c>
      <c r="D91" s="55">
        <v>2231</v>
      </c>
      <c r="E91" s="55">
        <v>0</v>
      </c>
      <c r="F91" s="55">
        <v>0</v>
      </c>
      <c r="G91" s="55">
        <v>874</v>
      </c>
      <c r="H91" s="55">
        <v>0</v>
      </c>
      <c r="I91" s="55">
        <v>914</v>
      </c>
      <c r="K91" s="54">
        <f>SUM(L91:R91)</f>
        <v>4</v>
      </c>
      <c r="L91" s="55">
        <v>1</v>
      </c>
      <c r="M91" s="55">
        <v>2</v>
      </c>
      <c r="N91" s="55">
        <v>0</v>
      </c>
      <c r="O91" s="55">
        <v>0</v>
      </c>
      <c r="P91" s="55">
        <v>1</v>
      </c>
      <c r="Q91" s="55">
        <v>0</v>
      </c>
      <c r="R91" s="55">
        <v>0</v>
      </c>
      <c r="T91" s="61">
        <f>SUM(C91/B91)</f>
        <v>0.28842067988668557</v>
      </c>
      <c r="U91" s="61">
        <f>SUM(D91/B91)</f>
        <v>0.39500708215297453</v>
      </c>
      <c r="V91" s="61">
        <f>SUM(E91/B91)</f>
        <v>0</v>
      </c>
      <c r="W91" s="105">
        <f t="shared" si="35"/>
        <v>0</v>
      </c>
      <c r="X91" s="61">
        <f>SUM(G91/B91)</f>
        <v>0.15474504249291784</v>
      </c>
      <c r="Y91" s="61">
        <f>SUM(H91/B91)</f>
        <v>0</v>
      </c>
      <c r="Z91" s="61">
        <f>SUM(I91/B91)</f>
        <v>0.16182719546742211</v>
      </c>
    </row>
    <row r="92" spans="1:26" s="52" customFormat="1">
      <c r="A92" s="53" t="s">
        <v>1605</v>
      </c>
      <c r="B92" s="54">
        <f t="shared" ref="B92:I92" si="47">SUM(B89:B91)</f>
        <v>21914</v>
      </c>
      <c r="C92" s="54">
        <f t="shared" si="47"/>
        <v>4759</v>
      </c>
      <c r="D92" s="54">
        <f t="shared" si="47"/>
        <v>8120</v>
      </c>
      <c r="E92" s="54">
        <f t="shared" si="47"/>
        <v>942</v>
      </c>
      <c r="F92" s="54">
        <f t="shared" si="47"/>
        <v>0</v>
      </c>
      <c r="G92" s="54">
        <f t="shared" si="47"/>
        <v>2692</v>
      </c>
      <c r="H92" s="54">
        <f t="shared" si="47"/>
        <v>0</v>
      </c>
      <c r="I92" s="54">
        <f t="shared" si="47"/>
        <v>5401</v>
      </c>
      <c r="J92" s="54"/>
      <c r="K92" s="54">
        <f t="shared" ref="K92:R92" si="48">SUM(K89:K91)</f>
        <v>17</v>
      </c>
      <c r="L92" s="54">
        <f t="shared" si="48"/>
        <v>3</v>
      </c>
      <c r="M92" s="54">
        <f t="shared" si="48"/>
        <v>7</v>
      </c>
      <c r="N92" s="54">
        <f t="shared" si="48"/>
        <v>1</v>
      </c>
      <c r="O92" s="54">
        <f t="shared" si="48"/>
        <v>0</v>
      </c>
      <c r="P92" s="54">
        <f t="shared" si="48"/>
        <v>3</v>
      </c>
      <c r="Q92" s="54">
        <f t="shared" si="48"/>
        <v>0</v>
      </c>
      <c r="R92" s="54">
        <f t="shared" si="48"/>
        <v>3</v>
      </c>
      <c r="T92" s="60">
        <f>SUM(C92/B92)</f>
        <v>0.21716710778497764</v>
      </c>
      <c r="U92" s="60">
        <f>SUM(D92/B92)</f>
        <v>0.37053938121748653</v>
      </c>
      <c r="V92" s="60">
        <f>SUM(E92/B92)</f>
        <v>4.298621885552615E-2</v>
      </c>
      <c r="W92" s="60">
        <f t="shared" si="35"/>
        <v>0</v>
      </c>
      <c r="X92" s="60">
        <f>SUM(G92/B92)</f>
        <v>0.12284384411791549</v>
      </c>
      <c r="Y92" s="60">
        <f>SUM(H92/B92)</f>
        <v>0</v>
      </c>
      <c r="Z92" s="60">
        <f>SUM(I92/B92)</f>
        <v>0.24646344802409417</v>
      </c>
    </row>
    <row r="93" spans="1:26">
      <c r="A93" s="53"/>
      <c r="B93" s="54"/>
      <c r="C93" s="55"/>
      <c r="D93" s="55"/>
      <c r="E93" s="55"/>
      <c r="F93" s="55"/>
      <c r="G93" s="55"/>
      <c r="H93" s="55"/>
      <c r="I93" s="55"/>
      <c r="J93" s="55"/>
      <c r="K93" s="54"/>
      <c r="L93" s="55"/>
      <c r="M93" s="55"/>
      <c r="N93" s="55"/>
      <c r="O93" s="55"/>
      <c r="P93" s="55"/>
      <c r="Q93" s="55"/>
      <c r="R93" s="55"/>
      <c r="W93" s="105"/>
    </row>
    <row r="94" spans="1:26">
      <c r="A94" s="56" t="s">
        <v>313</v>
      </c>
      <c r="B94" s="54">
        <f>SUM(C94:I94)</f>
        <v>6893</v>
      </c>
      <c r="C94" s="55">
        <v>1288</v>
      </c>
      <c r="D94" s="55">
        <v>1332</v>
      </c>
      <c r="E94" s="55">
        <v>0</v>
      </c>
      <c r="F94" s="55">
        <v>0</v>
      </c>
      <c r="G94" s="55">
        <v>1820</v>
      </c>
      <c r="H94" s="55">
        <v>0</v>
      </c>
      <c r="I94" s="55">
        <v>2453</v>
      </c>
      <c r="K94" s="54">
        <f>SUM(L94:R94)</f>
        <v>5</v>
      </c>
      <c r="L94" s="55">
        <v>1</v>
      </c>
      <c r="M94" s="55">
        <v>1</v>
      </c>
      <c r="N94" s="55">
        <v>0</v>
      </c>
      <c r="O94" s="55">
        <v>0</v>
      </c>
      <c r="P94" s="55">
        <v>1</v>
      </c>
      <c r="Q94" s="55">
        <v>0</v>
      </c>
      <c r="R94" s="55">
        <v>2</v>
      </c>
      <c r="T94" s="61">
        <f>SUM(C94/B94)</f>
        <v>0.18685623095894385</v>
      </c>
      <c r="U94" s="61">
        <f>SUM(D94/B94)</f>
        <v>0.19323951835195124</v>
      </c>
      <c r="V94" s="61">
        <f>SUM(E94/B94)</f>
        <v>0</v>
      </c>
      <c r="W94" s="105">
        <f t="shared" si="35"/>
        <v>0</v>
      </c>
      <c r="X94" s="61">
        <f>SUM(G94/B94)</f>
        <v>0.26403597852894239</v>
      </c>
      <c r="Y94" s="61">
        <f>SUM(H94/B94)</f>
        <v>0</v>
      </c>
      <c r="Z94" s="61">
        <f>SUM(I94/B94)</f>
        <v>0.35586827216016248</v>
      </c>
    </row>
    <row r="95" spans="1:26">
      <c r="A95" s="56" t="s">
        <v>314</v>
      </c>
      <c r="B95" s="54">
        <f>SUM(C95:I95)</f>
        <v>6687</v>
      </c>
      <c r="C95" s="55">
        <v>756</v>
      </c>
      <c r="D95" s="55">
        <v>2456</v>
      </c>
      <c r="E95" s="55">
        <v>0</v>
      </c>
      <c r="F95" s="55">
        <v>0</v>
      </c>
      <c r="G95" s="55">
        <v>1001</v>
      </c>
      <c r="H95" s="55">
        <v>0</v>
      </c>
      <c r="I95" s="55">
        <v>2474</v>
      </c>
      <c r="K95" s="54">
        <f>SUM(L95:R95)</f>
        <v>5</v>
      </c>
      <c r="L95" s="55">
        <v>2</v>
      </c>
      <c r="M95" s="55">
        <v>0</v>
      </c>
      <c r="N95" s="55">
        <v>0</v>
      </c>
      <c r="O95" s="55">
        <v>0</v>
      </c>
      <c r="P95" s="55">
        <v>1</v>
      </c>
      <c r="Q95" s="55">
        <v>0</v>
      </c>
      <c r="R95" s="55">
        <v>2</v>
      </c>
      <c r="T95" s="61">
        <f>SUM(C95/B95)</f>
        <v>0.11305518169582772</v>
      </c>
      <c r="U95" s="61">
        <f>SUM(D95/B95)</f>
        <v>0.36727979662030807</v>
      </c>
      <c r="V95" s="61">
        <f>SUM(E95/B95)</f>
        <v>0</v>
      </c>
      <c r="W95" s="105">
        <f t="shared" si="35"/>
        <v>0</v>
      </c>
      <c r="X95" s="61">
        <f>SUM(G95/B95)</f>
        <v>0.14969343502317931</v>
      </c>
      <c r="Y95" s="61">
        <f>SUM(H95/B95)</f>
        <v>0</v>
      </c>
      <c r="Z95" s="61">
        <f>SUM(I95/B95)</f>
        <v>0.36997158666068491</v>
      </c>
    </row>
    <row r="96" spans="1:26">
      <c r="A96" s="56" t="s">
        <v>315</v>
      </c>
      <c r="B96" s="54">
        <f>SUM(C96:I96)</f>
        <v>5585</v>
      </c>
      <c r="C96" s="55">
        <v>1329</v>
      </c>
      <c r="D96" s="55">
        <v>1192</v>
      </c>
      <c r="E96" s="55">
        <v>0</v>
      </c>
      <c r="F96" s="55">
        <v>0</v>
      </c>
      <c r="G96" s="55">
        <v>1770</v>
      </c>
      <c r="H96" s="55">
        <v>0</v>
      </c>
      <c r="I96" s="55">
        <v>1294</v>
      </c>
      <c r="K96" s="54">
        <f>SUM(L96:R96)</f>
        <v>5</v>
      </c>
      <c r="L96" s="55">
        <v>1</v>
      </c>
      <c r="M96" s="55">
        <v>1</v>
      </c>
      <c r="N96" s="55">
        <v>0</v>
      </c>
      <c r="O96" s="55">
        <v>0</v>
      </c>
      <c r="P96" s="55">
        <v>2</v>
      </c>
      <c r="Q96" s="55">
        <v>0</v>
      </c>
      <c r="R96" s="55">
        <v>1</v>
      </c>
      <c r="T96" s="61">
        <f>SUM(C96/B96)</f>
        <v>0.237958818263205</v>
      </c>
      <c r="U96" s="61">
        <f>SUM(D96/B96)</f>
        <v>0.21342882721575648</v>
      </c>
      <c r="V96" s="61">
        <f>SUM(E96/B96)</f>
        <v>0</v>
      </c>
      <c r="W96" s="105">
        <f t="shared" si="35"/>
        <v>0</v>
      </c>
      <c r="X96" s="61">
        <f>SUM(G96/B96)</f>
        <v>0.31692032229185318</v>
      </c>
      <c r="Y96" s="61">
        <f>SUM(H96/B96)</f>
        <v>0</v>
      </c>
      <c r="Z96" s="61">
        <f>SUM(I96/B96)</f>
        <v>0.23169203222918533</v>
      </c>
    </row>
    <row r="97" spans="1:26">
      <c r="A97" s="56" t="s">
        <v>316</v>
      </c>
      <c r="B97" s="54">
        <f>SUM(C97:I97)</f>
        <v>5121</v>
      </c>
      <c r="C97" s="55">
        <v>2104</v>
      </c>
      <c r="D97" s="55">
        <v>786</v>
      </c>
      <c r="E97" s="55">
        <v>0</v>
      </c>
      <c r="F97" s="55">
        <v>0</v>
      </c>
      <c r="G97" s="55">
        <v>1541</v>
      </c>
      <c r="H97" s="55">
        <v>0</v>
      </c>
      <c r="I97" s="55">
        <v>690</v>
      </c>
      <c r="K97" s="54">
        <f>SUM(L97:R97)</f>
        <v>5</v>
      </c>
      <c r="L97" s="55">
        <v>2</v>
      </c>
      <c r="M97" s="55">
        <v>1</v>
      </c>
      <c r="N97" s="55">
        <v>0</v>
      </c>
      <c r="O97" s="55">
        <v>0</v>
      </c>
      <c r="P97" s="55">
        <v>2</v>
      </c>
      <c r="Q97" s="55">
        <v>0</v>
      </c>
      <c r="R97" s="55">
        <v>0</v>
      </c>
      <c r="T97" s="61">
        <f>SUM(C97/B97)</f>
        <v>0.41085725444249172</v>
      </c>
      <c r="U97" s="61">
        <f>SUM(D97/B97)</f>
        <v>0.15348564733450498</v>
      </c>
      <c r="V97" s="61">
        <f>SUM(E97/B97)</f>
        <v>0</v>
      </c>
      <c r="W97" s="105">
        <f t="shared" si="35"/>
        <v>0</v>
      </c>
      <c r="X97" s="61">
        <f>SUM(G97/B97)</f>
        <v>0.30091778949423942</v>
      </c>
      <c r="Y97" s="61">
        <f>SUM(H97/B97)</f>
        <v>0</v>
      </c>
      <c r="Z97" s="61">
        <f>SUM(I97/B97)</f>
        <v>0.13473930872876391</v>
      </c>
    </row>
    <row r="98" spans="1:26" s="52" customFormat="1">
      <c r="A98" s="53" t="s">
        <v>1610</v>
      </c>
      <c r="B98" s="54">
        <f>SUM(B94:B97)</f>
        <v>24286</v>
      </c>
      <c r="C98" s="54">
        <f t="shared" ref="C98:N98" si="49">SUM(C94:C97)</f>
        <v>5477</v>
      </c>
      <c r="D98" s="54">
        <f>SUM(D94:D97)</f>
        <v>5766</v>
      </c>
      <c r="E98" s="54">
        <f t="shared" si="49"/>
        <v>0</v>
      </c>
      <c r="F98" s="54">
        <f>SUM(F94:F97)</f>
        <v>0</v>
      </c>
      <c r="G98" s="54">
        <f>SUM(G94:G97)</f>
        <v>6132</v>
      </c>
      <c r="H98" s="54">
        <f>SUM(H94:H97)</f>
        <v>0</v>
      </c>
      <c r="I98" s="54">
        <f>SUM(I94:I97)</f>
        <v>6911</v>
      </c>
      <c r="J98" s="54"/>
      <c r="K98" s="54">
        <f t="shared" si="49"/>
        <v>20</v>
      </c>
      <c r="L98" s="54">
        <f t="shared" si="49"/>
        <v>6</v>
      </c>
      <c r="M98" s="54">
        <f t="shared" si="49"/>
        <v>3</v>
      </c>
      <c r="N98" s="54">
        <f t="shared" si="49"/>
        <v>0</v>
      </c>
      <c r="O98" s="54">
        <f>SUM(O94:O97)</f>
        <v>0</v>
      </c>
      <c r="P98" s="54">
        <f>SUM(P94:P97)</f>
        <v>6</v>
      </c>
      <c r="Q98" s="54">
        <f>SUM(Q94:Q97)</f>
        <v>0</v>
      </c>
      <c r="R98" s="54">
        <f>SUM(R94:R97)</f>
        <v>5</v>
      </c>
      <c r="T98" s="60">
        <f>SUM(C98/B98)</f>
        <v>0.22552087622498559</v>
      </c>
      <c r="U98" s="60">
        <f>SUM(D98/B98)</f>
        <v>0.23742073622663262</v>
      </c>
      <c r="V98" s="60">
        <f>SUM(E98/B98)</f>
        <v>0</v>
      </c>
      <c r="W98" s="60">
        <f t="shared" si="35"/>
        <v>0</v>
      </c>
      <c r="X98" s="60">
        <f>SUM(G98/B98)</f>
        <v>0.25249114716297455</v>
      </c>
      <c r="Y98" s="60">
        <f>SUM(H98/B98)</f>
        <v>0</v>
      </c>
      <c r="Z98" s="60">
        <f>SUM(I98/B98)</f>
        <v>0.28456724038540721</v>
      </c>
    </row>
    <row r="99" spans="1:26">
      <c r="A99" s="53"/>
      <c r="B99" s="54"/>
      <c r="C99" s="55"/>
      <c r="D99" s="55"/>
      <c r="E99" s="55"/>
      <c r="F99" s="55"/>
      <c r="G99" s="55"/>
      <c r="H99" s="55"/>
      <c r="I99" s="55"/>
      <c r="K99" s="54"/>
      <c r="L99" s="55"/>
      <c r="M99" s="55"/>
      <c r="N99" s="55"/>
      <c r="O99" s="55"/>
      <c r="P99" s="55"/>
      <c r="Q99" s="55"/>
      <c r="R99" s="55"/>
      <c r="W99" s="105"/>
    </row>
    <row r="100" spans="1:26">
      <c r="A100" s="56" t="s">
        <v>317</v>
      </c>
      <c r="B100" s="54">
        <f>SUM(C100:I100)</f>
        <v>8732</v>
      </c>
      <c r="C100" s="55">
        <v>2517</v>
      </c>
      <c r="D100" s="55">
        <v>2915</v>
      </c>
      <c r="E100" s="55">
        <v>0</v>
      </c>
      <c r="F100" s="55">
        <v>0</v>
      </c>
      <c r="G100" s="55">
        <v>1824</v>
      </c>
      <c r="H100" s="55">
        <v>0</v>
      </c>
      <c r="I100" s="55">
        <v>1476</v>
      </c>
      <c r="K100" s="54">
        <f>SUM(L100:R100)</f>
        <v>6</v>
      </c>
      <c r="L100" s="55">
        <v>2</v>
      </c>
      <c r="M100" s="55">
        <v>2</v>
      </c>
      <c r="N100" s="55">
        <v>0</v>
      </c>
      <c r="O100" s="55">
        <v>0</v>
      </c>
      <c r="P100" s="55">
        <v>1</v>
      </c>
      <c r="Q100" s="55">
        <v>0</v>
      </c>
      <c r="R100" s="55">
        <v>1</v>
      </c>
      <c r="T100" s="61">
        <f>SUM(C100/B100)</f>
        <v>0.28825011452130095</v>
      </c>
      <c r="U100" s="61">
        <f>SUM(D100/B100)</f>
        <v>0.33382959230416859</v>
      </c>
      <c r="V100" s="61">
        <f>SUM(E100/B100)</f>
        <v>0</v>
      </c>
      <c r="W100" s="105">
        <f t="shared" si="35"/>
        <v>0</v>
      </c>
      <c r="X100" s="61">
        <f>SUM(G100/B100)</f>
        <v>0.20888685295464957</v>
      </c>
      <c r="Y100" s="61">
        <f>SUM(H100/B100)</f>
        <v>0</v>
      </c>
      <c r="Z100" s="61">
        <f>SUM(I100/B100)</f>
        <v>0.1690334402198809</v>
      </c>
    </row>
    <row r="101" spans="1:26">
      <c r="A101" s="56" t="s">
        <v>318</v>
      </c>
      <c r="B101" s="54">
        <f>SUM(C101:I101)</f>
        <v>9938</v>
      </c>
      <c r="C101" s="55">
        <v>2437</v>
      </c>
      <c r="D101" s="55">
        <v>5153</v>
      </c>
      <c r="E101" s="55">
        <v>0</v>
      </c>
      <c r="F101" s="55">
        <v>0</v>
      </c>
      <c r="G101" s="55">
        <v>1974</v>
      </c>
      <c r="H101" s="55">
        <v>0</v>
      </c>
      <c r="I101" s="55">
        <v>374</v>
      </c>
      <c r="K101" s="54">
        <f>SUM(L101:R101)</f>
        <v>8</v>
      </c>
      <c r="L101" s="55">
        <v>2</v>
      </c>
      <c r="M101" s="55">
        <v>4</v>
      </c>
      <c r="N101" s="55">
        <v>0</v>
      </c>
      <c r="O101" s="55">
        <v>0</v>
      </c>
      <c r="P101" s="55">
        <v>2</v>
      </c>
      <c r="Q101" s="55">
        <v>0</v>
      </c>
      <c r="R101" s="55">
        <v>0</v>
      </c>
      <c r="T101" s="61">
        <f>SUM(C101/B101)</f>
        <v>0.24522036627087945</v>
      </c>
      <c r="U101" s="61">
        <f>SUM(D101/B101)</f>
        <v>0.51851479170859327</v>
      </c>
      <c r="V101" s="61">
        <f>SUM(E101/B101)</f>
        <v>0</v>
      </c>
      <c r="W101" s="105">
        <f t="shared" si="35"/>
        <v>0</v>
      </c>
      <c r="X101" s="61">
        <f>SUM(G101/B101)</f>
        <v>0.19863151539545179</v>
      </c>
      <c r="Y101" s="61">
        <f>SUM(H101/B101)</f>
        <v>0</v>
      </c>
      <c r="Z101" s="61">
        <f>SUM(I101/B101)</f>
        <v>3.7633326625075465E-2</v>
      </c>
    </row>
    <row r="102" spans="1:26">
      <c r="A102" s="56" t="s">
        <v>319</v>
      </c>
      <c r="B102" s="54">
        <f>SUM(C102:I102)</f>
        <v>6577</v>
      </c>
      <c r="C102" s="55">
        <v>1401</v>
      </c>
      <c r="D102" s="55">
        <v>3635</v>
      </c>
      <c r="E102" s="55">
        <v>0</v>
      </c>
      <c r="F102" s="55">
        <v>0</v>
      </c>
      <c r="G102" s="55">
        <v>1541</v>
      </c>
      <c r="H102" s="55">
        <v>0</v>
      </c>
      <c r="I102" s="55">
        <v>0</v>
      </c>
      <c r="K102" s="54">
        <f>SUM(L102:R102)</f>
        <v>5</v>
      </c>
      <c r="L102" s="55">
        <v>1</v>
      </c>
      <c r="M102" s="55">
        <v>3</v>
      </c>
      <c r="N102" s="55">
        <v>0</v>
      </c>
      <c r="O102" s="55">
        <v>0</v>
      </c>
      <c r="P102" s="55">
        <v>1</v>
      </c>
      <c r="Q102" s="55">
        <v>0</v>
      </c>
      <c r="R102" s="55">
        <v>0</v>
      </c>
      <c r="T102" s="61">
        <f>SUM(C102/B102)</f>
        <v>0.21301505245552685</v>
      </c>
      <c r="U102" s="61">
        <f>SUM(D102/B102)</f>
        <v>0.55268359434392578</v>
      </c>
      <c r="V102" s="61">
        <f>SUM(E102/B102)</f>
        <v>0</v>
      </c>
      <c r="W102" s="105">
        <f t="shared" si="35"/>
        <v>0</v>
      </c>
      <c r="X102" s="61">
        <f>SUM(G102/B102)</f>
        <v>0.23430135320054737</v>
      </c>
      <c r="Y102" s="61">
        <f>SUM(H102/B102)</f>
        <v>0</v>
      </c>
      <c r="Z102" s="61">
        <f>SUM(I102/B102)</f>
        <v>0</v>
      </c>
    </row>
    <row r="103" spans="1:26" s="52" customFormat="1">
      <c r="A103" s="53" t="s">
        <v>1614</v>
      </c>
      <c r="B103" s="54">
        <f t="shared" ref="B103:I103" si="50">SUM(B100:B102)</f>
        <v>25247</v>
      </c>
      <c r="C103" s="54">
        <f t="shared" si="50"/>
        <v>6355</v>
      </c>
      <c r="D103" s="54">
        <f t="shared" si="50"/>
        <v>11703</v>
      </c>
      <c r="E103" s="54">
        <f t="shared" si="50"/>
        <v>0</v>
      </c>
      <c r="F103" s="54">
        <f t="shared" si="50"/>
        <v>0</v>
      </c>
      <c r="G103" s="54">
        <f t="shared" si="50"/>
        <v>5339</v>
      </c>
      <c r="H103" s="54">
        <f t="shared" si="50"/>
        <v>0</v>
      </c>
      <c r="I103" s="54">
        <f t="shared" si="50"/>
        <v>1850</v>
      </c>
      <c r="J103" s="54"/>
      <c r="K103" s="54">
        <f t="shared" ref="K103:R103" si="51">SUM(K100:K102)</f>
        <v>19</v>
      </c>
      <c r="L103" s="54">
        <f t="shared" si="51"/>
        <v>5</v>
      </c>
      <c r="M103" s="54">
        <f t="shared" si="51"/>
        <v>9</v>
      </c>
      <c r="N103" s="54">
        <f t="shared" si="51"/>
        <v>0</v>
      </c>
      <c r="O103" s="54">
        <f t="shared" si="51"/>
        <v>0</v>
      </c>
      <c r="P103" s="54">
        <f t="shared" si="51"/>
        <v>4</v>
      </c>
      <c r="Q103" s="54">
        <f t="shared" si="51"/>
        <v>0</v>
      </c>
      <c r="R103" s="54">
        <f t="shared" si="51"/>
        <v>1</v>
      </c>
      <c r="T103" s="60">
        <f>SUM(C103/B103)</f>
        <v>0.25171307482077077</v>
      </c>
      <c r="U103" s="60">
        <f>SUM(D103/B103)</f>
        <v>0.46354022260070504</v>
      </c>
      <c r="V103" s="60">
        <f>SUM(E103/B103)</f>
        <v>0</v>
      </c>
      <c r="W103" s="60">
        <f t="shared" si="35"/>
        <v>0</v>
      </c>
      <c r="X103" s="60">
        <f>SUM(G103/B103)</f>
        <v>0.21147066978254841</v>
      </c>
      <c r="Y103" s="60">
        <f>SUM(H103/B103)</f>
        <v>0</v>
      </c>
      <c r="Z103" s="60">
        <f>SUM(I103/B103)</f>
        <v>7.3276032795975762E-2</v>
      </c>
    </row>
    <row r="104" spans="1:26">
      <c r="A104" s="53"/>
      <c r="B104" s="54"/>
      <c r="C104" s="55"/>
      <c r="D104" s="55"/>
      <c r="E104" s="55"/>
      <c r="F104" s="55"/>
      <c r="G104" s="55"/>
      <c r="H104" s="55"/>
      <c r="I104" s="55"/>
      <c r="K104" s="54"/>
      <c r="L104" s="55"/>
      <c r="M104" s="55"/>
      <c r="N104" s="55"/>
      <c r="O104" s="55"/>
      <c r="P104" s="55"/>
      <c r="Q104" s="55"/>
      <c r="R104" s="55"/>
      <c r="W104" s="105"/>
    </row>
    <row r="105" spans="1:26">
      <c r="A105" s="56" t="s">
        <v>320</v>
      </c>
      <c r="B105" s="54">
        <f>SUM(C105:I105)</f>
        <v>4766</v>
      </c>
      <c r="C105" s="55">
        <v>1576</v>
      </c>
      <c r="D105" s="55">
        <v>914</v>
      </c>
      <c r="E105" s="55">
        <v>1032</v>
      </c>
      <c r="F105" s="55">
        <v>1040</v>
      </c>
      <c r="G105" s="55">
        <v>113</v>
      </c>
      <c r="H105" s="55">
        <v>0</v>
      </c>
      <c r="I105" s="55">
        <v>91</v>
      </c>
      <c r="K105" s="54">
        <f>SUM(L105:R105)</f>
        <v>5</v>
      </c>
      <c r="L105" s="55">
        <v>2</v>
      </c>
      <c r="M105" s="55">
        <v>1</v>
      </c>
      <c r="N105" s="55">
        <v>1</v>
      </c>
      <c r="O105" s="55">
        <v>1</v>
      </c>
      <c r="P105" s="55">
        <v>0</v>
      </c>
      <c r="Q105" s="55">
        <v>0</v>
      </c>
      <c r="R105" s="55">
        <v>0</v>
      </c>
      <c r="T105" s="61">
        <f>SUM(C105/B105)</f>
        <v>0.33067561896768777</v>
      </c>
      <c r="U105" s="61">
        <f>SUM(D105/B105)</f>
        <v>0.1917750734368443</v>
      </c>
      <c r="V105" s="61">
        <f>SUM(E105/B105)</f>
        <v>0.21653378094838438</v>
      </c>
      <c r="W105" s="105">
        <f t="shared" si="35"/>
        <v>0.21821233738984475</v>
      </c>
      <c r="X105" s="61">
        <f>SUM(G105/B105)</f>
        <v>2.3709609735627361E-2</v>
      </c>
      <c r="Y105" s="61">
        <f>SUM(H105/B105)</f>
        <v>0</v>
      </c>
      <c r="Z105" s="61">
        <f>SUM(I105/B105)</f>
        <v>1.9093579521611413E-2</v>
      </c>
    </row>
    <row r="106" spans="1:26">
      <c r="A106" s="56" t="s">
        <v>321</v>
      </c>
      <c r="B106" s="54">
        <f>SUM(C106:I106)</f>
        <v>4130</v>
      </c>
      <c r="C106" s="55">
        <v>2022</v>
      </c>
      <c r="D106" s="55">
        <v>1141</v>
      </c>
      <c r="E106" s="55">
        <v>638</v>
      </c>
      <c r="F106" s="55">
        <v>0</v>
      </c>
      <c r="G106" s="55">
        <v>329</v>
      </c>
      <c r="H106" s="55">
        <v>0</v>
      </c>
      <c r="I106" s="55">
        <v>0</v>
      </c>
      <c r="J106" s="55"/>
      <c r="K106" s="54">
        <f>SUM(L106:R106)</f>
        <v>5</v>
      </c>
      <c r="L106" s="55">
        <v>3</v>
      </c>
      <c r="M106" s="55">
        <v>1</v>
      </c>
      <c r="N106" s="55">
        <v>1</v>
      </c>
      <c r="O106" s="55">
        <v>0</v>
      </c>
      <c r="P106" s="55">
        <v>0</v>
      </c>
      <c r="Q106" s="55">
        <v>0</v>
      </c>
      <c r="R106" s="55">
        <v>0</v>
      </c>
      <c r="T106" s="61">
        <f>SUM(C106/B106)</f>
        <v>0.48958837772397096</v>
      </c>
      <c r="U106" s="61">
        <f>SUM(D106/B106)</f>
        <v>0.27627118644067794</v>
      </c>
      <c r="V106" s="61">
        <f>SUM(E106/B106)</f>
        <v>0.15447941888619854</v>
      </c>
      <c r="W106" s="105">
        <f t="shared" si="35"/>
        <v>0</v>
      </c>
      <c r="X106" s="61">
        <f>SUM(G106/B106)</f>
        <v>7.9661016949152536E-2</v>
      </c>
      <c r="Y106" s="61">
        <f>SUM(H106/B106)</f>
        <v>0</v>
      </c>
      <c r="Z106" s="61">
        <f>SUM(I106/B106)</f>
        <v>0</v>
      </c>
    </row>
    <row r="107" spans="1:26">
      <c r="A107" s="56" t="s">
        <v>322</v>
      </c>
      <c r="B107" s="54">
        <f>SUM(C107:I107)</f>
        <v>6748</v>
      </c>
      <c r="C107" s="55">
        <v>2347</v>
      </c>
      <c r="D107" s="55">
        <v>2334</v>
      </c>
      <c r="E107" s="55">
        <v>0</v>
      </c>
      <c r="F107" s="55">
        <v>0</v>
      </c>
      <c r="G107" s="55">
        <v>1262</v>
      </c>
      <c r="H107" s="55">
        <v>0</v>
      </c>
      <c r="I107" s="55">
        <v>805</v>
      </c>
      <c r="K107" s="54">
        <f>SUM(L107:R107)</f>
        <v>5</v>
      </c>
      <c r="L107" s="55">
        <v>2</v>
      </c>
      <c r="M107" s="55">
        <v>2</v>
      </c>
      <c r="N107" s="55">
        <v>0</v>
      </c>
      <c r="O107" s="55">
        <v>0</v>
      </c>
      <c r="P107" s="55">
        <v>1</v>
      </c>
      <c r="Q107" s="55">
        <v>0</v>
      </c>
      <c r="R107" s="55">
        <v>0</v>
      </c>
      <c r="T107" s="61">
        <f>SUM(C107/B107)</f>
        <v>0.34780675755779489</v>
      </c>
      <c r="U107" s="61">
        <f>SUM(D107/B107)</f>
        <v>0.34588026081802015</v>
      </c>
      <c r="V107" s="61">
        <f>SUM(E107/B107)</f>
        <v>0</v>
      </c>
      <c r="W107" s="105">
        <f t="shared" si="35"/>
        <v>0</v>
      </c>
      <c r="X107" s="61">
        <f>SUM(G107/B107)</f>
        <v>0.18701837581505631</v>
      </c>
      <c r="Y107" s="61">
        <f>SUM(H107/B107)</f>
        <v>0</v>
      </c>
      <c r="Z107" s="61">
        <f>SUM(I107/B107)</f>
        <v>0.11929460580912864</v>
      </c>
    </row>
    <row r="108" spans="1:26" s="52" customFormat="1">
      <c r="A108" s="53" t="s">
        <v>1618</v>
      </c>
      <c r="B108" s="54">
        <f>SUM(B105:B107)</f>
        <v>15644</v>
      </c>
      <c r="C108" s="54">
        <f t="shared" ref="C108:N108" si="52">SUM(C105:C107)</f>
        <v>5945</v>
      </c>
      <c r="D108" s="54">
        <f>SUM(D105:D107)</f>
        <v>4389</v>
      </c>
      <c r="E108" s="54">
        <f t="shared" si="52"/>
        <v>1670</v>
      </c>
      <c r="F108" s="54">
        <f>SUM(F105:F107)</f>
        <v>1040</v>
      </c>
      <c r="G108" s="54">
        <f>SUM(G105:G107)</f>
        <v>1704</v>
      </c>
      <c r="H108" s="54">
        <f>SUM(H105:H107)</f>
        <v>0</v>
      </c>
      <c r="I108" s="54">
        <f>SUM(I105:I107)</f>
        <v>896</v>
      </c>
      <c r="J108" s="54"/>
      <c r="K108" s="54">
        <f t="shared" si="52"/>
        <v>15</v>
      </c>
      <c r="L108" s="54">
        <f t="shared" si="52"/>
        <v>7</v>
      </c>
      <c r="M108" s="54">
        <f t="shared" si="52"/>
        <v>4</v>
      </c>
      <c r="N108" s="54">
        <f t="shared" si="52"/>
        <v>2</v>
      </c>
      <c r="O108" s="54">
        <f>SUM(O105:O107)</f>
        <v>1</v>
      </c>
      <c r="P108" s="54">
        <f>SUM(P105:P107)</f>
        <v>1</v>
      </c>
      <c r="Q108" s="54">
        <f>SUM(Q105:Q107)</f>
        <v>0</v>
      </c>
      <c r="R108" s="54">
        <f>SUM(R105:R107)</f>
        <v>0</v>
      </c>
      <c r="T108" s="60">
        <f>SUM(C108/B108)</f>
        <v>0.38001789823574533</v>
      </c>
      <c r="U108" s="60">
        <f>SUM(D108/B108)</f>
        <v>0.28055484530810532</v>
      </c>
      <c r="V108" s="60">
        <f>SUM(E108/B108)</f>
        <v>0.10675019176681155</v>
      </c>
      <c r="W108" s="60">
        <f t="shared" si="35"/>
        <v>6.6479161339810786E-2</v>
      </c>
      <c r="X108" s="60">
        <f>SUM(G108/B108)</f>
        <v>0.10892354896445922</v>
      </c>
      <c r="Y108" s="60">
        <f>SUM(H108/B108)</f>
        <v>0</v>
      </c>
      <c r="Z108" s="60">
        <f>SUM(I108/B108)</f>
        <v>5.7274354385067755E-2</v>
      </c>
    </row>
    <row r="109" spans="1:26">
      <c r="A109" s="53"/>
      <c r="B109" s="54"/>
      <c r="C109" s="55"/>
      <c r="D109" s="55"/>
      <c r="E109" s="55"/>
      <c r="F109" s="55"/>
      <c r="G109" s="55"/>
      <c r="H109" s="55"/>
      <c r="I109" s="55"/>
      <c r="K109" s="54"/>
      <c r="L109" s="55"/>
      <c r="M109" s="55"/>
      <c r="N109" s="55"/>
      <c r="O109" s="55"/>
      <c r="P109" s="55"/>
      <c r="Q109" s="55"/>
      <c r="R109" s="55"/>
      <c r="W109" s="105"/>
    </row>
    <row r="110" spans="1:26">
      <c r="A110" s="56" t="s">
        <v>306</v>
      </c>
      <c r="B110" s="54">
        <f>SUM(C110:I110)</f>
        <v>4244</v>
      </c>
      <c r="C110" s="55">
        <v>1604</v>
      </c>
      <c r="D110" s="55">
        <v>1816</v>
      </c>
      <c r="E110" s="55">
        <v>0</v>
      </c>
      <c r="F110" s="55">
        <v>0</v>
      </c>
      <c r="G110" s="55">
        <v>0</v>
      </c>
      <c r="H110" s="55">
        <v>0</v>
      </c>
      <c r="I110" s="55">
        <v>824</v>
      </c>
      <c r="K110" s="54">
        <f>SUM(L110:R110)</f>
        <v>4</v>
      </c>
      <c r="L110" s="55">
        <v>1</v>
      </c>
      <c r="M110" s="55">
        <v>2</v>
      </c>
      <c r="N110" s="55">
        <v>0</v>
      </c>
      <c r="O110" s="55">
        <v>0</v>
      </c>
      <c r="P110" s="55">
        <v>0</v>
      </c>
      <c r="Q110" s="55">
        <v>0</v>
      </c>
      <c r="R110" s="55">
        <v>1</v>
      </c>
      <c r="T110" s="61">
        <f>SUM(C110/B110)</f>
        <v>0.37794533459000945</v>
      </c>
      <c r="U110" s="61">
        <f>SUM(D110/B110)</f>
        <v>0.42789820923656929</v>
      </c>
      <c r="V110" s="61">
        <f>SUM(E110/B110)</f>
        <v>0</v>
      </c>
      <c r="W110" s="105">
        <f t="shared" si="35"/>
        <v>0</v>
      </c>
      <c r="X110" s="61">
        <f>SUM(G110/B110)</f>
        <v>0</v>
      </c>
      <c r="Y110" s="61">
        <f>SUM(H110/B110)</f>
        <v>0</v>
      </c>
      <c r="Z110" s="61">
        <f>SUM(I110/B110)</f>
        <v>0.19415645617342131</v>
      </c>
    </row>
    <row r="111" spans="1:26">
      <c r="A111" s="56" t="s">
        <v>307</v>
      </c>
      <c r="B111" s="54">
        <f>SUM(C111:I111)</f>
        <v>6531</v>
      </c>
      <c r="C111" s="55">
        <v>2087</v>
      </c>
      <c r="D111" s="55">
        <v>4444</v>
      </c>
      <c r="E111" s="55">
        <v>0</v>
      </c>
      <c r="F111" s="55">
        <v>0</v>
      </c>
      <c r="G111" s="55">
        <v>0</v>
      </c>
      <c r="H111" s="55">
        <v>0</v>
      </c>
      <c r="I111" s="55">
        <v>0</v>
      </c>
      <c r="K111" s="54">
        <f>SUM(L111:R111)</f>
        <v>6</v>
      </c>
      <c r="L111" s="55">
        <v>2</v>
      </c>
      <c r="M111" s="55">
        <v>4</v>
      </c>
      <c r="N111" s="55">
        <v>0</v>
      </c>
      <c r="O111" s="55">
        <v>0</v>
      </c>
      <c r="P111" s="55">
        <v>0</v>
      </c>
      <c r="Q111" s="55">
        <v>0</v>
      </c>
      <c r="R111" s="55">
        <v>0</v>
      </c>
      <c r="T111" s="61">
        <f>SUM(C111/B111)</f>
        <v>0.3195529015464707</v>
      </c>
      <c r="U111" s="61">
        <f>SUM(D111/B111)</f>
        <v>0.68044709845352935</v>
      </c>
      <c r="V111" s="61">
        <f>SUM(E111/B111)</f>
        <v>0</v>
      </c>
      <c r="W111" s="105">
        <f t="shared" si="35"/>
        <v>0</v>
      </c>
      <c r="X111" s="61">
        <f>SUM(G111/B111)</f>
        <v>0</v>
      </c>
      <c r="Y111" s="61">
        <f>SUM(H111/B111)</f>
        <v>0</v>
      </c>
      <c r="Z111" s="61">
        <f>SUM(I111/B111)</f>
        <v>0</v>
      </c>
    </row>
    <row r="112" spans="1:26">
      <c r="A112" s="56" t="s">
        <v>309</v>
      </c>
      <c r="B112" s="54">
        <f>SUM(C112:I112)</f>
        <v>5570</v>
      </c>
      <c r="C112" s="55">
        <v>1752</v>
      </c>
      <c r="D112" s="55">
        <v>3710</v>
      </c>
      <c r="E112" s="55">
        <v>0</v>
      </c>
      <c r="F112" s="55">
        <v>0</v>
      </c>
      <c r="G112" s="55">
        <v>0</v>
      </c>
      <c r="H112" s="55">
        <v>0</v>
      </c>
      <c r="I112" s="55">
        <v>108</v>
      </c>
      <c r="K112" s="54">
        <f>SUM(L112:R112)</f>
        <v>5</v>
      </c>
      <c r="L112" s="55">
        <v>1</v>
      </c>
      <c r="M112" s="55">
        <v>4</v>
      </c>
      <c r="N112" s="55">
        <v>0</v>
      </c>
      <c r="O112" s="55">
        <v>0</v>
      </c>
      <c r="P112" s="55">
        <v>0</v>
      </c>
      <c r="Q112" s="55">
        <v>0</v>
      </c>
      <c r="R112" s="55">
        <v>0</v>
      </c>
      <c r="T112" s="61">
        <f>SUM(C112/B112)</f>
        <v>0.31454219030520647</v>
      </c>
      <c r="U112" s="61">
        <f>SUM(D112/B112)</f>
        <v>0.66606822262118492</v>
      </c>
      <c r="V112" s="61">
        <f>SUM(E112/B112)</f>
        <v>0</v>
      </c>
      <c r="W112" s="105">
        <f t="shared" si="35"/>
        <v>0</v>
      </c>
      <c r="X112" s="61">
        <f>SUM(G112/B112)</f>
        <v>0</v>
      </c>
      <c r="Y112" s="61">
        <f>SUM(H112/B112)</f>
        <v>0</v>
      </c>
      <c r="Z112" s="61">
        <f>SUM(I112/B112)</f>
        <v>1.9389587073608619E-2</v>
      </c>
    </row>
    <row r="113" spans="1:26">
      <c r="A113" s="56" t="s">
        <v>308</v>
      </c>
      <c r="B113" s="54">
        <f>SUM(C113:I113)</f>
        <v>6616</v>
      </c>
      <c r="C113" s="55">
        <v>1443</v>
      </c>
      <c r="D113" s="55">
        <v>2769</v>
      </c>
      <c r="E113" s="55">
        <v>0</v>
      </c>
      <c r="F113" s="55">
        <v>0</v>
      </c>
      <c r="G113" s="55">
        <v>0</v>
      </c>
      <c r="H113" s="55">
        <v>0</v>
      </c>
      <c r="I113" s="55">
        <v>2404</v>
      </c>
      <c r="K113" s="54">
        <f>SUM(L113:R113)</f>
        <v>6</v>
      </c>
      <c r="L113" s="55">
        <v>1</v>
      </c>
      <c r="M113" s="55">
        <v>3</v>
      </c>
      <c r="N113" s="55">
        <v>0</v>
      </c>
      <c r="O113" s="55">
        <v>0</v>
      </c>
      <c r="P113" s="55">
        <v>0</v>
      </c>
      <c r="Q113" s="55">
        <v>0</v>
      </c>
      <c r="R113" s="55">
        <v>2</v>
      </c>
      <c r="T113" s="61">
        <f>SUM(C113/B113)</f>
        <v>0.21810761789600969</v>
      </c>
      <c r="U113" s="61">
        <f>SUM(D113/B113)</f>
        <v>0.41853083434099153</v>
      </c>
      <c r="V113" s="61">
        <f>SUM(E113/B113)</f>
        <v>0</v>
      </c>
      <c r="W113" s="105">
        <f t="shared" si="35"/>
        <v>0</v>
      </c>
      <c r="X113" s="61">
        <f>SUM(G113/B113)</f>
        <v>0</v>
      </c>
      <c r="Y113" s="61">
        <f>SUM(H113/B113)</f>
        <v>0</v>
      </c>
      <c r="Z113" s="61">
        <f>SUM(I113/B113)</f>
        <v>0.36336154776299878</v>
      </c>
    </row>
    <row r="114" spans="1:26" s="52" customFormat="1">
      <c r="A114" s="53" t="s">
        <v>1623</v>
      </c>
      <c r="B114" s="54">
        <f>SUM(B110:B113)</f>
        <v>22961</v>
      </c>
      <c r="C114" s="54">
        <f t="shared" ref="C114:N114" si="53">SUM(C110:C113)</f>
        <v>6886</v>
      </c>
      <c r="D114" s="54">
        <f>SUM(D110:D113)</f>
        <v>12739</v>
      </c>
      <c r="E114" s="54">
        <f t="shared" si="53"/>
        <v>0</v>
      </c>
      <c r="F114" s="54">
        <f>SUM(F110:F113)</f>
        <v>0</v>
      </c>
      <c r="G114" s="54">
        <f>SUM(G110:G113)</f>
        <v>0</v>
      </c>
      <c r="H114" s="54">
        <f>SUM(H110:H113)</f>
        <v>0</v>
      </c>
      <c r="I114" s="54">
        <f>SUM(I110:I113)</f>
        <v>3336</v>
      </c>
      <c r="J114" s="54"/>
      <c r="K114" s="54">
        <f t="shared" si="53"/>
        <v>21</v>
      </c>
      <c r="L114" s="54">
        <f t="shared" si="53"/>
        <v>5</v>
      </c>
      <c r="M114" s="54">
        <f t="shared" si="53"/>
        <v>13</v>
      </c>
      <c r="N114" s="54">
        <f t="shared" si="53"/>
        <v>0</v>
      </c>
      <c r="O114" s="54">
        <f>SUM(O110:O113)</f>
        <v>0</v>
      </c>
      <c r="P114" s="54">
        <f>SUM(P110:P113)</f>
        <v>0</v>
      </c>
      <c r="Q114" s="54">
        <f>SUM(Q110:Q113)</f>
        <v>0</v>
      </c>
      <c r="R114" s="54">
        <f>SUM(R110:R113)</f>
        <v>3</v>
      </c>
      <c r="T114" s="60">
        <f>SUM(C114/B114)</f>
        <v>0.29989983014677063</v>
      </c>
      <c r="U114" s="60">
        <f>SUM(D114/B114)</f>
        <v>0.55481033056051565</v>
      </c>
      <c r="V114" s="60">
        <f>SUM(E114/B114)</f>
        <v>0</v>
      </c>
      <c r="W114" s="60">
        <f t="shared" si="35"/>
        <v>0</v>
      </c>
      <c r="X114" s="60">
        <f>SUM(G114/B114)</f>
        <v>0</v>
      </c>
      <c r="Y114" s="60">
        <f>SUM(H114/B114)</f>
        <v>0</v>
      </c>
      <c r="Z114" s="60">
        <f>SUM(I114/B114)</f>
        <v>0.14528983929271372</v>
      </c>
    </row>
    <row r="115" spans="1:26">
      <c r="A115" s="53"/>
      <c r="B115" s="54"/>
      <c r="C115" s="55"/>
      <c r="D115" s="55"/>
      <c r="E115" s="55"/>
      <c r="F115" s="55"/>
      <c r="G115" s="55"/>
      <c r="H115" s="55"/>
      <c r="I115" s="55"/>
      <c r="K115" s="54"/>
      <c r="L115" s="55"/>
      <c r="M115" s="55"/>
      <c r="N115" s="55"/>
      <c r="O115" s="55"/>
      <c r="P115" s="55"/>
      <c r="Q115" s="55"/>
      <c r="R115" s="55"/>
      <c r="W115" s="105"/>
    </row>
    <row r="116" spans="1:26">
      <c r="A116" s="56" t="s">
        <v>293</v>
      </c>
      <c r="B116" s="54">
        <f>SUM(C116:I116)</f>
        <v>2716</v>
      </c>
      <c r="C116" s="55">
        <v>738</v>
      </c>
      <c r="D116" s="55">
        <v>1462</v>
      </c>
      <c r="E116" s="55">
        <v>0</v>
      </c>
      <c r="F116" s="55">
        <v>0</v>
      </c>
      <c r="G116" s="55">
        <v>516</v>
      </c>
      <c r="H116" s="55">
        <v>0</v>
      </c>
      <c r="I116" s="55">
        <v>0</v>
      </c>
      <c r="K116" s="54">
        <f>SUM(L116:R116)</f>
        <v>4</v>
      </c>
      <c r="L116" s="55">
        <v>1</v>
      </c>
      <c r="M116" s="55">
        <v>2</v>
      </c>
      <c r="N116" s="55">
        <v>0</v>
      </c>
      <c r="O116" s="55">
        <v>0</v>
      </c>
      <c r="P116" s="55">
        <v>1</v>
      </c>
      <c r="Q116" s="55">
        <v>0</v>
      </c>
      <c r="R116" s="55">
        <v>0</v>
      </c>
      <c r="T116" s="61">
        <f>SUM(C116/B116)</f>
        <v>0.27172312223858613</v>
      </c>
      <c r="U116" s="61">
        <f>SUM(D116/B116)</f>
        <v>0.53829160530191456</v>
      </c>
      <c r="V116" s="61">
        <f>SUM(E116/B116)</f>
        <v>0</v>
      </c>
      <c r="W116" s="105">
        <f t="shared" si="35"/>
        <v>0</v>
      </c>
      <c r="X116" s="61">
        <f>SUM(G116/B116)</f>
        <v>0.18998527245949925</v>
      </c>
      <c r="Y116" s="61">
        <f>SUM(H116/B116)</f>
        <v>0</v>
      </c>
      <c r="Z116" s="61">
        <f>SUM(I116/B116)</f>
        <v>0</v>
      </c>
    </row>
    <row r="117" spans="1:26">
      <c r="A117" s="56" t="s">
        <v>294</v>
      </c>
      <c r="B117" s="54">
        <f>SUM(C117:I117)</f>
        <v>4941</v>
      </c>
      <c r="C117" s="55">
        <v>1497</v>
      </c>
      <c r="D117" s="55">
        <v>1563</v>
      </c>
      <c r="E117" s="55">
        <v>1054</v>
      </c>
      <c r="F117" s="55">
        <v>0</v>
      </c>
      <c r="G117" s="55">
        <v>0</v>
      </c>
      <c r="H117" s="55">
        <v>0</v>
      </c>
      <c r="I117" s="55">
        <v>827</v>
      </c>
      <c r="K117" s="54">
        <f>SUM(L117:R117)</f>
        <v>8</v>
      </c>
      <c r="L117" s="55">
        <v>2</v>
      </c>
      <c r="M117" s="55">
        <v>3</v>
      </c>
      <c r="N117" s="55">
        <v>2</v>
      </c>
      <c r="O117" s="55">
        <v>0</v>
      </c>
      <c r="P117" s="55">
        <v>0</v>
      </c>
      <c r="Q117" s="55">
        <v>0</v>
      </c>
      <c r="R117" s="55">
        <v>1</v>
      </c>
      <c r="T117" s="61">
        <f>SUM(C117/B117)</f>
        <v>0.30297510625379476</v>
      </c>
      <c r="U117" s="61">
        <f>SUM(D117/B117)</f>
        <v>0.31633272616879177</v>
      </c>
      <c r="V117" s="61">
        <f>SUM(E117/B117)</f>
        <v>0.21331714227889093</v>
      </c>
      <c r="W117" s="105">
        <f t="shared" si="35"/>
        <v>0</v>
      </c>
      <c r="X117" s="61">
        <f>SUM(G117/B117)</f>
        <v>0</v>
      </c>
      <c r="Y117" s="61">
        <f>SUM(H117/B117)</f>
        <v>0</v>
      </c>
      <c r="Z117" s="61">
        <f>SUM(I117/B117)</f>
        <v>0.16737502529852258</v>
      </c>
    </row>
    <row r="118" spans="1:26">
      <c r="A118" s="56" t="s">
        <v>295</v>
      </c>
      <c r="B118" s="54">
        <f>SUM(C118:I118)</f>
        <v>3037</v>
      </c>
      <c r="C118" s="55">
        <v>328</v>
      </c>
      <c r="D118" s="55">
        <v>1285</v>
      </c>
      <c r="E118" s="55">
        <v>0</v>
      </c>
      <c r="F118" s="55">
        <v>0</v>
      </c>
      <c r="G118" s="55">
        <v>352</v>
      </c>
      <c r="H118" s="55">
        <v>0</v>
      </c>
      <c r="I118" s="55">
        <v>1072</v>
      </c>
      <c r="K118" s="54">
        <f>SUM(L118:R118)</f>
        <v>4</v>
      </c>
      <c r="L118" s="55">
        <v>0</v>
      </c>
      <c r="M118" s="55">
        <v>2</v>
      </c>
      <c r="N118" s="55">
        <v>0</v>
      </c>
      <c r="O118" s="55">
        <v>0</v>
      </c>
      <c r="P118" s="55">
        <v>0</v>
      </c>
      <c r="Q118" s="55">
        <v>0</v>
      </c>
      <c r="R118" s="55">
        <v>2</v>
      </c>
      <c r="T118" s="61">
        <f>SUM(C118/B118)</f>
        <v>0.1080013170892328</v>
      </c>
      <c r="U118" s="61">
        <f>SUM(D118/B118)</f>
        <v>0.42311491603556139</v>
      </c>
      <c r="V118" s="61">
        <f>SUM(E118/B118)</f>
        <v>0</v>
      </c>
      <c r="W118" s="105">
        <f t="shared" si="35"/>
        <v>0</v>
      </c>
      <c r="X118" s="61">
        <f>SUM(G118/B118)</f>
        <v>0.11590385248600593</v>
      </c>
      <c r="Y118" s="61">
        <f>SUM(H118/B118)</f>
        <v>0</v>
      </c>
      <c r="Z118" s="61">
        <f>SUM(I118/B118)</f>
        <v>0.35297991438919984</v>
      </c>
    </row>
    <row r="119" spans="1:26" s="52" customFormat="1">
      <c r="A119" s="53" t="s">
        <v>1627</v>
      </c>
      <c r="B119" s="54">
        <f>SUM(B116:B118)</f>
        <v>10694</v>
      </c>
      <c r="C119" s="54">
        <f t="shared" ref="C119:N119" si="54">SUM(C116:C118)</f>
        <v>2563</v>
      </c>
      <c r="D119" s="54">
        <f>SUM(D116:D118)</f>
        <v>4310</v>
      </c>
      <c r="E119" s="54">
        <f t="shared" si="54"/>
        <v>1054</v>
      </c>
      <c r="F119" s="54">
        <f>SUM(F116:F118)</f>
        <v>0</v>
      </c>
      <c r="G119" s="54">
        <f>SUM(G116:G118)</f>
        <v>868</v>
      </c>
      <c r="H119" s="54">
        <f>SUM(H116:H118)</f>
        <v>0</v>
      </c>
      <c r="I119" s="54">
        <f>SUM(I116:I118)</f>
        <v>1899</v>
      </c>
      <c r="J119" s="54"/>
      <c r="K119" s="54">
        <f t="shared" si="54"/>
        <v>16</v>
      </c>
      <c r="L119" s="54">
        <f t="shared" si="54"/>
        <v>3</v>
      </c>
      <c r="M119" s="54">
        <f t="shared" si="54"/>
        <v>7</v>
      </c>
      <c r="N119" s="54">
        <f t="shared" si="54"/>
        <v>2</v>
      </c>
      <c r="O119" s="54">
        <f>SUM(O116:O118)</f>
        <v>0</v>
      </c>
      <c r="P119" s="54">
        <f>SUM(P116:P118)</f>
        <v>1</v>
      </c>
      <c r="Q119" s="54">
        <f>SUM(Q116:Q118)</f>
        <v>0</v>
      </c>
      <c r="R119" s="54">
        <f>SUM(R116:R118)</f>
        <v>3</v>
      </c>
      <c r="T119" s="60">
        <f>SUM(C119/B119)</f>
        <v>0.23966710304843838</v>
      </c>
      <c r="U119" s="60">
        <f>SUM(D119/B119)</f>
        <v>0.40302973630072936</v>
      </c>
      <c r="V119" s="60">
        <f>SUM(E119/B119)</f>
        <v>9.855994015335702E-2</v>
      </c>
      <c r="W119" s="60">
        <f t="shared" si="35"/>
        <v>0</v>
      </c>
      <c r="X119" s="60">
        <f>SUM(G119/B119)</f>
        <v>8.1167009538058721E-2</v>
      </c>
      <c r="Y119" s="60">
        <f>SUM(H119/B119)</f>
        <v>0</v>
      </c>
      <c r="Z119" s="60">
        <f>SUM(I119/B119)</f>
        <v>0.1775762109594165</v>
      </c>
    </row>
    <row r="120" spans="1:26">
      <c r="A120" s="53"/>
      <c r="B120" s="54"/>
      <c r="C120" s="55"/>
      <c r="D120" s="55"/>
      <c r="E120" s="55"/>
      <c r="F120" s="55"/>
      <c r="G120" s="55"/>
      <c r="H120" s="55"/>
      <c r="I120" s="55"/>
      <c r="K120" s="54"/>
      <c r="L120" s="55"/>
      <c r="M120" s="55"/>
      <c r="N120" s="55"/>
      <c r="O120" s="55"/>
      <c r="P120" s="55"/>
      <c r="Q120" s="55"/>
      <c r="R120" s="55"/>
      <c r="W120" s="105"/>
    </row>
    <row r="121" spans="1:26">
      <c r="A121" s="56" t="s">
        <v>290</v>
      </c>
      <c r="B121" s="54">
        <f>SUM(C121:I121)</f>
        <v>2156</v>
      </c>
      <c r="C121" s="55">
        <v>0</v>
      </c>
      <c r="D121" s="55">
        <v>0</v>
      </c>
      <c r="E121" s="55">
        <v>1207</v>
      </c>
      <c r="F121" s="55">
        <v>309</v>
      </c>
      <c r="G121" s="55">
        <v>0</v>
      </c>
      <c r="H121" s="55">
        <v>0</v>
      </c>
      <c r="I121" s="55">
        <v>640</v>
      </c>
      <c r="J121" s="55"/>
      <c r="K121" s="54">
        <f>SUM(L121:R121)</f>
        <v>4</v>
      </c>
      <c r="L121" s="55">
        <v>0</v>
      </c>
      <c r="M121" s="55">
        <v>0</v>
      </c>
      <c r="N121" s="55">
        <v>3</v>
      </c>
      <c r="O121" s="55">
        <v>0</v>
      </c>
      <c r="P121" s="55">
        <v>0</v>
      </c>
      <c r="Q121" s="55">
        <v>0</v>
      </c>
      <c r="R121" s="55">
        <v>1</v>
      </c>
      <c r="T121" s="61">
        <f>SUM(C121/B121)</f>
        <v>0</v>
      </c>
      <c r="U121" s="61">
        <f>SUM(D121/B121)</f>
        <v>0</v>
      </c>
      <c r="V121" s="61">
        <f>SUM(E121/B121)</f>
        <v>0.55983302411873836</v>
      </c>
      <c r="W121" s="105">
        <f t="shared" si="35"/>
        <v>0.14332096474953618</v>
      </c>
      <c r="X121" s="61">
        <f>SUM(G121/B121)</f>
        <v>0</v>
      </c>
      <c r="Y121" s="61">
        <f>SUM(H121/B121)</f>
        <v>0</v>
      </c>
      <c r="Z121" s="61">
        <f>SUM(I121/B121)</f>
        <v>0.29684601113172543</v>
      </c>
    </row>
    <row r="122" spans="1:26">
      <c r="A122" s="56" t="s">
        <v>291</v>
      </c>
      <c r="B122" s="54">
        <f>SUM(C122:I122)</f>
        <v>2882</v>
      </c>
      <c r="C122" s="55">
        <v>745</v>
      </c>
      <c r="D122" s="55">
        <v>877</v>
      </c>
      <c r="E122" s="55">
        <v>0</v>
      </c>
      <c r="F122" s="55">
        <v>0</v>
      </c>
      <c r="G122" s="55">
        <v>234</v>
      </c>
      <c r="H122" s="55">
        <v>0</v>
      </c>
      <c r="I122" s="55">
        <v>1026</v>
      </c>
      <c r="K122" s="54">
        <f>SUM(L122:R122)</f>
        <v>8</v>
      </c>
      <c r="L122" s="55">
        <v>3</v>
      </c>
      <c r="M122" s="55">
        <v>2</v>
      </c>
      <c r="N122" s="55">
        <v>0</v>
      </c>
      <c r="O122" s="55">
        <v>0</v>
      </c>
      <c r="P122" s="55">
        <v>0</v>
      </c>
      <c r="Q122" s="55">
        <v>0</v>
      </c>
      <c r="R122" s="55">
        <v>3</v>
      </c>
      <c r="T122" s="61">
        <f>SUM(C122/B122)</f>
        <v>0.25850104094378906</v>
      </c>
      <c r="U122" s="61">
        <f>SUM(D122/B122)</f>
        <v>0.30430256766134628</v>
      </c>
      <c r="V122" s="61">
        <f>SUM(E122/B122)</f>
        <v>0</v>
      </c>
      <c r="W122" s="105">
        <f t="shared" si="35"/>
        <v>0</v>
      </c>
      <c r="X122" s="61">
        <f>SUM(G122/B122)</f>
        <v>8.1193615544760581E-2</v>
      </c>
      <c r="Y122" s="61">
        <f>SUM(H122/B122)</f>
        <v>0</v>
      </c>
      <c r="Z122" s="61">
        <f>SUM(I122/B122)</f>
        <v>0.35600277585010409</v>
      </c>
    </row>
    <row r="123" spans="1:26">
      <c r="A123" s="56" t="s">
        <v>292</v>
      </c>
      <c r="B123" s="54">
        <f>SUM(C123:I123)</f>
        <v>1599</v>
      </c>
      <c r="C123" s="55">
        <v>150</v>
      </c>
      <c r="D123" s="55">
        <v>128</v>
      </c>
      <c r="E123" s="55">
        <v>675</v>
      </c>
      <c r="F123" s="55">
        <v>178</v>
      </c>
      <c r="G123" s="55">
        <v>231</v>
      </c>
      <c r="H123" s="55">
        <v>0</v>
      </c>
      <c r="I123" s="55">
        <v>237</v>
      </c>
      <c r="K123" s="54">
        <f>SUM(L123:R123)</f>
        <v>4</v>
      </c>
      <c r="L123" s="55">
        <v>1</v>
      </c>
      <c r="M123" s="55">
        <v>0</v>
      </c>
      <c r="N123" s="55">
        <v>2</v>
      </c>
      <c r="O123" s="55">
        <v>0</v>
      </c>
      <c r="P123" s="55">
        <v>0</v>
      </c>
      <c r="Q123" s="55">
        <v>0</v>
      </c>
      <c r="R123" s="55">
        <v>1</v>
      </c>
      <c r="T123" s="61">
        <f>SUM(C123/B123)</f>
        <v>9.3808630393996242E-2</v>
      </c>
      <c r="U123" s="61">
        <f>SUM(D123/B123)</f>
        <v>8.0050031269543465E-2</v>
      </c>
      <c r="V123" s="61">
        <f>SUM(E123/B123)</f>
        <v>0.42213883677298314</v>
      </c>
      <c r="W123" s="105">
        <f t="shared" si="35"/>
        <v>0.11131957473420888</v>
      </c>
      <c r="X123" s="61">
        <f>SUM(G123/B123)</f>
        <v>0.14446529080675422</v>
      </c>
      <c r="Y123" s="61">
        <f>SUM(H123/B123)</f>
        <v>0</v>
      </c>
      <c r="Z123" s="61">
        <f>SUM(I123/B123)</f>
        <v>0.14821763602251406</v>
      </c>
    </row>
    <row r="124" spans="1:26" s="52" customFormat="1">
      <c r="A124" s="53" t="s">
        <v>1631</v>
      </c>
      <c r="B124" s="54">
        <f>SUM(B121:B123)</f>
        <v>6637</v>
      </c>
      <c r="C124" s="54">
        <f t="shared" ref="C124:N124" si="55">SUM(C121:C123)</f>
        <v>895</v>
      </c>
      <c r="D124" s="54">
        <f>SUM(D121:D123)</f>
        <v>1005</v>
      </c>
      <c r="E124" s="54">
        <f t="shared" si="55"/>
        <v>1882</v>
      </c>
      <c r="F124" s="54">
        <f>SUM(F121:F123)</f>
        <v>487</v>
      </c>
      <c r="G124" s="54">
        <f>SUM(G121:G123)</f>
        <v>465</v>
      </c>
      <c r="H124" s="54">
        <f>SUM(H121:H123)</f>
        <v>0</v>
      </c>
      <c r="I124" s="54">
        <f>SUM(I121:I123)</f>
        <v>1903</v>
      </c>
      <c r="J124" s="54"/>
      <c r="K124" s="54">
        <f t="shared" si="55"/>
        <v>16</v>
      </c>
      <c r="L124" s="54">
        <f t="shared" si="55"/>
        <v>4</v>
      </c>
      <c r="M124" s="54">
        <f t="shared" si="55"/>
        <v>2</v>
      </c>
      <c r="N124" s="54">
        <f t="shared" si="55"/>
        <v>5</v>
      </c>
      <c r="O124" s="54">
        <f>SUM(O121:O123)</f>
        <v>0</v>
      </c>
      <c r="P124" s="54">
        <f>SUM(P121:P123)</f>
        <v>0</v>
      </c>
      <c r="Q124" s="54">
        <f>SUM(Q121:Q123)</f>
        <v>0</v>
      </c>
      <c r="R124" s="54">
        <f>SUM(R121:R123)</f>
        <v>5</v>
      </c>
      <c r="T124" s="60">
        <f>SUM(C124/B124)</f>
        <v>0.13485008286876601</v>
      </c>
      <c r="U124" s="60">
        <f>SUM(D124/B124)</f>
        <v>0.1514238360705138</v>
      </c>
      <c r="V124" s="60">
        <f>SUM(E124/B124)</f>
        <v>0.28356185023353925</v>
      </c>
      <c r="W124" s="60">
        <f t="shared" si="35"/>
        <v>7.3376525538646972E-2</v>
      </c>
      <c r="X124" s="60">
        <f>SUM(G124/B124)</f>
        <v>7.006177489829743E-2</v>
      </c>
      <c r="Y124" s="60">
        <f>SUM(H124/B124)</f>
        <v>0</v>
      </c>
      <c r="Z124" s="60">
        <f>SUM(I124/B124)</f>
        <v>0.28672593039023653</v>
      </c>
    </row>
    <row r="125" spans="1:26">
      <c r="A125" s="53"/>
      <c r="B125" s="54"/>
      <c r="C125" s="55"/>
      <c r="D125" s="55"/>
      <c r="E125" s="55"/>
      <c r="F125" s="55"/>
      <c r="G125" s="55"/>
      <c r="H125" s="55"/>
      <c r="I125" s="55"/>
      <c r="K125" s="54"/>
      <c r="L125" s="55"/>
      <c r="M125" s="55"/>
      <c r="N125" s="55"/>
      <c r="O125" s="55"/>
      <c r="P125" s="55"/>
      <c r="Q125" s="55"/>
      <c r="R125" s="55"/>
      <c r="W125" s="105"/>
    </row>
    <row r="126" spans="1:26">
      <c r="A126" s="56" t="s">
        <v>296</v>
      </c>
      <c r="B126" s="54">
        <f>SUM(C126:I126)</f>
        <v>3237</v>
      </c>
      <c r="C126" s="55">
        <v>897</v>
      </c>
      <c r="D126" s="55">
        <v>996</v>
      </c>
      <c r="E126" s="55">
        <v>0</v>
      </c>
      <c r="F126" s="55">
        <v>0</v>
      </c>
      <c r="G126" s="55">
        <v>469</v>
      </c>
      <c r="H126" s="55">
        <v>0</v>
      </c>
      <c r="I126" s="55">
        <v>875</v>
      </c>
      <c r="K126" s="54">
        <f>SUM(L126:R126)</f>
        <v>4</v>
      </c>
      <c r="L126" s="55">
        <v>1</v>
      </c>
      <c r="M126" s="55">
        <v>1</v>
      </c>
      <c r="N126" s="55">
        <v>0</v>
      </c>
      <c r="O126" s="55">
        <v>0</v>
      </c>
      <c r="P126" s="55">
        <v>1</v>
      </c>
      <c r="Q126" s="55">
        <v>0</v>
      </c>
      <c r="R126" s="55">
        <v>1</v>
      </c>
      <c r="T126" s="61">
        <f>SUM(C126/B126)</f>
        <v>0.27710843373493976</v>
      </c>
      <c r="U126" s="61">
        <f>SUM(D126/B126)</f>
        <v>0.30769230769230771</v>
      </c>
      <c r="V126" s="61">
        <f>SUM(E126/B126)</f>
        <v>0</v>
      </c>
      <c r="W126" s="105">
        <f t="shared" si="35"/>
        <v>0</v>
      </c>
      <c r="X126" s="61">
        <f>SUM(G126/B126)</f>
        <v>0.14488724127278343</v>
      </c>
      <c r="Y126" s="61">
        <f>SUM(H126/B126)</f>
        <v>0</v>
      </c>
      <c r="Z126" s="61">
        <f>SUM(I126/B126)</f>
        <v>0.27031201729996912</v>
      </c>
    </row>
    <row r="127" spans="1:26">
      <c r="A127" s="56" t="s">
        <v>297</v>
      </c>
      <c r="B127" s="54">
        <f>SUM(C127:I127)</f>
        <v>2797</v>
      </c>
      <c r="C127" s="55">
        <v>466</v>
      </c>
      <c r="D127" s="55">
        <v>1247</v>
      </c>
      <c r="E127" s="55">
        <v>0</v>
      </c>
      <c r="F127" s="55">
        <v>0</v>
      </c>
      <c r="G127" s="55">
        <v>241</v>
      </c>
      <c r="H127" s="55">
        <v>0</v>
      </c>
      <c r="I127" s="55">
        <v>843</v>
      </c>
      <c r="K127" s="54">
        <f>SUM(L127:R127)</f>
        <v>4</v>
      </c>
      <c r="L127" s="55">
        <v>1</v>
      </c>
      <c r="M127" s="55">
        <v>2</v>
      </c>
      <c r="N127" s="55">
        <v>0</v>
      </c>
      <c r="O127" s="55">
        <v>0</v>
      </c>
      <c r="P127" s="55">
        <v>0</v>
      </c>
      <c r="Q127" s="55">
        <v>0</v>
      </c>
      <c r="R127" s="55">
        <v>1</v>
      </c>
      <c r="T127" s="61">
        <f>SUM(C127/B127)</f>
        <v>0.16660707901322847</v>
      </c>
      <c r="U127" s="61">
        <f>SUM(D127/B127)</f>
        <v>0.44583482302466931</v>
      </c>
      <c r="V127" s="61">
        <f>SUM(E127/B127)</f>
        <v>0</v>
      </c>
      <c r="W127" s="105">
        <f t="shared" si="35"/>
        <v>0</v>
      </c>
      <c r="X127" s="61">
        <f>SUM(G127/B127)</f>
        <v>8.6163746871648197E-2</v>
      </c>
      <c r="Y127" s="61">
        <f>SUM(H127/B127)</f>
        <v>0</v>
      </c>
      <c r="Z127" s="61">
        <f>SUM(I127/B127)</f>
        <v>0.30139435109045404</v>
      </c>
    </row>
    <row r="128" spans="1:26">
      <c r="A128" s="56" t="s">
        <v>298</v>
      </c>
      <c r="B128" s="54">
        <f>SUM(C128:I128)</f>
        <v>5703</v>
      </c>
      <c r="C128" s="55">
        <v>1482</v>
      </c>
      <c r="D128" s="55">
        <v>2123</v>
      </c>
      <c r="E128" s="55">
        <v>0</v>
      </c>
      <c r="F128" s="55">
        <v>0</v>
      </c>
      <c r="G128" s="55">
        <v>1332</v>
      </c>
      <c r="H128" s="55">
        <v>0</v>
      </c>
      <c r="I128" s="55">
        <v>766</v>
      </c>
      <c r="K128" s="54">
        <f>SUM(L128:R128)</f>
        <v>7</v>
      </c>
      <c r="L128" s="55">
        <v>2</v>
      </c>
      <c r="M128" s="55">
        <v>3</v>
      </c>
      <c r="N128" s="55">
        <v>0</v>
      </c>
      <c r="O128" s="55">
        <v>0</v>
      </c>
      <c r="P128" s="55">
        <v>2</v>
      </c>
      <c r="Q128" s="55">
        <v>0</v>
      </c>
      <c r="R128" s="55">
        <v>0</v>
      </c>
      <c r="T128" s="61">
        <f>SUM(C128/B128)</f>
        <v>0.25986322987901106</v>
      </c>
      <c r="U128" s="61">
        <f>SUM(D128/B128)</f>
        <v>0.37226021392249692</v>
      </c>
      <c r="V128" s="61">
        <f>SUM(E128/B128)</f>
        <v>0</v>
      </c>
      <c r="W128" s="105">
        <f t="shared" si="35"/>
        <v>0</v>
      </c>
      <c r="X128" s="61">
        <f>SUM(G128/B128)</f>
        <v>0.2335612835349816</v>
      </c>
      <c r="Y128" s="61">
        <f>SUM(H128/B128)</f>
        <v>0</v>
      </c>
      <c r="Z128" s="61">
        <f>SUM(I128/B128)</f>
        <v>0.13431527266351043</v>
      </c>
    </row>
    <row r="129" spans="1:26" s="52" customFormat="1">
      <c r="A129" s="53" t="s">
        <v>1635</v>
      </c>
      <c r="B129" s="54">
        <f>SUM(B126:B128)</f>
        <v>11737</v>
      </c>
      <c r="C129" s="54">
        <f t="shared" ref="C129:N129" si="56">SUM(C126:C128)</f>
        <v>2845</v>
      </c>
      <c r="D129" s="54">
        <f>SUM(D126:D128)</f>
        <v>4366</v>
      </c>
      <c r="E129" s="54">
        <f t="shared" si="56"/>
        <v>0</v>
      </c>
      <c r="F129" s="54">
        <f>SUM(F126:F128)</f>
        <v>0</v>
      </c>
      <c r="G129" s="54">
        <f>SUM(G126:G128)</f>
        <v>2042</v>
      </c>
      <c r="H129" s="54">
        <f>SUM(H126:H128)</f>
        <v>0</v>
      </c>
      <c r="I129" s="54">
        <f>SUM(I126:I128)</f>
        <v>2484</v>
      </c>
      <c r="J129" s="54"/>
      <c r="K129" s="54">
        <f t="shared" si="56"/>
        <v>15</v>
      </c>
      <c r="L129" s="54">
        <f t="shared" si="56"/>
        <v>4</v>
      </c>
      <c r="M129" s="54">
        <f t="shared" si="56"/>
        <v>6</v>
      </c>
      <c r="N129" s="54">
        <f t="shared" si="56"/>
        <v>0</v>
      </c>
      <c r="O129" s="54">
        <f>SUM(O126:O128)</f>
        <v>0</v>
      </c>
      <c r="P129" s="54">
        <f>SUM(P126:P128)</f>
        <v>3</v>
      </c>
      <c r="Q129" s="54">
        <f>SUM(Q126:Q128)</f>
        <v>0</v>
      </c>
      <c r="R129" s="54">
        <f>SUM(R126:R128)</f>
        <v>2</v>
      </c>
      <c r="T129" s="60">
        <f>SUM(C129/B129)</f>
        <v>0.2423958422084008</v>
      </c>
      <c r="U129" s="60">
        <f>SUM(D129/B129)</f>
        <v>0.3719860270938059</v>
      </c>
      <c r="V129" s="60">
        <f>SUM(E129/B129)</f>
        <v>0</v>
      </c>
      <c r="W129" s="60">
        <f t="shared" si="35"/>
        <v>0</v>
      </c>
      <c r="X129" s="60">
        <f>SUM(G129/B129)</f>
        <v>0.17397972224588906</v>
      </c>
      <c r="Y129" s="60">
        <f>SUM(H129/B129)</f>
        <v>0</v>
      </c>
      <c r="Z129" s="60">
        <f>SUM(I129/B129)</f>
        <v>0.21163840845190424</v>
      </c>
    </row>
    <row r="130" spans="1:26">
      <c r="A130" s="53"/>
      <c r="B130" s="54"/>
      <c r="C130" s="55"/>
      <c r="D130" s="55"/>
      <c r="E130" s="55"/>
      <c r="F130" s="55"/>
      <c r="G130" s="55"/>
      <c r="H130" s="55"/>
      <c r="I130" s="55"/>
      <c r="K130" s="54"/>
      <c r="L130" s="55"/>
      <c r="M130" s="55"/>
      <c r="N130" s="55"/>
      <c r="O130" s="55"/>
      <c r="P130" s="55"/>
      <c r="Q130" s="55"/>
      <c r="R130" s="55"/>
      <c r="W130" s="105"/>
    </row>
    <row r="131" spans="1:26">
      <c r="A131" s="56" t="s">
        <v>299</v>
      </c>
      <c r="B131" s="54">
        <f>SUM(C131:I131)</f>
        <v>3879</v>
      </c>
      <c r="C131" s="55">
        <v>779</v>
      </c>
      <c r="D131" s="55">
        <v>1063</v>
      </c>
      <c r="E131" s="55">
        <v>0</v>
      </c>
      <c r="F131" s="55">
        <v>0</v>
      </c>
      <c r="G131" s="55">
        <v>865</v>
      </c>
      <c r="H131" s="55">
        <v>0</v>
      </c>
      <c r="I131" s="55">
        <v>1172</v>
      </c>
      <c r="K131" s="54">
        <f>SUM(L131:R131)</f>
        <v>5</v>
      </c>
      <c r="L131" s="55">
        <v>1</v>
      </c>
      <c r="M131" s="55">
        <v>2</v>
      </c>
      <c r="N131" s="55">
        <v>0</v>
      </c>
      <c r="O131" s="55">
        <v>0</v>
      </c>
      <c r="P131" s="55">
        <v>1</v>
      </c>
      <c r="Q131" s="55">
        <v>0</v>
      </c>
      <c r="R131" s="55">
        <v>1</v>
      </c>
      <c r="T131" s="61">
        <f>SUM(C131/B131)</f>
        <v>0.20082495488527971</v>
      </c>
      <c r="U131" s="61">
        <f>SUM(D131/B131)</f>
        <v>0.2740397009538541</v>
      </c>
      <c r="V131" s="61">
        <f>SUM(E131/B131)</f>
        <v>0</v>
      </c>
      <c r="W131" s="105">
        <f t="shared" si="35"/>
        <v>0</v>
      </c>
      <c r="X131" s="61">
        <f>SUM(G131/B131)</f>
        <v>0.22299561742717194</v>
      </c>
      <c r="Y131" s="61">
        <f>SUM(H131/B131)</f>
        <v>0</v>
      </c>
      <c r="Z131" s="61">
        <f>SUM(I131/B131)</f>
        <v>0.30213972673369427</v>
      </c>
    </row>
    <row r="132" spans="1:26">
      <c r="A132" s="56" t="s">
        <v>300</v>
      </c>
      <c r="B132" s="54">
        <f>SUM(C132:I132)</f>
        <v>3941</v>
      </c>
      <c r="C132" s="55">
        <v>1394</v>
      </c>
      <c r="D132" s="55">
        <v>1356</v>
      </c>
      <c r="E132" s="55">
        <v>0</v>
      </c>
      <c r="F132" s="55">
        <v>0</v>
      </c>
      <c r="G132" s="55">
        <v>984</v>
      </c>
      <c r="H132" s="55">
        <v>0</v>
      </c>
      <c r="I132" s="55">
        <v>207</v>
      </c>
      <c r="K132" s="54">
        <f>SUM(L132:R132)</f>
        <v>5</v>
      </c>
      <c r="L132" s="55">
        <v>2</v>
      </c>
      <c r="M132" s="55">
        <v>2</v>
      </c>
      <c r="N132" s="55">
        <v>0</v>
      </c>
      <c r="O132" s="55">
        <v>0</v>
      </c>
      <c r="P132" s="55">
        <v>1</v>
      </c>
      <c r="Q132" s="55">
        <v>0</v>
      </c>
      <c r="R132" s="55">
        <v>0</v>
      </c>
      <c r="T132" s="61">
        <f>SUM(C132/B132)</f>
        <v>0.35371733062674449</v>
      </c>
      <c r="U132" s="61">
        <f>SUM(D132/B132)</f>
        <v>0.3440751078406496</v>
      </c>
      <c r="V132" s="61">
        <f>SUM(E132/B132)</f>
        <v>0</v>
      </c>
      <c r="W132" s="105">
        <f t="shared" si="35"/>
        <v>0</v>
      </c>
      <c r="X132" s="61">
        <f>SUM(G132/B132)</f>
        <v>0.24968282161887845</v>
      </c>
      <c r="Y132" s="61">
        <f>SUM(H132/B132)</f>
        <v>0</v>
      </c>
      <c r="Z132" s="61">
        <f>SUM(I132/B132)</f>
        <v>5.2524739913727483E-2</v>
      </c>
    </row>
    <row r="133" spans="1:26">
      <c r="A133" s="56" t="s">
        <v>301</v>
      </c>
      <c r="B133" s="54">
        <f>SUM(C133:I133)</f>
        <v>4202</v>
      </c>
      <c r="C133" s="55">
        <v>544</v>
      </c>
      <c r="D133" s="55">
        <v>1980</v>
      </c>
      <c r="E133" s="55">
        <v>0</v>
      </c>
      <c r="F133" s="55">
        <v>0</v>
      </c>
      <c r="G133" s="55">
        <v>769</v>
      </c>
      <c r="H133" s="55">
        <v>0</v>
      </c>
      <c r="I133" s="55">
        <v>909</v>
      </c>
      <c r="K133" s="54">
        <f>SUM(L133:R133)</f>
        <v>5</v>
      </c>
      <c r="L133" s="55">
        <v>0</v>
      </c>
      <c r="M133" s="55">
        <v>3</v>
      </c>
      <c r="N133" s="55">
        <v>0</v>
      </c>
      <c r="O133" s="55">
        <v>0</v>
      </c>
      <c r="P133" s="55">
        <v>1</v>
      </c>
      <c r="Q133" s="55">
        <v>0</v>
      </c>
      <c r="R133" s="55">
        <v>1</v>
      </c>
      <c r="T133" s="61">
        <f>SUM(C133/B133)</f>
        <v>0.12946216087577345</v>
      </c>
      <c r="U133" s="61">
        <f>SUM(D133/B133)</f>
        <v>0.47120418848167539</v>
      </c>
      <c r="V133" s="61">
        <f>SUM(E133/B133)</f>
        <v>0</v>
      </c>
      <c r="W133" s="105">
        <f t="shared" si="35"/>
        <v>0</v>
      </c>
      <c r="X133" s="61">
        <f>SUM(G133/B133)</f>
        <v>0.18300809138505475</v>
      </c>
      <c r="Y133" s="61">
        <f>SUM(H133/B133)</f>
        <v>0</v>
      </c>
      <c r="Z133" s="61">
        <f>SUM(I133/B133)</f>
        <v>0.21632555925749644</v>
      </c>
    </row>
    <row r="134" spans="1:26" s="52" customFormat="1">
      <c r="A134" s="53" t="s">
        <v>1639</v>
      </c>
      <c r="B134" s="54">
        <f>SUM(B131:B133)</f>
        <v>12022</v>
      </c>
      <c r="C134" s="54">
        <f t="shared" ref="C134:N134" si="57">SUM(C131:C133)</f>
        <v>2717</v>
      </c>
      <c r="D134" s="54">
        <f>SUM(D131:D133)</f>
        <v>4399</v>
      </c>
      <c r="E134" s="54">
        <f t="shared" si="57"/>
        <v>0</v>
      </c>
      <c r="F134" s="54">
        <f>SUM(F131:F133)</f>
        <v>0</v>
      </c>
      <c r="G134" s="54">
        <f>SUM(G131:G133)</f>
        <v>2618</v>
      </c>
      <c r="H134" s="54">
        <f>SUM(H131:H133)</f>
        <v>0</v>
      </c>
      <c r="I134" s="54">
        <f>SUM(I131:I133)</f>
        <v>2288</v>
      </c>
      <c r="J134" s="54"/>
      <c r="K134" s="54">
        <f t="shared" si="57"/>
        <v>15</v>
      </c>
      <c r="L134" s="54">
        <f t="shared" si="57"/>
        <v>3</v>
      </c>
      <c r="M134" s="54">
        <f t="shared" si="57"/>
        <v>7</v>
      </c>
      <c r="N134" s="54">
        <f t="shared" si="57"/>
        <v>0</v>
      </c>
      <c r="O134" s="54">
        <f>SUM(O131:O133)</f>
        <v>0</v>
      </c>
      <c r="P134" s="54">
        <f>SUM(P131:P133)</f>
        <v>3</v>
      </c>
      <c r="Q134" s="54">
        <f>SUM(Q131:Q133)</f>
        <v>0</v>
      </c>
      <c r="R134" s="54">
        <f>SUM(R131:R133)</f>
        <v>2</v>
      </c>
      <c r="T134" s="60">
        <f>SUM(C134/B134)</f>
        <v>0.2260023290633838</v>
      </c>
      <c r="U134" s="60">
        <f>SUM(D134/B134)</f>
        <v>0.36591249376143736</v>
      </c>
      <c r="V134" s="60">
        <f>SUM(E134/B134)</f>
        <v>0</v>
      </c>
      <c r="W134" s="60">
        <f t="shared" ref="W134:W152" si="58">SUM(F134/B134)</f>
        <v>0</v>
      </c>
      <c r="X134" s="60">
        <f>SUM(G134/B134)</f>
        <v>0.21776742638496091</v>
      </c>
      <c r="Y134" s="60">
        <f>SUM(H134/B134)</f>
        <v>0</v>
      </c>
      <c r="Z134" s="60">
        <f>SUM(I134/B134)</f>
        <v>0.19031775079021793</v>
      </c>
    </row>
    <row r="135" spans="1:26">
      <c r="A135" s="53"/>
      <c r="B135" s="54"/>
      <c r="C135" s="55"/>
      <c r="D135" s="55"/>
      <c r="E135" s="55"/>
      <c r="F135" s="55"/>
      <c r="G135" s="55"/>
      <c r="H135" s="55"/>
      <c r="I135" s="55"/>
      <c r="K135" s="54"/>
      <c r="L135" s="55"/>
      <c r="M135" s="55"/>
      <c r="N135" s="55"/>
      <c r="O135" s="55"/>
      <c r="P135" s="55"/>
      <c r="Q135" s="55"/>
      <c r="R135" s="55"/>
      <c r="W135" s="105"/>
    </row>
    <row r="136" spans="1:26">
      <c r="A136" s="56" t="s">
        <v>302</v>
      </c>
      <c r="B136" s="54">
        <f>SUM(C136:I136)</f>
        <v>5114</v>
      </c>
      <c r="C136" s="55">
        <v>2318</v>
      </c>
      <c r="D136" s="55">
        <v>1648</v>
      </c>
      <c r="E136" s="55">
        <v>0</v>
      </c>
      <c r="F136" s="55">
        <v>0</v>
      </c>
      <c r="G136" s="55">
        <v>550</v>
      </c>
      <c r="H136" s="55">
        <v>0</v>
      </c>
      <c r="I136" s="55">
        <v>598</v>
      </c>
      <c r="J136" s="55"/>
      <c r="K136" s="54">
        <f>SUM(L136:R136)</f>
        <v>5</v>
      </c>
      <c r="L136" s="55">
        <v>2</v>
      </c>
      <c r="M136" s="55">
        <v>2</v>
      </c>
      <c r="N136" s="55">
        <v>0</v>
      </c>
      <c r="O136" s="55">
        <v>0</v>
      </c>
      <c r="P136" s="55">
        <v>0</v>
      </c>
      <c r="Q136" s="55">
        <v>0</v>
      </c>
      <c r="R136" s="55">
        <v>1</v>
      </c>
      <c r="T136" s="61">
        <f>SUM(C136/B136)</f>
        <v>0.45326554556120452</v>
      </c>
      <c r="U136" s="61">
        <f>SUM(D136/B136)</f>
        <v>0.32225263981228003</v>
      </c>
      <c r="V136" s="61">
        <f>SUM(E136/B136)</f>
        <v>0</v>
      </c>
      <c r="W136" s="105">
        <f t="shared" si="58"/>
        <v>0</v>
      </c>
      <c r="X136" s="61">
        <f>SUM(G136/B136)</f>
        <v>0.10754790770434103</v>
      </c>
      <c r="Y136" s="61">
        <f>SUM(H136/B136)</f>
        <v>0</v>
      </c>
      <c r="Z136" s="61">
        <f>SUM(I136/B136)</f>
        <v>0.11693390692217442</v>
      </c>
    </row>
    <row r="137" spans="1:26">
      <c r="A137" s="56" t="s">
        <v>303</v>
      </c>
      <c r="B137" s="54">
        <f>SUM(C137:I137)</f>
        <v>5647</v>
      </c>
      <c r="C137" s="55">
        <v>2087</v>
      </c>
      <c r="D137" s="55">
        <v>1964</v>
      </c>
      <c r="E137" s="55">
        <v>0</v>
      </c>
      <c r="F137" s="55">
        <v>0</v>
      </c>
      <c r="G137" s="55">
        <v>654</v>
      </c>
      <c r="H137" s="55">
        <v>0</v>
      </c>
      <c r="I137" s="55">
        <v>942</v>
      </c>
      <c r="K137" s="54">
        <f>SUM(L137:R137)</f>
        <v>6</v>
      </c>
      <c r="L137" s="55">
        <v>3</v>
      </c>
      <c r="M137" s="55">
        <v>1</v>
      </c>
      <c r="N137" s="55">
        <v>0</v>
      </c>
      <c r="O137" s="55">
        <v>0</v>
      </c>
      <c r="P137" s="55">
        <v>1</v>
      </c>
      <c r="Q137" s="55">
        <v>0</v>
      </c>
      <c r="R137" s="55">
        <v>1</v>
      </c>
      <c r="T137" s="61">
        <f>SUM(C137/B137)</f>
        <v>0.36957676642465026</v>
      </c>
      <c r="U137" s="61">
        <f>SUM(D137/B137)</f>
        <v>0.34779528953426597</v>
      </c>
      <c r="V137" s="61">
        <f>SUM(E137/B137)</f>
        <v>0</v>
      </c>
      <c r="W137" s="105">
        <f t="shared" si="58"/>
        <v>0</v>
      </c>
      <c r="X137" s="61">
        <f>SUM(G137/B137)</f>
        <v>0.11581370639277493</v>
      </c>
      <c r="Y137" s="61">
        <f>SUM(H137/B137)</f>
        <v>0</v>
      </c>
      <c r="Z137" s="61">
        <f>SUM(I137/B137)</f>
        <v>0.16681423764830883</v>
      </c>
    </row>
    <row r="138" spans="1:26">
      <c r="A138" s="56" t="s">
        <v>304</v>
      </c>
      <c r="B138" s="54">
        <f>SUM(C138:I138)</f>
        <v>8126</v>
      </c>
      <c r="C138" s="55">
        <v>2776</v>
      </c>
      <c r="D138" s="55">
        <v>2737</v>
      </c>
      <c r="E138" s="55">
        <v>0</v>
      </c>
      <c r="F138" s="55">
        <v>0</v>
      </c>
      <c r="G138" s="55">
        <v>1554</v>
      </c>
      <c r="H138" s="55">
        <v>0</v>
      </c>
      <c r="I138" s="55">
        <v>1059</v>
      </c>
      <c r="K138" s="54">
        <f>SUM(L138:R138)</f>
        <v>5</v>
      </c>
      <c r="L138" s="55">
        <v>2</v>
      </c>
      <c r="M138" s="55">
        <v>1</v>
      </c>
      <c r="N138" s="55">
        <v>0</v>
      </c>
      <c r="O138" s="55">
        <v>0</v>
      </c>
      <c r="P138" s="55">
        <v>1</v>
      </c>
      <c r="Q138" s="55">
        <v>0</v>
      </c>
      <c r="R138" s="55">
        <v>1</v>
      </c>
      <c r="T138" s="61">
        <f>SUM(C138/B138)</f>
        <v>0.34161949298547872</v>
      </c>
      <c r="U138" s="61">
        <f>SUM(D138/B138)</f>
        <v>0.33682008368200839</v>
      </c>
      <c r="V138" s="61">
        <f>SUM(E138/B138)</f>
        <v>0</v>
      </c>
      <c r="W138" s="105">
        <f t="shared" si="58"/>
        <v>0</v>
      </c>
      <c r="X138" s="61">
        <f>SUM(G138/B138)</f>
        <v>0.19123800147674133</v>
      </c>
      <c r="Y138" s="61">
        <f>SUM(H138/B138)</f>
        <v>0</v>
      </c>
      <c r="Z138" s="61">
        <f>SUM(I138/B138)</f>
        <v>0.13032242185577159</v>
      </c>
    </row>
    <row r="139" spans="1:26">
      <c r="A139" s="56" t="s">
        <v>305</v>
      </c>
      <c r="B139" s="54">
        <f>SUM(C139:I139)</f>
        <v>7846</v>
      </c>
      <c r="C139" s="55">
        <v>2029</v>
      </c>
      <c r="D139" s="55">
        <v>2926</v>
      </c>
      <c r="E139" s="55">
        <v>0</v>
      </c>
      <c r="F139" s="55">
        <v>0</v>
      </c>
      <c r="G139" s="55">
        <v>1376</v>
      </c>
      <c r="H139" s="55">
        <v>0</v>
      </c>
      <c r="I139" s="55">
        <v>1515</v>
      </c>
      <c r="K139" s="54">
        <f>SUM(L139:R139)</f>
        <v>5</v>
      </c>
      <c r="L139" s="55">
        <v>2</v>
      </c>
      <c r="M139" s="55">
        <v>1</v>
      </c>
      <c r="N139" s="55">
        <v>0</v>
      </c>
      <c r="O139" s="55">
        <v>0</v>
      </c>
      <c r="P139" s="55">
        <v>1</v>
      </c>
      <c r="Q139" s="55">
        <v>0</v>
      </c>
      <c r="R139" s="55">
        <v>1</v>
      </c>
      <c r="T139" s="61">
        <f>SUM(C139/B139)</f>
        <v>0.25860310986489932</v>
      </c>
      <c r="U139" s="61">
        <f>SUM(D139/B139)</f>
        <v>0.37292888095845017</v>
      </c>
      <c r="V139" s="61">
        <f>SUM(E139/B139)</f>
        <v>0</v>
      </c>
      <c r="W139" s="105">
        <f t="shared" si="58"/>
        <v>0</v>
      </c>
      <c r="X139" s="61">
        <f>SUM(G139/B139)</f>
        <v>0.17537598776446597</v>
      </c>
      <c r="Y139" s="61">
        <f>SUM(H139/B139)</f>
        <v>0</v>
      </c>
      <c r="Z139" s="61">
        <f>SUM(I139/B139)</f>
        <v>0.19309202141218454</v>
      </c>
    </row>
    <row r="140" spans="1:26" s="52" customFormat="1">
      <c r="A140" s="53" t="s">
        <v>1644</v>
      </c>
      <c r="B140" s="54">
        <f>SUM(B136:B139)</f>
        <v>26733</v>
      </c>
      <c r="C140" s="54">
        <f t="shared" ref="C140:N140" si="59">SUM(C136:C139)</f>
        <v>9210</v>
      </c>
      <c r="D140" s="54">
        <f>SUM(D136:D139)</f>
        <v>9275</v>
      </c>
      <c r="E140" s="54">
        <f t="shared" si="59"/>
        <v>0</v>
      </c>
      <c r="F140" s="54">
        <f>SUM(F136:F139)</f>
        <v>0</v>
      </c>
      <c r="G140" s="54">
        <f>SUM(G136:G139)</f>
        <v>4134</v>
      </c>
      <c r="H140" s="54">
        <f>SUM(H136:H139)</f>
        <v>0</v>
      </c>
      <c r="I140" s="54">
        <f>SUM(I136:I139)</f>
        <v>4114</v>
      </c>
      <c r="J140" s="54"/>
      <c r="K140" s="54">
        <f t="shared" si="59"/>
        <v>21</v>
      </c>
      <c r="L140" s="54">
        <f t="shared" si="59"/>
        <v>9</v>
      </c>
      <c r="M140" s="54">
        <f t="shared" si="59"/>
        <v>5</v>
      </c>
      <c r="N140" s="54">
        <f t="shared" si="59"/>
        <v>0</v>
      </c>
      <c r="O140" s="54">
        <f>SUM(O136:O139)</f>
        <v>0</v>
      </c>
      <c r="P140" s="54">
        <f>SUM(P136:P139)</f>
        <v>3</v>
      </c>
      <c r="Q140" s="54">
        <f>SUM(Q136:Q139)</f>
        <v>0</v>
      </c>
      <c r="R140" s="54">
        <f>SUM(R136:R139)</f>
        <v>4</v>
      </c>
      <c r="T140" s="60">
        <f>SUM(C140/B140)</f>
        <v>0.34451801144652677</v>
      </c>
      <c r="U140" s="60">
        <f>SUM(D140/B140)</f>
        <v>0.34694946321026449</v>
      </c>
      <c r="V140" s="60">
        <f>SUM(E140/B140)</f>
        <v>0</v>
      </c>
      <c r="W140" s="60">
        <f t="shared" si="58"/>
        <v>0</v>
      </c>
      <c r="X140" s="60">
        <f>SUM(G140/B140)</f>
        <v>0.15464033217371786</v>
      </c>
      <c r="Y140" s="60">
        <f>SUM(H140/B140)</f>
        <v>0</v>
      </c>
      <c r="Z140" s="60">
        <f>SUM(I140/B140)</f>
        <v>0.1538921931694909</v>
      </c>
    </row>
    <row r="141" spans="1:26">
      <c r="A141" s="53"/>
      <c r="B141" s="54"/>
      <c r="C141" s="55"/>
      <c r="D141" s="55"/>
      <c r="E141" s="55"/>
      <c r="F141" s="55"/>
      <c r="G141" s="55"/>
      <c r="H141" s="55"/>
      <c r="I141" s="55"/>
      <c r="K141" s="54"/>
      <c r="L141" s="55"/>
      <c r="M141" s="55"/>
      <c r="N141" s="55"/>
      <c r="O141" s="55"/>
      <c r="P141" s="55"/>
      <c r="Q141" s="55"/>
      <c r="R141" s="55"/>
      <c r="W141" s="105"/>
    </row>
    <row r="142" spans="1:26">
      <c r="A142" s="56" t="s">
        <v>253</v>
      </c>
      <c r="B142" s="54">
        <f t="shared" ref="B142:B149" si="60">SUM(C142:I142)</f>
        <v>18196</v>
      </c>
      <c r="C142" s="55">
        <v>6088</v>
      </c>
      <c r="D142" s="55">
        <v>7154</v>
      </c>
      <c r="E142" s="55">
        <v>1672</v>
      </c>
      <c r="F142" s="55">
        <v>0</v>
      </c>
      <c r="G142" s="55">
        <v>2205</v>
      </c>
      <c r="H142" s="55">
        <v>418</v>
      </c>
      <c r="I142" s="55">
        <v>659</v>
      </c>
      <c r="K142" s="54">
        <f t="shared" ref="K142:K149" si="61">SUM(L142:R142)</f>
        <v>7</v>
      </c>
      <c r="L142" s="55">
        <v>3</v>
      </c>
      <c r="M142" s="55">
        <v>3</v>
      </c>
      <c r="N142" s="55">
        <v>0</v>
      </c>
      <c r="O142" s="55">
        <v>0</v>
      </c>
      <c r="P142" s="55">
        <v>1</v>
      </c>
      <c r="Q142" s="55">
        <v>0</v>
      </c>
      <c r="R142" s="55">
        <v>0</v>
      </c>
      <c r="T142" s="61">
        <f t="shared" ref="T142:T150" si="62">SUM(C142/B142)</f>
        <v>0.33457902835788084</v>
      </c>
      <c r="U142" s="61">
        <f t="shared" ref="U142:U150" si="63">SUM(D142/B142)</f>
        <v>0.39316333260057157</v>
      </c>
      <c r="V142" s="61">
        <f t="shared" ref="V142:V150" si="64">SUM(E142/B142)</f>
        <v>9.1888327104858211E-2</v>
      </c>
      <c r="W142" s="105">
        <f t="shared" si="58"/>
        <v>0</v>
      </c>
      <c r="X142" s="61">
        <f t="shared" ref="X142:X150" si="65">SUM(G142/B142)</f>
        <v>0.12118047922620356</v>
      </c>
      <c r="Y142" s="61">
        <f t="shared" ref="Y142:Y150" si="66">SUM(H142/B142)</f>
        <v>2.2972081776214553E-2</v>
      </c>
      <c r="Z142" s="61">
        <f t="shared" ref="Z142:Z150" si="67">SUM(I142/B142)</f>
        <v>3.621675093427127E-2</v>
      </c>
    </row>
    <row r="143" spans="1:26">
      <c r="A143" s="56" t="s">
        <v>254</v>
      </c>
      <c r="B143" s="54">
        <f t="shared" si="60"/>
        <v>21208</v>
      </c>
      <c r="C143" s="55">
        <v>5675</v>
      </c>
      <c r="D143" s="55">
        <v>7108</v>
      </c>
      <c r="E143" s="55">
        <v>236</v>
      </c>
      <c r="F143" s="55">
        <v>0</v>
      </c>
      <c r="G143" s="55">
        <v>4880</v>
      </c>
      <c r="H143" s="55">
        <v>0</v>
      </c>
      <c r="I143" s="55">
        <v>3309</v>
      </c>
      <c r="K143" s="54">
        <f t="shared" si="61"/>
        <v>7</v>
      </c>
      <c r="L143" s="55">
        <v>2</v>
      </c>
      <c r="M143" s="55">
        <v>2</v>
      </c>
      <c r="N143" s="55">
        <v>0</v>
      </c>
      <c r="O143" s="55">
        <v>0</v>
      </c>
      <c r="P143" s="55">
        <v>2</v>
      </c>
      <c r="Q143" s="55">
        <v>0</v>
      </c>
      <c r="R143" s="55">
        <v>1</v>
      </c>
      <c r="T143" s="61">
        <f t="shared" si="62"/>
        <v>0.26758770275367788</v>
      </c>
      <c r="U143" s="61">
        <f t="shared" si="63"/>
        <v>0.33515654470011319</v>
      </c>
      <c r="V143" s="61">
        <f t="shared" si="64"/>
        <v>1.1127876273104489E-2</v>
      </c>
      <c r="W143" s="105">
        <f t="shared" si="58"/>
        <v>0</v>
      </c>
      <c r="X143" s="61">
        <f t="shared" si="65"/>
        <v>0.23010184835910977</v>
      </c>
      <c r="Y143" s="61">
        <f t="shared" si="66"/>
        <v>0</v>
      </c>
      <c r="Z143" s="61">
        <f t="shared" si="67"/>
        <v>0.15602602791399472</v>
      </c>
    </row>
    <row r="144" spans="1:26">
      <c r="A144" s="56" t="s">
        <v>255</v>
      </c>
      <c r="B144" s="54">
        <f t="shared" si="60"/>
        <v>15931</v>
      </c>
      <c r="C144" s="55">
        <v>5358</v>
      </c>
      <c r="D144" s="55">
        <v>3446</v>
      </c>
      <c r="E144" s="55">
        <v>1501</v>
      </c>
      <c r="F144" s="55">
        <v>0</v>
      </c>
      <c r="G144" s="55">
        <v>4564</v>
      </c>
      <c r="H144" s="55">
        <v>530</v>
      </c>
      <c r="I144" s="55">
        <v>532</v>
      </c>
      <c r="K144" s="54">
        <f t="shared" si="61"/>
        <v>6</v>
      </c>
      <c r="L144" s="55">
        <v>2</v>
      </c>
      <c r="M144" s="55">
        <v>2</v>
      </c>
      <c r="N144" s="55">
        <v>0</v>
      </c>
      <c r="O144" s="55">
        <v>0</v>
      </c>
      <c r="P144" s="55">
        <v>2</v>
      </c>
      <c r="Q144" s="55">
        <v>0</v>
      </c>
      <c r="R144" s="55">
        <v>0</v>
      </c>
      <c r="T144" s="61">
        <f t="shared" si="62"/>
        <v>0.33632540330173877</v>
      </c>
      <c r="U144" s="61">
        <f t="shared" si="63"/>
        <v>0.21630782750612015</v>
      </c>
      <c r="V144" s="61">
        <f t="shared" si="64"/>
        <v>9.4218818655451633E-2</v>
      </c>
      <c r="W144" s="105">
        <f t="shared" si="58"/>
        <v>0</v>
      </c>
      <c r="X144" s="61">
        <f t="shared" si="65"/>
        <v>0.28648546858326535</v>
      </c>
      <c r="Y144" s="61">
        <f t="shared" si="66"/>
        <v>3.3268470278074197E-2</v>
      </c>
      <c r="Z144" s="61">
        <f t="shared" si="67"/>
        <v>3.3394011675349944E-2</v>
      </c>
    </row>
    <row r="145" spans="1:26">
      <c r="A145" s="56" t="s">
        <v>256</v>
      </c>
      <c r="B145" s="54">
        <f t="shared" si="60"/>
        <v>16376</v>
      </c>
      <c r="C145" s="55">
        <v>538</v>
      </c>
      <c r="D145" s="55">
        <v>0</v>
      </c>
      <c r="E145" s="55">
        <v>7343</v>
      </c>
      <c r="F145" s="55">
        <v>0</v>
      </c>
      <c r="G145" s="55">
        <v>862</v>
      </c>
      <c r="H145" s="55">
        <v>1563</v>
      </c>
      <c r="I145" s="55">
        <v>6070</v>
      </c>
      <c r="K145" s="54">
        <f t="shared" si="61"/>
        <v>6</v>
      </c>
      <c r="L145" s="55">
        <v>0</v>
      </c>
      <c r="M145" s="55">
        <v>0</v>
      </c>
      <c r="N145" s="55">
        <v>3</v>
      </c>
      <c r="O145" s="55">
        <v>0</v>
      </c>
      <c r="P145" s="55">
        <v>0</v>
      </c>
      <c r="Q145" s="55">
        <v>0</v>
      </c>
      <c r="R145" s="55">
        <v>3</v>
      </c>
      <c r="T145" s="61">
        <f t="shared" si="62"/>
        <v>3.2852955544699559E-2</v>
      </c>
      <c r="U145" s="61">
        <f t="shared" si="63"/>
        <v>0</v>
      </c>
      <c r="V145" s="61">
        <f t="shared" si="64"/>
        <v>0.448400097703957</v>
      </c>
      <c r="W145" s="105">
        <f t="shared" si="58"/>
        <v>0</v>
      </c>
      <c r="X145" s="61">
        <f t="shared" si="65"/>
        <v>5.2638006839276989E-2</v>
      </c>
      <c r="Y145" s="61">
        <f t="shared" si="66"/>
        <v>9.5444553004396679E-2</v>
      </c>
      <c r="Z145" s="61">
        <f t="shared" si="67"/>
        <v>0.37066438690766979</v>
      </c>
    </row>
    <row r="146" spans="1:26">
      <c r="A146" s="56" t="s">
        <v>257</v>
      </c>
      <c r="B146" s="54">
        <f t="shared" si="60"/>
        <v>17457</v>
      </c>
      <c r="C146" s="55">
        <v>3858</v>
      </c>
      <c r="D146" s="55">
        <v>6131</v>
      </c>
      <c r="E146" s="55">
        <v>618</v>
      </c>
      <c r="F146" s="55">
        <v>0</v>
      </c>
      <c r="G146" s="55">
        <v>1011</v>
      </c>
      <c r="H146" s="55">
        <v>177</v>
      </c>
      <c r="I146" s="55">
        <v>5662</v>
      </c>
      <c r="K146" s="54">
        <f t="shared" si="61"/>
        <v>6</v>
      </c>
      <c r="L146" s="55">
        <v>2</v>
      </c>
      <c r="M146" s="55">
        <v>2</v>
      </c>
      <c r="N146" s="55">
        <v>0</v>
      </c>
      <c r="O146" s="55">
        <v>0</v>
      </c>
      <c r="P146" s="55">
        <v>0</v>
      </c>
      <c r="Q146" s="55">
        <v>0</v>
      </c>
      <c r="R146" s="55">
        <v>2</v>
      </c>
      <c r="T146" s="61">
        <f t="shared" si="62"/>
        <v>0.22100017185083348</v>
      </c>
      <c r="U146" s="61">
        <f t="shared" si="63"/>
        <v>0.35120582001489375</v>
      </c>
      <c r="V146" s="61">
        <f t="shared" si="64"/>
        <v>3.5401271696167726E-2</v>
      </c>
      <c r="W146" s="105">
        <f t="shared" si="58"/>
        <v>0</v>
      </c>
      <c r="X146" s="61">
        <f t="shared" si="65"/>
        <v>5.7913730881594773E-2</v>
      </c>
      <c r="Y146" s="61">
        <f t="shared" si="66"/>
        <v>1.0139199175116E-2</v>
      </c>
      <c r="Z146" s="61">
        <f t="shared" si="67"/>
        <v>0.32433980638139426</v>
      </c>
    </row>
    <row r="147" spans="1:26">
      <c r="A147" s="56" t="s">
        <v>258</v>
      </c>
      <c r="B147" s="54">
        <f t="shared" si="60"/>
        <v>10748</v>
      </c>
      <c r="C147" s="55">
        <v>1978</v>
      </c>
      <c r="D147" s="55">
        <v>2837</v>
      </c>
      <c r="E147" s="55">
        <v>2233</v>
      </c>
      <c r="F147" s="55">
        <v>0</v>
      </c>
      <c r="G147" s="55">
        <v>1059</v>
      </c>
      <c r="H147" s="55">
        <v>1002</v>
      </c>
      <c r="I147" s="55">
        <v>1639</v>
      </c>
      <c r="K147" s="54">
        <f t="shared" si="61"/>
        <v>6</v>
      </c>
      <c r="L147" s="55">
        <v>1</v>
      </c>
      <c r="M147" s="55">
        <v>2</v>
      </c>
      <c r="N147" s="55">
        <v>1</v>
      </c>
      <c r="O147" s="55">
        <v>0</v>
      </c>
      <c r="P147" s="55">
        <v>1</v>
      </c>
      <c r="Q147" s="55">
        <v>0</v>
      </c>
      <c r="R147" s="55">
        <v>1</v>
      </c>
      <c r="T147" s="61">
        <f t="shared" si="62"/>
        <v>0.18403423892817269</v>
      </c>
      <c r="U147" s="61">
        <f t="shared" si="63"/>
        <v>0.26395608485299593</v>
      </c>
      <c r="V147" s="61">
        <f t="shared" si="64"/>
        <v>0.20775958317826573</v>
      </c>
      <c r="W147" s="105">
        <f t="shared" si="58"/>
        <v>0</v>
      </c>
      <c r="X147" s="61">
        <f t="shared" si="65"/>
        <v>9.8529959062151104E-2</v>
      </c>
      <c r="Y147" s="61">
        <f t="shared" si="66"/>
        <v>9.3226646818012654E-2</v>
      </c>
      <c r="Z147" s="61">
        <f t="shared" si="67"/>
        <v>0.15249348716040192</v>
      </c>
    </row>
    <row r="148" spans="1:26">
      <c r="A148" s="56" t="s">
        <v>259</v>
      </c>
      <c r="B148" s="54">
        <f t="shared" si="60"/>
        <v>9962</v>
      </c>
      <c r="C148" s="55">
        <v>1768</v>
      </c>
      <c r="D148" s="55">
        <v>2468</v>
      </c>
      <c r="E148" s="55">
        <v>749</v>
      </c>
      <c r="F148" s="55">
        <v>0</v>
      </c>
      <c r="G148" s="55">
        <v>313</v>
      </c>
      <c r="H148" s="55">
        <v>750</v>
      </c>
      <c r="I148" s="55">
        <v>3914</v>
      </c>
      <c r="K148" s="54">
        <f t="shared" si="61"/>
        <v>6</v>
      </c>
      <c r="L148" s="55">
        <v>1</v>
      </c>
      <c r="M148" s="55">
        <v>2</v>
      </c>
      <c r="N148" s="55">
        <v>1</v>
      </c>
      <c r="O148" s="55">
        <v>0</v>
      </c>
      <c r="P148" s="55">
        <v>0</v>
      </c>
      <c r="Q148" s="55">
        <v>0</v>
      </c>
      <c r="R148" s="55">
        <v>2</v>
      </c>
      <c r="T148" s="61">
        <f t="shared" si="62"/>
        <v>0.17747440273037543</v>
      </c>
      <c r="U148" s="61">
        <f t="shared" si="63"/>
        <v>0.24774141738606706</v>
      </c>
      <c r="V148" s="61">
        <f t="shared" si="64"/>
        <v>7.518570568159004E-2</v>
      </c>
      <c r="W148" s="105">
        <f t="shared" si="58"/>
        <v>0</v>
      </c>
      <c r="X148" s="61">
        <f t="shared" si="65"/>
        <v>3.1419393696044969E-2</v>
      </c>
      <c r="Y148" s="61">
        <f t="shared" si="66"/>
        <v>7.5286087131098176E-2</v>
      </c>
      <c r="Z148" s="61">
        <f t="shared" si="67"/>
        <v>0.39289299337482431</v>
      </c>
    </row>
    <row r="149" spans="1:26">
      <c r="A149" s="56" t="s">
        <v>260</v>
      </c>
      <c r="B149" s="54">
        <f t="shared" si="60"/>
        <v>19760</v>
      </c>
      <c r="C149" s="55">
        <v>5422</v>
      </c>
      <c r="D149" s="55">
        <v>4289</v>
      </c>
      <c r="E149" s="55">
        <v>3875</v>
      </c>
      <c r="F149" s="55">
        <v>0</v>
      </c>
      <c r="G149" s="55">
        <v>2270</v>
      </c>
      <c r="H149" s="55">
        <v>553</v>
      </c>
      <c r="I149" s="55">
        <v>3351</v>
      </c>
      <c r="J149" s="55"/>
      <c r="K149" s="54">
        <f t="shared" si="61"/>
        <v>7</v>
      </c>
      <c r="L149" s="55">
        <v>2</v>
      </c>
      <c r="M149" s="55">
        <v>2</v>
      </c>
      <c r="N149" s="55">
        <v>1</v>
      </c>
      <c r="O149" s="55">
        <v>0</v>
      </c>
      <c r="P149" s="55">
        <v>1</v>
      </c>
      <c r="Q149" s="55">
        <v>0</v>
      </c>
      <c r="R149" s="55">
        <v>1</v>
      </c>
      <c r="T149" s="61">
        <f t="shared" si="62"/>
        <v>0.27439271255060727</v>
      </c>
      <c r="U149" s="61">
        <f t="shared" si="63"/>
        <v>0.21705465587044534</v>
      </c>
      <c r="V149" s="61">
        <f t="shared" si="64"/>
        <v>0.19610323886639677</v>
      </c>
      <c r="W149" s="105">
        <f t="shared" si="58"/>
        <v>0</v>
      </c>
      <c r="X149" s="61">
        <f t="shared" si="65"/>
        <v>0.11487854251012146</v>
      </c>
      <c r="Y149" s="61">
        <f t="shared" si="66"/>
        <v>2.798582995951417E-2</v>
      </c>
      <c r="Z149" s="61">
        <f t="shared" si="67"/>
        <v>0.16958502024291497</v>
      </c>
    </row>
    <row r="150" spans="1:26" s="52" customFormat="1">
      <c r="A150" s="53" t="s">
        <v>1654</v>
      </c>
      <c r="B150" s="54">
        <f t="shared" ref="B150:I150" si="68">SUM(B142:B149)</f>
        <v>129638</v>
      </c>
      <c r="C150" s="54">
        <f t="shared" si="68"/>
        <v>30685</v>
      </c>
      <c r="D150" s="54">
        <f t="shared" si="68"/>
        <v>33433</v>
      </c>
      <c r="E150" s="54">
        <f t="shared" si="68"/>
        <v>18227</v>
      </c>
      <c r="F150" s="54">
        <f t="shared" si="68"/>
        <v>0</v>
      </c>
      <c r="G150" s="54">
        <f t="shared" si="68"/>
        <v>17164</v>
      </c>
      <c r="H150" s="54">
        <f t="shared" si="68"/>
        <v>4993</v>
      </c>
      <c r="I150" s="54">
        <f t="shared" si="68"/>
        <v>25136</v>
      </c>
      <c r="J150" s="54"/>
      <c r="K150" s="54">
        <f t="shared" ref="K150:R150" si="69">SUM(K142:K149)</f>
        <v>51</v>
      </c>
      <c r="L150" s="54">
        <f t="shared" si="69"/>
        <v>13</v>
      </c>
      <c r="M150" s="54">
        <f t="shared" si="69"/>
        <v>15</v>
      </c>
      <c r="N150" s="54">
        <f t="shared" si="69"/>
        <v>6</v>
      </c>
      <c r="O150" s="54">
        <f t="shared" si="69"/>
        <v>0</v>
      </c>
      <c r="P150" s="54">
        <f t="shared" si="69"/>
        <v>7</v>
      </c>
      <c r="Q150" s="54">
        <f t="shared" si="69"/>
        <v>0</v>
      </c>
      <c r="R150" s="54">
        <f t="shared" si="69"/>
        <v>10</v>
      </c>
      <c r="T150" s="60">
        <f t="shared" si="62"/>
        <v>0.2366975732424135</v>
      </c>
      <c r="U150" s="60">
        <f t="shared" si="63"/>
        <v>0.25789506163316311</v>
      </c>
      <c r="V150" s="60">
        <f t="shared" si="64"/>
        <v>0.14059920702263226</v>
      </c>
      <c r="W150" s="60">
        <f t="shared" si="58"/>
        <v>0</v>
      </c>
      <c r="X150" s="60">
        <f t="shared" si="65"/>
        <v>0.13239945077832116</v>
      </c>
      <c r="Y150" s="60">
        <f t="shared" si="66"/>
        <v>3.851494160662769E-2</v>
      </c>
      <c r="Z150" s="60">
        <f t="shared" si="67"/>
        <v>0.19389376571684228</v>
      </c>
    </row>
    <row r="151" spans="1:26">
      <c r="A151" s="53"/>
      <c r="B151" s="54"/>
      <c r="C151" s="55"/>
      <c r="D151" s="55"/>
      <c r="E151" s="55"/>
      <c r="F151" s="55"/>
      <c r="G151" s="55"/>
      <c r="H151" s="55"/>
      <c r="I151" s="55"/>
      <c r="K151" s="54"/>
      <c r="L151" s="55"/>
      <c r="M151" s="55"/>
      <c r="N151" s="55"/>
      <c r="O151" s="55"/>
      <c r="P151" s="55"/>
      <c r="Q151" s="55"/>
      <c r="R151" s="55"/>
      <c r="W151" s="60"/>
    </row>
    <row r="152" spans="1:26" s="52" customFormat="1">
      <c r="A152" s="53" t="s">
        <v>1255</v>
      </c>
      <c r="B152" s="54">
        <f t="shared" ref="B152:I152" si="70">SUM(B150+B140+B134+B129+B124+B119+B114+B108+B103+B98+B92+B87+B80+B75+B71+B65+B57+B51+B46+B41+B34+B29+B24+B18+B13+B7)</f>
        <v>664902</v>
      </c>
      <c r="C152" s="54">
        <f t="shared" si="70"/>
        <v>175365</v>
      </c>
      <c r="D152" s="54">
        <f t="shared" si="70"/>
        <v>176816</v>
      </c>
      <c r="E152" s="54">
        <f t="shared" si="70"/>
        <v>116487</v>
      </c>
      <c r="F152" s="54">
        <f t="shared" si="70"/>
        <v>23861</v>
      </c>
      <c r="G152" s="54">
        <f t="shared" si="70"/>
        <v>59219</v>
      </c>
      <c r="H152" s="54">
        <f t="shared" si="70"/>
        <v>11862</v>
      </c>
      <c r="I152" s="54">
        <f t="shared" si="70"/>
        <v>101292</v>
      </c>
      <c r="J152" s="54"/>
      <c r="K152" s="54">
        <f t="shared" ref="K152:R152" si="71">SUM(K150+K140+K134+K129+K124+K119+K114+K108+K103+K98+K92+K87+K80+K75+K71+K65+K57+K51+K46+K41+K34+K29+K24+K18+K13+K7)</f>
        <v>526</v>
      </c>
      <c r="L152" s="54">
        <f t="shared" si="71"/>
        <v>154</v>
      </c>
      <c r="M152" s="54">
        <f t="shared" si="71"/>
        <v>139</v>
      </c>
      <c r="N152" s="54">
        <f t="shared" si="71"/>
        <v>104</v>
      </c>
      <c r="O152" s="54">
        <f t="shared" si="71"/>
        <v>19</v>
      </c>
      <c r="P152" s="54">
        <f t="shared" si="71"/>
        <v>38</v>
      </c>
      <c r="Q152" s="54">
        <f t="shared" si="71"/>
        <v>3</v>
      </c>
      <c r="R152" s="54">
        <f t="shared" si="71"/>
        <v>69</v>
      </c>
      <c r="T152" s="60">
        <f>SUM(C152/B152)</f>
        <v>0.26374563469503776</v>
      </c>
      <c r="U152" s="60">
        <f>SUM(D152/B152)</f>
        <v>0.26592791118089582</v>
      </c>
      <c r="V152" s="60">
        <f>SUM(E152/B152)</f>
        <v>0.17519423915103277</v>
      </c>
      <c r="W152" s="60">
        <f t="shared" si="58"/>
        <v>3.5886491543114622E-2</v>
      </c>
      <c r="X152" s="60">
        <f>SUM(G152/B152)</f>
        <v>8.9064253077897199E-2</v>
      </c>
      <c r="Y152" s="60">
        <f>SUM(H152/B152)</f>
        <v>1.7840223070467526E-2</v>
      </c>
      <c r="Z152" s="60">
        <f>SUM(I152/B152)</f>
        <v>0.15234124728155427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42.xml><?xml version="1.0" encoding="utf-8"?>
<worksheet xmlns="http://schemas.openxmlformats.org/spreadsheetml/2006/main" xmlns:r="http://schemas.openxmlformats.org/officeDocument/2006/relationships">
  <sheetPr codeName="Sheet32"/>
  <dimension ref="A1:Z152"/>
  <sheetViews>
    <sheetView workbookViewId="0">
      <pane ySplit="1" topLeftCell="A2" activePane="bottomLeft" state="frozen"/>
      <selection pane="bottomLeft" activeCell="J151" sqref="J151"/>
    </sheetView>
  </sheetViews>
  <sheetFormatPr defaultRowHeight="15"/>
  <cols>
    <col min="1" max="1" width="23.5703125" style="47" customWidth="1"/>
    <col min="2" max="2" width="8.7109375" style="47" customWidth="1"/>
    <col min="3" max="3" width="8.85546875" customWidth="1"/>
    <col min="4" max="4" width="7.7109375" customWidth="1"/>
    <col min="6" max="6" width="7.7109375" customWidth="1"/>
    <col min="7" max="8" width="7.85546875" customWidth="1"/>
    <col min="9" max="9" width="7.7109375" customWidth="1"/>
    <col min="10" max="10" width="0.85546875" customWidth="1"/>
    <col min="11" max="11" width="6.7109375" style="47" customWidth="1"/>
    <col min="12" max="15" width="5.42578125" customWidth="1"/>
    <col min="16" max="17" width="5.28515625" customWidth="1"/>
    <col min="18" max="18" width="5.42578125" customWidth="1"/>
    <col min="19" max="19" width="0.85546875" customWidth="1"/>
    <col min="20" max="26" width="7.7109375" style="61" customWidth="1"/>
  </cols>
  <sheetData>
    <row r="1" spans="1:26">
      <c r="A1" s="47" t="s">
        <v>1528</v>
      </c>
      <c r="B1" s="47" t="s">
        <v>1248</v>
      </c>
      <c r="C1" s="49" t="s">
        <v>2206</v>
      </c>
      <c r="D1" s="50" t="s">
        <v>1258</v>
      </c>
      <c r="E1" s="48" t="s">
        <v>1261</v>
      </c>
      <c r="F1" s="66" t="s">
        <v>1529</v>
      </c>
      <c r="G1" s="82" t="s">
        <v>2230</v>
      </c>
      <c r="H1" s="73" t="s">
        <v>2444</v>
      </c>
      <c r="I1" s="52" t="s">
        <v>1254</v>
      </c>
      <c r="J1" s="47"/>
      <c r="K1" s="47" t="s">
        <v>1250</v>
      </c>
      <c r="L1" s="49" t="s">
        <v>2206</v>
      </c>
      <c r="M1" s="50" t="s">
        <v>1258</v>
      </c>
      <c r="N1" s="48" t="s">
        <v>1261</v>
      </c>
      <c r="O1" s="66" t="s">
        <v>1269</v>
      </c>
      <c r="P1" s="82" t="s">
        <v>2230</v>
      </c>
      <c r="Q1" s="73" t="s">
        <v>2444</v>
      </c>
      <c r="R1" s="52" t="s">
        <v>1254</v>
      </c>
      <c r="T1" s="49" t="s">
        <v>2206</v>
      </c>
      <c r="U1" s="50" t="s">
        <v>1258</v>
      </c>
      <c r="V1" s="48" t="s">
        <v>1261</v>
      </c>
      <c r="W1" s="66" t="s">
        <v>1529</v>
      </c>
      <c r="X1" s="82" t="s">
        <v>2230</v>
      </c>
      <c r="Y1" s="73" t="s">
        <v>2444</v>
      </c>
      <c r="Z1" s="60" t="s">
        <v>1254</v>
      </c>
    </row>
    <row r="2" spans="1:26">
      <c r="A2" s="56" t="s">
        <v>801</v>
      </c>
      <c r="B2" s="54">
        <f>SUM(C2:I2)</f>
        <v>6413</v>
      </c>
      <c r="C2" s="55">
        <v>1945</v>
      </c>
      <c r="D2" s="55">
        <v>0</v>
      </c>
      <c r="E2" s="55">
        <v>1497</v>
      </c>
      <c r="F2" s="55">
        <v>0</v>
      </c>
      <c r="G2" s="55">
        <v>0</v>
      </c>
      <c r="H2" s="55">
        <v>0</v>
      </c>
      <c r="I2" s="55">
        <v>2971</v>
      </c>
      <c r="K2" s="54">
        <f>SUM(L2:R2)</f>
        <v>4</v>
      </c>
      <c r="L2" s="55">
        <v>1</v>
      </c>
      <c r="M2" s="55">
        <v>0</v>
      </c>
      <c r="N2" s="55">
        <v>1</v>
      </c>
      <c r="O2" s="55">
        <v>0</v>
      </c>
      <c r="P2" s="55">
        <v>0</v>
      </c>
      <c r="Q2" s="55">
        <v>0</v>
      </c>
      <c r="R2" s="55">
        <v>2</v>
      </c>
      <c r="T2" s="61">
        <f t="shared" ref="T2:T7" si="0">SUM(C2/B2)</f>
        <v>0.3032901917979105</v>
      </c>
      <c r="U2" s="61">
        <f t="shared" ref="U2:U7" si="1">SUM(D2/B2)</f>
        <v>0</v>
      </c>
      <c r="V2" s="61">
        <f t="shared" ref="V2:V7" si="2">SUM(E2/B2)</f>
        <v>0.23343209106502416</v>
      </c>
      <c r="W2" s="61">
        <f t="shared" ref="W2:W7" si="3">SUM(F2/B2)</f>
        <v>0</v>
      </c>
      <c r="X2" s="61">
        <f t="shared" ref="X2:X7" si="4">SUM(G2/B2)</f>
        <v>0</v>
      </c>
      <c r="Y2" s="61">
        <f t="shared" ref="Y2:Y7" si="5">SUM(H2/B2)</f>
        <v>0</v>
      </c>
      <c r="Z2" s="61">
        <f t="shared" ref="Z2:Z7" si="6">SUM(I2/B2)</f>
        <v>0.46327771713706534</v>
      </c>
    </row>
    <row r="3" spans="1:26">
      <c r="A3" s="56" t="s">
        <v>802</v>
      </c>
      <c r="B3" s="54">
        <f>SUM(C3:I3)</f>
        <v>5442</v>
      </c>
      <c r="C3" s="55">
        <v>2389</v>
      </c>
      <c r="D3" s="55">
        <v>0</v>
      </c>
      <c r="E3" s="55">
        <v>963</v>
      </c>
      <c r="F3" s="55">
        <v>119</v>
      </c>
      <c r="G3" s="55">
        <v>1081</v>
      </c>
      <c r="H3" s="55">
        <v>0</v>
      </c>
      <c r="I3" s="55">
        <v>890</v>
      </c>
      <c r="K3" s="54">
        <f>SUM(L3:R3)</f>
        <v>4</v>
      </c>
      <c r="L3" s="55">
        <v>2</v>
      </c>
      <c r="M3" s="55">
        <v>0</v>
      </c>
      <c r="N3" s="55">
        <v>1</v>
      </c>
      <c r="O3" s="55">
        <v>0</v>
      </c>
      <c r="P3" s="55">
        <v>1</v>
      </c>
      <c r="Q3" s="55">
        <v>0</v>
      </c>
      <c r="R3" s="55">
        <v>0</v>
      </c>
      <c r="T3" s="61">
        <f t="shared" si="0"/>
        <v>0.43899301727306139</v>
      </c>
      <c r="U3" s="61">
        <f t="shared" si="1"/>
        <v>0</v>
      </c>
      <c r="V3" s="61">
        <f t="shared" si="2"/>
        <v>0.17695700110253584</v>
      </c>
      <c r="W3" s="61">
        <f t="shared" si="3"/>
        <v>2.1866960676221976E-2</v>
      </c>
      <c r="X3" s="61">
        <f t="shared" si="4"/>
        <v>0.19864020580668873</v>
      </c>
      <c r="Y3" s="61">
        <f t="shared" si="5"/>
        <v>0</v>
      </c>
      <c r="Z3" s="61">
        <f t="shared" si="6"/>
        <v>0.1635428151414921</v>
      </c>
    </row>
    <row r="4" spans="1:26">
      <c r="A4" s="56" t="s">
        <v>803</v>
      </c>
      <c r="B4" s="54">
        <f>SUM(C4:I4)</f>
        <v>6008</v>
      </c>
      <c r="C4" s="55">
        <v>1323</v>
      </c>
      <c r="D4" s="55">
        <v>0</v>
      </c>
      <c r="E4" s="55">
        <v>947</v>
      </c>
      <c r="F4" s="55">
        <v>0</v>
      </c>
      <c r="G4" s="55">
        <v>875</v>
      </c>
      <c r="H4" s="55">
        <v>0</v>
      </c>
      <c r="I4" s="55">
        <v>2863</v>
      </c>
      <c r="K4" s="54">
        <f>SUM(L4:R4)</f>
        <v>4</v>
      </c>
      <c r="L4" s="55">
        <v>1</v>
      </c>
      <c r="M4" s="55">
        <v>0</v>
      </c>
      <c r="N4" s="55">
        <v>1</v>
      </c>
      <c r="O4" s="55">
        <v>0</v>
      </c>
      <c r="P4" s="55">
        <v>0</v>
      </c>
      <c r="Q4" s="55">
        <v>0</v>
      </c>
      <c r="R4" s="55">
        <v>2</v>
      </c>
      <c r="T4" s="61">
        <f t="shared" si="0"/>
        <v>0.22020639147802928</v>
      </c>
      <c r="U4" s="61">
        <f t="shared" si="1"/>
        <v>0</v>
      </c>
      <c r="V4" s="61">
        <f t="shared" si="2"/>
        <v>0.1576231691078562</v>
      </c>
      <c r="W4" s="61">
        <f>SUM(F4/B4)</f>
        <v>0</v>
      </c>
      <c r="X4" s="61">
        <f t="shared" si="4"/>
        <v>0.14563914780292941</v>
      </c>
      <c r="Y4" s="61">
        <f t="shared" si="5"/>
        <v>0</v>
      </c>
      <c r="Z4" s="61">
        <f t="shared" si="6"/>
        <v>0.47653129161118507</v>
      </c>
    </row>
    <row r="5" spans="1:26">
      <c r="A5" s="56" t="s">
        <v>804</v>
      </c>
      <c r="B5" s="54">
        <f>SUM(C5:I5)</f>
        <v>6074</v>
      </c>
      <c r="C5" s="55">
        <v>1789</v>
      </c>
      <c r="D5" s="55">
        <v>0</v>
      </c>
      <c r="E5" s="55">
        <v>2296</v>
      </c>
      <c r="F5" s="55">
        <v>136</v>
      </c>
      <c r="G5" s="55">
        <v>1358</v>
      </c>
      <c r="H5" s="55">
        <v>0</v>
      </c>
      <c r="I5" s="55">
        <v>495</v>
      </c>
      <c r="K5" s="54">
        <f>SUM(L5:R5)</f>
        <v>4</v>
      </c>
      <c r="L5" s="55">
        <v>1</v>
      </c>
      <c r="M5" s="55">
        <v>0</v>
      </c>
      <c r="N5" s="55">
        <v>2</v>
      </c>
      <c r="O5" s="55">
        <v>0</v>
      </c>
      <c r="P5" s="55">
        <v>1</v>
      </c>
      <c r="Q5" s="55">
        <v>0</v>
      </c>
      <c r="R5" s="55">
        <v>0</v>
      </c>
      <c r="T5" s="61">
        <f t="shared" si="0"/>
        <v>0.29453407968389861</v>
      </c>
      <c r="U5" s="61">
        <f t="shared" si="1"/>
        <v>0</v>
      </c>
      <c r="V5" s="61">
        <f t="shared" si="2"/>
        <v>0.37800460981231476</v>
      </c>
      <c r="W5" s="61">
        <f t="shared" si="3"/>
        <v>2.2390516957523872E-2</v>
      </c>
      <c r="X5" s="61">
        <f t="shared" si="4"/>
        <v>0.22357589726703983</v>
      </c>
      <c r="Y5" s="61">
        <f t="shared" si="5"/>
        <v>0</v>
      </c>
      <c r="Z5" s="61">
        <f t="shared" si="6"/>
        <v>8.149489627922292E-2</v>
      </c>
    </row>
    <row r="6" spans="1:26">
      <c r="A6" s="56" t="s">
        <v>805</v>
      </c>
      <c r="B6" s="54">
        <f>SUM(C6:I6)</f>
        <v>5456</v>
      </c>
      <c r="C6" s="55">
        <v>1358</v>
      </c>
      <c r="D6" s="55">
        <v>0</v>
      </c>
      <c r="E6" s="55">
        <v>1689</v>
      </c>
      <c r="F6" s="55">
        <v>292</v>
      </c>
      <c r="G6" s="55">
        <v>915</v>
      </c>
      <c r="H6" s="55">
        <v>0</v>
      </c>
      <c r="I6" s="55">
        <v>1202</v>
      </c>
      <c r="J6" s="55"/>
      <c r="K6" s="54">
        <f>SUM(L6:R6)</f>
        <v>4</v>
      </c>
      <c r="L6" s="55">
        <v>1</v>
      </c>
      <c r="M6" s="55">
        <v>0</v>
      </c>
      <c r="N6" s="55">
        <v>2</v>
      </c>
      <c r="O6" s="55">
        <v>0</v>
      </c>
      <c r="P6" s="55">
        <v>1</v>
      </c>
      <c r="Q6" s="55">
        <v>0</v>
      </c>
      <c r="R6" s="55">
        <v>0</v>
      </c>
      <c r="T6" s="61">
        <f t="shared" si="0"/>
        <v>0.24890029325513197</v>
      </c>
      <c r="U6" s="61">
        <f t="shared" si="1"/>
        <v>0</v>
      </c>
      <c r="V6" s="61">
        <f t="shared" si="2"/>
        <v>0.30956744868035191</v>
      </c>
      <c r="W6" s="61">
        <f t="shared" si="3"/>
        <v>5.3519061583577714E-2</v>
      </c>
      <c r="X6" s="61">
        <f t="shared" si="4"/>
        <v>0.16770527859237536</v>
      </c>
      <c r="Y6" s="61">
        <f t="shared" si="5"/>
        <v>0</v>
      </c>
      <c r="Z6" s="61">
        <f t="shared" si="6"/>
        <v>0.22030791788856305</v>
      </c>
    </row>
    <row r="7" spans="1:26" s="52" customFormat="1">
      <c r="A7" s="53" t="s">
        <v>1532</v>
      </c>
      <c r="B7" s="54">
        <f>SUM(B2:B6)</f>
        <v>29393</v>
      </c>
      <c r="C7" s="54">
        <f t="shared" ref="C7:N7" si="7">SUM(C2:C6)</f>
        <v>8804</v>
      </c>
      <c r="D7" s="54">
        <f>SUM(D2:D6)</f>
        <v>0</v>
      </c>
      <c r="E7" s="54">
        <f t="shared" si="7"/>
        <v>7392</v>
      </c>
      <c r="F7" s="54">
        <f>SUM(F2:F6)</f>
        <v>547</v>
      </c>
      <c r="G7" s="54">
        <f>SUM(G2:G6)</f>
        <v>4229</v>
      </c>
      <c r="H7" s="54">
        <f>SUM(H2:H6)</f>
        <v>0</v>
      </c>
      <c r="I7" s="54">
        <f>SUM(I2:I6)</f>
        <v>8421</v>
      </c>
      <c r="J7" s="54"/>
      <c r="K7" s="54">
        <f t="shared" si="7"/>
        <v>20</v>
      </c>
      <c r="L7" s="54">
        <f t="shared" si="7"/>
        <v>6</v>
      </c>
      <c r="M7" s="54">
        <f t="shared" si="7"/>
        <v>0</v>
      </c>
      <c r="N7" s="54">
        <f t="shared" si="7"/>
        <v>7</v>
      </c>
      <c r="O7" s="54">
        <f>SUM(O2:O6)</f>
        <v>0</v>
      </c>
      <c r="P7" s="54">
        <f>SUM(P2:P6)</f>
        <v>3</v>
      </c>
      <c r="Q7" s="54">
        <f>SUM(Q2:Q6)</f>
        <v>0</v>
      </c>
      <c r="R7" s="54">
        <f>SUM(R2:R6)</f>
        <v>4</v>
      </c>
      <c r="T7" s="60">
        <f t="shared" si="0"/>
        <v>0.29952709828870822</v>
      </c>
      <c r="U7" s="60">
        <f t="shared" si="1"/>
        <v>0</v>
      </c>
      <c r="V7" s="60">
        <f t="shared" si="2"/>
        <v>0.25148844963086447</v>
      </c>
      <c r="W7" s="60">
        <f t="shared" si="3"/>
        <v>1.8609873099037187E-2</v>
      </c>
      <c r="X7" s="60">
        <f t="shared" si="4"/>
        <v>0.14387779403259279</v>
      </c>
      <c r="Y7" s="60">
        <f t="shared" si="5"/>
        <v>0</v>
      </c>
      <c r="Z7" s="60">
        <f t="shared" si="6"/>
        <v>0.28649678494879732</v>
      </c>
    </row>
    <row r="8" spans="1:26">
      <c r="A8" s="53"/>
      <c r="B8" s="54"/>
      <c r="C8" s="55"/>
      <c r="D8" s="55"/>
      <c r="E8" s="55"/>
      <c r="F8" s="55"/>
      <c r="G8" s="55"/>
      <c r="H8" s="55"/>
      <c r="I8" s="55"/>
      <c r="K8" s="54"/>
      <c r="L8" s="55"/>
      <c r="M8" s="55"/>
      <c r="N8" s="55"/>
      <c r="O8" s="55"/>
      <c r="P8" s="55"/>
      <c r="Q8" s="55"/>
      <c r="R8" s="55"/>
    </row>
    <row r="9" spans="1:26">
      <c r="A9" s="56" t="s">
        <v>228</v>
      </c>
      <c r="B9" s="54">
        <f>SUM(C9:I9)</f>
        <v>5229</v>
      </c>
      <c r="C9" s="55">
        <v>2083</v>
      </c>
      <c r="D9" s="55">
        <v>0</v>
      </c>
      <c r="E9" s="55">
        <v>1731</v>
      </c>
      <c r="F9" s="55">
        <v>498</v>
      </c>
      <c r="G9" s="55">
        <v>0</v>
      </c>
      <c r="H9" s="55">
        <v>0</v>
      </c>
      <c r="I9" s="55">
        <v>917</v>
      </c>
      <c r="K9" s="54">
        <f>SUM(L9:R9)</f>
        <v>5</v>
      </c>
      <c r="L9" s="55">
        <v>2</v>
      </c>
      <c r="M9" s="55">
        <v>0</v>
      </c>
      <c r="N9" s="55">
        <v>2</v>
      </c>
      <c r="O9" s="55">
        <v>0</v>
      </c>
      <c r="P9" s="55">
        <v>0</v>
      </c>
      <c r="Q9" s="55">
        <v>0</v>
      </c>
      <c r="R9" s="55">
        <v>1</v>
      </c>
      <c r="T9" s="61">
        <f>SUM(C9/B9)</f>
        <v>0.39835532606616941</v>
      </c>
      <c r="U9" s="61">
        <f>SUM(D9/B9)</f>
        <v>0</v>
      </c>
      <c r="V9" s="61">
        <f>SUM(E9/B9)</f>
        <v>0.33103843947217443</v>
      </c>
      <c r="W9" s="61">
        <f>SUM(F9/B9)</f>
        <v>9.5238095238095233E-2</v>
      </c>
      <c r="X9" s="61">
        <f>SUM(G9/B9)</f>
        <v>0</v>
      </c>
      <c r="Y9" s="61">
        <f>SUM(H9/B9)</f>
        <v>0</v>
      </c>
      <c r="Z9" s="61">
        <f>SUM(I9/B9)</f>
        <v>0.1753681392235609</v>
      </c>
    </row>
    <row r="10" spans="1:26">
      <c r="A10" s="56" t="s">
        <v>229</v>
      </c>
      <c r="B10" s="54">
        <f>SUM(C10:I10)</f>
        <v>3958</v>
      </c>
      <c r="C10" s="55">
        <v>1693</v>
      </c>
      <c r="D10" s="55">
        <v>0</v>
      </c>
      <c r="E10" s="55">
        <v>676</v>
      </c>
      <c r="F10" s="55">
        <v>852</v>
      </c>
      <c r="G10" s="55">
        <v>0</v>
      </c>
      <c r="H10" s="55">
        <v>0</v>
      </c>
      <c r="I10" s="55">
        <v>737</v>
      </c>
      <c r="K10" s="54">
        <f>SUM(L10:R10)</f>
        <v>4</v>
      </c>
      <c r="L10" s="55">
        <v>2</v>
      </c>
      <c r="M10" s="55">
        <v>0</v>
      </c>
      <c r="N10" s="55">
        <v>0</v>
      </c>
      <c r="O10" s="55">
        <v>1</v>
      </c>
      <c r="P10" s="55">
        <v>0</v>
      </c>
      <c r="Q10" s="55">
        <v>0</v>
      </c>
      <c r="R10" s="55">
        <v>1</v>
      </c>
      <c r="T10" s="61">
        <f>SUM(C10/B10)</f>
        <v>0.42774128347650331</v>
      </c>
      <c r="U10" s="61">
        <f>SUM(D10/B10)</f>
        <v>0</v>
      </c>
      <c r="V10" s="61">
        <f>SUM(E10/B10)</f>
        <v>0.17079332996462859</v>
      </c>
      <c r="W10" s="61">
        <f>SUM(F10/B10)</f>
        <v>0.21526023244062659</v>
      </c>
      <c r="X10" s="61">
        <f t="shared" ref="X10:X73" si="8">SUM(G10/B10)</f>
        <v>0</v>
      </c>
      <c r="Y10" s="61">
        <f>SUM(H10/B10)</f>
        <v>0</v>
      </c>
      <c r="Z10" s="61">
        <f>SUM(I10/B10)</f>
        <v>0.18620515411824154</v>
      </c>
    </row>
    <row r="11" spans="1:26">
      <c r="A11" s="56" t="s">
        <v>230</v>
      </c>
      <c r="B11" s="54">
        <f>SUM(C11:I11)</f>
        <v>6130</v>
      </c>
      <c r="C11" s="55">
        <v>2265</v>
      </c>
      <c r="D11" s="55">
        <v>0</v>
      </c>
      <c r="E11" s="55">
        <v>2561</v>
      </c>
      <c r="F11" s="55">
        <v>1304</v>
      </c>
      <c r="G11" s="55">
        <v>0</v>
      </c>
      <c r="H11" s="55">
        <v>0</v>
      </c>
      <c r="I11" s="55">
        <v>0</v>
      </c>
      <c r="K11" s="54">
        <f>SUM(L11:R11)</f>
        <v>7</v>
      </c>
      <c r="L11" s="55">
        <v>3</v>
      </c>
      <c r="M11" s="55">
        <v>0</v>
      </c>
      <c r="N11" s="55">
        <v>3</v>
      </c>
      <c r="O11" s="55">
        <v>1</v>
      </c>
      <c r="P11" s="55">
        <v>0</v>
      </c>
      <c r="Q11" s="55">
        <v>0</v>
      </c>
      <c r="R11" s="55">
        <v>0</v>
      </c>
      <c r="T11" s="61">
        <f>SUM(C11/B11)</f>
        <v>0.36949429037520393</v>
      </c>
      <c r="U11" s="61">
        <f>SUM(D11/B11)</f>
        <v>0</v>
      </c>
      <c r="V11" s="61">
        <f>SUM(E11/B11)</f>
        <v>0.41778140293637844</v>
      </c>
      <c r="W11" s="61">
        <f>SUM(F11/B11)</f>
        <v>0.21272430668841763</v>
      </c>
      <c r="X11" s="61">
        <f t="shared" si="8"/>
        <v>0</v>
      </c>
      <c r="Y11" s="61">
        <f>SUM(H11/B11)</f>
        <v>0</v>
      </c>
      <c r="Z11" s="61">
        <f>SUM(I11/B11)</f>
        <v>0</v>
      </c>
    </row>
    <row r="12" spans="1:26">
      <c r="A12" s="56" t="s">
        <v>231</v>
      </c>
      <c r="B12" s="54">
        <f>SUM(C12:I12)</f>
        <v>3831</v>
      </c>
      <c r="C12" s="55">
        <v>857</v>
      </c>
      <c r="D12" s="55">
        <v>0</v>
      </c>
      <c r="E12" s="55">
        <v>703</v>
      </c>
      <c r="F12" s="55">
        <v>417</v>
      </c>
      <c r="G12" s="55">
        <v>0</v>
      </c>
      <c r="H12" s="55">
        <v>801</v>
      </c>
      <c r="I12" s="55">
        <v>1053</v>
      </c>
      <c r="K12" s="54">
        <f>SUM(L12:R12)</f>
        <v>4</v>
      </c>
      <c r="L12" s="55">
        <v>1</v>
      </c>
      <c r="M12" s="55">
        <v>0</v>
      </c>
      <c r="N12" s="55">
        <v>1</v>
      </c>
      <c r="O12" s="55">
        <v>1</v>
      </c>
      <c r="P12" s="55">
        <v>0</v>
      </c>
      <c r="Q12" s="55">
        <v>1</v>
      </c>
      <c r="R12" s="55">
        <v>0</v>
      </c>
      <c r="T12" s="61">
        <f>SUM(C12/B12)</f>
        <v>0.22370138345079613</v>
      </c>
      <c r="U12" s="61">
        <f>SUM(D12/B12)</f>
        <v>0</v>
      </c>
      <c r="V12" s="61">
        <f>SUM(E12/B12)</f>
        <v>0.18350300182719917</v>
      </c>
      <c r="W12" s="61">
        <f>SUM(F12/B12)</f>
        <v>0.10884886452623337</v>
      </c>
      <c r="X12" s="61">
        <f t="shared" si="8"/>
        <v>0</v>
      </c>
      <c r="Y12" s="61">
        <f>SUM(H12/B12)</f>
        <v>0.2090837901331245</v>
      </c>
      <c r="Z12" s="61">
        <f>SUM(I12/B12)</f>
        <v>0.27486296006264682</v>
      </c>
    </row>
    <row r="13" spans="1:26" s="52" customFormat="1">
      <c r="A13" s="53" t="s">
        <v>1531</v>
      </c>
      <c r="B13" s="54">
        <f>SUM(B9:B12)</f>
        <v>19148</v>
      </c>
      <c r="C13" s="54">
        <f t="shared" ref="C13:N13" si="9">SUM(C9:C12)</f>
        <v>6898</v>
      </c>
      <c r="D13" s="54">
        <f>SUM(D9:D12)</f>
        <v>0</v>
      </c>
      <c r="E13" s="54">
        <f t="shared" si="9"/>
        <v>5671</v>
      </c>
      <c r="F13" s="54">
        <f>SUM(F9:F12)</f>
        <v>3071</v>
      </c>
      <c r="G13" s="54">
        <f>SUM(G9:G12)</f>
        <v>0</v>
      </c>
      <c r="H13" s="54">
        <f>SUM(H9:H12)</f>
        <v>801</v>
      </c>
      <c r="I13" s="54">
        <f>SUM(I9:I12)</f>
        <v>2707</v>
      </c>
      <c r="J13" s="54"/>
      <c r="K13" s="54">
        <f t="shared" si="9"/>
        <v>20</v>
      </c>
      <c r="L13" s="54">
        <f t="shared" si="9"/>
        <v>8</v>
      </c>
      <c r="M13" s="54">
        <f t="shared" si="9"/>
        <v>0</v>
      </c>
      <c r="N13" s="54">
        <f t="shared" si="9"/>
        <v>6</v>
      </c>
      <c r="O13" s="54">
        <f>SUM(O9:O12)</f>
        <v>3</v>
      </c>
      <c r="P13" s="54">
        <f>SUM(P9:P12)</f>
        <v>0</v>
      </c>
      <c r="Q13" s="54">
        <f>SUM(Q9:Q12)</f>
        <v>1</v>
      </c>
      <c r="R13" s="54">
        <f>SUM(R9:R12)</f>
        <v>2</v>
      </c>
      <c r="T13" s="60">
        <f>SUM(C13/B13)</f>
        <v>0.36024650094004596</v>
      </c>
      <c r="U13" s="60">
        <f>SUM(D13/B13)</f>
        <v>0</v>
      </c>
      <c r="V13" s="60">
        <f>SUM(E13/B13)</f>
        <v>0.29616670148318364</v>
      </c>
      <c r="W13" s="60">
        <f>SUM(F13/B13)</f>
        <v>0.16038228535617297</v>
      </c>
      <c r="X13" s="60">
        <f t="shared" si="8"/>
        <v>0</v>
      </c>
      <c r="Y13" s="60">
        <f>SUM(H13/B13)</f>
        <v>4.1832045122205973E-2</v>
      </c>
      <c r="Z13" s="60">
        <f>SUM(I13/B13)</f>
        <v>0.14137246709839146</v>
      </c>
    </row>
    <row r="14" spans="1:26">
      <c r="A14" s="53"/>
      <c r="B14" s="54"/>
      <c r="C14" s="55"/>
      <c r="D14" s="55"/>
      <c r="E14" s="55"/>
      <c r="F14" s="55"/>
      <c r="G14" s="55"/>
      <c r="H14" s="55"/>
      <c r="I14" s="55"/>
      <c r="K14" s="54"/>
      <c r="L14" s="55"/>
      <c r="M14" s="55"/>
      <c r="N14" s="55"/>
      <c r="O14" s="55"/>
      <c r="P14" s="55"/>
      <c r="Q14" s="55"/>
      <c r="R14" s="55"/>
    </row>
    <row r="15" spans="1:26">
      <c r="A15" s="56" t="s">
        <v>232</v>
      </c>
      <c r="B15" s="54">
        <f>SUM(C15:I15)</f>
        <v>5760</v>
      </c>
      <c r="C15" s="55">
        <v>2069</v>
      </c>
      <c r="D15" s="55">
        <v>1047</v>
      </c>
      <c r="E15" s="55">
        <v>822</v>
      </c>
      <c r="F15" s="55">
        <v>147</v>
      </c>
      <c r="G15" s="55">
        <v>0</v>
      </c>
      <c r="H15" s="55">
        <v>0</v>
      </c>
      <c r="I15" s="55">
        <v>1675</v>
      </c>
      <c r="K15" s="54">
        <f>SUM(L15:R15)</f>
        <v>5</v>
      </c>
      <c r="L15" s="55">
        <v>2</v>
      </c>
      <c r="M15" s="55">
        <v>1</v>
      </c>
      <c r="N15" s="55">
        <v>1</v>
      </c>
      <c r="O15" s="55">
        <v>0</v>
      </c>
      <c r="P15" s="55">
        <v>0</v>
      </c>
      <c r="Q15" s="55">
        <v>0</v>
      </c>
      <c r="R15" s="55">
        <v>1</v>
      </c>
      <c r="T15" s="61">
        <f>SUM(C15/B15)</f>
        <v>0.35920138888888886</v>
      </c>
      <c r="U15" s="61">
        <f>SUM(D15/B15)</f>
        <v>0.18177083333333333</v>
      </c>
      <c r="V15" s="61">
        <f>SUM(E15/B15)</f>
        <v>0.14270833333333333</v>
      </c>
      <c r="W15" s="61">
        <f>SUM(F15/B15)</f>
        <v>2.5520833333333333E-2</v>
      </c>
      <c r="X15" s="61">
        <f t="shared" si="8"/>
        <v>0</v>
      </c>
      <c r="Y15" s="61">
        <f>SUM(H15/B15)</f>
        <v>0</v>
      </c>
      <c r="Z15" s="61">
        <f>SUM(I15/B15)</f>
        <v>0.2907986111111111</v>
      </c>
    </row>
    <row r="16" spans="1:26">
      <c r="A16" s="56" t="s">
        <v>233</v>
      </c>
      <c r="B16" s="54">
        <f>SUM(C16:I16)</f>
        <v>5633</v>
      </c>
      <c r="C16" s="55">
        <v>1959</v>
      </c>
      <c r="D16" s="55">
        <v>1237</v>
      </c>
      <c r="E16" s="55">
        <v>1543</v>
      </c>
      <c r="F16" s="55">
        <v>0</v>
      </c>
      <c r="G16" s="55">
        <v>0</v>
      </c>
      <c r="H16" s="55">
        <v>0</v>
      </c>
      <c r="I16" s="55">
        <v>894</v>
      </c>
      <c r="K16" s="54">
        <f>SUM(L16:R16)</f>
        <v>5</v>
      </c>
      <c r="L16" s="55">
        <v>2</v>
      </c>
      <c r="M16" s="55">
        <v>1</v>
      </c>
      <c r="N16" s="55">
        <v>1</v>
      </c>
      <c r="O16" s="55">
        <v>0</v>
      </c>
      <c r="P16" s="55">
        <v>0</v>
      </c>
      <c r="Q16" s="55">
        <v>0</v>
      </c>
      <c r="R16" s="55">
        <v>1</v>
      </c>
      <c r="T16" s="61">
        <f>SUM(C16/B16)</f>
        <v>0.34777205751819634</v>
      </c>
      <c r="U16" s="61">
        <f>SUM(D16/B16)</f>
        <v>0.21959879282797798</v>
      </c>
      <c r="V16" s="61">
        <f>SUM(E16/B16)</f>
        <v>0.27392153381856915</v>
      </c>
      <c r="W16" s="61">
        <f>SUM(F16/B16)</f>
        <v>0</v>
      </c>
      <c r="X16" s="61">
        <f t="shared" si="8"/>
        <v>0</v>
      </c>
      <c r="Y16" s="61">
        <f>SUM(H16/B16)</f>
        <v>0</v>
      </c>
      <c r="Z16" s="61">
        <f>SUM(I16/B16)</f>
        <v>0.15870761583525653</v>
      </c>
    </row>
    <row r="17" spans="1:26">
      <c r="A17" s="56" t="s">
        <v>234</v>
      </c>
      <c r="B17" s="54">
        <f>SUM(C17:I17)</f>
        <v>5453</v>
      </c>
      <c r="C17" s="55">
        <v>939</v>
      </c>
      <c r="D17" s="55">
        <v>0</v>
      </c>
      <c r="E17" s="55">
        <v>2774</v>
      </c>
      <c r="F17" s="55">
        <v>363</v>
      </c>
      <c r="G17" s="55">
        <v>0</v>
      </c>
      <c r="H17" s="55">
        <v>384</v>
      </c>
      <c r="I17" s="55">
        <v>993</v>
      </c>
      <c r="K17" s="54">
        <f>SUM(L17:R17)</f>
        <v>5</v>
      </c>
      <c r="L17" s="55">
        <v>1</v>
      </c>
      <c r="M17" s="55">
        <v>0</v>
      </c>
      <c r="N17" s="55">
        <v>3</v>
      </c>
      <c r="O17" s="55">
        <v>0</v>
      </c>
      <c r="P17" s="55">
        <v>0</v>
      </c>
      <c r="Q17" s="55">
        <v>0</v>
      </c>
      <c r="R17" s="55">
        <v>1</v>
      </c>
      <c r="T17" s="61">
        <f>SUM(C17/B17)</f>
        <v>0.1721987896570695</v>
      </c>
      <c r="U17" s="61">
        <f>SUM(D17/B17)</f>
        <v>0</v>
      </c>
      <c r="V17" s="61">
        <f>SUM(E17/B17)</f>
        <v>0.50871080139372826</v>
      </c>
      <c r="W17" s="61">
        <f>SUM(F17/B17)</f>
        <v>6.6568861177333571E-2</v>
      </c>
      <c r="X17" s="61">
        <f t="shared" si="8"/>
        <v>0</v>
      </c>
      <c r="Y17" s="61">
        <f>SUM(H17/B17)</f>
        <v>7.0419952319823953E-2</v>
      </c>
      <c r="Z17" s="61">
        <f>SUM(I17/B17)</f>
        <v>0.18210159545204474</v>
      </c>
    </row>
    <row r="18" spans="1:26" s="52" customFormat="1">
      <c r="A18" s="53" t="s">
        <v>1533</v>
      </c>
      <c r="B18" s="54">
        <f>SUM(B15:B17)</f>
        <v>16846</v>
      </c>
      <c r="C18" s="54">
        <f t="shared" ref="C18:N18" si="10">SUM(C15:C17)</f>
        <v>4967</v>
      </c>
      <c r="D18" s="54">
        <f>SUM(D15:D17)</f>
        <v>2284</v>
      </c>
      <c r="E18" s="54">
        <f t="shared" si="10"/>
        <v>5139</v>
      </c>
      <c r="F18" s="54">
        <f>SUM(F15:F17)</f>
        <v>510</v>
      </c>
      <c r="G18" s="54">
        <f>SUM(G15:G17)</f>
        <v>0</v>
      </c>
      <c r="H18" s="54">
        <f>SUM(H15:H17)</f>
        <v>384</v>
      </c>
      <c r="I18" s="54">
        <f>SUM(I15:I17)</f>
        <v>3562</v>
      </c>
      <c r="J18" s="54"/>
      <c r="K18" s="54">
        <f t="shared" si="10"/>
        <v>15</v>
      </c>
      <c r="L18" s="54">
        <f t="shared" si="10"/>
        <v>5</v>
      </c>
      <c r="M18" s="54">
        <f t="shared" si="10"/>
        <v>2</v>
      </c>
      <c r="N18" s="54">
        <f t="shared" si="10"/>
        <v>5</v>
      </c>
      <c r="O18" s="54">
        <f>SUM(O15:O17)</f>
        <v>0</v>
      </c>
      <c r="P18" s="54">
        <f>SUM(P15:P17)</f>
        <v>0</v>
      </c>
      <c r="Q18" s="54">
        <f>SUM(Q15:Q17)</f>
        <v>0</v>
      </c>
      <c r="R18" s="54">
        <f>SUM(R15:R17)</f>
        <v>3</v>
      </c>
      <c r="T18" s="60">
        <f>SUM(C18/B18)</f>
        <v>0.29484744152914638</v>
      </c>
      <c r="U18" s="60">
        <f>SUM(D18/B18)</f>
        <v>0.13558114685978867</v>
      </c>
      <c r="V18" s="60">
        <f>SUM(E18/B18)</f>
        <v>0.30505758043452452</v>
      </c>
      <c r="W18" s="60">
        <f>SUM(F18/B18)</f>
        <v>3.0274249079900274E-2</v>
      </c>
      <c r="X18" s="60">
        <f t="shared" si="8"/>
        <v>0</v>
      </c>
      <c r="Y18" s="60">
        <f>SUM(H18/B18)</f>
        <v>2.2794728718983734E-2</v>
      </c>
      <c r="Z18" s="60">
        <f>SUM(I18/B18)</f>
        <v>0.21144485337765642</v>
      </c>
    </row>
    <row r="19" spans="1:26">
      <c r="A19" s="53"/>
      <c r="B19" s="54"/>
      <c r="C19" s="55"/>
      <c r="D19" s="55"/>
      <c r="E19" s="55"/>
      <c r="F19" s="55"/>
      <c r="G19" s="55"/>
      <c r="H19" s="55"/>
      <c r="I19" s="55"/>
      <c r="K19" s="54"/>
      <c r="L19" s="55"/>
      <c r="M19" s="55"/>
      <c r="N19" s="55"/>
      <c r="O19" s="55"/>
      <c r="P19" s="55"/>
      <c r="Q19" s="55"/>
      <c r="R19" s="55"/>
    </row>
    <row r="20" spans="1:26">
      <c r="A20" s="56" t="s">
        <v>235</v>
      </c>
      <c r="B20" s="54">
        <f>SUM(C20:I20)</f>
        <v>5232</v>
      </c>
      <c r="C20" s="55">
        <v>1801</v>
      </c>
      <c r="D20" s="55">
        <v>511</v>
      </c>
      <c r="E20" s="55">
        <v>1582</v>
      </c>
      <c r="F20" s="55">
        <v>0</v>
      </c>
      <c r="G20" s="55">
        <v>401</v>
      </c>
      <c r="H20" s="55">
        <v>0</v>
      </c>
      <c r="I20" s="55">
        <v>937</v>
      </c>
      <c r="K20" s="54">
        <f>SUM(L20:R20)</f>
        <v>5</v>
      </c>
      <c r="L20" s="55">
        <v>2</v>
      </c>
      <c r="M20" s="55">
        <v>1</v>
      </c>
      <c r="N20" s="106">
        <v>2</v>
      </c>
      <c r="O20" s="55">
        <v>0</v>
      </c>
      <c r="P20" s="55">
        <v>0</v>
      </c>
      <c r="Q20" s="55">
        <v>0</v>
      </c>
      <c r="R20" s="55">
        <v>0</v>
      </c>
      <c r="T20" s="61">
        <f>SUM(C20/B20)</f>
        <v>0.34422782874617736</v>
      </c>
      <c r="U20" s="61">
        <f>SUM(D20/B20)</f>
        <v>9.7668195718654441E-2</v>
      </c>
      <c r="V20" s="61">
        <f>SUM(E20/B20)</f>
        <v>0.30237003058103973</v>
      </c>
      <c r="W20" s="61">
        <f>SUM(F20/B20)</f>
        <v>0</v>
      </c>
      <c r="X20" s="61">
        <f t="shared" si="8"/>
        <v>7.6643730886850156E-2</v>
      </c>
      <c r="Y20" s="61">
        <f>SUM(H20/B20)</f>
        <v>0</v>
      </c>
      <c r="Z20" s="61">
        <f>SUM(I20/B20)</f>
        <v>0.17909021406727829</v>
      </c>
    </row>
    <row r="21" spans="1:26">
      <c r="A21" s="56" t="s">
        <v>236</v>
      </c>
      <c r="B21" s="54">
        <f>SUM(C21:I21)</f>
        <v>5996</v>
      </c>
      <c r="C21" s="55">
        <v>1314</v>
      </c>
      <c r="D21" s="55">
        <v>0</v>
      </c>
      <c r="E21" s="55">
        <v>1591</v>
      </c>
      <c r="F21" s="55">
        <v>116</v>
      </c>
      <c r="G21" s="55">
        <v>0</v>
      </c>
      <c r="H21" s="55">
        <v>509</v>
      </c>
      <c r="I21" s="55">
        <v>2466</v>
      </c>
      <c r="K21" s="54">
        <f>SUM(L21:R21)</f>
        <v>5</v>
      </c>
      <c r="L21" s="55">
        <v>1</v>
      </c>
      <c r="M21" s="55">
        <v>0</v>
      </c>
      <c r="N21" s="55">
        <v>2</v>
      </c>
      <c r="O21" s="55">
        <v>0</v>
      </c>
      <c r="P21" s="55">
        <v>0</v>
      </c>
      <c r="Q21" s="55">
        <v>0</v>
      </c>
      <c r="R21" s="55">
        <v>2</v>
      </c>
      <c r="T21" s="61">
        <f>SUM(C21/B21)</f>
        <v>0.21914609739826552</v>
      </c>
      <c r="U21" s="61">
        <f>SUM(D21/B21)</f>
        <v>0</v>
      </c>
      <c r="V21" s="61">
        <f>SUM(E21/B21)</f>
        <v>0.26534356237491663</v>
      </c>
      <c r="W21" s="61">
        <f>SUM(F21/B21)</f>
        <v>1.9346230820547032E-2</v>
      </c>
      <c r="X21" s="61">
        <f t="shared" si="8"/>
        <v>0</v>
      </c>
      <c r="Y21" s="61">
        <f>SUM(H21/B21)</f>
        <v>8.4889926617745165E-2</v>
      </c>
      <c r="Z21" s="61">
        <f>SUM(I21/B21)</f>
        <v>0.41127418278852568</v>
      </c>
    </row>
    <row r="22" spans="1:26">
      <c r="A22" s="56" t="s">
        <v>237</v>
      </c>
      <c r="B22" s="54">
        <f>SUM(C22:I22)</f>
        <v>5353</v>
      </c>
      <c r="C22" s="55">
        <v>3807</v>
      </c>
      <c r="D22" s="55">
        <v>0</v>
      </c>
      <c r="E22" s="55">
        <v>1275</v>
      </c>
      <c r="F22" s="55">
        <v>0</v>
      </c>
      <c r="G22" s="55">
        <v>0</v>
      </c>
      <c r="H22" s="55">
        <v>0</v>
      </c>
      <c r="I22" s="55">
        <v>271</v>
      </c>
      <c r="K22" s="54">
        <f>SUM(L22:R22)</f>
        <v>5</v>
      </c>
      <c r="L22" s="55">
        <v>4</v>
      </c>
      <c r="M22" s="55">
        <v>0</v>
      </c>
      <c r="N22" s="55">
        <v>1</v>
      </c>
      <c r="O22" s="55">
        <v>0</v>
      </c>
      <c r="P22" s="55">
        <v>0</v>
      </c>
      <c r="Q22" s="55">
        <v>0</v>
      </c>
      <c r="R22" s="55">
        <v>0</v>
      </c>
      <c r="T22" s="61">
        <f>SUM(C22/B22)</f>
        <v>0.71118998692322066</v>
      </c>
      <c r="U22" s="61">
        <f>SUM(D22/B22)</f>
        <v>0</v>
      </c>
      <c r="V22" s="61">
        <f>SUM(E22/B22)</f>
        <v>0.23818419577806837</v>
      </c>
      <c r="W22" s="61">
        <f>SUM(F22/B22)</f>
        <v>0</v>
      </c>
      <c r="X22" s="61">
        <f t="shared" si="8"/>
        <v>0</v>
      </c>
      <c r="Y22" s="61">
        <f>SUM(H22/B22)</f>
        <v>0</v>
      </c>
      <c r="Z22" s="61">
        <f>SUM(I22/B22)</f>
        <v>5.0625817298711004E-2</v>
      </c>
    </row>
    <row r="23" spans="1:26">
      <c r="A23" s="56" t="s">
        <v>238</v>
      </c>
      <c r="B23" s="54">
        <f>SUM(C23:I23)</f>
        <v>5560</v>
      </c>
      <c r="C23" s="55">
        <v>1515</v>
      </c>
      <c r="D23" s="55">
        <v>832</v>
      </c>
      <c r="E23" s="55">
        <v>974</v>
      </c>
      <c r="F23" s="55">
        <v>257</v>
      </c>
      <c r="G23" s="55">
        <v>0</v>
      </c>
      <c r="H23" s="55">
        <v>108</v>
      </c>
      <c r="I23" s="55">
        <v>1874</v>
      </c>
      <c r="K23" s="54">
        <f>SUM(L23:R23)</f>
        <v>5</v>
      </c>
      <c r="L23" s="55">
        <v>1</v>
      </c>
      <c r="M23" s="55">
        <v>1</v>
      </c>
      <c r="N23" s="55">
        <v>1</v>
      </c>
      <c r="O23" s="55">
        <v>0</v>
      </c>
      <c r="P23" s="55">
        <v>0</v>
      </c>
      <c r="Q23" s="55">
        <v>0</v>
      </c>
      <c r="R23" s="55">
        <v>2</v>
      </c>
      <c r="T23" s="61">
        <f>SUM(C23/B23)</f>
        <v>0.27248201438848924</v>
      </c>
      <c r="U23" s="61">
        <f>SUM(D23/B23)</f>
        <v>0.14964028776978416</v>
      </c>
      <c r="V23" s="61">
        <f>SUM(E23/B23)</f>
        <v>0.17517985611510792</v>
      </c>
      <c r="W23" s="61">
        <f>SUM(F23/B23)</f>
        <v>4.6223021582733816E-2</v>
      </c>
      <c r="X23" s="61">
        <f t="shared" si="8"/>
        <v>0</v>
      </c>
      <c r="Y23" s="61">
        <f>SUM(H23/B23)</f>
        <v>1.9424460431654675E-2</v>
      </c>
      <c r="Z23" s="61">
        <f>SUM(I23/B23)</f>
        <v>0.33705035971223024</v>
      </c>
    </row>
    <row r="24" spans="1:26" s="52" customFormat="1">
      <c r="A24" s="53" t="s">
        <v>1546</v>
      </c>
      <c r="B24" s="54">
        <f>SUM(B20:B23)</f>
        <v>22141</v>
      </c>
      <c r="C24" s="54">
        <f t="shared" ref="C24:N24" si="11">SUM(C20:C23)</f>
        <v>8437</v>
      </c>
      <c r="D24" s="54">
        <f>SUM(D20:D23)</f>
        <v>1343</v>
      </c>
      <c r="E24" s="54">
        <f t="shared" si="11"/>
        <v>5422</v>
      </c>
      <c r="F24" s="54">
        <f>SUM(F20:F23)</f>
        <v>373</v>
      </c>
      <c r="G24" s="54">
        <f>SUM(G20:G23)</f>
        <v>401</v>
      </c>
      <c r="H24" s="54">
        <f>SUM(H20:H23)</f>
        <v>617</v>
      </c>
      <c r="I24" s="54">
        <f>SUM(I20:I23)</f>
        <v>5548</v>
      </c>
      <c r="J24" s="54"/>
      <c r="K24" s="54">
        <f t="shared" si="11"/>
        <v>20</v>
      </c>
      <c r="L24" s="54">
        <f t="shared" si="11"/>
        <v>8</v>
      </c>
      <c r="M24" s="54">
        <f t="shared" si="11"/>
        <v>2</v>
      </c>
      <c r="N24" s="54">
        <f t="shared" si="11"/>
        <v>6</v>
      </c>
      <c r="O24" s="54">
        <f>SUM(O20:O23)</f>
        <v>0</v>
      </c>
      <c r="P24" s="54">
        <f>SUM(P20:P23)</f>
        <v>0</v>
      </c>
      <c r="Q24" s="54">
        <f>SUM(Q20:Q23)</f>
        <v>0</v>
      </c>
      <c r="R24" s="54">
        <f>SUM(R20:R23)</f>
        <v>4</v>
      </c>
      <c r="T24" s="60">
        <f>SUM(C24/B24)</f>
        <v>0.38105776613522424</v>
      </c>
      <c r="U24" s="60">
        <f>SUM(D24/B24)</f>
        <v>6.0656700239374917E-2</v>
      </c>
      <c r="V24" s="60">
        <f>SUM(E24/B24)</f>
        <v>0.24488505487557022</v>
      </c>
      <c r="W24" s="60">
        <f>SUM(F24/B24)</f>
        <v>1.6846574228806286E-2</v>
      </c>
      <c r="X24" s="60">
        <f t="shared" si="8"/>
        <v>1.8111196422925795E-2</v>
      </c>
      <c r="Y24" s="60">
        <f>SUM(H24/B24)</f>
        <v>2.7866853348990559E-2</v>
      </c>
      <c r="Z24" s="60">
        <f>SUM(I24/B24)</f>
        <v>0.25057585474910798</v>
      </c>
    </row>
    <row r="25" spans="1:26">
      <c r="A25" s="53"/>
      <c r="B25" s="54"/>
      <c r="C25" s="55"/>
      <c r="D25" s="55"/>
      <c r="E25" s="55"/>
      <c r="F25" s="55"/>
      <c r="G25" s="55"/>
      <c r="H25" s="55"/>
      <c r="I25" s="55"/>
      <c r="K25" s="54"/>
      <c r="L25" s="55"/>
      <c r="M25" s="55"/>
      <c r="N25" s="55"/>
      <c r="O25" s="55"/>
      <c r="P25" s="55"/>
      <c r="Q25" s="55"/>
      <c r="R25" s="55"/>
    </row>
    <row r="26" spans="1:26">
      <c r="A26" s="56" t="s">
        <v>239</v>
      </c>
      <c r="B26" s="54">
        <f>SUM(C26:I26)</f>
        <v>4788</v>
      </c>
      <c r="C26" s="55">
        <v>1091</v>
      </c>
      <c r="D26" s="55">
        <v>846</v>
      </c>
      <c r="E26" s="55">
        <v>914</v>
      </c>
      <c r="F26" s="55">
        <v>108</v>
      </c>
      <c r="G26" s="55">
        <v>525</v>
      </c>
      <c r="H26" s="55">
        <v>464</v>
      </c>
      <c r="I26" s="55">
        <v>840</v>
      </c>
      <c r="K26" s="54">
        <f>SUM(L26:R26)</f>
        <v>5</v>
      </c>
      <c r="L26" s="55">
        <v>1</v>
      </c>
      <c r="M26" s="55">
        <v>1</v>
      </c>
      <c r="N26" s="55">
        <v>1</v>
      </c>
      <c r="O26" s="55">
        <v>0</v>
      </c>
      <c r="P26" s="55">
        <v>1</v>
      </c>
      <c r="Q26" s="55">
        <v>0</v>
      </c>
      <c r="R26" s="55">
        <v>1</v>
      </c>
      <c r="T26" s="61">
        <f>SUM(C26/B26)</f>
        <v>0.22786131996658313</v>
      </c>
      <c r="U26" s="61">
        <f>SUM(D26/B26)</f>
        <v>0.17669172932330826</v>
      </c>
      <c r="V26" s="61">
        <f>SUM(E26/B26)</f>
        <v>0.1908939014202172</v>
      </c>
      <c r="W26" s="61">
        <f>SUM(F26/B26)</f>
        <v>2.2556390977443608E-2</v>
      </c>
      <c r="X26" s="61">
        <f t="shared" si="8"/>
        <v>0.10964912280701754</v>
      </c>
      <c r="Y26" s="61">
        <f>SUM(H26/B26)</f>
        <v>9.6908939014202167E-2</v>
      </c>
      <c r="Z26" s="61">
        <f>SUM(I26/B26)</f>
        <v>0.17543859649122806</v>
      </c>
    </row>
    <row r="27" spans="1:26">
      <c r="A27" s="56" t="s">
        <v>240</v>
      </c>
      <c r="B27" s="54">
        <f>SUM(C27:I27)</f>
        <v>5654</v>
      </c>
      <c r="C27" s="55">
        <v>931</v>
      </c>
      <c r="D27" s="55">
        <v>0</v>
      </c>
      <c r="E27" s="55">
        <v>1998</v>
      </c>
      <c r="F27" s="55">
        <v>195</v>
      </c>
      <c r="G27" s="55">
        <v>1606</v>
      </c>
      <c r="H27" s="55">
        <v>0</v>
      </c>
      <c r="I27" s="55">
        <v>924</v>
      </c>
      <c r="K27" s="54">
        <f>SUM(L27:R27)</f>
        <v>6</v>
      </c>
      <c r="L27" s="55">
        <v>1</v>
      </c>
      <c r="M27" s="55">
        <v>0</v>
      </c>
      <c r="N27" s="55">
        <v>2</v>
      </c>
      <c r="O27" s="55">
        <v>0</v>
      </c>
      <c r="P27" s="55">
        <v>2</v>
      </c>
      <c r="Q27" s="55">
        <v>0</v>
      </c>
      <c r="R27" s="55">
        <v>1</v>
      </c>
      <c r="T27" s="61">
        <f>SUM(C27/B27)</f>
        <v>0.16466218606296426</v>
      </c>
      <c r="U27" s="61">
        <f>SUM(D27/B27)</f>
        <v>0</v>
      </c>
      <c r="V27" s="61">
        <f>SUM(E27/B27)</f>
        <v>0.35337813937035728</v>
      </c>
      <c r="W27" s="61">
        <f>SUM(F27/B27)</f>
        <v>3.4488857446055891E-2</v>
      </c>
      <c r="X27" s="61">
        <f t="shared" si="8"/>
        <v>0.28404669260700388</v>
      </c>
      <c r="Y27" s="61">
        <f>SUM(H27/B27)</f>
        <v>0</v>
      </c>
      <c r="Z27" s="61">
        <f>SUM(I27/B27)</f>
        <v>0.16342412451361868</v>
      </c>
    </row>
    <row r="28" spans="1:26">
      <c r="A28" s="56" t="s">
        <v>241</v>
      </c>
      <c r="B28" s="54">
        <f>SUM(C28:I28)</f>
        <v>3927</v>
      </c>
      <c r="C28" s="55">
        <v>2059</v>
      </c>
      <c r="D28" s="55">
        <v>0</v>
      </c>
      <c r="E28" s="55">
        <v>1425</v>
      </c>
      <c r="F28" s="55">
        <v>443</v>
      </c>
      <c r="G28" s="55">
        <v>0</v>
      </c>
      <c r="H28" s="55">
        <v>0</v>
      </c>
      <c r="I28" s="55">
        <v>0</v>
      </c>
      <c r="K28" s="54">
        <f>SUM(L28:R28)</f>
        <v>4</v>
      </c>
      <c r="L28" s="55">
        <v>2</v>
      </c>
      <c r="M28" s="55">
        <v>0</v>
      </c>
      <c r="N28" s="55">
        <v>2</v>
      </c>
      <c r="O28" s="55">
        <v>0</v>
      </c>
      <c r="P28" s="55">
        <v>0</v>
      </c>
      <c r="Q28" s="55">
        <v>0</v>
      </c>
      <c r="R28" s="55">
        <v>0</v>
      </c>
      <c r="T28" s="61">
        <f>SUM(C28/B28)</f>
        <v>0.52431881843646555</v>
      </c>
      <c r="U28" s="61">
        <f>SUM(D28/B28)</f>
        <v>0</v>
      </c>
      <c r="V28" s="61">
        <f>SUM(E28/B28)</f>
        <v>0.36287242169595113</v>
      </c>
      <c r="W28" s="61">
        <f>SUM(F28/B28)</f>
        <v>0.1128087598675834</v>
      </c>
      <c r="X28" s="61">
        <f t="shared" si="8"/>
        <v>0</v>
      </c>
      <c r="Y28" s="61">
        <f>SUM(H28/B28)</f>
        <v>0</v>
      </c>
      <c r="Z28" s="61">
        <f>SUM(I28/B28)</f>
        <v>0</v>
      </c>
    </row>
    <row r="29" spans="1:26" s="52" customFormat="1">
      <c r="A29" s="53" t="s">
        <v>1550</v>
      </c>
      <c r="B29" s="54">
        <f>SUM(B26:B28)</f>
        <v>14369</v>
      </c>
      <c r="C29" s="54">
        <f t="shared" ref="C29:N29" si="12">SUM(C26:C28)</f>
        <v>4081</v>
      </c>
      <c r="D29" s="54">
        <f>SUM(D26:D28)</f>
        <v>846</v>
      </c>
      <c r="E29" s="54">
        <f t="shared" si="12"/>
        <v>4337</v>
      </c>
      <c r="F29" s="54">
        <f>SUM(F26:F28)</f>
        <v>746</v>
      </c>
      <c r="G29" s="54">
        <f>SUM(G26:G28)</f>
        <v>2131</v>
      </c>
      <c r="H29" s="54">
        <f>SUM(H26:H28)</f>
        <v>464</v>
      </c>
      <c r="I29" s="54">
        <f>SUM(I26:I28)</f>
        <v>1764</v>
      </c>
      <c r="J29" s="54"/>
      <c r="K29" s="54">
        <f t="shared" si="12"/>
        <v>15</v>
      </c>
      <c r="L29" s="54">
        <f t="shared" si="12"/>
        <v>4</v>
      </c>
      <c r="M29" s="54">
        <f t="shared" si="12"/>
        <v>1</v>
      </c>
      <c r="N29" s="54">
        <f t="shared" si="12"/>
        <v>5</v>
      </c>
      <c r="O29" s="54">
        <f>SUM(O26:O28)</f>
        <v>0</v>
      </c>
      <c r="P29" s="54">
        <f>SUM(P26:P28)</f>
        <v>3</v>
      </c>
      <c r="Q29" s="54">
        <f>SUM(Q26:Q28)</f>
        <v>0</v>
      </c>
      <c r="R29" s="54">
        <f>SUM(R26:R28)</f>
        <v>2</v>
      </c>
      <c r="T29" s="60">
        <f>SUM(C29/B29)</f>
        <v>0.28401419723014826</v>
      </c>
      <c r="U29" s="60">
        <f>SUM(D29/B29)</f>
        <v>5.8876748555918991E-2</v>
      </c>
      <c r="V29" s="60">
        <f>SUM(E29/B29)</f>
        <v>0.30183032918087549</v>
      </c>
      <c r="W29" s="60">
        <f>SUM(F29/B29)</f>
        <v>5.1917322012666155E-2</v>
      </c>
      <c r="X29" s="60">
        <f t="shared" si="8"/>
        <v>0.14830537963671794</v>
      </c>
      <c r="Y29" s="60">
        <f>SUM(H29/B29)</f>
        <v>3.229173916069316E-2</v>
      </c>
      <c r="Z29" s="60">
        <f>SUM(I29/B29)</f>
        <v>0.12276428422298002</v>
      </c>
    </row>
    <row r="30" spans="1:26">
      <c r="A30" s="53"/>
      <c r="B30" s="54"/>
      <c r="C30" s="55"/>
      <c r="D30" s="55"/>
      <c r="E30" s="55"/>
      <c r="F30" s="55"/>
      <c r="G30" s="55"/>
      <c r="H30" s="55"/>
      <c r="I30" s="55"/>
      <c r="K30" s="54"/>
      <c r="L30" s="55"/>
      <c r="M30" s="55"/>
      <c r="N30" s="55"/>
      <c r="O30" s="55"/>
      <c r="P30" s="55"/>
      <c r="Q30" s="55"/>
      <c r="R30" s="55"/>
    </row>
    <row r="31" spans="1:26">
      <c r="A31" s="56" t="s">
        <v>242</v>
      </c>
      <c r="B31" s="54">
        <f>SUM(C31:I31)</f>
        <v>4998</v>
      </c>
      <c r="C31" s="55">
        <v>1309</v>
      </c>
      <c r="D31" s="55">
        <v>449</v>
      </c>
      <c r="E31" s="55">
        <v>2388</v>
      </c>
      <c r="F31" s="55">
        <v>0</v>
      </c>
      <c r="G31" s="55">
        <v>0</v>
      </c>
      <c r="H31" s="55">
        <v>852</v>
      </c>
      <c r="I31" s="55">
        <v>0</v>
      </c>
      <c r="K31" s="54">
        <f>SUM(L31:R31)</f>
        <v>5</v>
      </c>
      <c r="L31" s="55">
        <v>2</v>
      </c>
      <c r="M31" s="55">
        <v>0</v>
      </c>
      <c r="N31" s="55">
        <v>2</v>
      </c>
      <c r="O31" s="55">
        <v>0</v>
      </c>
      <c r="P31" s="55">
        <v>0</v>
      </c>
      <c r="Q31" s="55">
        <v>1</v>
      </c>
      <c r="R31" s="55">
        <v>0</v>
      </c>
      <c r="T31" s="61">
        <f>SUM(C31/B31)</f>
        <v>0.26190476190476192</v>
      </c>
      <c r="U31" s="61">
        <f>SUM(D31/B31)</f>
        <v>8.9835934373749496E-2</v>
      </c>
      <c r="V31" s="61">
        <f>SUM(E31/B31)</f>
        <v>0.47779111644657862</v>
      </c>
      <c r="W31" s="61">
        <f>SUM(F31/B31)</f>
        <v>0</v>
      </c>
      <c r="X31" s="61">
        <f t="shared" si="8"/>
        <v>0</v>
      </c>
      <c r="Y31" s="61">
        <f>SUM(H31/B31)</f>
        <v>0.17046818727490998</v>
      </c>
      <c r="Z31" s="61">
        <f>SUM(I31/B31)</f>
        <v>0</v>
      </c>
    </row>
    <row r="32" spans="1:26">
      <c r="A32" s="56" t="s">
        <v>243</v>
      </c>
      <c r="B32" s="54">
        <f>SUM(C32:I32)</f>
        <v>5184</v>
      </c>
      <c r="C32" s="55">
        <v>1271</v>
      </c>
      <c r="D32" s="55">
        <v>768</v>
      </c>
      <c r="E32" s="55">
        <v>1114</v>
      </c>
      <c r="F32" s="55">
        <v>185</v>
      </c>
      <c r="G32" s="55">
        <v>525</v>
      </c>
      <c r="H32" s="55">
        <v>471</v>
      </c>
      <c r="I32" s="55">
        <v>850</v>
      </c>
      <c r="K32" s="54">
        <f>SUM(L32:R32)</f>
        <v>5</v>
      </c>
      <c r="L32" s="55">
        <v>1</v>
      </c>
      <c r="M32" s="55">
        <v>1</v>
      </c>
      <c r="N32" s="55">
        <v>1</v>
      </c>
      <c r="O32" s="55">
        <v>0</v>
      </c>
      <c r="P32" s="55">
        <v>1</v>
      </c>
      <c r="Q32" s="55">
        <v>0</v>
      </c>
      <c r="R32" s="55">
        <v>1</v>
      </c>
      <c r="T32" s="61">
        <f>SUM(C32/B32)</f>
        <v>0.24517746913580246</v>
      </c>
      <c r="U32" s="61">
        <f>SUM(D32/B32)</f>
        <v>0.14814814814814814</v>
      </c>
      <c r="V32" s="61">
        <f>SUM(E32/B32)</f>
        <v>0.21489197530864199</v>
      </c>
      <c r="W32" s="61">
        <f>SUM(F32/B32)</f>
        <v>3.5686728395061727E-2</v>
      </c>
      <c r="X32" s="61">
        <f t="shared" si="8"/>
        <v>0.10127314814814815</v>
      </c>
      <c r="Y32" s="61">
        <f>SUM(H32/B32)</f>
        <v>9.0856481481481483E-2</v>
      </c>
      <c r="Z32" s="61">
        <f>SUM(I32/B32)</f>
        <v>0.16396604938271606</v>
      </c>
    </row>
    <row r="33" spans="1:26">
      <c r="A33" s="56" t="s">
        <v>244</v>
      </c>
      <c r="B33" s="54">
        <f>SUM(C33:I33)</f>
        <v>5346</v>
      </c>
      <c r="C33" s="55">
        <v>547</v>
      </c>
      <c r="D33" s="55">
        <v>1680</v>
      </c>
      <c r="E33" s="55">
        <v>1949</v>
      </c>
      <c r="F33" s="55">
        <v>542</v>
      </c>
      <c r="G33" s="55">
        <v>447</v>
      </c>
      <c r="H33" s="55">
        <v>0</v>
      </c>
      <c r="I33" s="55">
        <v>181</v>
      </c>
      <c r="K33" s="54">
        <f>SUM(L33:R33)</f>
        <v>5</v>
      </c>
      <c r="L33" s="55">
        <v>1</v>
      </c>
      <c r="M33" s="55">
        <v>2</v>
      </c>
      <c r="N33" s="55">
        <v>2</v>
      </c>
      <c r="O33" s="55">
        <v>0</v>
      </c>
      <c r="P33" s="55">
        <v>0</v>
      </c>
      <c r="Q33" s="55">
        <v>0</v>
      </c>
      <c r="R33" s="55">
        <v>0</v>
      </c>
      <c r="T33" s="61">
        <f>SUM(C33/B33)</f>
        <v>0.1023194912083801</v>
      </c>
      <c r="U33" s="61">
        <f>SUM(D33/B33)</f>
        <v>0.31425364758698093</v>
      </c>
      <c r="V33" s="61">
        <f>SUM(E33/B33)</f>
        <v>0.36457164234942013</v>
      </c>
      <c r="W33" s="61">
        <f>SUM(F33/B33)</f>
        <v>0.1013842124953236</v>
      </c>
      <c r="X33" s="61">
        <f t="shared" si="8"/>
        <v>8.3613916947250275E-2</v>
      </c>
      <c r="Y33" s="61">
        <f>SUM(H33/B33)</f>
        <v>0</v>
      </c>
      <c r="Z33" s="61">
        <f>SUM(I33/B33)</f>
        <v>3.3857089412644967E-2</v>
      </c>
    </row>
    <row r="34" spans="1:26" s="52" customFormat="1">
      <c r="A34" s="53" t="s">
        <v>1554</v>
      </c>
      <c r="B34" s="54">
        <f>SUM(B31:B33)</f>
        <v>15528</v>
      </c>
      <c r="C34" s="54">
        <f t="shared" ref="C34:N34" si="13">SUM(C31:C33)</f>
        <v>3127</v>
      </c>
      <c r="D34" s="54">
        <f>SUM(D31:D33)</f>
        <v>2897</v>
      </c>
      <c r="E34" s="54">
        <f t="shared" si="13"/>
        <v>5451</v>
      </c>
      <c r="F34" s="54">
        <f>SUM(F31:F33)</f>
        <v>727</v>
      </c>
      <c r="G34" s="54">
        <f>SUM(G31:G33)</f>
        <v>972</v>
      </c>
      <c r="H34" s="54">
        <f>SUM(H31:H33)</f>
        <v>1323</v>
      </c>
      <c r="I34" s="54">
        <f>SUM(I31:I33)</f>
        <v>1031</v>
      </c>
      <c r="J34" s="54"/>
      <c r="K34" s="54">
        <f t="shared" si="13"/>
        <v>15</v>
      </c>
      <c r="L34" s="54">
        <f t="shared" si="13"/>
        <v>4</v>
      </c>
      <c r="M34" s="54">
        <f t="shared" si="13"/>
        <v>3</v>
      </c>
      <c r="N34" s="54">
        <f t="shared" si="13"/>
        <v>5</v>
      </c>
      <c r="O34" s="54">
        <f>SUM(O31:O33)</f>
        <v>0</v>
      </c>
      <c r="P34" s="54">
        <f>SUM(P31:P33)</f>
        <v>1</v>
      </c>
      <c r="Q34" s="54">
        <f>SUM(Q31:Q33)</f>
        <v>1</v>
      </c>
      <c r="R34" s="54">
        <f>SUM(R31:R33)</f>
        <v>1</v>
      </c>
      <c r="T34" s="60">
        <f>SUM(C34/B34)</f>
        <v>0.2013781555899021</v>
      </c>
      <c r="U34" s="60">
        <f>SUM(D34/B34)</f>
        <v>0.18656620298815044</v>
      </c>
      <c r="V34" s="60">
        <f>SUM(E34/B34)</f>
        <v>0.35104327666151469</v>
      </c>
      <c r="W34" s="60">
        <f>SUM(F34/B34)</f>
        <v>4.6818650180319422E-2</v>
      </c>
      <c r="X34" s="60">
        <f t="shared" si="8"/>
        <v>6.2596599690880994E-2</v>
      </c>
      <c r="Y34" s="60">
        <f>SUM(H34/B34)</f>
        <v>8.5200927357032455E-2</v>
      </c>
      <c r="Z34" s="60">
        <f>SUM(I34/B34)</f>
        <v>6.6396187532199891E-2</v>
      </c>
    </row>
    <row r="35" spans="1:26">
      <c r="A35" s="53"/>
      <c r="B35" s="54"/>
      <c r="C35" s="55"/>
      <c r="D35" s="55"/>
      <c r="E35" s="55"/>
      <c r="F35" s="55"/>
      <c r="G35" s="55"/>
      <c r="H35" s="55"/>
      <c r="I35" s="55"/>
      <c r="K35" s="54"/>
      <c r="L35" s="55"/>
      <c r="M35" s="55"/>
      <c r="N35" s="55"/>
      <c r="O35" s="55"/>
      <c r="P35" s="55"/>
      <c r="Q35" s="55"/>
      <c r="R35" s="55"/>
    </row>
    <row r="36" spans="1:26">
      <c r="A36" s="56" t="s">
        <v>245</v>
      </c>
      <c r="B36" s="54">
        <f>SUM(C36:I36)</f>
        <v>7154</v>
      </c>
      <c r="C36" s="55">
        <v>2631</v>
      </c>
      <c r="D36" s="55">
        <v>910</v>
      </c>
      <c r="E36" s="55">
        <v>2873</v>
      </c>
      <c r="F36" s="55">
        <v>696</v>
      </c>
      <c r="G36" s="55">
        <v>0</v>
      </c>
      <c r="H36" s="55">
        <v>0</v>
      </c>
      <c r="I36" s="55">
        <v>44</v>
      </c>
      <c r="K36" s="54">
        <f>SUM(L36:R36)</f>
        <v>6</v>
      </c>
      <c r="L36" s="55">
        <v>2</v>
      </c>
      <c r="M36" s="55">
        <v>1</v>
      </c>
      <c r="N36" s="55">
        <v>3</v>
      </c>
      <c r="O36" s="55">
        <v>0</v>
      </c>
      <c r="P36" s="55">
        <v>0</v>
      </c>
      <c r="Q36" s="55">
        <v>0</v>
      </c>
      <c r="R36" s="55">
        <v>0</v>
      </c>
      <c r="T36" s="61">
        <f t="shared" ref="T36:T41" si="14">SUM(C36/B36)</f>
        <v>0.36776628459603017</v>
      </c>
      <c r="U36" s="61">
        <f t="shared" ref="U36:U41" si="15">SUM(D36/B36)</f>
        <v>0.12720156555772993</v>
      </c>
      <c r="V36" s="61">
        <f t="shared" ref="V36:V41" si="16">SUM(E36/B36)</f>
        <v>0.40159351411797595</v>
      </c>
      <c r="W36" s="61">
        <f t="shared" ref="W36:W41" si="17">SUM(F36/B36)</f>
        <v>9.7288230360637412E-2</v>
      </c>
      <c r="X36" s="61">
        <f t="shared" si="8"/>
        <v>0</v>
      </c>
      <c r="Y36" s="61">
        <f t="shared" ref="Y36:Y41" si="18">SUM(H36/B36)</f>
        <v>0</v>
      </c>
      <c r="Z36" s="61">
        <f t="shared" ref="Z36:Z41" si="19">SUM(I36/B36)</f>
        <v>6.1504053676265024E-3</v>
      </c>
    </row>
    <row r="37" spans="1:26">
      <c r="A37" s="56" t="s">
        <v>246</v>
      </c>
      <c r="B37" s="54">
        <f>SUM(C37:I37)</f>
        <v>6759</v>
      </c>
      <c r="C37" s="55">
        <v>1959</v>
      </c>
      <c r="D37" s="55">
        <v>1076</v>
      </c>
      <c r="E37" s="55">
        <v>1714</v>
      </c>
      <c r="F37" s="55">
        <v>1287</v>
      </c>
      <c r="G37" s="55">
        <v>0</v>
      </c>
      <c r="H37" s="55">
        <v>0</v>
      </c>
      <c r="I37" s="55">
        <v>723</v>
      </c>
      <c r="K37" s="54">
        <f>SUM(L37:R37)</f>
        <v>5</v>
      </c>
      <c r="L37" s="55">
        <v>2</v>
      </c>
      <c r="M37" s="55">
        <v>1</v>
      </c>
      <c r="N37" s="55">
        <v>1</v>
      </c>
      <c r="O37" s="55">
        <v>1</v>
      </c>
      <c r="P37" s="55">
        <v>0</v>
      </c>
      <c r="Q37" s="55">
        <v>0</v>
      </c>
      <c r="R37" s="55">
        <v>0</v>
      </c>
      <c r="T37" s="61">
        <f t="shared" si="14"/>
        <v>0.28983577452285841</v>
      </c>
      <c r="U37" s="61">
        <f t="shared" si="15"/>
        <v>0.1591951472111259</v>
      </c>
      <c r="V37" s="61">
        <f t="shared" si="16"/>
        <v>0.25358780884746263</v>
      </c>
      <c r="W37" s="61">
        <f t="shared" si="17"/>
        <v>0.1904127829560586</v>
      </c>
      <c r="X37" s="61">
        <f t="shared" si="8"/>
        <v>0</v>
      </c>
      <c r="Y37" s="61">
        <f t="shared" si="18"/>
        <v>0</v>
      </c>
      <c r="Z37" s="61">
        <f t="shared" si="19"/>
        <v>0.10696848646249445</v>
      </c>
    </row>
    <row r="38" spans="1:26">
      <c r="A38" s="56" t="s">
        <v>247</v>
      </c>
      <c r="B38" s="54">
        <f>SUM(C38:I38)</f>
        <v>4468</v>
      </c>
      <c r="C38" s="55">
        <v>0</v>
      </c>
      <c r="D38" s="55">
        <v>0</v>
      </c>
      <c r="E38" s="55">
        <v>2530</v>
      </c>
      <c r="F38" s="55">
        <v>298</v>
      </c>
      <c r="G38" s="55">
        <v>0</v>
      </c>
      <c r="H38" s="55">
        <v>551</v>
      </c>
      <c r="I38" s="55">
        <v>1089</v>
      </c>
      <c r="J38" s="55"/>
      <c r="K38" s="54">
        <f>SUM(L38:R38)</f>
        <v>5</v>
      </c>
      <c r="L38" s="55">
        <v>0</v>
      </c>
      <c r="M38" s="55">
        <v>0</v>
      </c>
      <c r="N38" s="55">
        <v>3</v>
      </c>
      <c r="O38" s="55">
        <v>0</v>
      </c>
      <c r="P38" s="55">
        <v>0</v>
      </c>
      <c r="Q38" s="55">
        <v>0</v>
      </c>
      <c r="R38" s="55">
        <v>2</v>
      </c>
      <c r="T38" s="61">
        <f t="shared" si="14"/>
        <v>0</v>
      </c>
      <c r="U38" s="61">
        <f t="shared" si="15"/>
        <v>0</v>
      </c>
      <c r="V38" s="61">
        <f t="shared" si="16"/>
        <v>0.5662488809310654</v>
      </c>
      <c r="W38" s="61">
        <f t="shared" si="17"/>
        <v>6.669650850492391E-2</v>
      </c>
      <c r="X38" s="61">
        <f t="shared" si="8"/>
        <v>0</v>
      </c>
      <c r="Y38" s="61">
        <f t="shared" si="18"/>
        <v>0.12332139659803044</v>
      </c>
      <c r="Z38" s="61">
        <f t="shared" si="19"/>
        <v>0.2437332139659803</v>
      </c>
    </row>
    <row r="39" spans="1:26">
      <c r="A39" s="56" t="s">
        <v>248</v>
      </c>
      <c r="B39" s="54">
        <f>SUM(C39:I39)</f>
        <v>3545</v>
      </c>
      <c r="C39" s="55">
        <v>631</v>
      </c>
      <c r="D39" s="55">
        <v>0</v>
      </c>
      <c r="E39" s="55">
        <v>1778</v>
      </c>
      <c r="F39" s="55">
        <v>265</v>
      </c>
      <c r="G39" s="55">
        <v>0</v>
      </c>
      <c r="H39" s="55">
        <v>0</v>
      </c>
      <c r="I39" s="55">
        <v>871</v>
      </c>
      <c r="K39" s="54">
        <f>SUM(L39:R39)</f>
        <v>5</v>
      </c>
      <c r="L39" s="55">
        <v>1</v>
      </c>
      <c r="M39" s="55">
        <v>0</v>
      </c>
      <c r="N39" s="55">
        <v>3</v>
      </c>
      <c r="O39" s="55">
        <v>0</v>
      </c>
      <c r="P39" s="55">
        <v>0</v>
      </c>
      <c r="Q39" s="55">
        <v>0</v>
      </c>
      <c r="R39" s="55">
        <v>1</v>
      </c>
      <c r="T39" s="61">
        <f t="shared" si="14"/>
        <v>0.17799717912552893</v>
      </c>
      <c r="U39" s="61">
        <f t="shared" si="15"/>
        <v>0</v>
      </c>
      <c r="V39" s="61">
        <f t="shared" si="16"/>
        <v>0.5015514809590973</v>
      </c>
      <c r="W39" s="61">
        <f t="shared" si="17"/>
        <v>7.4753173483779967E-2</v>
      </c>
      <c r="X39" s="61">
        <f t="shared" si="8"/>
        <v>0</v>
      </c>
      <c r="Y39" s="61">
        <f t="shared" si="18"/>
        <v>0</v>
      </c>
      <c r="Z39" s="61">
        <f t="shared" si="19"/>
        <v>0.24569816643159378</v>
      </c>
    </row>
    <row r="40" spans="1:26">
      <c r="A40" s="56" t="s">
        <v>249</v>
      </c>
      <c r="B40" s="54">
        <f>SUM(C40:I40)</f>
        <v>7691</v>
      </c>
      <c r="C40" s="55">
        <v>1748</v>
      </c>
      <c r="D40" s="55">
        <v>0</v>
      </c>
      <c r="E40" s="55">
        <v>3567</v>
      </c>
      <c r="F40" s="55">
        <v>973</v>
      </c>
      <c r="G40" s="55">
        <v>0</v>
      </c>
      <c r="H40" s="55">
        <v>0</v>
      </c>
      <c r="I40" s="55">
        <v>1403</v>
      </c>
      <c r="K40" s="54">
        <f>SUM(L40:R40)</f>
        <v>6</v>
      </c>
      <c r="L40" s="55">
        <v>1</v>
      </c>
      <c r="M40" s="55">
        <v>0</v>
      </c>
      <c r="N40" s="55">
        <v>3</v>
      </c>
      <c r="O40" s="55">
        <v>1</v>
      </c>
      <c r="P40" s="55">
        <v>0</v>
      </c>
      <c r="Q40" s="55">
        <v>0</v>
      </c>
      <c r="R40" s="55">
        <v>1</v>
      </c>
      <c r="T40" s="61">
        <f t="shared" si="14"/>
        <v>0.22727863736835263</v>
      </c>
      <c r="U40" s="61">
        <f t="shared" si="15"/>
        <v>0</v>
      </c>
      <c r="V40" s="61">
        <f t="shared" si="16"/>
        <v>0.46378884410349758</v>
      </c>
      <c r="W40" s="61">
        <f t="shared" si="17"/>
        <v>0.12651150695618255</v>
      </c>
      <c r="X40" s="61">
        <f t="shared" si="8"/>
        <v>0</v>
      </c>
      <c r="Y40" s="61">
        <f t="shared" si="18"/>
        <v>0</v>
      </c>
      <c r="Z40" s="61">
        <f t="shared" si="19"/>
        <v>0.18242101157196725</v>
      </c>
    </row>
    <row r="41" spans="1:26" s="52" customFormat="1">
      <c r="A41" s="53" t="s">
        <v>1560</v>
      </c>
      <c r="B41" s="54">
        <f>SUM(B36:B40)</f>
        <v>29617</v>
      </c>
      <c r="C41" s="54">
        <f t="shared" ref="C41:N41" si="20">SUM(C36:C40)</f>
        <v>6969</v>
      </c>
      <c r="D41" s="54">
        <f>SUM(D36:D40)</f>
        <v>1986</v>
      </c>
      <c r="E41" s="54">
        <f t="shared" si="20"/>
        <v>12462</v>
      </c>
      <c r="F41" s="54">
        <f>SUM(F36:F40)</f>
        <v>3519</v>
      </c>
      <c r="G41" s="54">
        <f>SUM(G36:G40)</f>
        <v>0</v>
      </c>
      <c r="H41" s="54">
        <f>SUM(H36:H40)</f>
        <v>551</v>
      </c>
      <c r="I41" s="54">
        <f>SUM(I36:I40)</f>
        <v>4130</v>
      </c>
      <c r="J41" s="54"/>
      <c r="K41" s="54">
        <f t="shared" si="20"/>
        <v>27</v>
      </c>
      <c r="L41" s="54">
        <f t="shared" si="20"/>
        <v>6</v>
      </c>
      <c r="M41" s="54">
        <f t="shared" si="20"/>
        <v>2</v>
      </c>
      <c r="N41" s="54">
        <f t="shared" si="20"/>
        <v>13</v>
      </c>
      <c r="O41" s="54">
        <f>SUM(O36:O40)</f>
        <v>2</v>
      </c>
      <c r="P41" s="54">
        <f>SUM(P36:P40)</f>
        <v>0</v>
      </c>
      <c r="Q41" s="54">
        <f>SUM(Q36:Q40)</f>
        <v>0</v>
      </c>
      <c r="R41" s="54">
        <f>SUM(R36:R40)</f>
        <v>4</v>
      </c>
      <c r="T41" s="60">
        <f t="shared" si="14"/>
        <v>0.23530404835060945</v>
      </c>
      <c r="U41" s="60">
        <f t="shared" si="15"/>
        <v>6.7056082655231788E-2</v>
      </c>
      <c r="V41" s="60">
        <f t="shared" si="16"/>
        <v>0.42077185400276867</v>
      </c>
      <c r="W41" s="60">
        <f t="shared" si="17"/>
        <v>0.11881689570179289</v>
      </c>
      <c r="X41" s="60">
        <f t="shared" si="8"/>
        <v>0</v>
      </c>
      <c r="Y41" s="60">
        <f t="shared" si="18"/>
        <v>1.860418003173853E-2</v>
      </c>
      <c r="Z41" s="60">
        <f t="shared" si="19"/>
        <v>0.13944693925785867</v>
      </c>
    </row>
    <row r="42" spans="1:26">
      <c r="A42" s="53"/>
      <c r="B42" s="54"/>
      <c r="C42" s="55"/>
      <c r="D42" s="55"/>
      <c r="E42" s="55"/>
      <c r="F42" s="55"/>
      <c r="G42" s="55"/>
      <c r="H42" s="55"/>
      <c r="I42" s="55"/>
      <c r="K42" s="54"/>
      <c r="L42" s="55"/>
      <c r="M42" s="55"/>
      <c r="N42" s="55"/>
      <c r="O42" s="55"/>
      <c r="P42" s="55"/>
      <c r="Q42" s="55"/>
      <c r="R42" s="55"/>
    </row>
    <row r="43" spans="1:26">
      <c r="A43" s="56" t="s">
        <v>250</v>
      </c>
      <c r="B43" s="54">
        <f>SUM(C43:I43)</f>
        <v>3727</v>
      </c>
      <c r="C43" s="55">
        <v>1231</v>
      </c>
      <c r="D43" s="55">
        <v>486</v>
      </c>
      <c r="E43" s="55">
        <v>1607</v>
      </c>
      <c r="F43" s="55">
        <v>403</v>
      </c>
      <c r="G43" s="55">
        <v>0</v>
      </c>
      <c r="H43" s="55">
        <v>0</v>
      </c>
      <c r="I43" s="55">
        <v>0</v>
      </c>
      <c r="K43" s="54">
        <f>SUM(L43:R43)</f>
        <v>6</v>
      </c>
      <c r="L43" s="55">
        <v>2</v>
      </c>
      <c r="M43" s="55">
        <v>1</v>
      </c>
      <c r="N43" s="55">
        <v>3</v>
      </c>
      <c r="O43" s="55">
        <v>0</v>
      </c>
      <c r="P43" s="55">
        <v>0</v>
      </c>
      <c r="Q43" s="55">
        <v>0</v>
      </c>
      <c r="R43" s="55">
        <v>0</v>
      </c>
      <c r="T43" s="61">
        <f>SUM(C43/B43)</f>
        <v>0.33029246042393345</v>
      </c>
      <c r="U43" s="61">
        <f>SUM(D43/B43)</f>
        <v>0.13039978535014757</v>
      </c>
      <c r="V43" s="61">
        <f>SUM(E43/B43)</f>
        <v>0.43117789106519988</v>
      </c>
      <c r="W43" s="61">
        <f>SUM(F43/B43)</f>
        <v>0.10812986316071908</v>
      </c>
      <c r="X43" s="61">
        <f t="shared" si="8"/>
        <v>0</v>
      </c>
      <c r="Y43" s="61">
        <f>SUM(H43/B43)</f>
        <v>0</v>
      </c>
      <c r="Z43" s="61">
        <f>SUM(I43/B43)</f>
        <v>0</v>
      </c>
    </row>
    <row r="44" spans="1:26">
      <c r="A44" s="56" t="s">
        <v>251</v>
      </c>
      <c r="B44" s="54">
        <f>SUM(C44:I44)</f>
        <v>3041</v>
      </c>
      <c r="C44" s="55">
        <v>1046</v>
      </c>
      <c r="D44" s="55">
        <v>378</v>
      </c>
      <c r="E44" s="55">
        <v>1004</v>
      </c>
      <c r="F44" s="55">
        <v>0</v>
      </c>
      <c r="G44" s="55">
        <v>0</v>
      </c>
      <c r="H44" s="55">
        <v>121</v>
      </c>
      <c r="I44" s="55">
        <v>492</v>
      </c>
      <c r="K44" s="54">
        <f>SUM(L44:R44)</f>
        <v>5</v>
      </c>
      <c r="L44" s="55">
        <v>2</v>
      </c>
      <c r="M44" s="55">
        <v>0</v>
      </c>
      <c r="N44" s="55">
        <v>2</v>
      </c>
      <c r="O44" s="55">
        <v>0</v>
      </c>
      <c r="P44" s="55">
        <v>0</v>
      </c>
      <c r="Q44" s="55">
        <v>0</v>
      </c>
      <c r="R44" s="55">
        <v>1</v>
      </c>
      <c r="T44" s="61">
        <f>SUM(C44/B44)</f>
        <v>0.34396580072344624</v>
      </c>
      <c r="U44" s="61">
        <f>SUM(D44/B44)</f>
        <v>0.12430121670503123</v>
      </c>
      <c r="V44" s="61">
        <f>SUM(E44/B44)</f>
        <v>0.33015455442288721</v>
      </c>
      <c r="W44" s="61">
        <f>SUM(F44/B44)</f>
        <v>0</v>
      </c>
      <c r="X44" s="61">
        <f t="shared" si="8"/>
        <v>0</v>
      </c>
      <c r="Y44" s="61">
        <f>SUM(H44/B44)</f>
        <v>3.9789542913515288E-2</v>
      </c>
      <c r="Z44" s="61">
        <f>SUM(I44/B44)</f>
        <v>0.16178888523512003</v>
      </c>
    </row>
    <row r="45" spans="1:26">
      <c r="A45" s="56" t="s">
        <v>252</v>
      </c>
      <c r="B45" s="54">
        <f>SUM(C45:I45)</f>
        <v>3557</v>
      </c>
      <c r="C45" s="55">
        <v>1710</v>
      </c>
      <c r="D45" s="55">
        <v>559</v>
      </c>
      <c r="E45" s="55">
        <v>817</v>
      </c>
      <c r="F45" s="55">
        <v>471</v>
      </c>
      <c r="G45" s="55">
        <v>0</v>
      </c>
      <c r="H45" s="55">
        <v>0</v>
      </c>
      <c r="I45" s="55">
        <v>0</v>
      </c>
      <c r="K45" s="54">
        <f>SUM(L45:R45)</f>
        <v>4</v>
      </c>
      <c r="L45" s="55">
        <v>2</v>
      </c>
      <c r="M45" s="55">
        <v>1</v>
      </c>
      <c r="N45" s="55">
        <v>1</v>
      </c>
      <c r="O45" s="55">
        <v>0</v>
      </c>
      <c r="P45" s="55">
        <v>0</v>
      </c>
      <c r="Q45" s="55">
        <v>0</v>
      </c>
      <c r="R45" s="55">
        <v>0</v>
      </c>
      <c r="T45" s="61">
        <f>SUM(C45/B45)</f>
        <v>0.48074219848186672</v>
      </c>
      <c r="U45" s="61">
        <f>SUM(D45/B45)</f>
        <v>0.15715490581951083</v>
      </c>
      <c r="V45" s="61">
        <f>SUM(E45/B45)</f>
        <v>0.22968793927466966</v>
      </c>
      <c r="W45" s="61">
        <f>SUM(F45/B45)</f>
        <v>0.13241495642395276</v>
      </c>
      <c r="X45" s="61">
        <f t="shared" si="8"/>
        <v>0</v>
      </c>
      <c r="Y45" s="61">
        <f>SUM(H45/B45)</f>
        <v>0</v>
      </c>
      <c r="Z45" s="61">
        <f>SUM(I45/B45)</f>
        <v>0</v>
      </c>
    </row>
    <row r="46" spans="1:26" s="52" customFormat="1">
      <c r="A46" s="53" t="s">
        <v>1561</v>
      </c>
      <c r="B46" s="54">
        <f>SUM(B43:B45)</f>
        <v>10325</v>
      </c>
      <c r="C46" s="54">
        <f t="shared" ref="C46:N46" si="21">SUM(C43:C45)</f>
        <v>3987</v>
      </c>
      <c r="D46" s="54">
        <f>SUM(D43:D45)</f>
        <v>1423</v>
      </c>
      <c r="E46" s="54">
        <f t="shared" si="21"/>
        <v>3428</v>
      </c>
      <c r="F46" s="54">
        <f>SUM(F43:F45)</f>
        <v>874</v>
      </c>
      <c r="G46" s="54">
        <f>SUM(G43:G45)</f>
        <v>0</v>
      </c>
      <c r="H46" s="54">
        <f>SUM(H43:H45)</f>
        <v>121</v>
      </c>
      <c r="I46" s="54">
        <f>SUM(I43:I45)</f>
        <v>492</v>
      </c>
      <c r="J46" s="54"/>
      <c r="K46" s="54">
        <f t="shared" si="21"/>
        <v>15</v>
      </c>
      <c r="L46" s="54">
        <f t="shared" si="21"/>
        <v>6</v>
      </c>
      <c r="M46" s="54">
        <f t="shared" si="21"/>
        <v>2</v>
      </c>
      <c r="N46" s="54">
        <f t="shared" si="21"/>
        <v>6</v>
      </c>
      <c r="O46" s="54">
        <f>SUM(O43:O45)</f>
        <v>0</v>
      </c>
      <c r="P46" s="54">
        <f>SUM(P43:P45)</f>
        <v>0</v>
      </c>
      <c r="Q46" s="54">
        <f>SUM(Q43:Q45)</f>
        <v>0</v>
      </c>
      <c r="R46" s="54">
        <f>SUM(R43:R45)</f>
        <v>1</v>
      </c>
      <c r="T46" s="60">
        <f>SUM(C46/B46)</f>
        <v>0.38615012106537533</v>
      </c>
      <c r="U46" s="60">
        <f>SUM(D46/B46)</f>
        <v>0.13782082324455205</v>
      </c>
      <c r="V46" s="60">
        <f>SUM(E46/B46)</f>
        <v>0.33200968523002422</v>
      </c>
      <c r="W46" s="60">
        <f>SUM(F46/B46)</f>
        <v>8.4648910411622272E-2</v>
      </c>
      <c r="X46" s="60">
        <f t="shared" si="8"/>
        <v>0</v>
      </c>
      <c r="Y46" s="60">
        <f>SUM(H46/B46)</f>
        <v>1.171912832929782E-2</v>
      </c>
      <c r="Z46" s="60">
        <f>SUM(I46/B46)</f>
        <v>4.7651331719128331E-2</v>
      </c>
    </row>
    <row r="47" spans="1:26">
      <c r="A47" s="53"/>
      <c r="B47" s="54"/>
      <c r="C47" s="55"/>
      <c r="D47" s="55"/>
      <c r="E47" s="55"/>
      <c r="F47" s="55"/>
      <c r="G47" s="55"/>
      <c r="H47" s="55"/>
      <c r="I47" s="55"/>
      <c r="K47" s="54"/>
      <c r="L47" s="55"/>
      <c r="M47" s="55"/>
      <c r="N47" s="55"/>
      <c r="O47" s="55"/>
      <c r="P47" s="55"/>
      <c r="Q47" s="55"/>
      <c r="R47" s="55"/>
    </row>
    <row r="48" spans="1:26">
      <c r="A48" s="56" t="s">
        <v>261</v>
      </c>
      <c r="B48" s="54">
        <f>SUM(C48:I48)</f>
        <v>6024</v>
      </c>
      <c r="C48" s="55">
        <v>2482</v>
      </c>
      <c r="D48" s="55">
        <v>1113</v>
      </c>
      <c r="E48" s="55">
        <v>1318</v>
      </c>
      <c r="F48" s="55">
        <v>281</v>
      </c>
      <c r="G48" s="55">
        <v>0</v>
      </c>
      <c r="H48" s="55">
        <v>207</v>
      </c>
      <c r="I48" s="55">
        <v>623</v>
      </c>
      <c r="K48" s="54">
        <f>SUM(L48:R48)</f>
        <v>6</v>
      </c>
      <c r="L48" s="55">
        <v>3</v>
      </c>
      <c r="M48" s="55">
        <v>1</v>
      </c>
      <c r="N48" s="55">
        <v>1</v>
      </c>
      <c r="O48" s="55">
        <v>0</v>
      </c>
      <c r="P48" s="55">
        <v>0</v>
      </c>
      <c r="Q48" s="55">
        <v>0</v>
      </c>
      <c r="R48" s="55">
        <v>1</v>
      </c>
      <c r="T48" s="61">
        <f>SUM(C48/B48)</f>
        <v>0.41201859229747678</v>
      </c>
      <c r="U48" s="61">
        <f>SUM(D48/B48)</f>
        <v>0.18476095617529881</v>
      </c>
      <c r="V48" s="61">
        <f>SUM(E48/B48)</f>
        <v>0.21879150066401062</v>
      </c>
      <c r="W48" s="61">
        <f>SUM(F48/B48)</f>
        <v>4.6646746347941567E-2</v>
      </c>
      <c r="X48" s="61">
        <f t="shared" si="8"/>
        <v>0</v>
      </c>
      <c r="Y48" s="61">
        <f>SUM(H48/B48)</f>
        <v>3.436254980079681E-2</v>
      </c>
      <c r="Z48" s="61">
        <f>SUM(I48/B48)</f>
        <v>0.10341965471447544</v>
      </c>
    </row>
    <row r="49" spans="1:26">
      <c r="A49" s="56" t="s">
        <v>262</v>
      </c>
      <c r="B49" s="54">
        <f>SUM(C49:I49)</f>
        <v>5324</v>
      </c>
      <c r="C49" s="55">
        <v>2787</v>
      </c>
      <c r="D49" s="55">
        <v>0</v>
      </c>
      <c r="E49" s="55">
        <v>597</v>
      </c>
      <c r="F49" s="55">
        <v>895</v>
      </c>
      <c r="G49" s="55">
        <v>0</v>
      </c>
      <c r="H49" s="55">
        <v>0</v>
      </c>
      <c r="I49" s="55">
        <v>1045</v>
      </c>
      <c r="K49" s="54">
        <f>SUM(L49:R49)</f>
        <v>7</v>
      </c>
      <c r="L49" s="55">
        <v>4</v>
      </c>
      <c r="M49" s="55">
        <v>0</v>
      </c>
      <c r="N49" s="55">
        <v>1</v>
      </c>
      <c r="O49" s="55">
        <v>1</v>
      </c>
      <c r="P49" s="55">
        <v>0</v>
      </c>
      <c r="Q49" s="55">
        <v>0</v>
      </c>
      <c r="R49" s="55">
        <v>1</v>
      </c>
      <c r="T49" s="61">
        <f>SUM(C49/B49)</f>
        <v>0.52347858752817433</v>
      </c>
      <c r="U49" s="61">
        <f>SUM(D49/B49)</f>
        <v>0</v>
      </c>
      <c r="V49" s="61">
        <f>SUM(E49/B49)</f>
        <v>0.11213373403456048</v>
      </c>
      <c r="W49" s="61">
        <f>SUM(F49/B49)</f>
        <v>0.16810668670172801</v>
      </c>
      <c r="X49" s="61">
        <f t="shared" si="8"/>
        <v>0</v>
      </c>
      <c r="Y49" s="61">
        <f>SUM(H49/B49)</f>
        <v>0</v>
      </c>
      <c r="Z49" s="61">
        <f>SUM(I49/B49)</f>
        <v>0.1962809917355372</v>
      </c>
    </row>
    <row r="50" spans="1:26">
      <c r="A50" s="56" t="s">
        <v>263</v>
      </c>
      <c r="B50" s="54">
        <f>SUM(C50:I50)</f>
        <v>6944</v>
      </c>
      <c r="C50" s="55">
        <v>1710</v>
      </c>
      <c r="D50" s="55">
        <v>2111</v>
      </c>
      <c r="E50" s="55">
        <v>0</v>
      </c>
      <c r="F50" s="55">
        <v>770</v>
      </c>
      <c r="G50" s="55">
        <v>0</v>
      </c>
      <c r="H50" s="55">
        <v>0</v>
      </c>
      <c r="I50" s="55">
        <v>2353</v>
      </c>
      <c r="K50" s="54">
        <f>SUM(L50:R50)</f>
        <v>7</v>
      </c>
      <c r="L50" s="55">
        <v>3</v>
      </c>
      <c r="M50" s="55">
        <v>1</v>
      </c>
      <c r="N50" s="55">
        <v>0</v>
      </c>
      <c r="O50" s="55">
        <v>1</v>
      </c>
      <c r="P50" s="55">
        <v>0</v>
      </c>
      <c r="Q50" s="55">
        <v>0</v>
      </c>
      <c r="R50" s="55">
        <v>2</v>
      </c>
      <c r="T50" s="61">
        <f>SUM(C50/B50)</f>
        <v>0.24625576036866359</v>
      </c>
      <c r="U50" s="61">
        <f>SUM(D50/B50)</f>
        <v>0.30400345622119818</v>
      </c>
      <c r="V50" s="61">
        <f>SUM(E50/B50)</f>
        <v>0</v>
      </c>
      <c r="W50" s="61">
        <f>SUM(F50/B50)</f>
        <v>0.11088709677419355</v>
      </c>
      <c r="X50" s="61">
        <f t="shared" si="8"/>
        <v>0</v>
      </c>
      <c r="Y50" s="61">
        <f>SUM(H50/B50)</f>
        <v>0</v>
      </c>
      <c r="Z50" s="61">
        <f>SUM(I50/B50)</f>
        <v>0.33885368663594467</v>
      </c>
    </row>
    <row r="51" spans="1:26" s="52" customFormat="1">
      <c r="A51" s="53" t="s">
        <v>1569</v>
      </c>
      <c r="B51" s="54">
        <f t="shared" ref="B51:I51" si="22">SUM(B48:B50)</f>
        <v>18292</v>
      </c>
      <c r="C51" s="54">
        <f t="shared" si="22"/>
        <v>6979</v>
      </c>
      <c r="D51" s="54">
        <f t="shared" si="22"/>
        <v>3224</v>
      </c>
      <c r="E51" s="54">
        <f t="shared" si="22"/>
        <v>1915</v>
      </c>
      <c r="F51" s="54">
        <f t="shared" si="22"/>
        <v>1946</v>
      </c>
      <c r="G51" s="54">
        <f t="shared" si="22"/>
        <v>0</v>
      </c>
      <c r="H51" s="54">
        <f t="shared" si="22"/>
        <v>207</v>
      </c>
      <c r="I51" s="54">
        <f t="shared" si="22"/>
        <v>4021</v>
      </c>
      <c r="J51" s="54"/>
      <c r="K51" s="54">
        <f t="shared" ref="K51:R51" si="23">SUM(K48:K50)</f>
        <v>20</v>
      </c>
      <c r="L51" s="54">
        <f t="shared" si="23"/>
        <v>10</v>
      </c>
      <c r="M51" s="54">
        <f t="shared" si="23"/>
        <v>2</v>
      </c>
      <c r="N51" s="54">
        <f t="shared" si="23"/>
        <v>2</v>
      </c>
      <c r="O51" s="54">
        <f t="shared" si="23"/>
        <v>2</v>
      </c>
      <c r="P51" s="54">
        <f t="shared" si="23"/>
        <v>0</v>
      </c>
      <c r="Q51" s="54">
        <f t="shared" si="23"/>
        <v>0</v>
      </c>
      <c r="R51" s="54">
        <f t="shared" si="23"/>
        <v>4</v>
      </c>
      <c r="T51" s="60">
        <f>SUM(C51/B51)</f>
        <v>0.38153291056199429</v>
      </c>
      <c r="U51" s="60">
        <f>SUM(D51/B51)</f>
        <v>0.17625191340476712</v>
      </c>
      <c r="V51" s="60">
        <f>SUM(E51/B51)</f>
        <v>0.10469057511480429</v>
      </c>
      <c r="W51" s="60">
        <f>SUM(F51/B51)</f>
        <v>0.10638530505138859</v>
      </c>
      <c r="X51" s="60">
        <f t="shared" si="8"/>
        <v>0</v>
      </c>
      <c r="Y51" s="60">
        <f>SUM(H51/B51)</f>
        <v>1.1316422479772579E-2</v>
      </c>
      <c r="Z51" s="60">
        <f>SUM(I51/B51)</f>
        <v>0.21982287338727313</v>
      </c>
    </row>
    <row r="52" spans="1:26">
      <c r="A52" s="53"/>
      <c r="B52" s="54"/>
      <c r="C52" s="55"/>
      <c r="D52" s="55"/>
      <c r="E52" s="55"/>
      <c r="F52" s="55"/>
      <c r="G52" s="55"/>
      <c r="H52" s="55"/>
      <c r="I52" s="55"/>
      <c r="J52" s="55"/>
      <c r="K52" s="54"/>
      <c r="L52" s="55"/>
      <c r="M52" s="55"/>
      <c r="N52" s="55"/>
      <c r="O52" s="55"/>
      <c r="P52" s="55"/>
      <c r="Q52" s="55"/>
      <c r="R52" s="55"/>
    </row>
    <row r="53" spans="1:26">
      <c r="A53" s="56" t="s">
        <v>264</v>
      </c>
      <c r="B53" s="54">
        <f>SUM(C53:I53)</f>
        <v>3570</v>
      </c>
      <c r="C53" s="55">
        <v>1328</v>
      </c>
      <c r="D53" s="55">
        <v>821</v>
      </c>
      <c r="E53" s="55">
        <v>1185</v>
      </c>
      <c r="F53" s="55">
        <v>0</v>
      </c>
      <c r="G53" s="55">
        <v>236</v>
      </c>
      <c r="H53" s="55">
        <v>0</v>
      </c>
      <c r="I53" s="55">
        <v>0</v>
      </c>
      <c r="K53" s="54">
        <f>SUM(L53:R53)</f>
        <v>4</v>
      </c>
      <c r="L53" s="55">
        <v>2</v>
      </c>
      <c r="M53" s="55">
        <v>1</v>
      </c>
      <c r="N53" s="55">
        <v>1</v>
      </c>
      <c r="O53" s="55">
        <v>0</v>
      </c>
      <c r="P53" s="55">
        <v>0</v>
      </c>
      <c r="Q53" s="55">
        <v>0</v>
      </c>
      <c r="R53" s="55">
        <v>0</v>
      </c>
      <c r="T53" s="61">
        <f>SUM(C53/B53)</f>
        <v>0.37198879551820729</v>
      </c>
      <c r="U53" s="61">
        <f>SUM(D53/B53)</f>
        <v>0.2299719887955182</v>
      </c>
      <c r="V53" s="61">
        <f>SUM(E53/B53)</f>
        <v>0.33193277310924368</v>
      </c>
      <c r="W53" s="61">
        <f>SUM(F53/B53)</f>
        <v>0</v>
      </c>
      <c r="X53" s="61">
        <f t="shared" si="8"/>
        <v>6.6106442577030813E-2</v>
      </c>
      <c r="Y53" s="61">
        <f>SUM(H53/B53)</f>
        <v>0</v>
      </c>
      <c r="Z53" s="61">
        <f>SUM(I53/B53)</f>
        <v>0</v>
      </c>
    </row>
    <row r="54" spans="1:26">
      <c r="A54" s="56" t="s">
        <v>265</v>
      </c>
      <c r="B54" s="54">
        <f>SUM(C54:I54)</f>
        <v>7113</v>
      </c>
      <c r="C54" s="55">
        <v>3352</v>
      </c>
      <c r="D54" s="55">
        <v>1474</v>
      </c>
      <c r="E54" s="55">
        <v>1092</v>
      </c>
      <c r="F54" s="55">
        <v>499</v>
      </c>
      <c r="G54" s="55">
        <v>696</v>
      </c>
      <c r="H54" s="55">
        <v>0</v>
      </c>
      <c r="I54" s="55">
        <v>0</v>
      </c>
      <c r="K54" s="54">
        <f>SUM(L54:R54)</f>
        <v>6</v>
      </c>
      <c r="L54" s="55">
        <v>3</v>
      </c>
      <c r="M54" s="55">
        <v>1</v>
      </c>
      <c r="N54" s="55">
        <v>1</v>
      </c>
      <c r="O54" s="55">
        <v>0</v>
      </c>
      <c r="P54" s="55">
        <v>1</v>
      </c>
      <c r="Q54" s="55">
        <v>0</v>
      </c>
      <c r="R54" s="55">
        <v>0</v>
      </c>
      <c r="T54" s="61">
        <f>SUM(C54/B54)</f>
        <v>0.4712498242654295</v>
      </c>
      <c r="U54" s="61">
        <f>SUM(D54/B54)</f>
        <v>0.20722620553915366</v>
      </c>
      <c r="V54" s="61">
        <f>SUM(E54/B54)</f>
        <v>0.15352172079291437</v>
      </c>
      <c r="W54" s="61">
        <f>SUM(F54/B54)</f>
        <v>7.0153240545480111E-2</v>
      </c>
      <c r="X54" s="61">
        <f t="shared" si="8"/>
        <v>9.7849008857022357E-2</v>
      </c>
      <c r="Y54" s="61">
        <f>SUM(H54/B54)</f>
        <v>0</v>
      </c>
      <c r="Z54" s="61">
        <f>SUM(I54/B54)</f>
        <v>0</v>
      </c>
    </row>
    <row r="55" spans="1:26">
      <c r="A55" s="56" t="s">
        <v>266</v>
      </c>
      <c r="B55" s="54">
        <f>SUM(C55:I55)</f>
        <v>4961</v>
      </c>
      <c r="C55" s="55">
        <v>1833</v>
      </c>
      <c r="D55" s="55">
        <v>2567</v>
      </c>
      <c r="E55" s="55">
        <v>0</v>
      </c>
      <c r="F55" s="55">
        <v>561</v>
      </c>
      <c r="G55" s="55">
        <v>0</v>
      </c>
      <c r="H55" s="55">
        <v>0</v>
      </c>
      <c r="I55" s="55">
        <v>0</v>
      </c>
      <c r="K55" s="54">
        <f>SUM(L55:R55)</f>
        <v>5</v>
      </c>
      <c r="L55" s="55">
        <v>2</v>
      </c>
      <c r="M55" s="55">
        <v>0</v>
      </c>
      <c r="N55" s="55">
        <v>3</v>
      </c>
      <c r="O55" s="55">
        <v>0</v>
      </c>
      <c r="P55" s="55">
        <v>0</v>
      </c>
      <c r="Q55" s="55">
        <v>0</v>
      </c>
      <c r="R55" s="55">
        <v>0</v>
      </c>
      <c r="T55" s="61">
        <f>SUM(C55/B55)</f>
        <v>0.36948195928240274</v>
      </c>
      <c r="U55" s="61">
        <f>SUM(D55/B55)</f>
        <v>0.51743600080628904</v>
      </c>
      <c r="V55" s="61">
        <f>SUM(E55/B55)</f>
        <v>0</v>
      </c>
      <c r="W55" s="61">
        <f>SUM(F55/B55)</f>
        <v>0.1130820399113082</v>
      </c>
      <c r="X55" s="61">
        <f t="shared" si="8"/>
        <v>0</v>
      </c>
      <c r="Y55" s="61">
        <f>SUM(H55/B55)</f>
        <v>0</v>
      </c>
      <c r="Z55" s="61">
        <f>SUM(I55/B55)</f>
        <v>0</v>
      </c>
    </row>
    <row r="56" spans="1:26">
      <c r="A56" s="56" t="s">
        <v>267</v>
      </c>
      <c r="B56" s="54">
        <f>SUM(C56:I56)</f>
        <v>5257</v>
      </c>
      <c r="C56" s="55">
        <v>1603</v>
      </c>
      <c r="D56" s="55">
        <v>370</v>
      </c>
      <c r="E56" s="55">
        <v>1497</v>
      </c>
      <c r="F56" s="55">
        <v>272</v>
      </c>
      <c r="G56" s="55">
        <v>0</v>
      </c>
      <c r="H56" s="55">
        <v>507</v>
      </c>
      <c r="I56" s="55">
        <v>1008</v>
      </c>
      <c r="K56" s="54">
        <f>SUM(L56:R56)</f>
        <v>5</v>
      </c>
      <c r="L56" s="55">
        <v>2</v>
      </c>
      <c r="M56" s="55">
        <v>0</v>
      </c>
      <c r="N56" s="55">
        <v>2</v>
      </c>
      <c r="O56" s="55">
        <v>0</v>
      </c>
      <c r="P56" s="55">
        <v>0</v>
      </c>
      <c r="Q56" s="55">
        <v>0</v>
      </c>
      <c r="R56" s="55">
        <v>1</v>
      </c>
      <c r="T56" s="61">
        <f>SUM(C56/B56)</f>
        <v>0.30492676431424764</v>
      </c>
      <c r="U56" s="61">
        <f>SUM(D56/B56)</f>
        <v>7.0382347346395285E-2</v>
      </c>
      <c r="V56" s="61">
        <f>SUM(E56/B56)</f>
        <v>0.28476317291230741</v>
      </c>
      <c r="W56" s="61">
        <f>SUM(F56/B56)</f>
        <v>5.1740536427620318E-2</v>
      </c>
      <c r="X56" s="61">
        <f t="shared" si="8"/>
        <v>0</v>
      </c>
      <c r="Y56" s="61">
        <f>SUM(H56/B56)</f>
        <v>9.6442838120601102E-2</v>
      </c>
      <c r="Z56" s="61">
        <f>SUM(I56/B56)</f>
        <v>0.19174434087882822</v>
      </c>
    </row>
    <row r="57" spans="1:26" s="52" customFormat="1">
      <c r="A57" s="53" t="s">
        <v>1574</v>
      </c>
      <c r="B57" s="54">
        <f>SUM(B53:B56)</f>
        <v>20901</v>
      </c>
      <c r="C57" s="54">
        <f t="shared" ref="C57:N57" si="24">SUM(C53:C56)</f>
        <v>8116</v>
      </c>
      <c r="D57" s="54">
        <f>SUM(D53:D56)</f>
        <v>5232</v>
      </c>
      <c r="E57" s="54">
        <f t="shared" si="24"/>
        <v>3774</v>
      </c>
      <c r="F57" s="54">
        <f>SUM(F53:F56)</f>
        <v>1332</v>
      </c>
      <c r="G57" s="54">
        <f>SUM(G53:G56)</f>
        <v>932</v>
      </c>
      <c r="H57" s="54">
        <f>SUM(H53:H56)</f>
        <v>507</v>
      </c>
      <c r="I57" s="54">
        <f>SUM(I53:I56)</f>
        <v>1008</v>
      </c>
      <c r="J57" s="54"/>
      <c r="K57" s="54">
        <f t="shared" si="24"/>
        <v>20</v>
      </c>
      <c r="L57" s="54">
        <f t="shared" si="24"/>
        <v>9</v>
      </c>
      <c r="M57" s="54">
        <f t="shared" si="24"/>
        <v>2</v>
      </c>
      <c r="N57" s="54">
        <f t="shared" si="24"/>
        <v>7</v>
      </c>
      <c r="O57" s="54">
        <f>SUM(O53:O56)</f>
        <v>0</v>
      </c>
      <c r="P57" s="54">
        <f>SUM(P53:P56)</f>
        <v>1</v>
      </c>
      <c r="Q57" s="54">
        <f>SUM(Q53:Q56)</f>
        <v>0</v>
      </c>
      <c r="R57" s="54">
        <f>SUM(R53:R56)</f>
        <v>1</v>
      </c>
      <c r="T57" s="60">
        <f>SUM(C57/B57)</f>
        <v>0.38830677957992443</v>
      </c>
      <c r="U57" s="60">
        <f>SUM(D57/B57)</f>
        <v>0.25032295105497343</v>
      </c>
      <c r="V57" s="60">
        <f>SUM(E57/B57)</f>
        <v>0.18056552318070906</v>
      </c>
      <c r="W57" s="60">
        <f>SUM(F57/B57)</f>
        <v>6.3729008181426725E-2</v>
      </c>
      <c r="X57" s="60">
        <f t="shared" si="8"/>
        <v>4.4591167886703982E-2</v>
      </c>
      <c r="Y57" s="60">
        <f>SUM(H57/B57)</f>
        <v>2.4257212573561074E-2</v>
      </c>
      <c r="Z57" s="60">
        <f>SUM(I57/B57)</f>
        <v>4.8227357542701306E-2</v>
      </c>
    </row>
    <row r="58" spans="1:26">
      <c r="A58" s="53"/>
      <c r="B58" s="54"/>
      <c r="C58" s="55"/>
      <c r="D58" s="55"/>
      <c r="E58" s="55"/>
      <c r="F58" s="55"/>
      <c r="G58" s="55"/>
      <c r="H58" s="55"/>
      <c r="I58" s="55"/>
      <c r="K58" s="54"/>
      <c r="L58" s="55"/>
      <c r="M58" s="55"/>
      <c r="N58" s="55"/>
      <c r="O58" s="55"/>
      <c r="P58" s="55"/>
      <c r="Q58" s="55"/>
      <c r="R58" s="55"/>
    </row>
    <row r="59" spans="1:26">
      <c r="A59" s="56" t="s">
        <v>268</v>
      </c>
      <c r="B59" s="54">
        <f t="shared" ref="B59:B64" si="25">SUM(C59:I59)</f>
        <v>5589</v>
      </c>
      <c r="C59" s="55">
        <v>1811</v>
      </c>
      <c r="D59" s="55">
        <v>884</v>
      </c>
      <c r="E59" s="55">
        <v>1860</v>
      </c>
      <c r="F59" s="55">
        <v>127</v>
      </c>
      <c r="G59" s="55">
        <v>0</v>
      </c>
      <c r="H59" s="55">
        <v>0</v>
      </c>
      <c r="I59" s="55">
        <v>907</v>
      </c>
      <c r="K59" s="54">
        <f t="shared" ref="K59:K64" si="26">SUM(L59:R59)</f>
        <v>5</v>
      </c>
      <c r="L59" s="55">
        <v>2</v>
      </c>
      <c r="M59" s="55">
        <v>1</v>
      </c>
      <c r="N59" s="55">
        <v>2</v>
      </c>
      <c r="O59" s="55">
        <v>0</v>
      </c>
      <c r="P59" s="55">
        <v>0</v>
      </c>
      <c r="Q59" s="55">
        <v>0</v>
      </c>
      <c r="R59" s="55">
        <v>0</v>
      </c>
      <c r="T59" s="61">
        <f t="shared" ref="T59:T65" si="27">SUM(C59/B59)</f>
        <v>0.32402934335301486</v>
      </c>
      <c r="U59" s="61">
        <f t="shared" ref="U59:U65" si="28">SUM(D59/B59)</f>
        <v>0.15816782966541421</v>
      </c>
      <c r="V59" s="61">
        <f t="shared" ref="V59:V65" si="29">SUM(E59/B59)</f>
        <v>0.33279656468062263</v>
      </c>
      <c r="W59" s="61">
        <f t="shared" ref="W59:W65" si="30">SUM(F59/B59)</f>
        <v>2.2723206298085524E-2</v>
      </c>
      <c r="X59" s="61">
        <f t="shared" si="8"/>
        <v>0</v>
      </c>
      <c r="Y59" s="61">
        <f t="shared" ref="Y59:Y65" si="31">SUM(H59/B59)</f>
        <v>0</v>
      </c>
      <c r="Z59" s="61">
        <f t="shared" ref="Z59:Z65" si="32">SUM(I59/B59)</f>
        <v>0.16228305600286277</v>
      </c>
    </row>
    <row r="60" spans="1:26">
      <c r="A60" s="56" t="s">
        <v>269</v>
      </c>
      <c r="B60" s="54">
        <f t="shared" si="25"/>
        <v>4343</v>
      </c>
      <c r="C60" s="55">
        <v>504</v>
      </c>
      <c r="D60" s="55">
        <v>0</v>
      </c>
      <c r="E60" s="55">
        <v>2171</v>
      </c>
      <c r="F60" s="55">
        <v>776</v>
      </c>
      <c r="G60" s="55">
        <v>0</v>
      </c>
      <c r="H60" s="55">
        <v>205</v>
      </c>
      <c r="I60" s="55">
        <v>687</v>
      </c>
      <c r="K60" s="54">
        <f t="shared" si="26"/>
        <v>4</v>
      </c>
      <c r="L60" s="55">
        <v>0</v>
      </c>
      <c r="M60" s="55">
        <v>0</v>
      </c>
      <c r="N60" s="55">
        <v>2</v>
      </c>
      <c r="O60" s="55">
        <v>1</v>
      </c>
      <c r="P60" s="55">
        <v>0</v>
      </c>
      <c r="Q60" s="55">
        <v>0</v>
      </c>
      <c r="R60" s="55">
        <v>1</v>
      </c>
      <c r="T60" s="61">
        <f t="shared" si="27"/>
        <v>0.11604881418374395</v>
      </c>
      <c r="U60" s="61">
        <f t="shared" si="28"/>
        <v>0</v>
      </c>
      <c r="V60" s="61">
        <f t="shared" si="29"/>
        <v>0.49988487220815103</v>
      </c>
      <c r="W60" s="61">
        <f t="shared" si="30"/>
        <v>0.17867833294957403</v>
      </c>
      <c r="X60" s="61">
        <f t="shared" si="8"/>
        <v>0</v>
      </c>
      <c r="Y60" s="61">
        <f t="shared" si="31"/>
        <v>4.7202394658070461E-2</v>
      </c>
      <c r="Z60" s="61">
        <f t="shared" si="32"/>
        <v>0.15818558600046051</v>
      </c>
    </row>
    <row r="61" spans="1:26">
      <c r="A61" s="56" t="s">
        <v>270</v>
      </c>
      <c r="B61" s="54">
        <f t="shared" si="25"/>
        <v>3428</v>
      </c>
      <c r="C61" s="55">
        <v>1612</v>
      </c>
      <c r="D61" s="55">
        <v>0</v>
      </c>
      <c r="E61" s="55">
        <v>1652</v>
      </c>
      <c r="F61" s="55">
        <v>0</v>
      </c>
      <c r="G61" s="55">
        <v>0</v>
      </c>
      <c r="H61" s="55">
        <v>164</v>
      </c>
      <c r="I61" s="55">
        <v>0</v>
      </c>
      <c r="K61" s="54">
        <f t="shared" si="26"/>
        <v>4</v>
      </c>
      <c r="L61" s="55">
        <v>2</v>
      </c>
      <c r="M61" s="55">
        <v>0</v>
      </c>
      <c r="N61" s="55">
        <v>2</v>
      </c>
      <c r="O61" s="55">
        <v>0</v>
      </c>
      <c r="P61" s="55">
        <v>0</v>
      </c>
      <c r="Q61" s="55">
        <v>0</v>
      </c>
      <c r="R61" s="55">
        <v>0</v>
      </c>
      <c r="T61" s="61">
        <f t="shared" si="27"/>
        <v>0.47024504084014002</v>
      </c>
      <c r="U61" s="61">
        <f t="shared" si="28"/>
        <v>0</v>
      </c>
      <c r="V61" s="61">
        <f t="shared" si="29"/>
        <v>0.48191365227537925</v>
      </c>
      <c r="W61" s="61">
        <f t="shared" si="30"/>
        <v>0</v>
      </c>
      <c r="X61" s="61">
        <f t="shared" si="8"/>
        <v>0</v>
      </c>
      <c r="Y61" s="61">
        <f t="shared" si="31"/>
        <v>4.7841306884480746E-2</v>
      </c>
      <c r="Z61" s="61">
        <f t="shared" si="32"/>
        <v>0</v>
      </c>
    </row>
    <row r="62" spans="1:26">
      <c r="A62" s="56" t="s">
        <v>271</v>
      </c>
      <c r="B62" s="54">
        <f t="shared" si="25"/>
        <v>6346</v>
      </c>
      <c r="C62" s="55">
        <v>1619</v>
      </c>
      <c r="D62" s="55">
        <v>0</v>
      </c>
      <c r="E62" s="55">
        <v>2807</v>
      </c>
      <c r="F62" s="55">
        <v>603</v>
      </c>
      <c r="G62" s="55">
        <v>0</v>
      </c>
      <c r="H62" s="55">
        <v>482</v>
      </c>
      <c r="I62" s="55">
        <v>835</v>
      </c>
      <c r="K62" s="54">
        <f t="shared" si="26"/>
        <v>7</v>
      </c>
      <c r="L62" s="55">
        <v>2</v>
      </c>
      <c r="M62" s="55">
        <v>0</v>
      </c>
      <c r="N62" s="55">
        <v>3</v>
      </c>
      <c r="O62" s="55">
        <v>1</v>
      </c>
      <c r="P62" s="55">
        <v>0</v>
      </c>
      <c r="Q62" s="55">
        <v>0</v>
      </c>
      <c r="R62" s="55">
        <v>1</v>
      </c>
      <c r="T62" s="61">
        <f t="shared" si="27"/>
        <v>0.25512133627481881</v>
      </c>
      <c r="U62" s="61">
        <f t="shared" si="28"/>
        <v>0</v>
      </c>
      <c r="V62" s="61">
        <f t="shared" si="29"/>
        <v>0.44232587456665617</v>
      </c>
      <c r="W62" s="61">
        <f t="shared" si="30"/>
        <v>9.502048534509927E-2</v>
      </c>
      <c r="X62" s="61">
        <f t="shared" si="8"/>
        <v>0</v>
      </c>
      <c r="Y62" s="61">
        <f t="shared" si="31"/>
        <v>7.5953356445004727E-2</v>
      </c>
      <c r="Z62" s="61">
        <f t="shared" si="32"/>
        <v>0.13157894736842105</v>
      </c>
    </row>
    <row r="63" spans="1:26">
      <c r="A63" s="56" t="s">
        <v>272</v>
      </c>
      <c r="B63" s="54">
        <f t="shared" si="25"/>
        <v>5094</v>
      </c>
      <c r="C63" s="55">
        <v>574</v>
      </c>
      <c r="D63" s="55">
        <v>0</v>
      </c>
      <c r="E63" s="55">
        <v>3111</v>
      </c>
      <c r="F63" s="55">
        <v>67</v>
      </c>
      <c r="G63" s="55">
        <v>0</v>
      </c>
      <c r="H63" s="55">
        <v>269</v>
      </c>
      <c r="I63" s="55">
        <v>1073</v>
      </c>
      <c r="K63" s="54">
        <f t="shared" si="26"/>
        <v>6</v>
      </c>
      <c r="L63" s="55">
        <v>0</v>
      </c>
      <c r="M63" s="55">
        <v>0</v>
      </c>
      <c r="N63" s="55">
        <v>4</v>
      </c>
      <c r="O63" s="55">
        <v>0</v>
      </c>
      <c r="P63" s="55">
        <v>0</v>
      </c>
      <c r="Q63" s="55">
        <v>0</v>
      </c>
      <c r="R63" s="55">
        <v>2</v>
      </c>
      <c r="T63" s="61">
        <f>SUM(C63/B63)</f>
        <v>0.1126815861798194</v>
      </c>
      <c r="U63" s="61">
        <f>SUM(D63/B63)</f>
        <v>0</v>
      </c>
      <c r="V63" s="61">
        <f>SUM(E63/B63)</f>
        <v>0.61071849234393405</v>
      </c>
      <c r="W63" s="61">
        <f>SUM(F63/B63)</f>
        <v>1.315272870043188E-2</v>
      </c>
      <c r="X63" s="61">
        <f>SUM(G63/B63)</f>
        <v>0</v>
      </c>
      <c r="Y63" s="61">
        <f>SUM(H63/B63)</f>
        <v>5.2807224185316061E-2</v>
      </c>
      <c r="Z63" s="61">
        <f>SUM(I63/B63)</f>
        <v>0.21063996859049863</v>
      </c>
    </row>
    <row r="64" spans="1:26">
      <c r="A64" s="56" t="s">
        <v>273</v>
      </c>
      <c r="B64" s="54">
        <f t="shared" si="25"/>
        <v>4061</v>
      </c>
      <c r="C64" s="55">
        <v>958</v>
      </c>
      <c r="D64" s="55">
        <v>0</v>
      </c>
      <c r="E64" s="55">
        <v>1937</v>
      </c>
      <c r="F64" s="55">
        <v>809</v>
      </c>
      <c r="G64" s="55">
        <v>0</v>
      </c>
      <c r="H64" s="55">
        <v>357</v>
      </c>
      <c r="I64" s="55">
        <v>0</v>
      </c>
      <c r="K64" s="54">
        <f t="shared" si="26"/>
        <v>4</v>
      </c>
      <c r="L64" s="55">
        <v>1</v>
      </c>
      <c r="M64" s="55">
        <v>0</v>
      </c>
      <c r="N64" s="55">
        <v>2</v>
      </c>
      <c r="O64" s="55">
        <v>1</v>
      </c>
      <c r="P64" s="55">
        <v>0</v>
      </c>
      <c r="Q64" s="55">
        <v>0</v>
      </c>
      <c r="R64" s="55">
        <v>0</v>
      </c>
      <c r="T64" s="61">
        <f t="shared" si="27"/>
        <v>0.23590248707214972</v>
      </c>
      <c r="U64" s="61">
        <f t="shared" si="28"/>
        <v>0</v>
      </c>
      <c r="V64" s="61">
        <f t="shared" si="29"/>
        <v>0.47697611425757203</v>
      </c>
      <c r="W64" s="61">
        <f t="shared" si="30"/>
        <v>0.19921201674464417</v>
      </c>
      <c r="X64" s="61">
        <f t="shared" si="8"/>
        <v>0</v>
      </c>
      <c r="Y64" s="61">
        <f t="shared" si="31"/>
        <v>8.7909381925634078E-2</v>
      </c>
      <c r="Z64" s="61">
        <f t="shared" si="32"/>
        <v>0</v>
      </c>
    </row>
    <row r="65" spans="1:26" s="52" customFormat="1">
      <c r="A65" s="53" t="s">
        <v>1580</v>
      </c>
      <c r="B65" s="54">
        <f>SUM(B59:B64)</f>
        <v>28861</v>
      </c>
      <c r="C65" s="54">
        <f t="shared" ref="C65:N65" si="33">SUM(C59:C64)</f>
        <v>7078</v>
      </c>
      <c r="D65" s="54">
        <f>SUM(D59:D64)</f>
        <v>884</v>
      </c>
      <c r="E65" s="54">
        <f t="shared" si="33"/>
        <v>13538</v>
      </c>
      <c r="F65" s="54">
        <f>SUM(F59:F64)</f>
        <v>2382</v>
      </c>
      <c r="G65" s="54">
        <f>SUM(G59:G64)</f>
        <v>0</v>
      </c>
      <c r="H65" s="54">
        <f>SUM(H59:H64)</f>
        <v>1477</v>
      </c>
      <c r="I65" s="54">
        <f>SUM(I59:I64)</f>
        <v>3502</v>
      </c>
      <c r="J65" s="54"/>
      <c r="K65" s="54">
        <f t="shared" si="33"/>
        <v>30</v>
      </c>
      <c r="L65" s="54">
        <f t="shared" si="33"/>
        <v>7</v>
      </c>
      <c r="M65" s="54">
        <f t="shared" si="33"/>
        <v>1</v>
      </c>
      <c r="N65" s="54">
        <f t="shared" si="33"/>
        <v>15</v>
      </c>
      <c r="O65" s="54">
        <f>SUM(O59:O64)</f>
        <v>3</v>
      </c>
      <c r="P65" s="54">
        <f>SUM(P59:P64)</f>
        <v>0</v>
      </c>
      <c r="Q65" s="54">
        <f>SUM(Q59:Q64)</f>
        <v>0</v>
      </c>
      <c r="R65" s="54">
        <f>SUM(R59:R64)</f>
        <v>4</v>
      </c>
      <c r="T65" s="60">
        <f t="shared" si="27"/>
        <v>0.2452444475243408</v>
      </c>
      <c r="U65" s="60">
        <f t="shared" si="28"/>
        <v>3.0629569314992552E-2</v>
      </c>
      <c r="V65" s="60">
        <f t="shared" si="29"/>
        <v>0.46907591559544021</v>
      </c>
      <c r="W65" s="60">
        <f t="shared" si="30"/>
        <v>8.2533522746959562E-2</v>
      </c>
      <c r="X65" s="60">
        <f t="shared" si="8"/>
        <v>0</v>
      </c>
      <c r="Y65" s="60">
        <f t="shared" si="31"/>
        <v>5.1176327916565609E-2</v>
      </c>
      <c r="Z65" s="60">
        <f t="shared" si="32"/>
        <v>0.12134021690170126</v>
      </c>
    </row>
    <row r="66" spans="1:26">
      <c r="A66" s="53"/>
      <c r="B66" s="54"/>
      <c r="C66" s="55"/>
      <c r="D66" s="55"/>
      <c r="E66" s="55"/>
      <c r="F66" s="55"/>
      <c r="G66" s="55"/>
      <c r="H66" s="55"/>
      <c r="I66" s="55"/>
      <c r="K66" s="54"/>
      <c r="L66" s="55"/>
      <c r="M66" s="55"/>
      <c r="N66" s="55"/>
      <c r="O66" s="55"/>
      <c r="P66" s="55"/>
      <c r="Q66" s="55"/>
      <c r="R66" s="55"/>
    </row>
    <row r="67" spans="1:26">
      <c r="A67" s="56" t="s">
        <v>274</v>
      </c>
      <c r="B67" s="54">
        <f>SUM(C67:I67)</f>
        <v>5424</v>
      </c>
      <c r="C67" s="55">
        <v>785</v>
      </c>
      <c r="D67" s="55">
        <v>696</v>
      </c>
      <c r="E67" s="55">
        <v>2492</v>
      </c>
      <c r="F67" s="55">
        <v>583</v>
      </c>
      <c r="G67" s="55">
        <v>0</v>
      </c>
      <c r="H67" s="55">
        <v>868</v>
      </c>
      <c r="I67" s="55">
        <v>0</v>
      </c>
      <c r="J67" s="55"/>
      <c r="K67" s="54">
        <f>SUM(L67:R67)</f>
        <v>5</v>
      </c>
      <c r="L67" s="55">
        <v>1</v>
      </c>
      <c r="M67" s="55">
        <v>0</v>
      </c>
      <c r="N67" s="55">
        <v>3</v>
      </c>
      <c r="O67" s="55">
        <v>0</v>
      </c>
      <c r="P67" s="55">
        <v>0</v>
      </c>
      <c r="Q67" s="55">
        <v>1</v>
      </c>
      <c r="R67" s="55">
        <v>0</v>
      </c>
      <c r="T67" s="61">
        <f>SUM(C67/B67)</f>
        <v>0.14472713864306785</v>
      </c>
      <c r="U67" s="61">
        <f>SUM(D67/B67)</f>
        <v>0.12831858407079647</v>
      </c>
      <c r="V67" s="61">
        <f>SUM(E67/B67)</f>
        <v>0.45943952802359883</v>
      </c>
      <c r="W67" s="61">
        <f>SUM(F67/B67)</f>
        <v>0.10748525073746312</v>
      </c>
      <c r="X67" s="61">
        <f t="shared" si="8"/>
        <v>0</v>
      </c>
      <c r="Y67" s="61">
        <f>SUM(H67/B67)</f>
        <v>0.16002949852507375</v>
      </c>
      <c r="Z67" s="61">
        <f>SUM(I67/B67)</f>
        <v>0</v>
      </c>
    </row>
    <row r="68" spans="1:26">
      <c r="A68" s="56" t="s">
        <v>275</v>
      </c>
      <c r="B68" s="54">
        <f>SUM(C68:I68)</f>
        <v>7277</v>
      </c>
      <c r="C68" s="55">
        <v>2780</v>
      </c>
      <c r="D68" s="55">
        <v>1390</v>
      </c>
      <c r="E68" s="55">
        <v>1261</v>
      </c>
      <c r="F68" s="55">
        <v>1306</v>
      </c>
      <c r="G68" s="55">
        <v>275</v>
      </c>
      <c r="H68" s="55">
        <v>0</v>
      </c>
      <c r="I68" s="55">
        <v>265</v>
      </c>
      <c r="K68" s="54">
        <f>SUM(L68:R68)</f>
        <v>7</v>
      </c>
      <c r="L68" s="55">
        <v>3</v>
      </c>
      <c r="M68" s="55">
        <v>1</v>
      </c>
      <c r="N68" s="55">
        <v>1</v>
      </c>
      <c r="O68" s="55">
        <v>2</v>
      </c>
      <c r="P68" s="55">
        <v>0</v>
      </c>
      <c r="Q68" s="55">
        <v>0</v>
      </c>
      <c r="R68" s="55">
        <v>0</v>
      </c>
      <c r="T68" s="61">
        <f>SUM(C68/B68)</f>
        <v>0.38202555998350968</v>
      </c>
      <c r="U68" s="61">
        <f>SUM(D68/B68)</f>
        <v>0.19101277999175484</v>
      </c>
      <c r="V68" s="61">
        <f>SUM(E68/B68)</f>
        <v>0.17328569465439053</v>
      </c>
      <c r="W68" s="61">
        <f>SUM(F68/B68)</f>
        <v>0.17946956163254088</v>
      </c>
      <c r="X68" s="61">
        <f t="shared" si="8"/>
        <v>3.7790298199807615E-2</v>
      </c>
      <c r="Y68" s="61">
        <f>SUM(H68/B68)</f>
        <v>0</v>
      </c>
      <c r="Z68" s="61">
        <f>SUM(I68/B68)</f>
        <v>3.6416105537996429E-2</v>
      </c>
    </row>
    <row r="69" spans="1:26">
      <c r="A69" s="56" t="s">
        <v>276</v>
      </c>
      <c r="B69" s="54">
        <f>SUM(C69:I69)</f>
        <v>7510</v>
      </c>
      <c r="C69" s="55">
        <v>1611</v>
      </c>
      <c r="D69" s="55">
        <v>726</v>
      </c>
      <c r="E69" s="55">
        <v>2138</v>
      </c>
      <c r="F69" s="55">
        <v>813</v>
      </c>
      <c r="G69" s="55">
        <v>585</v>
      </c>
      <c r="H69" s="55">
        <v>710</v>
      </c>
      <c r="I69" s="55">
        <v>927</v>
      </c>
      <c r="K69" s="54">
        <f>SUM(L69:R69)</f>
        <v>6</v>
      </c>
      <c r="L69" s="55">
        <v>2</v>
      </c>
      <c r="M69" s="55">
        <v>1</v>
      </c>
      <c r="N69" s="55">
        <v>2</v>
      </c>
      <c r="O69" s="55">
        <v>1</v>
      </c>
      <c r="P69" s="55">
        <v>0</v>
      </c>
      <c r="Q69" s="55">
        <v>0</v>
      </c>
      <c r="R69" s="55">
        <v>0</v>
      </c>
      <c r="T69" s="61">
        <f>SUM(C69/B69)</f>
        <v>0.21451398135818908</v>
      </c>
      <c r="U69" s="61">
        <f>SUM(D69/B69)</f>
        <v>9.6671105193075896E-2</v>
      </c>
      <c r="V69" s="61">
        <f>SUM(E69/B69)</f>
        <v>0.28468708388814912</v>
      </c>
      <c r="W69" s="61">
        <f>SUM(F69/B69)</f>
        <v>0.10825565912117177</v>
      </c>
      <c r="X69" s="61">
        <f t="shared" si="8"/>
        <v>7.7896138482023966E-2</v>
      </c>
      <c r="Y69" s="61">
        <f>SUM(H69/B69)</f>
        <v>9.4540612516644473E-2</v>
      </c>
      <c r="Z69" s="61">
        <f>SUM(I69/B69)</f>
        <v>0.12343541944074567</v>
      </c>
    </row>
    <row r="70" spans="1:26">
      <c r="A70" s="56" t="s">
        <v>277</v>
      </c>
      <c r="B70" s="54">
        <f>SUM(C70:I70)</f>
        <v>7932</v>
      </c>
      <c r="C70" s="55">
        <v>3651</v>
      </c>
      <c r="D70" s="55">
        <v>2059</v>
      </c>
      <c r="E70" s="55">
        <v>704</v>
      </c>
      <c r="F70" s="55">
        <v>471</v>
      </c>
      <c r="G70" s="55">
        <v>1047</v>
      </c>
      <c r="H70" s="55">
        <v>0</v>
      </c>
      <c r="I70" s="55">
        <v>0</v>
      </c>
      <c r="K70" s="54">
        <f>SUM(L70:R70)</f>
        <v>7</v>
      </c>
      <c r="L70" s="55">
        <v>4</v>
      </c>
      <c r="M70" s="55">
        <v>2</v>
      </c>
      <c r="N70" s="55">
        <v>0</v>
      </c>
      <c r="O70" s="55">
        <v>0</v>
      </c>
      <c r="P70" s="55">
        <v>1</v>
      </c>
      <c r="Q70" s="55">
        <v>0</v>
      </c>
      <c r="R70" s="55">
        <v>0</v>
      </c>
      <c r="T70" s="61">
        <f>SUM(C70/B70)</f>
        <v>0.4602874432677761</v>
      </c>
      <c r="U70" s="61">
        <f>SUM(D70/B70)</f>
        <v>0.25958144225920321</v>
      </c>
      <c r="V70" s="61">
        <f>SUM(E70/B70)</f>
        <v>8.8754412506303587E-2</v>
      </c>
      <c r="W70" s="61">
        <f>SUM(F70/B70)</f>
        <v>5.9379727685325262E-2</v>
      </c>
      <c r="X70" s="61">
        <f t="shared" si="8"/>
        <v>0.13199697428139184</v>
      </c>
      <c r="Y70" s="61">
        <f>SUM(H70/B70)</f>
        <v>0</v>
      </c>
      <c r="Z70" s="61">
        <f>SUM(I70/B70)</f>
        <v>0</v>
      </c>
    </row>
    <row r="71" spans="1:26" s="52" customFormat="1">
      <c r="A71" s="53" t="s">
        <v>1585</v>
      </c>
      <c r="B71" s="54">
        <f>SUM(B67:B70)</f>
        <v>28143</v>
      </c>
      <c r="C71" s="54">
        <f t="shared" ref="C71:N71" si="34">SUM(C67:C70)</f>
        <v>8827</v>
      </c>
      <c r="D71" s="54">
        <f>SUM(D67:D70)</f>
        <v>4871</v>
      </c>
      <c r="E71" s="54">
        <f t="shared" si="34"/>
        <v>6595</v>
      </c>
      <c r="F71" s="54">
        <f>SUM(F67:F70)</f>
        <v>3173</v>
      </c>
      <c r="G71" s="54">
        <f>SUM(G67:G70)</f>
        <v>1907</v>
      </c>
      <c r="H71" s="54">
        <f>SUM(H67:H70)</f>
        <v>1578</v>
      </c>
      <c r="I71" s="54">
        <f>SUM(I67:I70)</f>
        <v>1192</v>
      </c>
      <c r="J71" s="54"/>
      <c r="K71" s="54">
        <f t="shared" si="34"/>
        <v>25</v>
      </c>
      <c r="L71" s="54">
        <f t="shared" si="34"/>
        <v>10</v>
      </c>
      <c r="M71" s="54">
        <f t="shared" si="34"/>
        <v>4</v>
      </c>
      <c r="N71" s="54">
        <f t="shared" si="34"/>
        <v>6</v>
      </c>
      <c r="O71" s="54">
        <f>SUM(O67:O70)</f>
        <v>3</v>
      </c>
      <c r="P71" s="54">
        <f>SUM(P67:P70)</f>
        <v>1</v>
      </c>
      <c r="Q71" s="54">
        <f>SUM(Q67:Q70)</f>
        <v>1</v>
      </c>
      <c r="R71" s="54">
        <f>SUM(R67:R70)</f>
        <v>0</v>
      </c>
      <c r="T71" s="60">
        <f>SUM(C71/B71)</f>
        <v>0.3136481540702839</v>
      </c>
      <c r="U71" s="60">
        <f>SUM(D71/B71)</f>
        <v>0.17308033969370715</v>
      </c>
      <c r="V71" s="60">
        <f>SUM(E71/B71)</f>
        <v>0.23433891198521836</v>
      </c>
      <c r="W71" s="60">
        <f>SUM(F71/B71)</f>
        <v>0.11274562058060619</v>
      </c>
      <c r="X71" s="60">
        <f t="shared" si="8"/>
        <v>6.7761077354937291E-2</v>
      </c>
      <c r="Y71" s="60">
        <f>SUM(H71/B71)</f>
        <v>5.6070781366592048E-2</v>
      </c>
      <c r="Z71" s="60">
        <f>SUM(I71/B71)</f>
        <v>4.2355114948655084E-2</v>
      </c>
    </row>
    <row r="72" spans="1:26">
      <c r="A72" s="53"/>
      <c r="B72" s="54"/>
      <c r="C72" s="55"/>
      <c r="D72" s="55"/>
      <c r="E72" s="55"/>
      <c r="F72" s="55"/>
      <c r="G72" s="55"/>
      <c r="H72" s="55"/>
      <c r="I72" s="55"/>
      <c r="K72" s="54"/>
      <c r="L72" s="55"/>
      <c r="M72" s="55"/>
      <c r="N72" s="55"/>
      <c r="O72" s="55"/>
      <c r="P72" s="55"/>
      <c r="Q72" s="55"/>
      <c r="R72" s="55"/>
    </row>
    <row r="73" spans="1:26">
      <c r="A73" s="56" t="s">
        <v>278</v>
      </c>
      <c r="B73" s="54">
        <f>SUM(C73:I73)</f>
        <v>6222</v>
      </c>
      <c r="C73" s="55">
        <v>2255</v>
      </c>
      <c r="D73" s="55">
        <v>1109</v>
      </c>
      <c r="E73" s="55">
        <v>758</v>
      </c>
      <c r="F73" s="55">
        <v>555</v>
      </c>
      <c r="G73" s="55">
        <v>219</v>
      </c>
      <c r="H73" s="55">
        <v>0</v>
      </c>
      <c r="I73" s="55">
        <v>1326</v>
      </c>
      <c r="K73" s="54">
        <f>SUM(L73:R73)</f>
        <v>7</v>
      </c>
      <c r="L73" s="55">
        <v>3</v>
      </c>
      <c r="M73" s="55">
        <v>1</v>
      </c>
      <c r="N73" s="55">
        <v>1</v>
      </c>
      <c r="O73" s="55">
        <v>0</v>
      </c>
      <c r="P73" s="55">
        <v>0</v>
      </c>
      <c r="Q73" s="55">
        <v>0</v>
      </c>
      <c r="R73" s="55">
        <v>2</v>
      </c>
      <c r="T73" s="61">
        <f>SUM(C73/B73)</f>
        <v>0.36242365798778525</v>
      </c>
      <c r="U73" s="61">
        <f>SUM(D73/B73)</f>
        <v>0.17823850851816136</v>
      </c>
      <c r="V73" s="61">
        <f>SUM(E73/B73)</f>
        <v>0.12182577949212473</v>
      </c>
      <c r="W73" s="61">
        <f>SUM(F73/B73)</f>
        <v>8.9199614271938288E-2</v>
      </c>
      <c r="X73" s="61">
        <f t="shared" si="8"/>
        <v>3.5197685631629699E-2</v>
      </c>
      <c r="Y73" s="61">
        <f>SUM(H73/B73)</f>
        <v>0</v>
      </c>
      <c r="Z73" s="61">
        <f>SUM(I73/B73)</f>
        <v>0.21311475409836064</v>
      </c>
    </row>
    <row r="74" spans="1:26">
      <c r="A74" s="56" t="s">
        <v>279</v>
      </c>
      <c r="B74" s="54">
        <f>SUM(C74:I74)</f>
        <v>6212</v>
      </c>
      <c r="C74" s="55">
        <v>3595</v>
      </c>
      <c r="D74" s="55">
        <v>1046</v>
      </c>
      <c r="E74" s="55">
        <v>1106</v>
      </c>
      <c r="F74" s="55">
        <v>219</v>
      </c>
      <c r="G74" s="55">
        <v>246</v>
      </c>
      <c r="H74" s="55">
        <v>0</v>
      </c>
      <c r="I74" s="55">
        <v>0</v>
      </c>
      <c r="K74" s="54">
        <f>SUM(L74:R74)</f>
        <v>8</v>
      </c>
      <c r="L74" s="55">
        <v>5</v>
      </c>
      <c r="M74" s="55">
        <v>2</v>
      </c>
      <c r="N74" s="55">
        <v>1</v>
      </c>
      <c r="O74" s="55">
        <v>0</v>
      </c>
      <c r="P74" s="55">
        <v>0</v>
      </c>
      <c r="Q74" s="55">
        <v>0</v>
      </c>
      <c r="R74" s="55">
        <v>0</v>
      </c>
      <c r="T74" s="61">
        <f>SUM(C74/B74)</f>
        <v>0.57871860914359308</v>
      </c>
      <c r="U74" s="61">
        <f>SUM(D74/B74)</f>
        <v>0.16838377334191887</v>
      </c>
      <c r="V74" s="61">
        <f>SUM(E74/B74)</f>
        <v>0.17804249839021249</v>
      </c>
      <c r="W74" s="61">
        <f>SUM(F74/B74)</f>
        <v>3.5254346426271732E-2</v>
      </c>
      <c r="X74" s="61">
        <f t="shared" ref="X74:X133" si="35">SUM(G74/B74)</f>
        <v>3.9600772698003862E-2</v>
      </c>
      <c r="Y74" s="61">
        <f>SUM(H74/B74)</f>
        <v>0</v>
      </c>
      <c r="Z74" s="61">
        <f>SUM(I74/B74)</f>
        <v>0</v>
      </c>
    </row>
    <row r="75" spans="1:26" s="52" customFormat="1">
      <c r="A75" s="53" t="s">
        <v>1589</v>
      </c>
      <c r="B75" s="54">
        <f t="shared" ref="B75:I75" si="36">SUM(B73:B74)</f>
        <v>12434</v>
      </c>
      <c r="C75" s="54">
        <f t="shared" si="36"/>
        <v>5850</v>
      </c>
      <c r="D75" s="54">
        <f t="shared" si="36"/>
        <v>2155</v>
      </c>
      <c r="E75" s="54">
        <f t="shared" si="36"/>
        <v>1864</v>
      </c>
      <c r="F75" s="54">
        <f t="shared" si="36"/>
        <v>774</v>
      </c>
      <c r="G75" s="54">
        <f t="shared" si="36"/>
        <v>465</v>
      </c>
      <c r="H75" s="54">
        <f t="shared" si="36"/>
        <v>0</v>
      </c>
      <c r="I75" s="54">
        <f t="shared" si="36"/>
        <v>1326</v>
      </c>
      <c r="J75" s="54"/>
      <c r="K75" s="54">
        <f t="shared" ref="K75:R75" si="37">SUM(K73:K74)</f>
        <v>15</v>
      </c>
      <c r="L75" s="54">
        <f t="shared" si="37"/>
        <v>8</v>
      </c>
      <c r="M75" s="54">
        <f t="shared" si="37"/>
        <v>3</v>
      </c>
      <c r="N75" s="54">
        <f t="shared" si="37"/>
        <v>2</v>
      </c>
      <c r="O75" s="54">
        <f t="shared" si="37"/>
        <v>0</v>
      </c>
      <c r="P75" s="54">
        <f t="shared" si="37"/>
        <v>0</v>
      </c>
      <c r="Q75" s="54">
        <f t="shared" si="37"/>
        <v>0</v>
      </c>
      <c r="R75" s="54">
        <f t="shared" si="37"/>
        <v>2</v>
      </c>
      <c r="T75" s="60">
        <f>SUM(C75/B75)</f>
        <v>0.47048415634550428</v>
      </c>
      <c r="U75" s="60">
        <f>SUM(D75/B75)</f>
        <v>0.17331510374778833</v>
      </c>
      <c r="V75" s="60">
        <f>SUM(E75/B75)</f>
        <v>0.14991153289367862</v>
      </c>
      <c r="W75" s="60">
        <f>SUM(F75/B75)</f>
        <v>6.2248672993405182E-2</v>
      </c>
      <c r="X75" s="60">
        <f t="shared" si="35"/>
        <v>3.7397458581309315E-2</v>
      </c>
      <c r="Y75" s="60">
        <f>SUM(H75/B75)</f>
        <v>0</v>
      </c>
      <c r="Z75" s="60">
        <f>SUM(I75/B75)</f>
        <v>0.10664307543831431</v>
      </c>
    </row>
    <row r="76" spans="1:26">
      <c r="A76" s="53"/>
      <c r="B76" s="54"/>
      <c r="C76" s="55"/>
      <c r="D76" s="55"/>
      <c r="E76" s="55"/>
      <c r="F76" s="55"/>
      <c r="G76" s="55"/>
      <c r="H76" s="55"/>
      <c r="I76" s="55"/>
      <c r="K76" s="54"/>
      <c r="L76" s="55"/>
      <c r="M76" s="55"/>
      <c r="N76" s="55"/>
      <c r="O76" s="55"/>
      <c r="P76" s="55"/>
      <c r="Q76" s="55"/>
      <c r="R76" s="55"/>
    </row>
    <row r="77" spans="1:26">
      <c r="A77" s="56" t="s">
        <v>282</v>
      </c>
      <c r="B77" s="54">
        <f>SUM(C77:I77)</f>
        <v>6615</v>
      </c>
      <c r="C77" s="55">
        <v>3312</v>
      </c>
      <c r="D77" s="55">
        <v>0</v>
      </c>
      <c r="E77" s="55">
        <v>1314</v>
      </c>
      <c r="F77" s="55">
        <v>890</v>
      </c>
      <c r="G77" s="55">
        <v>569</v>
      </c>
      <c r="H77" s="55">
        <v>0</v>
      </c>
      <c r="I77" s="55">
        <v>530</v>
      </c>
      <c r="K77" s="54">
        <f>SUM(L77:R77)</f>
        <v>7</v>
      </c>
      <c r="L77" s="55">
        <v>4</v>
      </c>
      <c r="M77" s="55">
        <v>0</v>
      </c>
      <c r="N77" s="55">
        <v>2</v>
      </c>
      <c r="O77" s="55">
        <v>1</v>
      </c>
      <c r="P77" s="55">
        <v>0</v>
      </c>
      <c r="Q77" s="55">
        <v>0</v>
      </c>
      <c r="R77" s="55">
        <v>0</v>
      </c>
      <c r="T77" s="61">
        <f>SUM(C77/B77)</f>
        <v>0.50068027210884358</v>
      </c>
      <c r="U77" s="61">
        <f>SUM(D77/B77)</f>
        <v>0</v>
      </c>
      <c r="V77" s="61">
        <f>SUM(E77/B77)</f>
        <v>0.19863945578231293</v>
      </c>
      <c r="W77" s="61">
        <f>SUM(F77/B77)</f>
        <v>0.1345427059712774</v>
      </c>
      <c r="X77" s="61">
        <f t="shared" si="35"/>
        <v>8.6016628873771733E-2</v>
      </c>
      <c r="Y77" s="61">
        <f>SUM(H77/B77)</f>
        <v>0</v>
      </c>
      <c r="Z77" s="61">
        <f>SUM(I77/B77)</f>
        <v>8.0120937263794406E-2</v>
      </c>
    </row>
    <row r="78" spans="1:26">
      <c r="A78" s="56" t="s">
        <v>283</v>
      </c>
      <c r="B78" s="54">
        <f>SUM(C78:I78)</f>
        <v>7016</v>
      </c>
      <c r="C78" s="55">
        <v>1290</v>
      </c>
      <c r="D78" s="55">
        <v>0</v>
      </c>
      <c r="E78" s="55">
        <v>4128</v>
      </c>
      <c r="F78" s="55">
        <v>594</v>
      </c>
      <c r="G78" s="55">
        <v>0</v>
      </c>
      <c r="H78" s="55">
        <v>536</v>
      </c>
      <c r="I78" s="55">
        <v>468</v>
      </c>
      <c r="K78" s="54">
        <f>SUM(L78:R78)</f>
        <v>6</v>
      </c>
      <c r="L78" s="55">
        <v>1</v>
      </c>
      <c r="M78" s="55">
        <v>0</v>
      </c>
      <c r="N78" s="55">
        <v>4</v>
      </c>
      <c r="O78" s="55">
        <v>1</v>
      </c>
      <c r="P78" s="55">
        <v>0</v>
      </c>
      <c r="Q78" s="55">
        <v>0</v>
      </c>
      <c r="R78" s="55">
        <v>0</v>
      </c>
      <c r="T78" s="61">
        <f>SUM(C78/B78)</f>
        <v>0.1838654503990878</v>
      </c>
      <c r="U78" s="61">
        <f>SUM(D78/B78)</f>
        <v>0</v>
      </c>
      <c r="V78" s="61">
        <f>SUM(E78/B78)</f>
        <v>0.58836944127708091</v>
      </c>
      <c r="W78" s="61">
        <f>SUM(F78/B78)</f>
        <v>8.4663625997719497E-2</v>
      </c>
      <c r="X78" s="61">
        <f t="shared" si="35"/>
        <v>0</v>
      </c>
      <c r="Y78" s="61">
        <f>SUM(H78/B78)</f>
        <v>7.6396807297605479E-2</v>
      </c>
      <c r="Z78" s="61">
        <f>SUM(I78/B78)</f>
        <v>6.6704675028506272E-2</v>
      </c>
    </row>
    <row r="79" spans="1:26">
      <c r="A79" s="56" t="s">
        <v>284</v>
      </c>
      <c r="B79" s="54">
        <f>SUM(C79:I79)</f>
        <v>7127</v>
      </c>
      <c r="C79" s="55">
        <v>1918</v>
      </c>
      <c r="D79" s="55">
        <v>0</v>
      </c>
      <c r="E79" s="55">
        <v>3809</v>
      </c>
      <c r="F79" s="55">
        <v>962</v>
      </c>
      <c r="G79" s="55">
        <v>0</v>
      </c>
      <c r="H79" s="55">
        <v>0</v>
      </c>
      <c r="I79" s="55">
        <v>438</v>
      </c>
      <c r="K79" s="54">
        <f>SUM(L79:R79)</f>
        <v>7</v>
      </c>
      <c r="L79" s="55">
        <v>2</v>
      </c>
      <c r="M79" s="55">
        <v>0</v>
      </c>
      <c r="N79" s="55">
        <v>4</v>
      </c>
      <c r="O79" s="55">
        <v>1</v>
      </c>
      <c r="P79" s="55">
        <v>0</v>
      </c>
      <c r="Q79" s="55">
        <v>0</v>
      </c>
      <c r="R79" s="55">
        <v>0</v>
      </c>
      <c r="T79" s="61">
        <f>SUM(C79/B79)</f>
        <v>0.26911744071839483</v>
      </c>
      <c r="U79" s="61">
        <f>SUM(D79/B79)</f>
        <v>0</v>
      </c>
      <c r="V79" s="61">
        <f>SUM(E79/B79)</f>
        <v>0.53444647116598853</v>
      </c>
      <c r="W79" s="61">
        <f>SUM(F79/B79)</f>
        <v>0.13497965483373089</v>
      </c>
      <c r="X79" s="61">
        <f t="shared" si="35"/>
        <v>0</v>
      </c>
      <c r="Y79" s="61">
        <f>SUM(H79/B79)</f>
        <v>0</v>
      </c>
      <c r="Z79" s="61">
        <f>SUM(I79/B79)</f>
        <v>6.1456433281885783E-2</v>
      </c>
    </row>
    <row r="80" spans="1:26" s="52" customFormat="1">
      <c r="A80" s="53" t="s">
        <v>1594</v>
      </c>
      <c r="B80" s="54">
        <f t="shared" ref="B80:I80" si="38">SUM(B77:B79)</f>
        <v>20758</v>
      </c>
      <c r="C80" s="54">
        <f t="shared" si="38"/>
        <v>6520</v>
      </c>
      <c r="D80" s="54">
        <f t="shared" si="38"/>
        <v>0</v>
      </c>
      <c r="E80" s="54">
        <f t="shared" si="38"/>
        <v>9251</v>
      </c>
      <c r="F80" s="54">
        <f t="shared" si="38"/>
        <v>2446</v>
      </c>
      <c r="G80" s="54">
        <f t="shared" si="38"/>
        <v>569</v>
      </c>
      <c r="H80" s="54">
        <f t="shared" si="38"/>
        <v>536</v>
      </c>
      <c r="I80" s="54">
        <f t="shared" si="38"/>
        <v>1436</v>
      </c>
      <c r="J80" s="54"/>
      <c r="K80" s="54">
        <f t="shared" ref="K80:R80" si="39">SUM(K77:K79)</f>
        <v>20</v>
      </c>
      <c r="L80" s="54">
        <f t="shared" si="39"/>
        <v>7</v>
      </c>
      <c r="M80" s="54">
        <f t="shared" si="39"/>
        <v>0</v>
      </c>
      <c r="N80" s="54">
        <f t="shared" si="39"/>
        <v>10</v>
      </c>
      <c r="O80" s="54">
        <f t="shared" si="39"/>
        <v>3</v>
      </c>
      <c r="P80" s="54">
        <f t="shared" si="39"/>
        <v>0</v>
      </c>
      <c r="Q80" s="54">
        <f t="shared" si="39"/>
        <v>0</v>
      </c>
      <c r="R80" s="54">
        <f t="shared" si="39"/>
        <v>0</v>
      </c>
      <c r="T80" s="60">
        <f>SUM(C80/B80)</f>
        <v>0.3140957703054244</v>
      </c>
      <c r="U80" s="60">
        <f>SUM(D80/B80)</f>
        <v>0</v>
      </c>
      <c r="V80" s="60">
        <f>SUM(E80/B80)</f>
        <v>0.4456595047692456</v>
      </c>
      <c r="W80" s="60">
        <f>SUM(F80/B80)</f>
        <v>0.11783408806243376</v>
      </c>
      <c r="X80" s="60">
        <f t="shared" si="35"/>
        <v>2.7411118604875228E-2</v>
      </c>
      <c r="Y80" s="60">
        <f>SUM(H80/B80)</f>
        <v>2.5821370074188266E-2</v>
      </c>
      <c r="Z80" s="60">
        <f>SUM(I80/B80)</f>
        <v>6.9178148183832736E-2</v>
      </c>
    </row>
    <row r="81" spans="1:26">
      <c r="A81" s="53"/>
      <c r="B81" s="54"/>
      <c r="C81" s="55"/>
      <c r="D81" s="55"/>
      <c r="E81" s="55"/>
      <c r="F81" s="55"/>
      <c r="G81" s="55"/>
      <c r="H81" s="55"/>
      <c r="I81" s="55"/>
      <c r="K81" s="54"/>
      <c r="L81" s="55"/>
      <c r="M81" s="55"/>
      <c r="N81" s="55"/>
      <c r="O81" s="55"/>
      <c r="P81" s="55"/>
      <c r="Q81" s="55"/>
      <c r="R81" s="55"/>
    </row>
    <row r="82" spans="1:26">
      <c r="A82" s="56" t="s">
        <v>285</v>
      </c>
      <c r="B82" s="54">
        <f>SUM(C82:I82)</f>
        <v>3456</v>
      </c>
      <c r="C82" s="55">
        <v>1724</v>
      </c>
      <c r="D82" s="55">
        <v>695</v>
      </c>
      <c r="E82" s="55">
        <v>687</v>
      </c>
      <c r="F82" s="55">
        <v>242</v>
      </c>
      <c r="G82" s="55">
        <v>108</v>
      </c>
      <c r="H82" s="55">
        <v>0</v>
      </c>
      <c r="I82" s="55">
        <v>0</v>
      </c>
      <c r="K82" s="54">
        <f>SUM(L82:R82)</f>
        <v>4</v>
      </c>
      <c r="L82" s="55">
        <v>2</v>
      </c>
      <c r="M82" s="55">
        <v>1</v>
      </c>
      <c r="N82" s="55">
        <v>1</v>
      </c>
      <c r="O82" s="55">
        <v>0</v>
      </c>
      <c r="P82" s="55">
        <v>0</v>
      </c>
      <c r="Q82" s="55">
        <v>0</v>
      </c>
      <c r="R82" s="55">
        <v>0</v>
      </c>
      <c r="T82" s="61">
        <f t="shared" ref="T82:T87" si="40">SUM(C82/B82)</f>
        <v>0.49884259259259262</v>
      </c>
      <c r="U82" s="61">
        <f t="shared" ref="U82:U87" si="41">SUM(D82/B82)</f>
        <v>0.20109953703703703</v>
      </c>
      <c r="V82" s="61">
        <f t="shared" ref="V82:V87" si="42">SUM(E82/B82)</f>
        <v>0.19878472222222221</v>
      </c>
      <c r="W82" s="61">
        <f t="shared" ref="W82:W87" si="43">SUM(F82/B82)</f>
        <v>7.0023148148148154E-2</v>
      </c>
      <c r="X82" s="61">
        <f t="shared" si="35"/>
        <v>3.125E-2</v>
      </c>
      <c r="Y82" s="61">
        <f t="shared" ref="Y82:Y87" si="44">SUM(H82/B82)</f>
        <v>0</v>
      </c>
      <c r="Z82" s="61">
        <f t="shared" ref="Z82:Z87" si="45">SUM(I82/B82)</f>
        <v>0</v>
      </c>
    </row>
    <row r="83" spans="1:26">
      <c r="A83" s="56" t="s">
        <v>286</v>
      </c>
      <c r="B83" s="54">
        <f>SUM(C83:I83)</f>
        <v>4340</v>
      </c>
      <c r="C83" s="55">
        <v>1405</v>
      </c>
      <c r="D83" s="55">
        <v>1492</v>
      </c>
      <c r="E83" s="55">
        <v>0</v>
      </c>
      <c r="F83" s="55">
        <v>656</v>
      </c>
      <c r="G83" s="55">
        <v>787</v>
      </c>
      <c r="H83" s="55">
        <v>0</v>
      </c>
      <c r="I83" s="55">
        <v>0</v>
      </c>
      <c r="K83" s="54">
        <f>SUM(L83:R83)</f>
        <v>5</v>
      </c>
      <c r="L83" s="55">
        <v>2</v>
      </c>
      <c r="M83" s="55">
        <v>2</v>
      </c>
      <c r="N83" s="55">
        <v>0</v>
      </c>
      <c r="O83" s="55">
        <v>0</v>
      </c>
      <c r="P83" s="55">
        <v>1</v>
      </c>
      <c r="Q83" s="55">
        <v>0</v>
      </c>
      <c r="R83" s="55">
        <v>0</v>
      </c>
      <c r="T83" s="61">
        <f t="shared" si="40"/>
        <v>0.32373271889400923</v>
      </c>
      <c r="U83" s="61">
        <f t="shared" si="41"/>
        <v>0.34377880184331799</v>
      </c>
      <c r="V83" s="61">
        <f t="shared" si="42"/>
        <v>0</v>
      </c>
      <c r="W83" s="61">
        <f t="shared" si="43"/>
        <v>0.15115207373271888</v>
      </c>
      <c r="X83" s="61">
        <f t="shared" si="35"/>
        <v>0.18133640552995392</v>
      </c>
      <c r="Y83" s="61">
        <f t="shared" si="44"/>
        <v>0</v>
      </c>
      <c r="Z83" s="61">
        <f t="shared" si="45"/>
        <v>0</v>
      </c>
    </row>
    <row r="84" spans="1:26">
      <c r="A84" s="56" t="s">
        <v>287</v>
      </c>
      <c r="B84" s="54">
        <f>SUM(C84:I84)</f>
        <v>5232</v>
      </c>
      <c r="C84" s="55">
        <v>1291</v>
      </c>
      <c r="D84" s="55">
        <v>1621</v>
      </c>
      <c r="E84" s="55">
        <v>0</v>
      </c>
      <c r="F84" s="55">
        <v>1175</v>
      </c>
      <c r="G84" s="55">
        <v>704</v>
      </c>
      <c r="H84" s="55">
        <v>0</v>
      </c>
      <c r="I84" s="55">
        <v>441</v>
      </c>
      <c r="K84" s="54">
        <f>SUM(L84:R84)</f>
        <v>5</v>
      </c>
      <c r="L84" s="55">
        <v>2</v>
      </c>
      <c r="M84" s="55">
        <v>1</v>
      </c>
      <c r="N84" s="55">
        <v>0</v>
      </c>
      <c r="O84" s="55">
        <v>1</v>
      </c>
      <c r="P84" s="55">
        <v>1</v>
      </c>
      <c r="Q84" s="55">
        <v>0</v>
      </c>
      <c r="R84" s="55">
        <v>0</v>
      </c>
      <c r="T84" s="61">
        <f t="shared" si="40"/>
        <v>0.24675076452599387</v>
      </c>
      <c r="U84" s="61">
        <f t="shared" si="41"/>
        <v>0.30982415902140675</v>
      </c>
      <c r="V84" s="61">
        <f t="shared" si="42"/>
        <v>0</v>
      </c>
      <c r="W84" s="61">
        <f t="shared" si="43"/>
        <v>0.2245795107033639</v>
      </c>
      <c r="X84" s="61">
        <f t="shared" si="35"/>
        <v>0.13455657492354739</v>
      </c>
      <c r="Y84" s="61">
        <f t="shared" si="44"/>
        <v>0</v>
      </c>
      <c r="Z84" s="61">
        <f t="shared" si="45"/>
        <v>8.4288990825688068E-2</v>
      </c>
    </row>
    <row r="85" spans="1:26">
      <c r="A85" s="56" t="s">
        <v>288</v>
      </c>
      <c r="B85" s="54">
        <f>SUM(C85:I85)</f>
        <v>6823</v>
      </c>
      <c r="C85" s="55">
        <v>1426</v>
      </c>
      <c r="D85" s="55">
        <v>1758</v>
      </c>
      <c r="E85" s="55">
        <v>0</v>
      </c>
      <c r="F85" s="55">
        <v>1599</v>
      </c>
      <c r="G85" s="55">
        <v>282</v>
      </c>
      <c r="H85" s="55">
        <v>0</v>
      </c>
      <c r="I85" s="55">
        <v>1758</v>
      </c>
      <c r="K85" s="54">
        <f>SUM(L85:R85)</f>
        <v>5</v>
      </c>
      <c r="L85" s="55">
        <v>2</v>
      </c>
      <c r="M85" s="55">
        <v>1</v>
      </c>
      <c r="N85" s="55">
        <v>0</v>
      </c>
      <c r="O85" s="55">
        <v>1</v>
      </c>
      <c r="P85" s="55">
        <v>0</v>
      </c>
      <c r="Q85" s="55">
        <v>0</v>
      </c>
      <c r="R85" s="55">
        <v>1</v>
      </c>
      <c r="T85" s="61">
        <f t="shared" si="40"/>
        <v>0.20899897405833212</v>
      </c>
      <c r="U85" s="61">
        <f t="shared" si="41"/>
        <v>0.25765792173530705</v>
      </c>
      <c r="V85" s="61">
        <f t="shared" si="42"/>
        <v>0</v>
      </c>
      <c r="W85" s="61">
        <f t="shared" si="43"/>
        <v>0.23435438956470761</v>
      </c>
      <c r="X85" s="61">
        <f t="shared" si="35"/>
        <v>4.1330792906346184E-2</v>
      </c>
      <c r="Y85" s="61">
        <f t="shared" si="44"/>
        <v>0</v>
      </c>
      <c r="Z85" s="61">
        <f t="shared" si="45"/>
        <v>0.25765792173530705</v>
      </c>
    </row>
    <row r="86" spans="1:26">
      <c r="A86" s="56" t="s">
        <v>289</v>
      </c>
      <c r="B86" s="54">
        <f>SUM(C86:I86)</f>
        <v>5445</v>
      </c>
      <c r="C86" s="55">
        <v>1425</v>
      </c>
      <c r="D86" s="55">
        <v>1158</v>
      </c>
      <c r="E86" s="55">
        <v>876</v>
      </c>
      <c r="F86" s="55">
        <v>1492</v>
      </c>
      <c r="G86" s="55">
        <v>189</v>
      </c>
      <c r="H86" s="55">
        <v>305</v>
      </c>
      <c r="I86" s="55">
        <v>0</v>
      </c>
      <c r="K86" s="54">
        <f>SUM(L86:R86)</f>
        <v>4</v>
      </c>
      <c r="L86" s="55">
        <v>1</v>
      </c>
      <c r="M86" s="55">
        <v>1</v>
      </c>
      <c r="N86" s="55">
        <v>1</v>
      </c>
      <c r="O86" s="55">
        <v>1</v>
      </c>
      <c r="P86" s="55">
        <v>0</v>
      </c>
      <c r="Q86" s="55">
        <v>0</v>
      </c>
      <c r="R86" s="55">
        <v>0</v>
      </c>
      <c r="T86" s="61">
        <f t="shared" si="40"/>
        <v>0.26170798898071623</v>
      </c>
      <c r="U86" s="61">
        <f t="shared" si="41"/>
        <v>0.21267217630853993</v>
      </c>
      <c r="V86" s="61">
        <f t="shared" si="42"/>
        <v>0.16088154269972452</v>
      </c>
      <c r="W86" s="61">
        <f t="shared" si="43"/>
        <v>0.27401285583103763</v>
      </c>
      <c r="X86" s="61">
        <f t="shared" si="35"/>
        <v>3.4710743801652892E-2</v>
      </c>
      <c r="Y86" s="61">
        <f t="shared" si="44"/>
        <v>5.6014692378328741E-2</v>
      </c>
      <c r="Z86" s="61">
        <f t="shared" si="45"/>
        <v>0</v>
      </c>
    </row>
    <row r="87" spans="1:26" s="52" customFormat="1">
      <c r="A87" s="53" t="s">
        <v>1600</v>
      </c>
      <c r="B87" s="54">
        <f>SUM(B82:B86)</f>
        <v>25296</v>
      </c>
      <c r="C87" s="54">
        <f t="shared" ref="C87:N87" si="46">SUM(C82:C86)</f>
        <v>7271</v>
      </c>
      <c r="D87" s="54">
        <f>SUM(D82:D86)</f>
        <v>6724</v>
      </c>
      <c r="E87" s="54">
        <f t="shared" si="46"/>
        <v>1563</v>
      </c>
      <c r="F87" s="54">
        <f>SUM(F82:F86)</f>
        <v>5164</v>
      </c>
      <c r="G87" s="54">
        <f>SUM(G82:G86)</f>
        <v>2070</v>
      </c>
      <c r="H87" s="54">
        <f>SUM(H82:H86)</f>
        <v>305</v>
      </c>
      <c r="I87" s="54">
        <f>SUM(I82:I86)</f>
        <v>2199</v>
      </c>
      <c r="J87" s="54"/>
      <c r="K87" s="54">
        <f t="shared" si="46"/>
        <v>23</v>
      </c>
      <c r="L87" s="54">
        <f t="shared" si="46"/>
        <v>9</v>
      </c>
      <c r="M87" s="54">
        <f t="shared" si="46"/>
        <v>6</v>
      </c>
      <c r="N87" s="54">
        <f t="shared" si="46"/>
        <v>2</v>
      </c>
      <c r="O87" s="54">
        <f>SUM(O82:O86)</f>
        <v>3</v>
      </c>
      <c r="P87" s="54">
        <f>SUM(P82:P86)</f>
        <v>2</v>
      </c>
      <c r="Q87" s="54">
        <f>SUM(Q82:Q86)</f>
        <v>0</v>
      </c>
      <c r="R87" s="54">
        <f>SUM(R82:R86)</f>
        <v>1</v>
      </c>
      <c r="T87" s="60">
        <f t="shared" si="40"/>
        <v>0.28743674889310561</v>
      </c>
      <c r="U87" s="60">
        <f t="shared" si="41"/>
        <v>0.26581277672359266</v>
      </c>
      <c r="V87" s="60">
        <f t="shared" si="42"/>
        <v>6.1788425047438332E-2</v>
      </c>
      <c r="W87" s="60">
        <f t="shared" si="43"/>
        <v>0.20414294750158127</v>
      </c>
      <c r="X87" s="60">
        <f t="shared" si="35"/>
        <v>8.1831119544592032E-2</v>
      </c>
      <c r="Y87" s="60">
        <f t="shared" si="44"/>
        <v>1.2057242251739405E-2</v>
      </c>
      <c r="Z87" s="60">
        <f t="shared" si="45"/>
        <v>8.6930740037950663E-2</v>
      </c>
    </row>
    <row r="88" spans="1:26">
      <c r="A88" s="53"/>
      <c r="B88" s="54"/>
      <c r="C88" s="55"/>
      <c r="D88" s="55"/>
      <c r="E88" s="55"/>
      <c r="F88" s="55"/>
      <c r="G88" s="55"/>
      <c r="H88" s="55"/>
      <c r="I88" s="55"/>
      <c r="K88" s="54"/>
      <c r="L88" s="55"/>
      <c r="M88" s="55"/>
      <c r="N88" s="55"/>
      <c r="O88" s="55"/>
      <c r="P88" s="55"/>
      <c r="Q88" s="55"/>
      <c r="R88" s="55"/>
    </row>
    <row r="89" spans="1:26">
      <c r="A89" s="56" t="s">
        <v>310</v>
      </c>
      <c r="B89" s="54">
        <f>SUM(C89:I89)</f>
        <v>6566</v>
      </c>
      <c r="C89" s="55">
        <v>2110</v>
      </c>
      <c r="D89" s="55">
        <v>981</v>
      </c>
      <c r="E89" s="55">
        <v>964</v>
      </c>
      <c r="F89" s="55">
        <v>1529</v>
      </c>
      <c r="G89" s="55">
        <v>0</v>
      </c>
      <c r="H89" s="55">
        <v>0</v>
      </c>
      <c r="I89" s="55">
        <v>982</v>
      </c>
      <c r="K89" s="54">
        <f>SUM(L89:R89)</f>
        <v>7</v>
      </c>
      <c r="L89" s="55">
        <v>3</v>
      </c>
      <c r="M89" s="55">
        <v>1</v>
      </c>
      <c r="N89" s="55">
        <v>1</v>
      </c>
      <c r="O89" s="55">
        <v>2</v>
      </c>
      <c r="P89" s="55">
        <v>0</v>
      </c>
      <c r="Q89" s="55">
        <v>0</v>
      </c>
      <c r="R89" s="55">
        <v>0</v>
      </c>
      <c r="T89" s="61">
        <f>SUM(C89/B89)</f>
        <v>0.3213524215656412</v>
      </c>
      <c r="U89" s="61">
        <f>SUM(D89/B89)</f>
        <v>0.14940603106914407</v>
      </c>
      <c r="V89" s="61">
        <f>SUM(E89/B89)</f>
        <v>0.14681693572951568</v>
      </c>
      <c r="W89" s="61">
        <f>SUM(F89/B89)</f>
        <v>0.2328662808406945</v>
      </c>
      <c r="X89" s="61">
        <f t="shared" si="35"/>
        <v>0</v>
      </c>
      <c r="Y89" s="61">
        <f>SUM(H89/B89)</f>
        <v>0</v>
      </c>
      <c r="Z89" s="61">
        <f>SUM(I89/B89)</f>
        <v>0.14955833079500458</v>
      </c>
    </row>
    <row r="90" spans="1:26">
      <c r="A90" s="56" t="s">
        <v>311</v>
      </c>
      <c r="B90" s="54">
        <f>SUM(C90:I90)</f>
        <v>5995</v>
      </c>
      <c r="C90" s="55">
        <v>1805</v>
      </c>
      <c r="D90" s="55">
        <v>780</v>
      </c>
      <c r="E90" s="55">
        <v>0</v>
      </c>
      <c r="F90" s="55">
        <v>1269</v>
      </c>
      <c r="G90" s="55">
        <v>0</v>
      </c>
      <c r="H90" s="55">
        <v>0</v>
      </c>
      <c r="I90" s="55">
        <v>2141</v>
      </c>
      <c r="K90" s="54">
        <f>SUM(L90:R90)</f>
        <v>6</v>
      </c>
      <c r="L90" s="55">
        <v>2</v>
      </c>
      <c r="M90" s="55">
        <v>1</v>
      </c>
      <c r="N90" s="55">
        <v>0</v>
      </c>
      <c r="O90" s="55">
        <v>2</v>
      </c>
      <c r="P90" s="55">
        <v>0</v>
      </c>
      <c r="Q90" s="55">
        <v>0</v>
      </c>
      <c r="R90" s="55">
        <v>1</v>
      </c>
      <c r="T90" s="61">
        <f>SUM(C90/B90)</f>
        <v>0.30108423686405339</v>
      </c>
      <c r="U90" s="61">
        <f>SUM(D90/B90)</f>
        <v>0.13010842368640535</v>
      </c>
      <c r="V90" s="61">
        <f>SUM(E90/B90)</f>
        <v>0</v>
      </c>
      <c r="W90" s="61">
        <f>SUM(F90/B90)</f>
        <v>0.21167639699749791</v>
      </c>
      <c r="X90" s="61">
        <f t="shared" si="35"/>
        <v>0</v>
      </c>
      <c r="Y90" s="61">
        <f>SUM(H90/B90)</f>
        <v>0</v>
      </c>
      <c r="Z90" s="61">
        <f>SUM(I90/B90)</f>
        <v>0.35713094245204335</v>
      </c>
    </row>
    <row r="91" spans="1:26">
      <c r="A91" s="56" t="s">
        <v>312</v>
      </c>
      <c r="B91" s="54">
        <f>SUM(C91:I91)</f>
        <v>4295</v>
      </c>
      <c r="C91" s="55">
        <v>1453</v>
      </c>
      <c r="D91" s="55">
        <v>561</v>
      </c>
      <c r="E91" s="55">
        <v>0</v>
      </c>
      <c r="F91" s="55">
        <v>709</v>
      </c>
      <c r="G91" s="55">
        <v>170</v>
      </c>
      <c r="H91" s="55">
        <v>0</v>
      </c>
      <c r="I91" s="55">
        <v>1402</v>
      </c>
      <c r="K91" s="54">
        <f>SUM(L91:R91)</f>
        <v>4</v>
      </c>
      <c r="L91" s="55">
        <v>1</v>
      </c>
      <c r="M91" s="55">
        <v>1</v>
      </c>
      <c r="N91" s="55">
        <v>0</v>
      </c>
      <c r="O91" s="55">
        <v>1</v>
      </c>
      <c r="P91" s="55">
        <v>0</v>
      </c>
      <c r="Q91" s="55">
        <v>0</v>
      </c>
      <c r="R91" s="55">
        <v>1</v>
      </c>
      <c r="T91" s="61">
        <f>SUM(C91/B91)</f>
        <v>0.33830034924330615</v>
      </c>
      <c r="U91" s="61">
        <f>SUM(D91/B91)</f>
        <v>0.13061699650756695</v>
      </c>
      <c r="V91" s="61">
        <f>SUM(E91/B91)</f>
        <v>0</v>
      </c>
      <c r="W91" s="61">
        <f>SUM(F91/B91)</f>
        <v>0.1650756693830035</v>
      </c>
      <c r="X91" s="61">
        <f t="shared" si="35"/>
        <v>3.9580908032596042E-2</v>
      </c>
      <c r="Y91" s="61">
        <f>SUM(H91/B91)</f>
        <v>0</v>
      </c>
      <c r="Z91" s="61">
        <f>SUM(I91/B91)</f>
        <v>0.32642607683352737</v>
      </c>
    </row>
    <row r="92" spans="1:26" s="52" customFormat="1">
      <c r="A92" s="53" t="s">
        <v>1605</v>
      </c>
      <c r="B92" s="54">
        <f t="shared" ref="B92:I92" si="47">SUM(B89:B91)</f>
        <v>16856</v>
      </c>
      <c r="C92" s="54">
        <f t="shared" si="47"/>
        <v>5368</v>
      </c>
      <c r="D92" s="54">
        <f t="shared" si="47"/>
        <v>2322</v>
      </c>
      <c r="E92" s="54">
        <f t="shared" si="47"/>
        <v>964</v>
      </c>
      <c r="F92" s="54">
        <f t="shared" si="47"/>
        <v>3507</v>
      </c>
      <c r="G92" s="54">
        <f t="shared" si="47"/>
        <v>170</v>
      </c>
      <c r="H92" s="54">
        <f t="shared" si="47"/>
        <v>0</v>
      </c>
      <c r="I92" s="54">
        <f t="shared" si="47"/>
        <v>4525</v>
      </c>
      <c r="J92" s="54"/>
      <c r="K92" s="54">
        <f t="shared" ref="K92:R92" si="48">SUM(K89:K91)</f>
        <v>17</v>
      </c>
      <c r="L92" s="54">
        <f t="shared" si="48"/>
        <v>6</v>
      </c>
      <c r="M92" s="54">
        <f t="shared" si="48"/>
        <v>3</v>
      </c>
      <c r="N92" s="54">
        <f t="shared" si="48"/>
        <v>1</v>
      </c>
      <c r="O92" s="54">
        <f t="shared" si="48"/>
        <v>5</v>
      </c>
      <c r="P92" s="54">
        <f t="shared" si="48"/>
        <v>0</v>
      </c>
      <c r="Q92" s="54">
        <f t="shared" si="48"/>
        <v>0</v>
      </c>
      <c r="R92" s="54">
        <f t="shared" si="48"/>
        <v>2</v>
      </c>
      <c r="T92" s="60">
        <f>SUM(C92/B92)</f>
        <v>0.31846226862838156</v>
      </c>
      <c r="U92" s="60">
        <f>SUM(D92/B92)</f>
        <v>0.13775510204081631</v>
      </c>
      <c r="V92" s="60">
        <f>SUM(E92/B92)</f>
        <v>5.719031798766018E-2</v>
      </c>
      <c r="W92" s="60">
        <f>SUM(F92/B92)</f>
        <v>0.2080564784053156</v>
      </c>
      <c r="X92" s="60">
        <f t="shared" si="35"/>
        <v>1.0085429520645468E-2</v>
      </c>
      <c r="Y92" s="60">
        <f>SUM(H92/B92)</f>
        <v>0</v>
      </c>
      <c r="Z92" s="60">
        <f>SUM(I92/B92)</f>
        <v>0.26845040341718085</v>
      </c>
    </row>
    <row r="93" spans="1:26">
      <c r="A93" s="53"/>
      <c r="B93" s="54"/>
      <c r="C93" s="55"/>
      <c r="D93" s="55"/>
      <c r="E93" s="55"/>
      <c r="F93" s="55"/>
      <c r="G93" s="55"/>
      <c r="H93" s="55"/>
      <c r="I93" s="55"/>
      <c r="J93" s="55"/>
      <c r="K93" s="54"/>
      <c r="L93" s="55"/>
      <c r="M93" s="55"/>
      <c r="N93" s="55"/>
      <c r="O93" s="55"/>
      <c r="P93" s="55"/>
      <c r="Q93" s="55"/>
      <c r="R93" s="55"/>
    </row>
    <row r="94" spans="1:26">
      <c r="A94" s="56" t="s">
        <v>313</v>
      </c>
      <c r="B94" s="54">
        <f>SUM(C94:I94)</f>
        <v>5786</v>
      </c>
      <c r="C94" s="55">
        <v>992</v>
      </c>
      <c r="D94" s="55">
        <v>626</v>
      </c>
      <c r="E94" s="55">
        <v>0</v>
      </c>
      <c r="F94" s="55">
        <v>2153</v>
      </c>
      <c r="G94" s="55">
        <v>0</v>
      </c>
      <c r="H94" s="55">
        <v>0</v>
      </c>
      <c r="I94" s="55">
        <v>2015</v>
      </c>
      <c r="K94" s="54">
        <f>SUM(L94:R94)</f>
        <v>5</v>
      </c>
      <c r="L94" s="55">
        <v>1</v>
      </c>
      <c r="M94" s="55">
        <v>0</v>
      </c>
      <c r="N94" s="55">
        <v>0</v>
      </c>
      <c r="O94" s="55">
        <v>2</v>
      </c>
      <c r="P94" s="55">
        <v>0</v>
      </c>
      <c r="Q94" s="55">
        <v>0</v>
      </c>
      <c r="R94" s="55">
        <v>2</v>
      </c>
      <c r="T94" s="61">
        <f>SUM(C94/B94)</f>
        <v>0.17144832353957828</v>
      </c>
      <c r="U94" s="61">
        <f>SUM(D94/B94)</f>
        <v>0.10819218804009678</v>
      </c>
      <c r="V94" s="61">
        <f>SUM(E94/B94)</f>
        <v>0</v>
      </c>
      <c r="W94" s="61">
        <f>SUM(F94/B94)</f>
        <v>0.37210508123055652</v>
      </c>
      <c r="X94" s="61">
        <f t="shared" si="35"/>
        <v>0</v>
      </c>
      <c r="Y94" s="61">
        <f>SUM(H94/B94)</f>
        <v>0</v>
      </c>
      <c r="Z94" s="61">
        <f>SUM(I94/B94)</f>
        <v>0.34825440718976841</v>
      </c>
    </row>
    <row r="95" spans="1:26">
      <c r="A95" s="56" t="s">
        <v>314</v>
      </c>
      <c r="B95" s="54">
        <f>SUM(C95:I95)</f>
        <v>4573</v>
      </c>
      <c r="C95" s="55">
        <v>1534</v>
      </c>
      <c r="D95" s="55">
        <v>598</v>
      </c>
      <c r="E95" s="55">
        <v>0</v>
      </c>
      <c r="F95" s="55">
        <v>1270</v>
      </c>
      <c r="G95" s="55">
        <v>0</v>
      </c>
      <c r="H95" s="55">
        <v>0</v>
      </c>
      <c r="I95" s="55">
        <v>1171</v>
      </c>
      <c r="K95" s="54">
        <f>SUM(L95:R95)</f>
        <v>5</v>
      </c>
      <c r="L95" s="55">
        <v>2</v>
      </c>
      <c r="M95" s="55">
        <v>1</v>
      </c>
      <c r="N95" s="55">
        <v>0</v>
      </c>
      <c r="O95" s="55">
        <v>1</v>
      </c>
      <c r="P95" s="55">
        <v>0</v>
      </c>
      <c r="Q95" s="55">
        <v>0</v>
      </c>
      <c r="R95" s="55">
        <v>1</v>
      </c>
      <c r="T95" s="61">
        <f>SUM(C95/B95)</f>
        <v>0.33544719002842771</v>
      </c>
      <c r="U95" s="61">
        <f>SUM(D95/B95)</f>
        <v>0.13076754865514978</v>
      </c>
      <c r="V95" s="61">
        <f>SUM(E95/B95)</f>
        <v>0</v>
      </c>
      <c r="W95" s="61">
        <f>SUM(F95/B95)</f>
        <v>0.27771703476929804</v>
      </c>
      <c r="X95" s="61">
        <f t="shared" si="35"/>
        <v>0</v>
      </c>
      <c r="Y95" s="61">
        <f>SUM(H95/B95)</f>
        <v>0</v>
      </c>
      <c r="Z95" s="61">
        <f>SUM(I95/B95)</f>
        <v>0.25606822654712441</v>
      </c>
    </row>
    <row r="96" spans="1:26">
      <c r="A96" s="56" t="s">
        <v>315</v>
      </c>
      <c r="B96" s="54">
        <f>SUM(C96:I96)</f>
        <v>4520</v>
      </c>
      <c r="C96" s="55">
        <v>1211</v>
      </c>
      <c r="D96" s="55">
        <v>401</v>
      </c>
      <c r="E96" s="55">
        <v>0</v>
      </c>
      <c r="F96" s="55">
        <v>1989</v>
      </c>
      <c r="G96" s="55">
        <v>0</v>
      </c>
      <c r="H96" s="55">
        <v>0</v>
      </c>
      <c r="I96" s="55">
        <v>919</v>
      </c>
      <c r="K96" s="54">
        <f>SUM(L96:R96)</f>
        <v>5</v>
      </c>
      <c r="L96" s="55">
        <v>2</v>
      </c>
      <c r="M96" s="55">
        <v>0</v>
      </c>
      <c r="N96" s="55">
        <v>0</v>
      </c>
      <c r="O96" s="55">
        <v>2</v>
      </c>
      <c r="P96" s="55">
        <v>0</v>
      </c>
      <c r="Q96" s="55">
        <v>0</v>
      </c>
      <c r="R96" s="55">
        <v>1</v>
      </c>
      <c r="T96" s="61">
        <f>SUM(C96/B96)</f>
        <v>0.26792035398230091</v>
      </c>
      <c r="U96" s="61">
        <f>SUM(D96/B96)</f>
        <v>8.8716814159292029E-2</v>
      </c>
      <c r="V96" s="61">
        <f>SUM(E96/B96)</f>
        <v>0</v>
      </c>
      <c r="W96" s="61">
        <f>SUM(F96/B96)</f>
        <v>0.44004424778761064</v>
      </c>
      <c r="X96" s="61">
        <f t="shared" si="35"/>
        <v>0</v>
      </c>
      <c r="Y96" s="61">
        <f>SUM(H96/B96)</f>
        <v>0</v>
      </c>
      <c r="Z96" s="61">
        <f>SUM(I96/B96)</f>
        <v>0.20331858407079645</v>
      </c>
    </row>
    <row r="97" spans="1:26">
      <c r="A97" s="56" t="s">
        <v>316</v>
      </c>
      <c r="B97" s="54">
        <f>SUM(C97:I97)</f>
        <v>4241</v>
      </c>
      <c r="C97" s="55">
        <v>1483</v>
      </c>
      <c r="D97" s="55">
        <v>0</v>
      </c>
      <c r="E97" s="55">
        <v>0</v>
      </c>
      <c r="F97" s="55">
        <v>1952</v>
      </c>
      <c r="G97" s="55">
        <v>593</v>
      </c>
      <c r="H97" s="55">
        <v>0</v>
      </c>
      <c r="I97" s="55">
        <v>213</v>
      </c>
      <c r="K97" s="54">
        <f>SUM(L97:R97)</f>
        <v>5</v>
      </c>
      <c r="L97" s="55">
        <v>2</v>
      </c>
      <c r="M97" s="55">
        <v>0</v>
      </c>
      <c r="N97" s="55">
        <v>0</v>
      </c>
      <c r="O97" s="55">
        <v>2</v>
      </c>
      <c r="P97" s="55">
        <v>1</v>
      </c>
      <c r="Q97" s="55">
        <v>0</v>
      </c>
      <c r="R97" s="55">
        <v>0</v>
      </c>
      <c r="T97" s="61">
        <f>SUM(C97/B97)</f>
        <v>0.34968167884932799</v>
      </c>
      <c r="U97" s="61">
        <f>SUM(D97/B97)</f>
        <v>0</v>
      </c>
      <c r="V97" s="61">
        <f>SUM(E97/B97)</f>
        <v>0</v>
      </c>
      <c r="W97" s="61">
        <f>SUM(F97/B97)</f>
        <v>0.46026880452723412</v>
      </c>
      <c r="X97" s="61">
        <f t="shared" si="35"/>
        <v>0.13982551285074274</v>
      </c>
      <c r="Y97" s="61">
        <f>SUM(H97/B97)</f>
        <v>0</v>
      </c>
      <c r="Z97" s="61">
        <f>SUM(I97/B97)</f>
        <v>5.0224003772695119E-2</v>
      </c>
    </row>
    <row r="98" spans="1:26" s="52" customFormat="1">
      <c r="A98" s="53" t="s">
        <v>1610</v>
      </c>
      <c r="B98" s="54">
        <f>SUM(B94:B97)</f>
        <v>19120</v>
      </c>
      <c r="C98" s="54">
        <f t="shared" ref="C98:N98" si="49">SUM(C94:C97)</f>
        <v>5220</v>
      </c>
      <c r="D98" s="54">
        <f>SUM(D94:D97)</f>
        <v>1625</v>
      </c>
      <c r="E98" s="54">
        <f t="shared" si="49"/>
        <v>0</v>
      </c>
      <c r="F98" s="54">
        <f>SUM(F94:F97)</f>
        <v>7364</v>
      </c>
      <c r="G98" s="54">
        <f>SUM(G94:G97)</f>
        <v>593</v>
      </c>
      <c r="H98" s="54">
        <f>SUM(H94:H97)</f>
        <v>0</v>
      </c>
      <c r="I98" s="54">
        <f>SUM(I94:I97)</f>
        <v>4318</v>
      </c>
      <c r="J98" s="54"/>
      <c r="K98" s="54">
        <f t="shared" si="49"/>
        <v>20</v>
      </c>
      <c r="L98" s="54">
        <f t="shared" si="49"/>
        <v>7</v>
      </c>
      <c r="M98" s="54">
        <f t="shared" si="49"/>
        <v>1</v>
      </c>
      <c r="N98" s="54">
        <f t="shared" si="49"/>
        <v>0</v>
      </c>
      <c r="O98" s="54">
        <f>SUM(O94:O97)</f>
        <v>7</v>
      </c>
      <c r="P98" s="54">
        <f>SUM(P94:P97)</f>
        <v>1</v>
      </c>
      <c r="Q98" s="54">
        <f>SUM(Q94:Q97)</f>
        <v>0</v>
      </c>
      <c r="R98" s="54">
        <f>SUM(R94:R97)</f>
        <v>4</v>
      </c>
      <c r="T98" s="60">
        <f>SUM(C98/B98)</f>
        <v>0.27301255230125521</v>
      </c>
      <c r="U98" s="60">
        <f>SUM(D98/B98)</f>
        <v>8.4989539748953971E-2</v>
      </c>
      <c r="V98" s="60">
        <f>SUM(E98/B98)</f>
        <v>0</v>
      </c>
      <c r="W98" s="60">
        <f>SUM(F98/B98)</f>
        <v>0.38514644351464433</v>
      </c>
      <c r="X98" s="60">
        <f t="shared" si="35"/>
        <v>3.1014644351464435E-2</v>
      </c>
      <c r="Y98" s="60">
        <f>SUM(H98/B98)</f>
        <v>0</v>
      </c>
      <c r="Z98" s="60">
        <f>SUM(I98/B98)</f>
        <v>0.225836820083682</v>
      </c>
    </row>
    <row r="99" spans="1:26">
      <c r="A99" s="53"/>
      <c r="B99" s="54"/>
      <c r="C99" s="55"/>
      <c r="D99" s="55"/>
      <c r="E99" s="55"/>
      <c r="F99" s="55"/>
      <c r="G99" s="55"/>
      <c r="H99" s="55"/>
      <c r="I99" s="55"/>
      <c r="K99" s="54"/>
      <c r="L99" s="55"/>
      <c r="M99" s="55"/>
      <c r="N99" s="55"/>
      <c r="O99" s="55"/>
      <c r="P99" s="55"/>
      <c r="Q99" s="55"/>
      <c r="R99" s="55"/>
    </row>
    <row r="100" spans="1:26">
      <c r="A100" s="56" t="s">
        <v>317</v>
      </c>
      <c r="B100" s="54">
        <f>SUM(C100:I100)</f>
        <v>7156</v>
      </c>
      <c r="C100" s="55">
        <v>2124</v>
      </c>
      <c r="D100" s="55">
        <v>1464</v>
      </c>
      <c r="E100" s="55">
        <v>0</v>
      </c>
      <c r="F100" s="55">
        <v>2412</v>
      </c>
      <c r="G100" s="55">
        <v>0</v>
      </c>
      <c r="H100" s="55">
        <v>0</v>
      </c>
      <c r="I100" s="55">
        <v>1156</v>
      </c>
      <c r="K100" s="54">
        <f>SUM(L100:R100)</f>
        <v>6</v>
      </c>
      <c r="L100" s="55">
        <v>2</v>
      </c>
      <c r="M100" s="55">
        <v>1</v>
      </c>
      <c r="N100" s="55">
        <v>0</v>
      </c>
      <c r="O100" s="55">
        <v>2</v>
      </c>
      <c r="P100" s="55">
        <v>0</v>
      </c>
      <c r="Q100" s="55">
        <v>0</v>
      </c>
      <c r="R100" s="55">
        <v>1</v>
      </c>
      <c r="T100" s="61">
        <f>SUM(C100/B100)</f>
        <v>0.29681386249301284</v>
      </c>
      <c r="U100" s="61">
        <f>SUM(D100/B100)</f>
        <v>0.20458356623812185</v>
      </c>
      <c r="V100" s="61">
        <f>SUM(E100/B100)</f>
        <v>0</v>
      </c>
      <c r="W100" s="61">
        <f>SUM(F100/B100)</f>
        <v>0.33705980994969259</v>
      </c>
      <c r="X100" s="61">
        <f t="shared" si="35"/>
        <v>0</v>
      </c>
      <c r="Y100" s="61">
        <f>SUM(H100/B100)</f>
        <v>0</v>
      </c>
      <c r="Z100" s="61">
        <f>SUM(I100/B100)</f>
        <v>0.16154276131917272</v>
      </c>
    </row>
    <row r="101" spans="1:26">
      <c r="A101" s="56" t="s">
        <v>318</v>
      </c>
      <c r="B101" s="54">
        <f>SUM(C101:I101)</f>
        <v>7770</v>
      </c>
      <c r="C101" s="55">
        <v>1426</v>
      </c>
      <c r="D101" s="55">
        <v>1274</v>
      </c>
      <c r="E101" s="55">
        <v>0</v>
      </c>
      <c r="F101" s="55">
        <v>2239</v>
      </c>
      <c r="G101" s="55">
        <v>408</v>
      </c>
      <c r="H101" s="55">
        <v>0</v>
      </c>
      <c r="I101" s="55">
        <v>2423</v>
      </c>
      <c r="K101" s="54">
        <f>SUM(L101:R101)</f>
        <v>8</v>
      </c>
      <c r="L101" s="55">
        <v>2</v>
      </c>
      <c r="M101" s="55">
        <v>2</v>
      </c>
      <c r="N101" s="55">
        <v>0</v>
      </c>
      <c r="O101" s="55">
        <v>3</v>
      </c>
      <c r="P101" s="55">
        <v>0</v>
      </c>
      <c r="Q101" s="55">
        <v>0</v>
      </c>
      <c r="R101" s="55">
        <v>1</v>
      </c>
      <c r="T101" s="61">
        <f>SUM(C101/B101)</f>
        <v>0.18352638352638354</v>
      </c>
      <c r="U101" s="61">
        <f>SUM(D101/B101)</f>
        <v>0.16396396396396395</v>
      </c>
      <c r="V101" s="61">
        <f>SUM(E101/B101)</f>
        <v>0</v>
      </c>
      <c r="W101" s="61">
        <f>SUM(F101/B101)</f>
        <v>0.28815958815958814</v>
      </c>
      <c r="X101" s="61">
        <f t="shared" si="35"/>
        <v>5.2509652509652512E-2</v>
      </c>
      <c r="Y101" s="61">
        <f>SUM(H101/B101)</f>
        <v>0</v>
      </c>
      <c r="Z101" s="61">
        <f>SUM(I101/B101)</f>
        <v>0.31184041184041184</v>
      </c>
    </row>
    <row r="102" spans="1:26">
      <c r="A102" s="56" t="s">
        <v>319</v>
      </c>
      <c r="B102" s="54">
        <f>SUM(C102:I102)</f>
        <v>5444</v>
      </c>
      <c r="C102" s="55">
        <v>1504</v>
      </c>
      <c r="D102" s="55">
        <v>1171</v>
      </c>
      <c r="E102" s="55">
        <v>0</v>
      </c>
      <c r="F102" s="55">
        <v>1974</v>
      </c>
      <c r="G102" s="55">
        <v>114</v>
      </c>
      <c r="H102" s="55">
        <v>0</v>
      </c>
      <c r="I102" s="55">
        <v>681</v>
      </c>
      <c r="K102" s="54">
        <f>SUM(L102:R102)</f>
        <v>5</v>
      </c>
      <c r="L102" s="55">
        <v>2</v>
      </c>
      <c r="M102" s="55">
        <v>1</v>
      </c>
      <c r="N102" s="55">
        <v>0</v>
      </c>
      <c r="O102" s="55">
        <v>2</v>
      </c>
      <c r="P102" s="55">
        <v>0</v>
      </c>
      <c r="Q102" s="55">
        <v>0</v>
      </c>
      <c r="R102" s="55">
        <v>0</v>
      </c>
      <c r="T102" s="61">
        <f>SUM(C102/B102)</f>
        <v>0.2762674504041146</v>
      </c>
      <c r="U102" s="61">
        <f>SUM(D102/B102)</f>
        <v>0.21509919177075679</v>
      </c>
      <c r="V102" s="61">
        <f>SUM(E102/B102)</f>
        <v>0</v>
      </c>
      <c r="W102" s="61">
        <f>SUM(F102/B102)</f>
        <v>0.36260102865540045</v>
      </c>
      <c r="X102" s="61">
        <f t="shared" si="35"/>
        <v>2.0940484937545922E-2</v>
      </c>
      <c r="Y102" s="61">
        <f>SUM(H102/B102)</f>
        <v>0</v>
      </c>
      <c r="Z102" s="61">
        <f>SUM(I102/B102)</f>
        <v>0.12509184423218223</v>
      </c>
    </row>
    <row r="103" spans="1:26" s="52" customFormat="1">
      <c r="A103" s="53" t="s">
        <v>1614</v>
      </c>
      <c r="B103" s="54">
        <f t="shared" ref="B103:I103" si="50">SUM(B100:B102)</f>
        <v>20370</v>
      </c>
      <c r="C103" s="54">
        <f t="shared" si="50"/>
        <v>5054</v>
      </c>
      <c r="D103" s="54">
        <f t="shared" si="50"/>
        <v>3909</v>
      </c>
      <c r="E103" s="54">
        <f t="shared" si="50"/>
        <v>0</v>
      </c>
      <c r="F103" s="54">
        <f t="shared" si="50"/>
        <v>6625</v>
      </c>
      <c r="G103" s="54">
        <f t="shared" si="50"/>
        <v>522</v>
      </c>
      <c r="H103" s="54">
        <f t="shared" si="50"/>
        <v>0</v>
      </c>
      <c r="I103" s="54">
        <f t="shared" si="50"/>
        <v>4260</v>
      </c>
      <c r="J103" s="54"/>
      <c r="K103" s="54">
        <f t="shared" ref="K103:R103" si="51">SUM(K100:K102)</f>
        <v>19</v>
      </c>
      <c r="L103" s="54">
        <f t="shared" si="51"/>
        <v>6</v>
      </c>
      <c r="M103" s="54">
        <f t="shared" si="51"/>
        <v>4</v>
      </c>
      <c r="N103" s="54">
        <f t="shared" si="51"/>
        <v>0</v>
      </c>
      <c r="O103" s="54">
        <f t="shared" si="51"/>
        <v>7</v>
      </c>
      <c r="P103" s="54">
        <f t="shared" si="51"/>
        <v>0</v>
      </c>
      <c r="Q103" s="54">
        <f t="shared" si="51"/>
        <v>0</v>
      </c>
      <c r="R103" s="54">
        <f t="shared" si="51"/>
        <v>2</v>
      </c>
      <c r="T103" s="60">
        <f>SUM(C103/B103)</f>
        <v>0.24810996563573884</v>
      </c>
      <c r="U103" s="60">
        <f>SUM(D103/B103)</f>
        <v>0.191899852724595</v>
      </c>
      <c r="V103" s="60">
        <f>SUM(E103/B103)</f>
        <v>0</v>
      </c>
      <c r="W103" s="60">
        <f>SUM(F103/B103)</f>
        <v>0.32523318605792834</v>
      </c>
      <c r="X103" s="60">
        <f t="shared" si="35"/>
        <v>2.5625920471281295E-2</v>
      </c>
      <c r="Y103" s="60">
        <f>SUM(H103/B103)</f>
        <v>0</v>
      </c>
      <c r="Z103" s="60">
        <f>SUM(I103/B103)</f>
        <v>0.20913107511045656</v>
      </c>
    </row>
    <row r="104" spans="1:26">
      <c r="A104" s="53"/>
      <c r="B104" s="54"/>
      <c r="C104" s="55"/>
      <c r="D104" s="55"/>
      <c r="E104" s="55"/>
      <c r="F104" s="55"/>
      <c r="G104" s="55"/>
      <c r="H104" s="55"/>
      <c r="I104" s="55"/>
      <c r="K104" s="54"/>
      <c r="L104" s="55"/>
      <c r="M104" s="55"/>
      <c r="N104" s="55"/>
      <c r="O104" s="55"/>
      <c r="P104" s="55"/>
      <c r="Q104" s="55"/>
      <c r="R104" s="55"/>
    </row>
    <row r="105" spans="1:26">
      <c r="A105" s="56" t="s">
        <v>320</v>
      </c>
      <c r="B105" s="54">
        <f>SUM(C105:I105)</f>
        <v>4237</v>
      </c>
      <c r="C105" s="55">
        <v>1277</v>
      </c>
      <c r="D105" s="55">
        <v>859</v>
      </c>
      <c r="E105" s="55">
        <v>0</v>
      </c>
      <c r="F105" s="55">
        <v>225</v>
      </c>
      <c r="G105" s="55">
        <v>0</v>
      </c>
      <c r="H105" s="55">
        <v>0</v>
      </c>
      <c r="I105" s="55">
        <v>1876</v>
      </c>
      <c r="K105" s="54">
        <f>SUM(L105:R105)</f>
        <v>5</v>
      </c>
      <c r="L105" s="55">
        <v>2</v>
      </c>
      <c r="M105" s="55">
        <v>1</v>
      </c>
      <c r="N105" s="55">
        <v>0</v>
      </c>
      <c r="O105" s="55">
        <v>0</v>
      </c>
      <c r="P105" s="55">
        <v>0</v>
      </c>
      <c r="Q105" s="55">
        <v>0</v>
      </c>
      <c r="R105" s="55">
        <v>2</v>
      </c>
      <c r="T105" s="61">
        <f>SUM(C105/B105)</f>
        <v>0.30139249468963891</v>
      </c>
      <c r="U105" s="61">
        <f>SUM(D105/B105)</f>
        <v>0.20273778616945953</v>
      </c>
      <c r="V105" s="61">
        <f>SUM(E105/B105)</f>
        <v>0</v>
      </c>
      <c r="W105" s="61">
        <f>SUM(F105/B105)</f>
        <v>5.31036110455511E-2</v>
      </c>
      <c r="X105" s="61">
        <f t="shared" si="35"/>
        <v>0</v>
      </c>
      <c r="Y105" s="61">
        <f>SUM(H105/B105)</f>
        <v>0</v>
      </c>
      <c r="Z105" s="61">
        <f>SUM(I105/B105)</f>
        <v>0.4427661080953505</v>
      </c>
    </row>
    <row r="106" spans="1:26">
      <c r="A106" s="56" t="s">
        <v>321</v>
      </c>
      <c r="B106" s="54">
        <f>SUM(C106:I106)</f>
        <v>2839</v>
      </c>
      <c r="C106" s="55">
        <v>1726</v>
      </c>
      <c r="D106" s="55">
        <v>483</v>
      </c>
      <c r="E106" s="55">
        <v>0</v>
      </c>
      <c r="F106" s="55">
        <v>630</v>
      </c>
      <c r="G106" s="55">
        <v>0</v>
      </c>
      <c r="H106" s="55">
        <v>0</v>
      </c>
      <c r="I106" s="55">
        <v>0</v>
      </c>
      <c r="J106" s="55"/>
      <c r="K106" s="54">
        <f>SUM(L106:R106)</f>
        <v>5</v>
      </c>
      <c r="L106" s="55">
        <v>3</v>
      </c>
      <c r="M106" s="55">
        <v>1</v>
      </c>
      <c r="N106" s="55">
        <v>1</v>
      </c>
      <c r="O106" s="55">
        <v>0</v>
      </c>
      <c r="P106" s="55">
        <v>0</v>
      </c>
      <c r="Q106" s="55">
        <v>0</v>
      </c>
      <c r="R106" s="55">
        <v>0</v>
      </c>
      <c r="T106" s="61">
        <f>SUM(C106/B106)</f>
        <v>0.60796054948925682</v>
      </c>
      <c r="U106" s="61">
        <f>SUM(D106/B106)</f>
        <v>0.17013032758013386</v>
      </c>
      <c r="V106" s="61">
        <f>SUM(E106/B106)</f>
        <v>0</v>
      </c>
      <c r="W106" s="61">
        <f>SUM(F106/B106)</f>
        <v>0.22190912293060938</v>
      </c>
      <c r="X106" s="61">
        <f t="shared" si="35"/>
        <v>0</v>
      </c>
      <c r="Y106" s="61">
        <f>SUM(H106/B106)</f>
        <v>0</v>
      </c>
      <c r="Z106" s="61">
        <f>SUM(I106/B106)</f>
        <v>0</v>
      </c>
    </row>
    <row r="107" spans="1:26">
      <c r="A107" s="56" t="s">
        <v>322</v>
      </c>
      <c r="B107" s="54">
        <f>SUM(C107:I107)</f>
        <v>4680</v>
      </c>
      <c r="C107" s="55">
        <v>1540</v>
      </c>
      <c r="D107" s="55">
        <v>822</v>
      </c>
      <c r="E107" s="55">
        <v>0</v>
      </c>
      <c r="F107" s="55">
        <v>1126</v>
      </c>
      <c r="G107" s="55">
        <v>0</v>
      </c>
      <c r="H107" s="55">
        <v>0</v>
      </c>
      <c r="I107" s="55">
        <v>1192</v>
      </c>
      <c r="K107" s="54">
        <f>SUM(L107:R107)</f>
        <v>5</v>
      </c>
      <c r="L107" s="55">
        <v>3</v>
      </c>
      <c r="M107" s="55">
        <v>1</v>
      </c>
      <c r="N107" s="55">
        <v>0</v>
      </c>
      <c r="O107" s="55">
        <v>1</v>
      </c>
      <c r="P107" s="55">
        <v>0</v>
      </c>
      <c r="Q107" s="55">
        <v>0</v>
      </c>
      <c r="R107" s="55">
        <v>0</v>
      </c>
      <c r="T107" s="61">
        <f>SUM(C107/B107)</f>
        <v>0.32905982905982906</v>
      </c>
      <c r="U107" s="61">
        <f>SUM(D107/B107)</f>
        <v>0.17564102564102563</v>
      </c>
      <c r="V107" s="61">
        <f>SUM(E107/B107)</f>
        <v>0</v>
      </c>
      <c r="W107" s="61">
        <f>SUM(F107/B107)</f>
        <v>0.2405982905982906</v>
      </c>
      <c r="X107" s="61">
        <f t="shared" si="35"/>
        <v>0</v>
      </c>
      <c r="Y107" s="61">
        <f>SUM(H107/B107)</f>
        <v>0</v>
      </c>
      <c r="Z107" s="61">
        <f>SUM(I107/B107)</f>
        <v>0.25470085470085468</v>
      </c>
    </row>
    <row r="108" spans="1:26" s="52" customFormat="1">
      <c r="A108" s="53" t="s">
        <v>1618</v>
      </c>
      <c r="B108" s="54">
        <f>SUM(B105:B107)</f>
        <v>11756</v>
      </c>
      <c r="C108" s="54">
        <f t="shared" ref="C108:N108" si="52">SUM(C105:C107)</f>
        <v>4543</v>
      </c>
      <c r="D108" s="54">
        <f>SUM(D105:D107)</f>
        <v>2164</v>
      </c>
      <c r="E108" s="54">
        <f t="shared" si="52"/>
        <v>0</v>
      </c>
      <c r="F108" s="54">
        <f>SUM(F105:F107)</f>
        <v>1981</v>
      </c>
      <c r="G108" s="54">
        <f>SUM(G105:G107)</f>
        <v>0</v>
      </c>
      <c r="H108" s="54">
        <f>SUM(H105:H107)</f>
        <v>0</v>
      </c>
      <c r="I108" s="54">
        <f>SUM(I105:I107)</f>
        <v>3068</v>
      </c>
      <c r="J108" s="54"/>
      <c r="K108" s="54">
        <f t="shared" si="52"/>
        <v>15</v>
      </c>
      <c r="L108" s="54">
        <f t="shared" si="52"/>
        <v>8</v>
      </c>
      <c r="M108" s="54">
        <f t="shared" si="52"/>
        <v>3</v>
      </c>
      <c r="N108" s="54">
        <f t="shared" si="52"/>
        <v>1</v>
      </c>
      <c r="O108" s="54">
        <f>SUM(O105:O107)</f>
        <v>1</v>
      </c>
      <c r="P108" s="54">
        <f>SUM(P105:P107)</f>
        <v>0</v>
      </c>
      <c r="Q108" s="54">
        <f>SUM(Q105:Q107)</f>
        <v>0</v>
      </c>
      <c r="R108" s="54">
        <f>SUM(R105:R107)</f>
        <v>2</v>
      </c>
      <c r="T108" s="60">
        <f>SUM(C108/B108)</f>
        <v>0.38644096631507313</v>
      </c>
      <c r="U108" s="60">
        <f>SUM(D108/B108)</f>
        <v>0.18407621640013611</v>
      </c>
      <c r="V108" s="60">
        <f>SUM(E108/B108)</f>
        <v>0</v>
      </c>
      <c r="W108" s="60">
        <f>SUM(F108/B108)</f>
        <v>0.16850969717591016</v>
      </c>
      <c r="X108" s="60">
        <f t="shared" si="35"/>
        <v>0</v>
      </c>
      <c r="Y108" s="60">
        <f>SUM(H108/B108)</f>
        <v>0</v>
      </c>
      <c r="Z108" s="60">
        <f>SUM(I108/B108)</f>
        <v>0.26097312010888057</v>
      </c>
    </row>
    <row r="109" spans="1:26">
      <c r="A109" s="53"/>
      <c r="B109" s="54"/>
      <c r="C109" s="55"/>
      <c r="D109" s="55"/>
      <c r="E109" s="55"/>
      <c r="F109" s="55"/>
      <c r="G109" s="55"/>
      <c r="H109" s="55"/>
      <c r="I109" s="55"/>
      <c r="K109" s="54"/>
      <c r="L109" s="55"/>
      <c r="M109" s="55"/>
      <c r="N109" s="55"/>
      <c r="O109" s="55"/>
      <c r="P109" s="55"/>
      <c r="Q109" s="55"/>
      <c r="R109" s="55"/>
    </row>
    <row r="110" spans="1:26">
      <c r="A110" s="56" t="s">
        <v>306</v>
      </c>
      <c r="B110" s="54">
        <f>SUM(C110:I110)</f>
        <v>3575</v>
      </c>
      <c r="C110" s="55">
        <v>1012</v>
      </c>
      <c r="D110" s="55">
        <v>1309</v>
      </c>
      <c r="E110" s="55">
        <v>0</v>
      </c>
      <c r="F110" s="55">
        <v>0</v>
      </c>
      <c r="G110" s="55">
        <v>0</v>
      </c>
      <c r="H110" s="55">
        <v>0</v>
      </c>
      <c r="I110" s="55">
        <v>1254</v>
      </c>
      <c r="K110" s="54">
        <f>SUM(L110:R110)</f>
        <v>4</v>
      </c>
      <c r="L110" s="55">
        <v>1</v>
      </c>
      <c r="M110" s="55">
        <v>2</v>
      </c>
      <c r="N110" s="55">
        <v>0</v>
      </c>
      <c r="O110" s="55">
        <v>0</v>
      </c>
      <c r="P110" s="55">
        <v>0</v>
      </c>
      <c r="Q110" s="55">
        <v>0</v>
      </c>
      <c r="R110" s="55">
        <v>1</v>
      </c>
      <c r="T110" s="61">
        <f>SUM(C110/B110)</f>
        <v>0.28307692307692306</v>
      </c>
      <c r="U110" s="61">
        <f>SUM(D110/B110)</f>
        <v>0.36615384615384616</v>
      </c>
      <c r="V110" s="61">
        <f>SUM(E110/B110)</f>
        <v>0</v>
      </c>
      <c r="W110" s="61">
        <f>SUM(F110/B110)</f>
        <v>0</v>
      </c>
      <c r="X110" s="61">
        <f t="shared" si="35"/>
        <v>0</v>
      </c>
      <c r="Y110" s="61">
        <f>SUM(H110/B110)</f>
        <v>0</v>
      </c>
      <c r="Z110" s="61">
        <f>SUM(I110/B110)</f>
        <v>0.35076923076923078</v>
      </c>
    </row>
    <row r="111" spans="1:26">
      <c r="A111" s="56" t="s">
        <v>307</v>
      </c>
      <c r="B111" s="54">
        <f>SUM(C111:I111)</f>
        <v>0</v>
      </c>
      <c r="C111" s="55">
        <v>0</v>
      </c>
      <c r="D111" s="55">
        <v>0</v>
      </c>
      <c r="E111" s="55">
        <v>0</v>
      </c>
      <c r="F111" s="55">
        <v>0</v>
      </c>
      <c r="G111" s="55">
        <v>0</v>
      </c>
      <c r="H111" s="55">
        <v>0</v>
      </c>
      <c r="I111" s="55">
        <v>0</v>
      </c>
      <c r="K111" s="54">
        <f>SUM(L111:R111)</f>
        <v>6</v>
      </c>
      <c r="L111" s="55">
        <v>2</v>
      </c>
      <c r="M111" s="55">
        <v>4</v>
      </c>
      <c r="N111" s="55">
        <v>0</v>
      </c>
      <c r="O111" s="55">
        <v>0</v>
      </c>
      <c r="P111" s="55">
        <v>0</v>
      </c>
      <c r="Q111" s="55">
        <v>0</v>
      </c>
      <c r="R111" s="55">
        <v>0</v>
      </c>
      <c r="T111" s="61" t="e">
        <f>SUM(C111/B111)</f>
        <v>#DIV/0!</v>
      </c>
      <c r="U111" s="61" t="e">
        <f>SUM(D111/B111)</f>
        <v>#DIV/0!</v>
      </c>
      <c r="V111" s="61" t="e">
        <f>SUM(E111/B111)</f>
        <v>#DIV/0!</v>
      </c>
      <c r="W111" s="61" t="e">
        <f>SUM(F111/B111)</f>
        <v>#DIV/0!</v>
      </c>
      <c r="X111" s="61" t="e">
        <f t="shared" si="35"/>
        <v>#DIV/0!</v>
      </c>
      <c r="Y111" s="61" t="e">
        <f>SUM(H111/B111)</f>
        <v>#DIV/0!</v>
      </c>
      <c r="Z111" s="61" t="e">
        <f>SUM(I111/B111)</f>
        <v>#DIV/0!</v>
      </c>
    </row>
    <row r="112" spans="1:26">
      <c r="A112" s="56" t="s">
        <v>309</v>
      </c>
      <c r="B112" s="54">
        <f>SUM(C112:I112)</f>
        <v>4105</v>
      </c>
      <c r="C112" s="55">
        <v>547</v>
      </c>
      <c r="D112" s="55">
        <v>2073</v>
      </c>
      <c r="E112" s="55">
        <v>0</v>
      </c>
      <c r="F112" s="55">
        <v>0</v>
      </c>
      <c r="G112" s="55">
        <v>0</v>
      </c>
      <c r="H112" s="55">
        <v>0</v>
      </c>
      <c r="I112" s="55">
        <v>1485</v>
      </c>
      <c r="K112" s="54">
        <f>SUM(L112:R112)</f>
        <v>5</v>
      </c>
      <c r="L112" s="55">
        <v>0</v>
      </c>
      <c r="M112" s="55">
        <v>3</v>
      </c>
      <c r="N112" s="55">
        <v>0</v>
      </c>
      <c r="O112" s="55">
        <v>0</v>
      </c>
      <c r="P112" s="55">
        <v>0</v>
      </c>
      <c r="Q112" s="55">
        <v>0</v>
      </c>
      <c r="R112" s="55">
        <v>2</v>
      </c>
      <c r="T112" s="61">
        <f>SUM(C112/B112)</f>
        <v>0.13325213154689403</v>
      </c>
      <c r="U112" s="61">
        <f>SUM(D112/B112)</f>
        <v>0.504993909866017</v>
      </c>
      <c r="V112" s="61">
        <f>SUM(E112/B112)</f>
        <v>0</v>
      </c>
      <c r="W112" s="61">
        <f>SUM(F112/B112)</f>
        <v>0</v>
      </c>
      <c r="X112" s="61">
        <f t="shared" si="35"/>
        <v>0</v>
      </c>
      <c r="Y112" s="61">
        <f>SUM(H112/B112)</f>
        <v>0</v>
      </c>
      <c r="Z112" s="61">
        <f>SUM(I112/B112)</f>
        <v>0.36175395858708892</v>
      </c>
    </row>
    <row r="113" spans="1:26">
      <c r="A113" s="56" t="s">
        <v>308</v>
      </c>
      <c r="B113" s="54">
        <f>SUM(C113:I113)</f>
        <v>5229</v>
      </c>
      <c r="C113" s="55">
        <v>964</v>
      </c>
      <c r="D113" s="55">
        <v>1793</v>
      </c>
      <c r="E113" s="55">
        <v>0</v>
      </c>
      <c r="F113" s="55">
        <v>672</v>
      </c>
      <c r="G113" s="55">
        <v>0</v>
      </c>
      <c r="H113" s="55">
        <v>0</v>
      </c>
      <c r="I113" s="55">
        <v>1800</v>
      </c>
      <c r="K113" s="54">
        <f>SUM(L113:R113)</f>
        <v>6</v>
      </c>
      <c r="L113" s="55">
        <v>1</v>
      </c>
      <c r="M113" s="55">
        <v>2</v>
      </c>
      <c r="N113" s="55">
        <v>0</v>
      </c>
      <c r="O113" s="55">
        <v>1</v>
      </c>
      <c r="P113" s="55">
        <v>0</v>
      </c>
      <c r="Q113" s="55">
        <v>0</v>
      </c>
      <c r="R113" s="55">
        <v>2</v>
      </c>
      <c r="T113" s="61">
        <f>SUM(C113/B113)</f>
        <v>0.18435647351310003</v>
      </c>
      <c r="U113" s="61">
        <f>SUM(D113/B113)</f>
        <v>0.34289539108816219</v>
      </c>
      <c r="V113" s="61">
        <f>SUM(E113/B113)</f>
        <v>0</v>
      </c>
      <c r="W113" s="61">
        <f>SUM(F113/B113)</f>
        <v>0.12851405622489959</v>
      </c>
      <c r="X113" s="61">
        <f t="shared" si="35"/>
        <v>0</v>
      </c>
      <c r="Y113" s="61">
        <f>SUM(H113/B113)</f>
        <v>0</v>
      </c>
      <c r="Z113" s="61">
        <f>SUM(I113/B113)</f>
        <v>0.34423407917383819</v>
      </c>
    </row>
    <row r="114" spans="1:26" s="52" customFormat="1">
      <c r="A114" s="53" t="s">
        <v>1623</v>
      </c>
      <c r="B114" s="54">
        <f>SUM(B110:B113)</f>
        <v>12909</v>
      </c>
      <c r="C114" s="54">
        <f t="shared" ref="C114:N114" si="53">SUM(C110:C113)</f>
        <v>2523</v>
      </c>
      <c r="D114" s="54">
        <f>SUM(D110:D113)</f>
        <v>5175</v>
      </c>
      <c r="E114" s="54">
        <f t="shared" si="53"/>
        <v>0</v>
      </c>
      <c r="F114" s="54">
        <f>SUM(F110:F113)</f>
        <v>672</v>
      </c>
      <c r="G114" s="54">
        <f>SUM(G110:G113)</f>
        <v>0</v>
      </c>
      <c r="H114" s="54">
        <f>SUM(H110:H113)</f>
        <v>0</v>
      </c>
      <c r="I114" s="54">
        <f>SUM(I110:I113)</f>
        <v>4539</v>
      </c>
      <c r="J114" s="54"/>
      <c r="K114" s="54">
        <f t="shared" si="53"/>
        <v>21</v>
      </c>
      <c r="L114" s="54">
        <f t="shared" si="53"/>
        <v>4</v>
      </c>
      <c r="M114" s="54">
        <f t="shared" si="53"/>
        <v>11</v>
      </c>
      <c r="N114" s="54">
        <f t="shared" si="53"/>
        <v>0</v>
      </c>
      <c r="O114" s="54">
        <f>SUM(O110:O113)</f>
        <v>1</v>
      </c>
      <c r="P114" s="54">
        <f>SUM(P110:P113)</f>
        <v>0</v>
      </c>
      <c r="Q114" s="54">
        <f>SUM(Q110:Q113)</f>
        <v>0</v>
      </c>
      <c r="R114" s="54">
        <f>SUM(R110:R113)</f>
        <v>5</v>
      </c>
      <c r="T114" s="60">
        <f>SUM(C114/B114)</f>
        <v>0.19544503834534047</v>
      </c>
      <c r="U114" s="60">
        <f>SUM(D114/B114)</f>
        <v>0.40088310481059725</v>
      </c>
      <c r="V114" s="60">
        <f>SUM(E114/B114)</f>
        <v>0</v>
      </c>
      <c r="W114" s="60">
        <f>SUM(F114/B114)</f>
        <v>5.2056704624680455E-2</v>
      </c>
      <c r="X114" s="60">
        <f t="shared" si="35"/>
        <v>0</v>
      </c>
      <c r="Y114" s="60">
        <f>SUM(H114/B114)</f>
        <v>0</v>
      </c>
      <c r="Z114" s="60">
        <f>SUM(I114/B114)</f>
        <v>0.35161515221938183</v>
      </c>
    </row>
    <row r="115" spans="1:26">
      <c r="A115" s="53"/>
      <c r="B115" s="54"/>
      <c r="C115" s="55"/>
      <c r="D115" s="55"/>
      <c r="E115" s="55"/>
      <c r="F115" s="55"/>
      <c r="G115" s="55"/>
      <c r="H115" s="55"/>
      <c r="I115" s="55"/>
      <c r="K115" s="54"/>
      <c r="L115" s="55"/>
      <c r="M115" s="55"/>
      <c r="N115" s="55"/>
      <c r="O115" s="55"/>
      <c r="P115" s="55"/>
      <c r="Q115" s="55"/>
      <c r="R115" s="55"/>
    </row>
    <row r="116" spans="1:26">
      <c r="A116" s="56" t="s">
        <v>293</v>
      </c>
      <c r="B116" s="54">
        <f>SUM(C116:I116)</f>
        <v>2043</v>
      </c>
      <c r="C116" s="55">
        <v>769</v>
      </c>
      <c r="D116" s="55">
        <v>868</v>
      </c>
      <c r="E116" s="55">
        <v>0</v>
      </c>
      <c r="F116" s="55">
        <v>208</v>
      </c>
      <c r="G116" s="55">
        <v>0</v>
      </c>
      <c r="H116" s="55">
        <v>0</v>
      </c>
      <c r="I116" s="55">
        <v>198</v>
      </c>
      <c r="K116" s="54">
        <f>SUM(L116:R116)</f>
        <v>4</v>
      </c>
      <c r="L116" s="55">
        <v>2</v>
      </c>
      <c r="M116" s="55">
        <v>2</v>
      </c>
      <c r="N116" s="55">
        <v>0</v>
      </c>
      <c r="O116" s="55">
        <v>0</v>
      </c>
      <c r="P116" s="55">
        <v>0</v>
      </c>
      <c r="Q116" s="55">
        <v>0</v>
      </c>
      <c r="R116" s="55">
        <v>0</v>
      </c>
      <c r="T116" s="61">
        <f>SUM(C116/B116)</f>
        <v>0.37640724424865396</v>
      </c>
      <c r="U116" s="61">
        <f>SUM(D116/B116)</f>
        <v>0.42486539402838963</v>
      </c>
      <c r="V116" s="61">
        <f>SUM(E116/B116)</f>
        <v>0</v>
      </c>
      <c r="W116" s="61">
        <f>SUM(F116/B116)</f>
        <v>0.10181106216348507</v>
      </c>
      <c r="X116" s="61">
        <f t="shared" si="35"/>
        <v>0</v>
      </c>
      <c r="Y116" s="61">
        <f>SUM(H116/B116)</f>
        <v>0</v>
      </c>
      <c r="Z116" s="61">
        <f>SUM(I116/B116)</f>
        <v>9.6916299559471369E-2</v>
      </c>
    </row>
    <row r="117" spans="1:26">
      <c r="A117" s="56" t="s">
        <v>294</v>
      </c>
      <c r="B117" s="54">
        <f>SUM(C117:I117)</f>
        <v>4161</v>
      </c>
      <c r="C117" s="55">
        <v>1542</v>
      </c>
      <c r="D117" s="55">
        <v>753</v>
      </c>
      <c r="E117" s="55">
        <v>1274</v>
      </c>
      <c r="F117" s="55">
        <v>0</v>
      </c>
      <c r="G117" s="55">
        <v>0</v>
      </c>
      <c r="H117" s="55">
        <v>0</v>
      </c>
      <c r="I117" s="55">
        <v>592</v>
      </c>
      <c r="K117" s="54">
        <f>SUM(L117:R117)</f>
        <v>8</v>
      </c>
      <c r="L117" s="55">
        <v>3</v>
      </c>
      <c r="M117" s="55">
        <v>1</v>
      </c>
      <c r="N117" s="55">
        <v>3</v>
      </c>
      <c r="O117" s="55">
        <v>0</v>
      </c>
      <c r="P117" s="55">
        <v>0</v>
      </c>
      <c r="Q117" s="55">
        <v>0</v>
      </c>
      <c r="R117" s="55">
        <v>1</v>
      </c>
      <c r="T117" s="61">
        <f>SUM(C117/B117)</f>
        <v>0.37058399423215571</v>
      </c>
      <c r="U117" s="61">
        <f>SUM(D117/B117)</f>
        <v>0.18096611391492429</v>
      </c>
      <c r="V117" s="61">
        <f>SUM(E117/B117)</f>
        <v>0.30617639990386925</v>
      </c>
      <c r="W117" s="61">
        <f>SUM(F117/B117)</f>
        <v>0</v>
      </c>
      <c r="X117" s="61">
        <f t="shared" si="35"/>
        <v>0</v>
      </c>
      <c r="Y117" s="61">
        <f>SUM(H117/B117)</f>
        <v>0</v>
      </c>
      <c r="Z117" s="61">
        <f>SUM(I117/B117)</f>
        <v>0.1422734919490507</v>
      </c>
    </row>
    <row r="118" spans="1:26">
      <c r="A118" s="56" t="s">
        <v>295</v>
      </c>
      <c r="B118" s="54">
        <f>SUM(C118:I118)</f>
        <v>2225</v>
      </c>
      <c r="C118" s="55">
        <v>168</v>
      </c>
      <c r="D118" s="55">
        <v>0</v>
      </c>
      <c r="E118" s="55">
        <v>0</v>
      </c>
      <c r="F118" s="55">
        <v>490</v>
      </c>
      <c r="G118" s="55">
        <v>0</v>
      </c>
      <c r="H118" s="55">
        <v>0</v>
      </c>
      <c r="I118" s="55">
        <v>1567</v>
      </c>
      <c r="K118" s="54">
        <f>SUM(L118:R118)</f>
        <v>4</v>
      </c>
      <c r="L118" s="55">
        <v>0</v>
      </c>
      <c r="M118" s="55">
        <v>0</v>
      </c>
      <c r="N118" s="55">
        <v>0</v>
      </c>
      <c r="O118" s="55">
        <v>1</v>
      </c>
      <c r="P118" s="55">
        <v>0</v>
      </c>
      <c r="Q118" s="55">
        <v>0</v>
      </c>
      <c r="R118" s="55">
        <v>3</v>
      </c>
      <c r="T118" s="61">
        <f>SUM(C118/B118)</f>
        <v>7.5505617977528083E-2</v>
      </c>
      <c r="U118" s="61">
        <f>SUM(D118/B118)</f>
        <v>0</v>
      </c>
      <c r="V118" s="61">
        <f>SUM(E118/B118)</f>
        <v>0</v>
      </c>
      <c r="W118" s="61">
        <f>SUM(F118/B118)</f>
        <v>0.22022471910112359</v>
      </c>
      <c r="X118" s="61">
        <f t="shared" si="35"/>
        <v>0</v>
      </c>
      <c r="Y118" s="61">
        <f>SUM(H118/B118)</f>
        <v>0</v>
      </c>
      <c r="Z118" s="61">
        <f>SUM(I118/B118)</f>
        <v>0.70426966292134829</v>
      </c>
    </row>
    <row r="119" spans="1:26" s="52" customFormat="1">
      <c r="A119" s="53" t="s">
        <v>1627</v>
      </c>
      <c r="B119" s="54">
        <f>SUM(B116:B118)</f>
        <v>8429</v>
      </c>
      <c r="C119" s="54">
        <f t="shared" ref="C119:N119" si="54">SUM(C116:C118)</f>
        <v>2479</v>
      </c>
      <c r="D119" s="54">
        <f>SUM(D116:D118)</f>
        <v>1621</v>
      </c>
      <c r="E119" s="54">
        <f t="shared" si="54"/>
        <v>1274</v>
      </c>
      <c r="F119" s="54">
        <f>SUM(F116:F118)</f>
        <v>698</v>
      </c>
      <c r="G119" s="54">
        <f>SUM(G116:G118)</f>
        <v>0</v>
      </c>
      <c r="H119" s="54">
        <f>SUM(H116:H118)</f>
        <v>0</v>
      </c>
      <c r="I119" s="54">
        <f>SUM(I116:I118)</f>
        <v>2357</v>
      </c>
      <c r="J119" s="54"/>
      <c r="K119" s="54">
        <f t="shared" si="54"/>
        <v>16</v>
      </c>
      <c r="L119" s="54">
        <f t="shared" si="54"/>
        <v>5</v>
      </c>
      <c r="M119" s="54">
        <f t="shared" si="54"/>
        <v>3</v>
      </c>
      <c r="N119" s="54">
        <f t="shared" si="54"/>
        <v>3</v>
      </c>
      <c r="O119" s="54">
        <f>SUM(O116:O118)</f>
        <v>1</v>
      </c>
      <c r="P119" s="54">
        <f>SUM(P116:P118)</f>
        <v>0</v>
      </c>
      <c r="Q119" s="54">
        <f>SUM(Q116:Q118)</f>
        <v>0</v>
      </c>
      <c r="R119" s="54">
        <f>SUM(R116:R118)</f>
        <v>4</v>
      </c>
      <c r="T119" s="60">
        <f>SUM(C119/B119)</f>
        <v>0.29410368964289951</v>
      </c>
      <c r="U119" s="60">
        <f>SUM(D119/B119)</f>
        <v>0.19231225530905208</v>
      </c>
      <c r="V119" s="60">
        <f>SUM(E119/B119)</f>
        <v>0.1511448570411674</v>
      </c>
      <c r="W119" s="60">
        <f>SUM(F119/B119)</f>
        <v>8.2809348677185909E-2</v>
      </c>
      <c r="X119" s="60">
        <f t="shared" si="35"/>
        <v>0</v>
      </c>
      <c r="Y119" s="60">
        <f>SUM(H119/B119)</f>
        <v>0</v>
      </c>
      <c r="Z119" s="60">
        <f>SUM(I119/B119)</f>
        <v>0.27962984932969509</v>
      </c>
    </row>
    <row r="120" spans="1:26">
      <c r="A120" s="53"/>
      <c r="B120" s="54"/>
      <c r="C120" s="55"/>
      <c r="D120" s="55"/>
      <c r="E120" s="55"/>
      <c r="F120" s="55"/>
      <c r="G120" s="55"/>
      <c r="H120" s="55"/>
      <c r="I120" s="55"/>
      <c r="K120" s="54"/>
      <c r="L120" s="55"/>
      <c r="M120" s="55"/>
      <c r="N120" s="55"/>
      <c r="O120" s="55"/>
      <c r="P120" s="55"/>
      <c r="Q120" s="55"/>
      <c r="R120" s="55"/>
    </row>
    <row r="121" spans="1:26">
      <c r="A121" s="56" t="s">
        <v>290</v>
      </c>
      <c r="B121" s="54">
        <f>SUM(C121:I121)</f>
        <v>2027</v>
      </c>
      <c r="C121" s="55">
        <v>0</v>
      </c>
      <c r="D121" s="55">
        <v>0</v>
      </c>
      <c r="E121" s="55">
        <v>616</v>
      </c>
      <c r="F121" s="55">
        <v>0</v>
      </c>
      <c r="G121" s="55">
        <v>0</v>
      </c>
      <c r="H121" s="55">
        <v>0</v>
      </c>
      <c r="I121" s="55">
        <v>1411</v>
      </c>
      <c r="J121" s="55"/>
      <c r="K121" s="54">
        <f>SUM(L121:R121)</f>
        <v>4</v>
      </c>
      <c r="L121" s="55">
        <v>0</v>
      </c>
      <c r="M121" s="55">
        <v>0</v>
      </c>
      <c r="N121" s="55">
        <v>1</v>
      </c>
      <c r="O121" s="55">
        <v>0</v>
      </c>
      <c r="P121" s="55">
        <v>0</v>
      </c>
      <c r="Q121" s="55">
        <v>0</v>
      </c>
      <c r="R121" s="55">
        <v>3</v>
      </c>
      <c r="T121" s="61">
        <f>SUM(C121/B121)</f>
        <v>0</v>
      </c>
      <c r="U121" s="61">
        <f>SUM(D121/B121)</f>
        <v>0</v>
      </c>
      <c r="V121" s="61">
        <f>SUM(E121/B121)</f>
        <v>0.30389738529847066</v>
      </c>
      <c r="W121" s="61">
        <f>SUM(F121/B121)</f>
        <v>0</v>
      </c>
      <c r="X121" s="61">
        <f t="shared" si="35"/>
        <v>0</v>
      </c>
      <c r="Y121" s="61">
        <f>SUM(H121/B121)</f>
        <v>0</v>
      </c>
      <c r="Z121" s="61">
        <f>SUM(I121/B121)</f>
        <v>0.69610261470152934</v>
      </c>
    </row>
    <row r="122" spans="1:26">
      <c r="A122" s="56" t="s">
        <v>291</v>
      </c>
      <c r="B122" s="54">
        <f>SUM(C122:I122)</f>
        <v>2524</v>
      </c>
      <c r="C122" s="55">
        <v>771</v>
      </c>
      <c r="D122" s="55">
        <v>461</v>
      </c>
      <c r="E122" s="55">
        <v>0</v>
      </c>
      <c r="F122" s="55">
        <v>0</v>
      </c>
      <c r="G122" s="55">
        <v>0</v>
      </c>
      <c r="H122" s="55">
        <v>0</v>
      </c>
      <c r="I122" s="55">
        <v>1292</v>
      </c>
      <c r="K122" s="54">
        <f>SUM(L122:R122)</f>
        <v>8</v>
      </c>
      <c r="L122" s="55">
        <v>2</v>
      </c>
      <c r="M122" s="55">
        <v>2</v>
      </c>
      <c r="N122" s="55">
        <v>0</v>
      </c>
      <c r="O122" s="55">
        <v>0</v>
      </c>
      <c r="P122" s="55">
        <v>0</v>
      </c>
      <c r="Q122" s="55">
        <v>0</v>
      </c>
      <c r="R122" s="55">
        <v>4</v>
      </c>
      <c r="T122" s="61">
        <f>SUM(C122/B122)</f>
        <v>0.30546751188589538</v>
      </c>
      <c r="U122" s="61">
        <f>SUM(D122/B122)</f>
        <v>0.18264659270998415</v>
      </c>
      <c r="V122" s="61">
        <f>SUM(E122/B122)</f>
        <v>0</v>
      </c>
      <c r="W122" s="61">
        <f>SUM(F122/B122)</f>
        <v>0</v>
      </c>
      <c r="X122" s="61">
        <f t="shared" si="35"/>
        <v>0</v>
      </c>
      <c r="Y122" s="61">
        <f>SUM(H122/B122)</f>
        <v>0</v>
      </c>
      <c r="Z122" s="61">
        <f>SUM(I122/B122)</f>
        <v>0.51188589540412044</v>
      </c>
    </row>
    <row r="123" spans="1:26">
      <c r="A123" s="56" t="s">
        <v>292</v>
      </c>
      <c r="B123" s="54">
        <f>SUM(C123:I123)</f>
        <v>1415</v>
      </c>
      <c r="C123" s="55">
        <v>279</v>
      </c>
      <c r="D123" s="55">
        <v>0</v>
      </c>
      <c r="E123" s="55">
        <v>734</v>
      </c>
      <c r="F123" s="55">
        <v>173</v>
      </c>
      <c r="G123" s="55">
        <v>0</v>
      </c>
      <c r="H123" s="55">
        <v>0</v>
      </c>
      <c r="I123" s="55">
        <v>229</v>
      </c>
      <c r="K123" s="54">
        <f>SUM(L123:R123)</f>
        <v>4</v>
      </c>
      <c r="L123" s="55">
        <v>1</v>
      </c>
      <c r="M123" s="55">
        <v>0</v>
      </c>
      <c r="N123" s="55">
        <v>2</v>
      </c>
      <c r="O123" s="55">
        <v>0</v>
      </c>
      <c r="P123" s="55">
        <v>0</v>
      </c>
      <c r="Q123" s="55">
        <v>0</v>
      </c>
      <c r="R123" s="55">
        <v>1</v>
      </c>
      <c r="T123" s="61">
        <f>SUM(C123/B123)</f>
        <v>0.19717314487632509</v>
      </c>
      <c r="U123" s="61">
        <f>SUM(D123/B123)</f>
        <v>0</v>
      </c>
      <c r="V123" s="61">
        <f>SUM(E123/B123)</f>
        <v>0.51872791519434625</v>
      </c>
      <c r="W123" s="61">
        <f>SUM(F123/B123)</f>
        <v>0.12226148409893993</v>
      </c>
      <c r="X123" s="61">
        <f t="shared" si="35"/>
        <v>0</v>
      </c>
      <c r="Y123" s="61">
        <f>SUM(H123/B123)</f>
        <v>0</v>
      </c>
      <c r="Z123" s="61">
        <f>SUM(I123/B123)</f>
        <v>0.16183745583038869</v>
      </c>
    </row>
    <row r="124" spans="1:26" s="52" customFormat="1">
      <c r="A124" s="53" t="s">
        <v>1631</v>
      </c>
      <c r="B124" s="54">
        <f>SUM(B121:B123)</f>
        <v>5966</v>
      </c>
      <c r="C124" s="54">
        <f t="shared" ref="C124:N124" si="55">SUM(C121:C123)</f>
        <v>1050</v>
      </c>
      <c r="D124" s="54">
        <f>SUM(D121:D123)</f>
        <v>461</v>
      </c>
      <c r="E124" s="54">
        <f t="shared" si="55"/>
        <v>1350</v>
      </c>
      <c r="F124" s="54">
        <f>SUM(F121:F123)</f>
        <v>173</v>
      </c>
      <c r="G124" s="54">
        <f>SUM(G121:G123)</f>
        <v>0</v>
      </c>
      <c r="H124" s="54">
        <f>SUM(H121:H123)</f>
        <v>0</v>
      </c>
      <c r="I124" s="54">
        <f>SUM(I121:I123)</f>
        <v>2932</v>
      </c>
      <c r="J124" s="54"/>
      <c r="K124" s="54">
        <f t="shared" si="55"/>
        <v>16</v>
      </c>
      <c r="L124" s="54">
        <f t="shared" si="55"/>
        <v>3</v>
      </c>
      <c r="M124" s="54">
        <f t="shared" si="55"/>
        <v>2</v>
      </c>
      <c r="N124" s="54">
        <f t="shared" si="55"/>
        <v>3</v>
      </c>
      <c r="O124" s="54">
        <f>SUM(O121:O123)</f>
        <v>0</v>
      </c>
      <c r="P124" s="54">
        <f>SUM(P121:P123)</f>
        <v>0</v>
      </c>
      <c r="Q124" s="54">
        <f>SUM(Q121:Q123)</f>
        <v>0</v>
      </c>
      <c r="R124" s="54">
        <f>SUM(R121:R123)</f>
        <v>8</v>
      </c>
      <c r="T124" s="60">
        <f>SUM(C124/B124)</f>
        <v>0.17599731813610459</v>
      </c>
      <c r="U124" s="60">
        <f>SUM(D124/B124)</f>
        <v>7.7271203486423065E-2</v>
      </c>
      <c r="V124" s="60">
        <f>SUM(E124/B124)</f>
        <v>0.22628226617499161</v>
      </c>
      <c r="W124" s="60">
        <f>SUM(F124/B124)</f>
        <v>2.8997653369091519E-2</v>
      </c>
      <c r="X124" s="60">
        <f t="shared" si="35"/>
        <v>0</v>
      </c>
      <c r="Y124" s="60">
        <f>SUM(H124/B124)</f>
        <v>0</v>
      </c>
      <c r="Z124" s="60">
        <f>SUM(I124/B124)</f>
        <v>0.4914515588333892</v>
      </c>
    </row>
    <row r="125" spans="1:26">
      <c r="A125" s="53"/>
      <c r="B125" s="54"/>
      <c r="C125" s="55"/>
      <c r="D125" s="55"/>
      <c r="E125" s="55"/>
      <c r="F125" s="55"/>
      <c r="G125" s="55"/>
      <c r="H125" s="55"/>
      <c r="I125" s="55"/>
      <c r="K125" s="54"/>
      <c r="L125" s="55"/>
      <c r="M125" s="55"/>
      <c r="N125" s="55"/>
      <c r="O125" s="55"/>
      <c r="P125" s="55"/>
      <c r="Q125" s="55"/>
      <c r="R125" s="55"/>
    </row>
    <row r="126" spans="1:26">
      <c r="A126" s="56" t="s">
        <v>296</v>
      </c>
      <c r="B126" s="54">
        <f>SUM(C126:I126)</f>
        <v>0</v>
      </c>
      <c r="C126" s="55">
        <v>0</v>
      </c>
      <c r="D126" s="55">
        <v>0</v>
      </c>
      <c r="E126" s="55">
        <v>0</v>
      </c>
      <c r="F126" s="55">
        <v>0</v>
      </c>
      <c r="G126" s="55">
        <v>0</v>
      </c>
      <c r="H126" s="55">
        <v>0</v>
      </c>
      <c r="I126" s="55">
        <v>0</v>
      </c>
      <c r="K126" s="54">
        <f>SUM(L126:R126)</f>
        <v>4</v>
      </c>
      <c r="L126" s="55">
        <v>1</v>
      </c>
      <c r="M126" s="55">
        <v>1</v>
      </c>
      <c r="N126" s="55">
        <v>1</v>
      </c>
      <c r="O126" s="55">
        <v>1</v>
      </c>
      <c r="P126" s="55">
        <v>0</v>
      </c>
      <c r="Q126" s="55">
        <v>0</v>
      </c>
      <c r="R126" s="55">
        <v>0</v>
      </c>
      <c r="T126" s="61" t="e">
        <f>SUM(C126/B126)</f>
        <v>#DIV/0!</v>
      </c>
      <c r="U126" s="61" t="e">
        <f>SUM(D126/B126)</f>
        <v>#DIV/0!</v>
      </c>
      <c r="V126" s="61" t="e">
        <f>SUM(E126/B126)</f>
        <v>#DIV/0!</v>
      </c>
      <c r="W126" s="61" t="e">
        <f>SUM(F126/B126)</f>
        <v>#DIV/0!</v>
      </c>
      <c r="X126" s="61" t="e">
        <f t="shared" si="35"/>
        <v>#DIV/0!</v>
      </c>
      <c r="Y126" s="61" t="e">
        <f>SUM(H126/B126)</f>
        <v>#DIV/0!</v>
      </c>
      <c r="Z126" s="61" t="e">
        <f>SUM(I126/B126)</f>
        <v>#DIV/0!</v>
      </c>
    </row>
    <row r="127" spans="1:26">
      <c r="A127" s="56" t="s">
        <v>297</v>
      </c>
      <c r="B127" s="54">
        <f>SUM(C127:I127)</f>
        <v>2312</v>
      </c>
      <c r="C127" s="55">
        <v>423</v>
      </c>
      <c r="D127" s="55">
        <v>852</v>
      </c>
      <c r="E127" s="55">
        <v>0</v>
      </c>
      <c r="F127" s="55">
        <v>498</v>
      </c>
      <c r="G127" s="55">
        <v>0</v>
      </c>
      <c r="H127" s="55">
        <v>0</v>
      </c>
      <c r="I127" s="55">
        <v>539</v>
      </c>
      <c r="K127" s="54">
        <f>SUM(L127:R127)</f>
        <v>4</v>
      </c>
      <c r="L127" s="55">
        <v>1</v>
      </c>
      <c r="M127" s="55">
        <v>1</v>
      </c>
      <c r="N127" s="55">
        <v>0</v>
      </c>
      <c r="O127" s="55">
        <v>1</v>
      </c>
      <c r="P127" s="55">
        <v>0</v>
      </c>
      <c r="Q127" s="55">
        <v>0</v>
      </c>
      <c r="R127" s="55">
        <v>1</v>
      </c>
      <c r="T127" s="61">
        <f>SUM(C127/B127)</f>
        <v>0.18295847750865052</v>
      </c>
      <c r="U127" s="61">
        <f>SUM(D127/B127)</f>
        <v>0.36851211072664358</v>
      </c>
      <c r="V127" s="61">
        <f>SUM(E127/B127)</f>
        <v>0</v>
      </c>
      <c r="W127" s="61">
        <f>SUM(F127/B127)</f>
        <v>0.21539792387543252</v>
      </c>
      <c r="X127" s="61">
        <f t="shared" si="35"/>
        <v>0</v>
      </c>
      <c r="Y127" s="61">
        <f>SUM(H127/B127)</f>
        <v>0</v>
      </c>
      <c r="Z127" s="61">
        <f>SUM(I127/B127)</f>
        <v>0.23313148788927335</v>
      </c>
    </row>
    <row r="128" spans="1:26">
      <c r="A128" s="56" t="s">
        <v>298</v>
      </c>
      <c r="B128" s="54">
        <f>SUM(C128:I128)</f>
        <v>5301</v>
      </c>
      <c r="C128" s="55">
        <v>92</v>
      </c>
      <c r="D128" s="55">
        <v>1046</v>
      </c>
      <c r="E128" s="55">
        <v>0</v>
      </c>
      <c r="F128" s="55">
        <v>1467</v>
      </c>
      <c r="G128" s="55">
        <v>146</v>
      </c>
      <c r="H128" s="55">
        <v>0</v>
      </c>
      <c r="I128" s="55">
        <v>2550</v>
      </c>
      <c r="K128" s="54">
        <f>SUM(L128:R128)</f>
        <v>7</v>
      </c>
      <c r="L128" s="55">
        <v>0</v>
      </c>
      <c r="M128" s="55">
        <v>1</v>
      </c>
      <c r="N128" s="55">
        <v>0</v>
      </c>
      <c r="O128" s="55">
        <v>2</v>
      </c>
      <c r="P128" s="55">
        <v>0</v>
      </c>
      <c r="Q128" s="55">
        <v>0</v>
      </c>
      <c r="R128" s="55">
        <v>4</v>
      </c>
      <c r="T128" s="61">
        <f>SUM(C128/B128)</f>
        <v>1.7355215996981702E-2</v>
      </c>
      <c r="U128" s="61">
        <f>SUM(D128/B128)</f>
        <v>0.19732126013959631</v>
      </c>
      <c r="V128" s="61">
        <f>SUM(E128/B128)</f>
        <v>0</v>
      </c>
      <c r="W128" s="61">
        <f>SUM(F128/B128)</f>
        <v>0.2767402376910017</v>
      </c>
      <c r="X128" s="61">
        <f t="shared" si="35"/>
        <v>2.7541973212601396E-2</v>
      </c>
      <c r="Y128" s="61">
        <f>SUM(H128/B128)</f>
        <v>0</v>
      </c>
      <c r="Z128" s="61">
        <f>SUM(I128/B128)</f>
        <v>0.48104131295981889</v>
      </c>
    </row>
    <row r="129" spans="1:26" s="52" customFormat="1">
      <c r="A129" s="53" t="s">
        <v>1635</v>
      </c>
      <c r="B129" s="54">
        <f>SUM(B126:B128)</f>
        <v>7613</v>
      </c>
      <c r="C129" s="54">
        <f t="shared" ref="C129:N129" si="56">SUM(C126:C128)</f>
        <v>515</v>
      </c>
      <c r="D129" s="54">
        <f>SUM(D126:D128)</f>
        <v>1898</v>
      </c>
      <c r="E129" s="54">
        <f t="shared" si="56"/>
        <v>0</v>
      </c>
      <c r="F129" s="54">
        <f>SUM(F126:F128)</f>
        <v>1965</v>
      </c>
      <c r="G129" s="54">
        <f>SUM(G126:G128)</f>
        <v>146</v>
      </c>
      <c r="H129" s="54">
        <f>SUM(H126:H128)</f>
        <v>0</v>
      </c>
      <c r="I129" s="54">
        <f>SUM(I126:I128)</f>
        <v>3089</v>
      </c>
      <c r="J129" s="54"/>
      <c r="K129" s="54">
        <f t="shared" si="56"/>
        <v>15</v>
      </c>
      <c r="L129" s="54">
        <f t="shared" si="56"/>
        <v>2</v>
      </c>
      <c r="M129" s="54">
        <f t="shared" si="56"/>
        <v>3</v>
      </c>
      <c r="N129" s="54">
        <f t="shared" si="56"/>
        <v>1</v>
      </c>
      <c r="O129" s="54">
        <f>SUM(O126:O128)</f>
        <v>4</v>
      </c>
      <c r="P129" s="54">
        <f>SUM(P126:P128)</f>
        <v>0</v>
      </c>
      <c r="Q129" s="54">
        <f>SUM(Q126:Q128)</f>
        <v>0</v>
      </c>
      <c r="R129" s="54">
        <f>SUM(R126:R128)</f>
        <v>5</v>
      </c>
      <c r="T129" s="60">
        <f>SUM(C129/B129)</f>
        <v>6.7647445159595435E-2</v>
      </c>
      <c r="U129" s="60">
        <f>SUM(D129/B129)</f>
        <v>0.24931039012215947</v>
      </c>
      <c r="V129" s="60">
        <f>SUM(E129/B129)</f>
        <v>0</v>
      </c>
      <c r="W129" s="60">
        <f>SUM(F129/B129)</f>
        <v>0.25811112570602918</v>
      </c>
      <c r="X129" s="60">
        <f t="shared" si="35"/>
        <v>1.9177722317089189E-2</v>
      </c>
      <c r="Y129" s="60">
        <f>SUM(H129/B129)</f>
        <v>0</v>
      </c>
      <c r="Z129" s="60">
        <f>SUM(I129/B129)</f>
        <v>0.40575331669512676</v>
      </c>
    </row>
    <row r="130" spans="1:26">
      <c r="A130" s="53"/>
      <c r="B130" s="54"/>
      <c r="C130" s="55"/>
      <c r="D130" s="55"/>
      <c r="E130" s="55"/>
      <c r="F130" s="55"/>
      <c r="G130" s="55"/>
      <c r="H130" s="55"/>
      <c r="I130" s="55"/>
      <c r="K130" s="54"/>
      <c r="L130" s="55"/>
      <c r="M130" s="55"/>
      <c r="N130" s="55"/>
      <c r="O130" s="55"/>
      <c r="P130" s="55"/>
      <c r="Q130" s="55"/>
      <c r="R130" s="55"/>
    </row>
    <row r="131" spans="1:26">
      <c r="A131" s="56" t="s">
        <v>299</v>
      </c>
      <c r="B131" s="54">
        <f>SUM(C131:I131)</f>
        <v>3127</v>
      </c>
      <c r="C131" s="55">
        <v>913</v>
      </c>
      <c r="D131" s="55">
        <v>378</v>
      </c>
      <c r="E131" s="55">
        <v>0</v>
      </c>
      <c r="F131" s="55">
        <v>936</v>
      </c>
      <c r="G131" s="55">
        <v>0</v>
      </c>
      <c r="H131" s="55">
        <v>0</v>
      </c>
      <c r="I131" s="55">
        <v>900</v>
      </c>
      <c r="K131" s="54">
        <f>SUM(L131:R131)</f>
        <v>5</v>
      </c>
      <c r="L131" s="55">
        <v>2</v>
      </c>
      <c r="M131" s="55">
        <v>0</v>
      </c>
      <c r="N131" s="55">
        <v>0</v>
      </c>
      <c r="O131" s="55">
        <v>2</v>
      </c>
      <c r="P131" s="55">
        <v>0</v>
      </c>
      <c r="Q131" s="55">
        <v>0</v>
      </c>
      <c r="R131" s="55">
        <v>1</v>
      </c>
      <c r="T131" s="61">
        <f>SUM(C131/B131)</f>
        <v>0.29197313719219697</v>
      </c>
      <c r="U131" s="61">
        <f>SUM(D131/B131)</f>
        <v>0.12088263511352734</v>
      </c>
      <c r="V131" s="61">
        <f>SUM(E131/B131)</f>
        <v>0</v>
      </c>
      <c r="W131" s="61">
        <f>SUM(F131/B131)</f>
        <v>0.29932842980492486</v>
      </c>
      <c r="X131" s="61">
        <f t="shared" si="35"/>
        <v>0</v>
      </c>
      <c r="Y131" s="61">
        <f>SUM(H131/B131)</f>
        <v>0</v>
      </c>
      <c r="Z131" s="61">
        <f>SUM(I131/B131)</f>
        <v>0.2878157978893508</v>
      </c>
    </row>
    <row r="132" spans="1:26">
      <c r="A132" s="56" t="s">
        <v>300</v>
      </c>
      <c r="B132" s="54">
        <f>SUM(C132:I132)</f>
        <v>3475</v>
      </c>
      <c r="C132" s="55">
        <v>1342</v>
      </c>
      <c r="D132" s="55">
        <v>425</v>
      </c>
      <c r="E132" s="55">
        <v>0</v>
      </c>
      <c r="F132" s="55">
        <v>1272</v>
      </c>
      <c r="G132" s="55">
        <v>0</v>
      </c>
      <c r="H132" s="55">
        <v>0</v>
      </c>
      <c r="I132" s="55">
        <v>436</v>
      </c>
      <c r="K132" s="54">
        <f>SUM(L132:R132)</f>
        <v>5</v>
      </c>
      <c r="L132" s="55">
        <v>2</v>
      </c>
      <c r="M132" s="55">
        <v>1</v>
      </c>
      <c r="N132" s="55">
        <v>0</v>
      </c>
      <c r="O132" s="55">
        <v>2</v>
      </c>
      <c r="P132" s="55">
        <v>0</v>
      </c>
      <c r="Q132" s="55">
        <v>0</v>
      </c>
      <c r="R132" s="55">
        <v>0</v>
      </c>
      <c r="T132" s="61">
        <f>SUM(C132/B132)</f>
        <v>0.38618705035971224</v>
      </c>
      <c r="U132" s="61">
        <f>SUM(D132/B132)</f>
        <v>0.1223021582733813</v>
      </c>
      <c r="V132" s="61">
        <f>SUM(E132/B132)</f>
        <v>0</v>
      </c>
      <c r="W132" s="61">
        <f>SUM(F132/B132)</f>
        <v>0.36604316546762589</v>
      </c>
      <c r="X132" s="61">
        <f t="shared" si="35"/>
        <v>0</v>
      </c>
      <c r="Y132" s="61">
        <f>SUM(H132/B132)</f>
        <v>0</v>
      </c>
      <c r="Z132" s="61">
        <f>SUM(I132/B132)</f>
        <v>0.12546762589928057</v>
      </c>
    </row>
    <row r="133" spans="1:26">
      <c r="A133" s="56" t="s">
        <v>301</v>
      </c>
      <c r="B133" s="54">
        <f>SUM(C133:I133)</f>
        <v>3221</v>
      </c>
      <c r="C133" s="55">
        <v>443</v>
      </c>
      <c r="D133" s="55">
        <v>932</v>
      </c>
      <c r="E133" s="55">
        <v>0</v>
      </c>
      <c r="F133" s="55">
        <v>749</v>
      </c>
      <c r="G133" s="55">
        <v>237</v>
      </c>
      <c r="H133" s="55">
        <v>0</v>
      </c>
      <c r="I133" s="55">
        <v>860</v>
      </c>
      <c r="K133" s="54">
        <f>SUM(L133:R133)</f>
        <v>5</v>
      </c>
      <c r="L133" s="55">
        <v>1</v>
      </c>
      <c r="M133" s="55">
        <v>2</v>
      </c>
      <c r="N133" s="55">
        <v>0</v>
      </c>
      <c r="O133" s="55">
        <v>1</v>
      </c>
      <c r="P133" s="55">
        <v>0</v>
      </c>
      <c r="Q133" s="55">
        <v>0</v>
      </c>
      <c r="R133" s="55">
        <v>1</v>
      </c>
      <c r="T133" s="61">
        <f>SUM(C133/B133)</f>
        <v>0.13753492704129153</v>
      </c>
      <c r="U133" s="61">
        <f>SUM(D133/B133)</f>
        <v>0.28935113318845079</v>
      </c>
      <c r="V133" s="61">
        <f>SUM(E133/B133)</f>
        <v>0</v>
      </c>
      <c r="W133" s="61">
        <f>SUM(F133/B133)</f>
        <v>0.23253647935423782</v>
      </c>
      <c r="X133" s="61">
        <f t="shared" si="35"/>
        <v>7.3579633654144674E-2</v>
      </c>
      <c r="Y133" s="61">
        <f>SUM(H133/B133)</f>
        <v>0</v>
      </c>
      <c r="Z133" s="61">
        <f>SUM(I133/B133)</f>
        <v>0.26699782676187517</v>
      </c>
    </row>
    <row r="134" spans="1:26" s="52" customFormat="1">
      <c r="A134" s="53" t="s">
        <v>1639</v>
      </c>
      <c r="B134" s="54">
        <f>SUM(B131:B133)</f>
        <v>9823</v>
      </c>
      <c r="C134" s="54">
        <f t="shared" ref="C134:N134" si="57">SUM(C131:C133)</f>
        <v>2698</v>
      </c>
      <c r="D134" s="54">
        <f>SUM(D131:D133)</f>
        <v>1735</v>
      </c>
      <c r="E134" s="54">
        <f t="shared" si="57"/>
        <v>0</v>
      </c>
      <c r="F134" s="54">
        <f>SUM(F131:F133)</f>
        <v>2957</v>
      </c>
      <c r="G134" s="54">
        <f>SUM(G131:G133)</f>
        <v>237</v>
      </c>
      <c r="H134" s="54">
        <f>SUM(H131:H133)</f>
        <v>0</v>
      </c>
      <c r="I134" s="54">
        <f>SUM(I131:I133)</f>
        <v>2196</v>
      </c>
      <c r="J134" s="54"/>
      <c r="K134" s="54">
        <f t="shared" si="57"/>
        <v>15</v>
      </c>
      <c r="L134" s="54">
        <f t="shared" si="57"/>
        <v>5</v>
      </c>
      <c r="M134" s="54">
        <f t="shared" si="57"/>
        <v>3</v>
      </c>
      <c r="N134" s="54">
        <f t="shared" si="57"/>
        <v>0</v>
      </c>
      <c r="O134" s="54">
        <f>SUM(O131:O133)</f>
        <v>5</v>
      </c>
      <c r="P134" s="54">
        <f>SUM(P131:P133)</f>
        <v>0</v>
      </c>
      <c r="Q134" s="54">
        <f>SUM(Q131:Q133)</f>
        <v>0</v>
      </c>
      <c r="R134" s="54">
        <f>SUM(R131:R133)</f>
        <v>2</v>
      </c>
      <c r="T134" s="60">
        <f>SUM(C134/B134)</f>
        <v>0.27466150870406192</v>
      </c>
      <c r="U134" s="60">
        <f>SUM(D134/B134)</f>
        <v>0.17662628524890564</v>
      </c>
      <c r="V134" s="60">
        <f>SUM(E134/B134)</f>
        <v>0</v>
      </c>
      <c r="W134" s="60">
        <f>SUM(F134/B134)</f>
        <v>0.30102819912450374</v>
      </c>
      <c r="X134" s="60">
        <f t="shared" ref="X134:X152" si="58">SUM(G134/B134)</f>
        <v>2.4127048763106992E-2</v>
      </c>
      <c r="Y134" s="60">
        <f>SUM(H134/B134)</f>
        <v>0</v>
      </c>
      <c r="Z134" s="60">
        <f>SUM(I134/B134)</f>
        <v>0.22355695815942175</v>
      </c>
    </row>
    <row r="135" spans="1:26">
      <c r="A135" s="53"/>
      <c r="B135" s="54"/>
      <c r="C135" s="55"/>
      <c r="D135" s="55"/>
      <c r="E135" s="55"/>
      <c r="F135" s="55"/>
      <c r="G135" s="55"/>
      <c r="H135" s="55"/>
      <c r="I135" s="55"/>
      <c r="K135" s="54"/>
      <c r="L135" s="55"/>
      <c r="M135" s="55"/>
      <c r="N135" s="55"/>
      <c r="O135" s="55"/>
      <c r="P135" s="55"/>
      <c r="Q135" s="55"/>
      <c r="R135" s="55"/>
    </row>
    <row r="136" spans="1:26">
      <c r="A136" s="56" t="s">
        <v>302</v>
      </c>
      <c r="B136" s="54">
        <f>SUM(C136:I136)</f>
        <v>3643</v>
      </c>
      <c r="C136" s="55">
        <v>2306</v>
      </c>
      <c r="D136" s="55">
        <v>646</v>
      </c>
      <c r="E136" s="55">
        <v>0</v>
      </c>
      <c r="F136" s="55">
        <v>544</v>
      </c>
      <c r="G136" s="55">
        <v>0</v>
      </c>
      <c r="H136" s="55">
        <v>0</v>
      </c>
      <c r="I136" s="55">
        <v>147</v>
      </c>
      <c r="J136" s="55"/>
      <c r="K136" s="54">
        <f>SUM(L136:R136)</f>
        <v>5</v>
      </c>
      <c r="L136" s="55">
        <v>3</v>
      </c>
      <c r="M136" s="55">
        <v>1</v>
      </c>
      <c r="N136" s="55">
        <v>0</v>
      </c>
      <c r="O136" s="55">
        <v>1</v>
      </c>
      <c r="P136" s="55">
        <v>0</v>
      </c>
      <c r="Q136" s="55">
        <v>0</v>
      </c>
      <c r="R136" s="55">
        <v>0</v>
      </c>
      <c r="T136" s="61">
        <f>SUM(C136/B136)</f>
        <v>0.63299478451825419</v>
      </c>
      <c r="U136" s="61">
        <f>SUM(D136/B136)</f>
        <v>0.17732637935767226</v>
      </c>
      <c r="V136" s="61">
        <f>SUM(E136/B136)</f>
        <v>0</v>
      </c>
      <c r="W136" s="61">
        <f>SUM(F136/B136)</f>
        <v>0.14932747735382926</v>
      </c>
      <c r="X136" s="61">
        <f t="shared" si="58"/>
        <v>0</v>
      </c>
      <c r="Y136" s="61">
        <f>SUM(H136/B136)</f>
        <v>0</v>
      </c>
      <c r="Z136" s="61">
        <f>SUM(I136/B136)</f>
        <v>4.0351358770244303E-2</v>
      </c>
    </row>
    <row r="137" spans="1:26">
      <c r="A137" s="56" t="s">
        <v>303</v>
      </c>
      <c r="B137" s="54">
        <f>SUM(C137:I137)</f>
        <v>4329</v>
      </c>
      <c r="C137" s="55">
        <v>1476</v>
      </c>
      <c r="D137" s="55">
        <v>693</v>
      </c>
      <c r="E137" s="55">
        <v>0</v>
      </c>
      <c r="F137" s="55">
        <v>820</v>
      </c>
      <c r="G137" s="55">
        <v>0</v>
      </c>
      <c r="H137" s="55">
        <v>168</v>
      </c>
      <c r="I137" s="55">
        <v>1172</v>
      </c>
      <c r="K137" s="54">
        <f>SUM(L137:R137)</f>
        <v>6</v>
      </c>
      <c r="L137" s="55">
        <v>2</v>
      </c>
      <c r="M137" s="55">
        <v>1</v>
      </c>
      <c r="N137" s="55">
        <v>0</v>
      </c>
      <c r="O137" s="55">
        <v>1</v>
      </c>
      <c r="P137" s="55">
        <v>0</v>
      </c>
      <c r="Q137" s="55">
        <v>0</v>
      </c>
      <c r="R137" s="55">
        <v>2</v>
      </c>
      <c r="T137" s="61">
        <f>SUM(C137/B137)</f>
        <v>0.34095634095634098</v>
      </c>
      <c r="U137" s="61">
        <f>SUM(D137/B137)</f>
        <v>0.16008316008316009</v>
      </c>
      <c r="V137" s="61">
        <f>SUM(E137/B137)</f>
        <v>0</v>
      </c>
      <c r="W137" s="61">
        <f>SUM(F137/B137)</f>
        <v>0.18942018942018943</v>
      </c>
      <c r="X137" s="61">
        <f t="shared" si="58"/>
        <v>0</v>
      </c>
      <c r="Y137" s="61">
        <f>SUM(H137/B137)</f>
        <v>3.8808038808038806E-2</v>
      </c>
      <c r="Z137" s="61">
        <f>SUM(I137/B137)</f>
        <v>0.27073227073227074</v>
      </c>
    </row>
    <row r="138" spans="1:26">
      <c r="A138" s="56" t="s">
        <v>304</v>
      </c>
      <c r="B138" s="54">
        <f>SUM(C138:I138)</f>
        <v>5996</v>
      </c>
      <c r="C138" s="55">
        <v>1585</v>
      </c>
      <c r="D138" s="55">
        <v>1030</v>
      </c>
      <c r="E138" s="55">
        <v>0</v>
      </c>
      <c r="F138" s="55">
        <v>2008</v>
      </c>
      <c r="G138" s="55">
        <v>0</v>
      </c>
      <c r="H138" s="55">
        <v>0</v>
      </c>
      <c r="I138" s="55">
        <v>1373</v>
      </c>
      <c r="K138" s="54">
        <f>SUM(L138:R138)</f>
        <v>5</v>
      </c>
      <c r="L138" s="55">
        <v>1</v>
      </c>
      <c r="M138" s="55">
        <v>1</v>
      </c>
      <c r="N138" s="55">
        <v>0</v>
      </c>
      <c r="O138" s="55">
        <v>2</v>
      </c>
      <c r="P138" s="55">
        <v>0</v>
      </c>
      <c r="Q138" s="55">
        <v>0</v>
      </c>
      <c r="R138" s="55">
        <v>1</v>
      </c>
      <c r="T138" s="61">
        <f>SUM(C138/B138)</f>
        <v>0.26434289526350901</v>
      </c>
      <c r="U138" s="61">
        <f>SUM(D138/B138)</f>
        <v>0.17178118745830553</v>
      </c>
      <c r="V138" s="61">
        <f>SUM(E138/B138)</f>
        <v>0</v>
      </c>
      <c r="W138" s="61">
        <f>SUM(F138/B138)</f>
        <v>0.33488992661774514</v>
      </c>
      <c r="X138" s="61">
        <f t="shared" si="58"/>
        <v>0</v>
      </c>
      <c r="Y138" s="61">
        <f>SUM(H138/B138)</f>
        <v>0</v>
      </c>
      <c r="Z138" s="61">
        <f>SUM(I138/B138)</f>
        <v>0.22898599066044029</v>
      </c>
    </row>
    <row r="139" spans="1:26">
      <c r="A139" s="56" t="s">
        <v>305</v>
      </c>
      <c r="B139" s="54">
        <f>SUM(C139:I139)</f>
        <v>5612</v>
      </c>
      <c r="C139" s="55">
        <v>2085</v>
      </c>
      <c r="D139" s="55">
        <v>1343</v>
      </c>
      <c r="E139" s="55">
        <v>0</v>
      </c>
      <c r="F139" s="55">
        <v>2184</v>
      </c>
      <c r="G139" s="55">
        <v>0</v>
      </c>
      <c r="H139" s="55">
        <v>0</v>
      </c>
      <c r="I139" s="55">
        <v>0</v>
      </c>
      <c r="K139" s="54">
        <f>SUM(L139:R139)</f>
        <v>5</v>
      </c>
      <c r="L139" s="55">
        <v>2</v>
      </c>
      <c r="M139" s="55">
        <v>1</v>
      </c>
      <c r="N139" s="55">
        <v>0</v>
      </c>
      <c r="O139" s="55">
        <v>2</v>
      </c>
      <c r="P139" s="55">
        <v>0</v>
      </c>
      <c r="Q139" s="55">
        <v>0</v>
      </c>
      <c r="R139" s="55">
        <v>0</v>
      </c>
      <c r="T139" s="61">
        <f>SUM(C139/B139)</f>
        <v>0.37152530292230934</v>
      </c>
      <c r="U139" s="61">
        <f>SUM(D139/B139)</f>
        <v>0.23930862437633643</v>
      </c>
      <c r="V139" s="61">
        <f>SUM(E139/B139)</f>
        <v>0</v>
      </c>
      <c r="W139" s="61">
        <f>SUM(F139/B139)</f>
        <v>0.38916607270135423</v>
      </c>
      <c r="X139" s="61">
        <f t="shared" si="58"/>
        <v>0</v>
      </c>
      <c r="Y139" s="61">
        <f>SUM(H139/B139)</f>
        <v>0</v>
      </c>
      <c r="Z139" s="61">
        <f>SUM(I139/B139)</f>
        <v>0</v>
      </c>
    </row>
    <row r="140" spans="1:26" s="52" customFormat="1">
      <c r="A140" s="53" t="s">
        <v>1644</v>
      </c>
      <c r="B140" s="54">
        <f>SUM(B136:B139)</f>
        <v>19580</v>
      </c>
      <c r="C140" s="54">
        <f t="shared" ref="C140:N140" si="59">SUM(C136:C139)</f>
        <v>7452</v>
      </c>
      <c r="D140" s="54">
        <f>SUM(D136:D139)</f>
        <v>3712</v>
      </c>
      <c r="E140" s="54">
        <f t="shared" si="59"/>
        <v>0</v>
      </c>
      <c r="F140" s="54">
        <f>SUM(F136:F139)</f>
        <v>5556</v>
      </c>
      <c r="G140" s="54">
        <f>SUM(G136:G139)</f>
        <v>0</v>
      </c>
      <c r="H140" s="54">
        <f>SUM(H136:H139)</f>
        <v>168</v>
      </c>
      <c r="I140" s="54">
        <f>SUM(I136:I139)</f>
        <v>2692</v>
      </c>
      <c r="J140" s="54"/>
      <c r="K140" s="54">
        <f t="shared" si="59"/>
        <v>21</v>
      </c>
      <c r="L140" s="54">
        <f t="shared" si="59"/>
        <v>8</v>
      </c>
      <c r="M140" s="54">
        <f t="shared" si="59"/>
        <v>4</v>
      </c>
      <c r="N140" s="54">
        <f t="shared" si="59"/>
        <v>0</v>
      </c>
      <c r="O140" s="54">
        <f>SUM(O136:O139)</f>
        <v>6</v>
      </c>
      <c r="P140" s="54">
        <f>SUM(P136:P139)</f>
        <v>0</v>
      </c>
      <c r="Q140" s="54">
        <f>SUM(Q136:Q139)</f>
        <v>0</v>
      </c>
      <c r="R140" s="54">
        <f>SUM(R136:R139)</f>
        <v>3</v>
      </c>
      <c r="T140" s="60">
        <f>SUM(C140/B140)</f>
        <v>0.38059244126659858</v>
      </c>
      <c r="U140" s="60">
        <f>SUM(D140/B140)</f>
        <v>0.18958120531154238</v>
      </c>
      <c r="V140" s="60">
        <f>SUM(E140/B140)</f>
        <v>0</v>
      </c>
      <c r="W140" s="60">
        <f>SUM(F140/B140)</f>
        <v>0.28375893769152194</v>
      </c>
      <c r="X140" s="60">
        <f t="shared" si="58"/>
        <v>0</v>
      </c>
      <c r="Y140" s="60">
        <f>SUM(H140/B140)</f>
        <v>8.580183861082738E-3</v>
      </c>
      <c r="Z140" s="60">
        <f>SUM(I140/B140)</f>
        <v>0.13748723186925435</v>
      </c>
    </row>
    <row r="141" spans="1:26">
      <c r="A141" s="53"/>
      <c r="B141" s="54"/>
      <c r="C141" s="55"/>
      <c r="D141" s="55"/>
      <c r="E141" s="55"/>
      <c r="F141" s="55"/>
      <c r="G141" s="55"/>
      <c r="H141" s="55"/>
      <c r="I141" s="55"/>
      <c r="K141" s="54"/>
      <c r="L141" s="55"/>
      <c r="M141" s="55"/>
      <c r="N141" s="55"/>
      <c r="O141" s="55"/>
      <c r="P141" s="55"/>
      <c r="Q141" s="55"/>
      <c r="R141" s="55"/>
    </row>
    <row r="142" spans="1:26">
      <c r="A142" s="56" t="s">
        <v>253</v>
      </c>
      <c r="B142" s="54">
        <f t="shared" ref="B142:B149" si="60">SUM(C142:I142)</f>
        <v>16097</v>
      </c>
      <c r="C142" s="55">
        <v>4706</v>
      </c>
      <c r="D142" s="55">
        <v>3461</v>
      </c>
      <c r="E142" s="55">
        <v>1364</v>
      </c>
      <c r="F142" s="55">
        <v>3247</v>
      </c>
      <c r="G142" s="55">
        <v>1021</v>
      </c>
      <c r="H142" s="55">
        <v>278</v>
      </c>
      <c r="I142" s="55">
        <v>2020</v>
      </c>
      <c r="K142" s="54">
        <f t="shared" ref="K142:K149" si="61">SUM(L142:R142)</f>
        <v>7</v>
      </c>
      <c r="L142" s="55">
        <v>2</v>
      </c>
      <c r="M142" s="55">
        <v>2</v>
      </c>
      <c r="N142" s="55">
        <v>1</v>
      </c>
      <c r="O142" s="55">
        <v>2</v>
      </c>
      <c r="P142" s="55">
        <v>0</v>
      </c>
      <c r="Q142" s="55">
        <v>0</v>
      </c>
      <c r="R142" s="55">
        <v>0</v>
      </c>
      <c r="T142" s="61">
        <f t="shared" ref="T142:T150" si="62">SUM(C142/B142)</f>
        <v>0.29235261228800397</v>
      </c>
      <c r="U142" s="61">
        <f t="shared" ref="U142:U150" si="63">SUM(D142/B142)</f>
        <v>0.2150090078896689</v>
      </c>
      <c r="V142" s="61">
        <f t="shared" ref="V142:V150" si="64">SUM(E142/B142)</f>
        <v>8.4736286264521343E-2</v>
      </c>
      <c r="W142" s="61">
        <f t="shared" ref="W142:W150" si="65">SUM(F142/B142)</f>
        <v>0.20171460520593901</v>
      </c>
      <c r="X142" s="61">
        <f t="shared" si="58"/>
        <v>6.3427967944337457E-2</v>
      </c>
      <c r="Y142" s="61">
        <f t="shared" ref="Y142:Y150" si="66">SUM(H142/B142)</f>
        <v>1.72702988134435E-2</v>
      </c>
      <c r="Z142" s="61">
        <f t="shared" ref="Z142:Z150" si="67">SUM(I142/B142)</f>
        <v>0.12548922159408585</v>
      </c>
    </row>
    <row r="143" spans="1:26">
      <c r="A143" s="56" t="s">
        <v>254</v>
      </c>
      <c r="B143" s="54">
        <f t="shared" si="60"/>
        <v>18017</v>
      </c>
      <c r="C143" s="55">
        <v>5939</v>
      </c>
      <c r="D143" s="55">
        <v>1978</v>
      </c>
      <c r="E143" s="55">
        <v>0</v>
      </c>
      <c r="F143" s="55">
        <v>5529</v>
      </c>
      <c r="G143" s="55">
        <v>1218</v>
      </c>
      <c r="H143" s="55">
        <v>0</v>
      </c>
      <c r="I143" s="55">
        <v>3353</v>
      </c>
      <c r="K143" s="54">
        <f t="shared" si="61"/>
        <v>7</v>
      </c>
      <c r="L143" s="55">
        <v>3</v>
      </c>
      <c r="M143" s="55">
        <v>1</v>
      </c>
      <c r="N143" s="55">
        <v>0</v>
      </c>
      <c r="O143" s="55">
        <v>2</v>
      </c>
      <c r="P143" s="55">
        <v>0</v>
      </c>
      <c r="Q143" s="55">
        <v>0</v>
      </c>
      <c r="R143" s="55">
        <v>1</v>
      </c>
      <c r="T143" s="61">
        <f t="shared" si="62"/>
        <v>0.32963312427152136</v>
      </c>
      <c r="U143" s="61">
        <f t="shared" si="63"/>
        <v>0.10978520286396182</v>
      </c>
      <c r="V143" s="61">
        <f t="shared" si="64"/>
        <v>0</v>
      </c>
      <c r="W143" s="61">
        <f t="shared" si="65"/>
        <v>0.30687683854137759</v>
      </c>
      <c r="X143" s="61">
        <f t="shared" si="58"/>
        <v>6.7602819559305097E-2</v>
      </c>
      <c r="Y143" s="61">
        <f t="shared" si="66"/>
        <v>0</v>
      </c>
      <c r="Z143" s="61">
        <f t="shared" si="67"/>
        <v>0.18610201476383414</v>
      </c>
    </row>
    <row r="144" spans="1:26">
      <c r="A144" s="56" t="s">
        <v>255</v>
      </c>
      <c r="B144" s="54">
        <f t="shared" si="60"/>
        <v>14518</v>
      </c>
      <c r="C144" s="55">
        <v>3678</v>
      </c>
      <c r="D144" s="55">
        <v>1476</v>
      </c>
      <c r="E144" s="55">
        <v>923</v>
      </c>
      <c r="F144" s="55">
        <v>4914</v>
      </c>
      <c r="G144" s="55">
        <v>318</v>
      </c>
      <c r="H144" s="55">
        <v>0</v>
      </c>
      <c r="I144" s="55">
        <v>3209</v>
      </c>
      <c r="K144" s="54">
        <f t="shared" si="61"/>
        <v>6</v>
      </c>
      <c r="L144" s="55">
        <v>2</v>
      </c>
      <c r="M144" s="55">
        <v>0</v>
      </c>
      <c r="N144" s="55">
        <v>0</v>
      </c>
      <c r="O144" s="55">
        <v>3</v>
      </c>
      <c r="P144" s="55">
        <v>0</v>
      </c>
      <c r="Q144" s="55">
        <v>0</v>
      </c>
      <c r="R144" s="55">
        <v>1</v>
      </c>
      <c r="T144" s="61">
        <f t="shared" si="62"/>
        <v>0.25334068053450887</v>
      </c>
      <c r="U144" s="61">
        <f t="shared" si="63"/>
        <v>0.1016668962667034</v>
      </c>
      <c r="V144" s="61">
        <f t="shared" si="64"/>
        <v>6.3576250172200033E-2</v>
      </c>
      <c r="W144" s="61">
        <f t="shared" si="65"/>
        <v>0.33847637415621984</v>
      </c>
      <c r="X144" s="61">
        <f t="shared" si="58"/>
        <v>2.190384350461496E-2</v>
      </c>
      <c r="Y144" s="61">
        <f t="shared" si="66"/>
        <v>0</v>
      </c>
      <c r="Z144" s="61">
        <f t="shared" si="67"/>
        <v>0.22103595536575285</v>
      </c>
    </row>
    <row r="145" spans="1:26">
      <c r="A145" s="56" t="s">
        <v>256</v>
      </c>
      <c r="B145" s="54">
        <f t="shared" si="60"/>
        <v>13338</v>
      </c>
      <c r="C145" s="55">
        <v>0</v>
      </c>
      <c r="D145" s="55">
        <v>0</v>
      </c>
      <c r="E145" s="55">
        <v>9229</v>
      </c>
      <c r="F145" s="55">
        <v>1810</v>
      </c>
      <c r="G145" s="55">
        <v>0</v>
      </c>
      <c r="H145" s="55">
        <v>2192</v>
      </c>
      <c r="I145" s="55">
        <v>107</v>
      </c>
      <c r="K145" s="54">
        <f t="shared" si="61"/>
        <v>6</v>
      </c>
      <c r="L145" s="55">
        <v>0</v>
      </c>
      <c r="M145" s="55">
        <v>0</v>
      </c>
      <c r="N145" s="55">
        <v>4</v>
      </c>
      <c r="O145" s="55">
        <v>1</v>
      </c>
      <c r="P145" s="55">
        <v>0</v>
      </c>
      <c r="Q145" s="55">
        <v>1</v>
      </c>
      <c r="R145" s="55">
        <v>0</v>
      </c>
      <c r="T145" s="61">
        <f t="shared" si="62"/>
        <v>0</v>
      </c>
      <c r="U145" s="61">
        <f t="shared" si="63"/>
        <v>0</v>
      </c>
      <c r="V145" s="61">
        <f t="shared" si="64"/>
        <v>0.69193282351177088</v>
      </c>
      <c r="W145" s="61">
        <f t="shared" si="65"/>
        <v>0.13570250412355675</v>
      </c>
      <c r="X145" s="61">
        <f t="shared" si="58"/>
        <v>0</v>
      </c>
      <c r="Y145" s="61">
        <f t="shared" si="66"/>
        <v>0.16434248013195382</v>
      </c>
      <c r="Z145" s="61">
        <f t="shared" si="67"/>
        <v>8.0221922327185485E-3</v>
      </c>
    </row>
    <row r="146" spans="1:26">
      <c r="A146" s="56" t="s">
        <v>257</v>
      </c>
      <c r="B146" s="54">
        <f t="shared" si="60"/>
        <v>13522</v>
      </c>
      <c r="C146" s="55">
        <v>4742</v>
      </c>
      <c r="D146" s="55">
        <v>2470</v>
      </c>
      <c r="E146" s="55">
        <v>0</v>
      </c>
      <c r="F146" s="55">
        <v>1223</v>
      </c>
      <c r="G146" s="55">
        <v>0</v>
      </c>
      <c r="H146" s="55">
        <v>0</v>
      </c>
      <c r="I146" s="55">
        <v>5087</v>
      </c>
      <c r="K146" s="54">
        <f t="shared" si="61"/>
        <v>6</v>
      </c>
      <c r="L146" s="55">
        <v>2</v>
      </c>
      <c r="M146" s="55">
        <v>1</v>
      </c>
      <c r="N146" s="55">
        <v>0</v>
      </c>
      <c r="O146" s="55">
        <v>1</v>
      </c>
      <c r="P146" s="55">
        <v>0</v>
      </c>
      <c r="Q146" s="55">
        <v>0</v>
      </c>
      <c r="R146" s="55">
        <v>2</v>
      </c>
      <c r="T146" s="61">
        <f t="shared" si="62"/>
        <v>0.3506877680816447</v>
      </c>
      <c r="U146" s="61">
        <f t="shared" si="63"/>
        <v>0.18266528620026623</v>
      </c>
      <c r="V146" s="61">
        <f t="shared" si="64"/>
        <v>0</v>
      </c>
      <c r="W146" s="61">
        <f t="shared" si="65"/>
        <v>9.044520041413992E-2</v>
      </c>
      <c r="X146" s="61">
        <f t="shared" si="58"/>
        <v>0</v>
      </c>
      <c r="Y146" s="61">
        <f t="shared" si="66"/>
        <v>0</v>
      </c>
      <c r="Z146" s="61">
        <f t="shared" si="67"/>
        <v>0.37620174530394912</v>
      </c>
    </row>
    <row r="147" spans="1:26">
      <c r="A147" s="56" t="s">
        <v>258</v>
      </c>
      <c r="B147" s="54">
        <f t="shared" si="60"/>
        <v>10027</v>
      </c>
      <c r="C147" s="55">
        <v>3131</v>
      </c>
      <c r="D147" s="55">
        <v>1474</v>
      </c>
      <c r="E147" s="55">
        <v>2785</v>
      </c>
      <c r="F147" s="55">
        <v>1077</v>
      </c>
      <c r="G147" s="55">
        <v>0</v>
      </c>
      <c r="H147" s="55">
        <v>1445</v>
      </c>
      <c r="I147" s="55">
        <v>115</v>
      </c>
      <c r="K147" s="54">
        <f t="shared" si="61"/>
        <v>6</v>
      </c>
      <c r="L147" s="55">
        <v>2</v>
      </c>
      <c r="M147" s="55">
        <v>1</v>
      </c>
      <c r="N147" s="55">
        <v>1</v>
      </c>
      <c r="O147" s="55">
        <v>1</v>
      </c>
      <c r="P147" s="55">
        <v>0</v>
      </c>
      <c r="Q147" s="55">
        <v>1</v>
      </c>
      <c r="R147" s="55">
        <v>0</v>
      </c>
      <c r="T147" s="61">
        <f t="shared" si="62"/>
        <v>0.31225690635284731</v>
      </c>
      <c r="U147" s="61">
        <f t="shared" si="63"/>
        <v>0.14700309165253814</v>
      </c>
      <c r="V147" s="61">
        <f t="shared" si="64"/>
        <v>0.27775007479804525</v>
      </c>
      <c r="W147" s="61">
        <f t="shared" si="65"/>
        <v>0.10740999301884911</v>
      </c>
      <c r="X147" s="61">
        <f t="shared" si="58"/>
        <v>0</v>
      </c>
      <c r="Y147" s="61">
        <f t="shared" si="66"/>
        <v>0.14411090056846515</v>
      </c>
      <c r="Z147" s="61">
        <f t="shared" si="67"/>
        <v>1.1469033609255011E-2</v>
      </c>
    </row>
    <row r="148" spans="1:26">
      <c r="A148" s="56" t="s">
        <v>259</v>
      </c>
      <c r="B148" s="54">
        <f t="shared" si="60"/>
        <v>10084</v>
      </c>
      <c r="C148" s="55">
        <v>2929</v>
      </c>
      <c r="D148" s="55">
        <v>2119</v>
      </c>
      <c r="E148" s="55">
        <v>3006</v>
      </c>
      <c r="F148" s="55">
        <v>320</v>
      </c>
      <c r="G148" s="55">
        <v>0</v>
      </c>
      <c r="H148" s="55">
        <v>1323</v>
      </c>
      <c r="I148" s="55">
        <v>387</v>
      </c>
      <c r="K148" s="54">
        <f t="shared" si="61"/>
        <v>6</v>
      </c>
      <c r="L148" s="55">
        <v>2</v>
      </c>
      <c r="M148" s="55">
        <v>1</v>
      </c>
      <c r="N148" s="55">
        <v>1</v>
      </c>
      <c r="O148" s="55">
        <v>1</v>
      </c>
      <c r="P148" s="55">
        <v>0</v>
      </c>
      <c r="Q148" s="55">
        <v>1</v>
      </c>
      <c r="R148" s="55">
        <v>0</v>
      </c>
      <c r="T148" s="61">
        <f t="shared" si="62"/>
        <v>0.29046013486711625</v>
      </c>
      <c r="U148" s="61">
        <f t="shared" si="63"/>
        <v>0.21013486711622373</v>
      </c>
      <c r="V148" s="61">
        <f t="shared" si="64"/>
        <v>0.29809599365331219</v>
      </c>
      <c r="W148" s="61">
        <f t="shared" si="65"/>
        <v>3.1733439111463702E-2</v>
      </c>
      <c r="X148" s="61">
        <f t="shared" si="58"/>
        <v>0</v>
      </c>
      <c r="Y148" s="61">
        <f t="shared" si="66"/>
        <v>0.13119793732645776</v>
      </c>
      <c r="Z148" s="61">
        <f t="shared" si="67"/>
        <v>3.837762792542642E-2</v>
      </c>
    </row>
    <row r="149" spans="1:26">
      <c r="A149" s="56" t="s">
        <v>260</v>
      </c>
      <c r="B149" s="54">
        <f t="shared" si="60"/>
        <v>16631</v>
      </c>
      <c r="C149" s="55">
        <v>4962</v>
      </c>
      <c r="D149" s="55">
        <v>1948</v>
      </c>
      <c r="E149" s="55">
        <v>3513</v>
      </c>
      <c r="F149" s="55">
        <v>2809</v>
      </c>
      <c r="G149" s="55">
        <v>0</v>
      </c>
      <c r="H149" s="55">
        <v>0</v>
      </c>
      <c r="I149" s="55">
        <v>3399</v>
      </c>
      <c r="J149" s="55"/>
      <c r="K149" s="54">
        <f t="shared" si="61"/>
        <v>7</v>
      </c>
      <c r="L149" s="55">
        <v>2</v>
      </c>
      <c r="M149" s="55">
        <v>1</v>
      </c>
      <c r="N149" s="55">
        <v>1</v>
      </c>
      <c r="O149" s="55">
        <v>2</v>
      </c>
      <c r="P149" s="55">
        <v>0</v>
      </c>
      <c r="Q149" s="55">
        <v>0</v>
      </c>
      <c r="R149" s="55">
        <v>1</v>
      </c>
      <c r="T149" s="61">
        <f t="shared" si="62"/>
        <v>0.29835848716252783</v>
      </c>
      <c r="U149" s="61">
        <f t="shared" si="63"/>
        <v>0.11713065961156875</v>
      </c>
      <c r="V149" s="61">
        <f t="shared" si="64"/>
        <v>0.21123203655823461</v>
      </c>
      <c r="W149" s="61">
        <f t="shared" si="65"/>
        <v>0.1689014491010763</v>
      </c>
      <c r="X149" s="61">
        <f t="shared" si="58"/>
        <v>0</v>
      </c>
      <c r="Y149" s="61">
        <f t="shared" si="66"/>
        <v>0</v>
      </c>
      <c r="Z149" s="61">
        <f t="shared" si="67"/>
        <v>0.2043773675665925</v>
      </c>
    </row>
    <row r="150" spans="1:26" s="52" customFormat="1">
      <c r="A150" s="53" t="s">
        <v>1654</v>
      </c>
      <c r="B150" s="54">
        <f t="shared" ref="B150:I150" si="68">SUM(B142:B149)</f>
        <v>112234</v>
      </c>
      <c r="C150" s="54">
        <f t="shared" si="68"/>
        <v>30087</v>
      </c>
      <c r="D150" s="54">
        <f t="shared" si="68"/>
        <v>14926</v>
      </c>
      <c r="E150" s="54">
        <f t="shared" si="68"/>
        <v>20820</v>
      </c>
      <c r="F150" s="54">
        <f t="shared" si="68"/>
        <v>20929</v>
      </c>
      <c r="G150" s="54">
        <f t="shared" si="68"/>
        <v>2557</v>
      </c>
      <c r="H150" s="54">
        <f t="shared" si="68"/>
        <v>5238</v>
      </c>
      <c r="I150" s="54">
        <f t="shared" si="68"/>
        <v>17677</v>
      </c>
      <c r="J150" s="54"/>
      <c r="K150" s="54">
        <f t="shared" ref="K150:R150" si="69">SUM(K142:K149)</f>
        <v>51</v>
      </c>
      <c r="L150" s="54">
        <f t="shared" si="69"/>
        <v>15</v>
      </c>
      <c r="M150" s="54">
        <f t="shared" si="69"/>
        <v>7</v>
      </c>
      <c r="N150" s="54">
        <f t="shared" si="69"/>
        <v>8</v>
      </c>
      <c r="O150" s="54">
        <f t="shared" si="69"/>
        <v>13</v>
      </c>
      <c r="P150" s="54">
        <f t="shared" si="69"/>
        <v>0</v>
      </c>
      <c r="Q150" s="54">
        <f t="shared" si="69"/>
        <v>3</v>
      </c>
      <c r="R150" s="54">
        <f t="shared" si="69"/>
        <v>5</v>
      </c>
      <c r="T150" s="60">
        <f t="shared" si="62"/>
        <v>0.26807384571520215</v>
      </c>
      <c r="U150" s="60">
        <f t="shared" si="63"/>
        <v>0.13299000302938505</v>
      </c>
      <c r="V150" s="60">
        <f t="shared" si="64"/>
        <v>0.18550528360389901</v>
      </c>
      <c r="W150" s="60">
        <f t="shared" si="65"/>
        <v>0.18647646880624411</v>
      </c>
      <c r="X150" s="60">
        <f t="shared" si="58"/>
        <v>2.278275745317818E-2</v>
      </c>
      <c r="Y150" s="60">
        <f t="shared" si="66"/>
        <v>4.6670349448473723E-2</v>
      </c>
      <c r="Z150" s="60">
        <f t="shared" si="67"/>
        <v>0.15750129194361781</v>
      </c>
    </row>
    <row r="151" spans="1:26">
      <c r="A151" s="53"/>
      <c r="B151" s="54"/>
      <c r="C151" s="55"/>
      <c r="D151" s="55"/>
      <c r="E151" s="55"/>
      <c r="F151" s="55"/>
      <c r="G151" s="55"/>
      <c r="H151" s="55"/>
      <c r="I151" s="55"/>
      <c r="K151" s="54"/>
      <c r="L151" s="55"/>
      <c r="M151" s="55"/>
      <c r="N151" s="55"/>
      <c r="O151" s="55"/>
      <c r="P151" s="55"/>
      <c r="Q151" s="55"/>
      <c r="R151" s="55"/>
    </row>
    <row r="152" spans="1:26" s="52" customFormat="1">
      <c r="A152" s="53" t="s">
        <v>1255</v>
      </c>
      <c r="B152" s="54">
        <f t="shared" ref="B152:I152" si="70">SUM(B150+B140+B134+B129+B124+B119+B114+B108+B103+B98+B92+B87+B80+B75+B71+B65+B57+B51+B46+B41+B34+B29+B24+B18+B13+B7)</f>
        <v>556708</v>
      </c>
      <c r="C152" s="54">
        <f t="shared" si="70"/>
        <v>164900</v>
      </c>
      <c r="D152" s="54">
        <f t="shared" si="70"/>
        <v>73417</v>
      </c>
      <c r="E152" s="54">
        <f t="shared" si="70"/>
        <v>112210</v>
      </c>
      <c r="F152" s="54">
        <f t="shared" si="70"/>
        <v>80011</v>
      </c>
      <c r="G152" s="54">
        <f t="shared" si="70"/>
        <v>17901</v>
      </c>
      <c r="H152" s="54">
        <f t="shared" si="70"/>
        <v>14277</v>
      </c>
      <c r="I152" s="54">
        <f t="shared" si="70"/>
        <v>93992</v>
      </c>
      <c r="J152" s="54"/>
      <c r="K152" s="54">
        <f t="shared" ref="K152:R152" si="71">SUM(K150+K140+K134+K129+K124+K119+K114+K108+K103+K98+K92+K87+K80+K75+K71+K65+K57+K51+K46+K41+K34+K29+K24+K18+K13+K7)</f>
        <v>526</v>
      </c>
      <c r="L152" s="54">
        <f t="shared" si="71"/>
        <v>176</v>
      </c>
      <c r="M152" s="54">
        <f t="shared" si="71"/>
        <v>74</v>
      </c>
      <c r="N152" s="54">
        <f t="shared" si="71"/>
        <v>114</v>
      </c>
      <c r="O152" s="54">
        <f t="shared" si="71"/>
        <v>69</v>
      </c>
      <c r="P152" s="54">
        <f t="shared" si="71"/>
        <v>12</v>
      </c>
      <c r="Q152" s="54">
        <f t="shared" si="71"/>
        <v>6</v>
      </c>
      <c r="R152" s="54">
        <f t="shared" si="71"/>
        <v>75</v>
      </c>
      <c r="T152" s="60">
        <f>SUM(C152/B152)</f>
        <v>0.2962055512045812</v>
      </c>
      <c r="U152" s="60">
        <f>SUM(D152/B152)</f>
        <v>0.13187703428008937</v>
      </c>
      <c r="V152" s="60">
        <f>SUM(E152/B152)</f>
        <v>0.20155988417626475</v>
      </c>
      <c r="W152" s="60">
        <f>SUM(F152/B152)</f>
        <v>0.1437216637806534</v>
      </c>
      <c r="X152" s="60">
        <f t="shared" si="58"/>
        <v>3.2155097465816906E-2</v>
      </c>
      <c r="Y152" s="60">
        <f>SUM(H152/B152)</f>
        <v>2.5645401179792637E-2</v>
      </c>
      <c r="Z152" s="60">
        <f>SUM(I152/B152)</f>
        <v>0.16883536791280168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 codeName="Sheet33"/>
  <dimension ref="A1:Z152"/>
  <sheetViews>
    <sheetView workbookViewId="0">
      <pane ySplit="1" topLeftCell="A127" activePane="bottomLeft" state="frozen"/>
      <selection pane="bottomLeft" activeCell="J151" sqref="J151"/>
    </sheetView>
  </sheetViews>
  <sheetFormatPr defaultRowHeight="15"/>
  <cols>
    <col min="1" max="1" width="23.5703125" style="47" customWidth="1"/>
    <col min="2" max="2" width="8.7109375" style="47" customWidth="1"/>
    <col min="3" max="3" width="9" customWidth="1"/>
    <col min="4" max="7" width="7.7109375" customWidth="1"/>
    <col min="8" max="8" width="7.85546875" customWidth="1"/>
    <col min="9" max="9" width="7.7109375" customWidth="1"/>
    <col min="10" max="10" width="0.85546875" customWidth="1"/>
    <col min="11" max="11" width="6.7109375" style="47" customWidth="1"/>
    <col min="12" max="15" width="5.42578125" customWidth="1"/>
    <col min="16" max="17" width="5.28515625" customWidth="1"/>
    <col min="18" max="18" width="5.42578125" customWidth="1"/>
    <col min="19" max="19" width="0.7109375" customWidth="1"/>
    <col min="20" max="26" width="7.7109375" style="61" customWidth="1"/>
  </cols>
  <sheetData>
    <row r="1" spans="1:26">
      <c r="A1" s="47" t="s">
        <v>1528</v>
      </c>
      <c r="B1" s="47" t="s">
        <v>1248</v>
      </c>
      <c r="C1" s="49" t="s">
        <v>2206</v>
      </c>
      <c r="D1" s="50" t="s">
        <v>1258</v>
      </c>
      <c r="E1" s="48" t="s">
        <v>1261</v>
      </c>
      <c r="F1" s="66" t="s">
        <v>1529</v>
      </c>
      <c r="G1" s="82" t="s">
        <v>2445</v>
      </c>
      <c r="H1" s="73" t="s">
        <v>2444</v>
      </c>
      <c r="I1" s="52" t="s">
        <v>1254</v>
      </c>
      <c r="J1" s="47"/>
      <c r="K1" s="47" t="s">
        <v>1250</v>
      </c>
      <c r="L1" s="49" t="s">
        <v>2206</v>
      </c>
      <c r="M1" s="50" t="s">
        <v>1258</v>
      </c>
      <c r="N1" s="48" t="s">
        <v>1261</v>
      </c>
      <c r="O1" s="66" t="s">
        <v>1269</v>
      </c>
      <c r="P1" s="82" t="s">
        <v>2446</v>
      </c>
      <c r="Q1" s="73" t="s">
        <v>2444</v>
      </c>
      <c r="R1" s="52" t="s">
        <v>1254</v>
      </c>
      <c r="T1" s="49" t="s">
        <v>2206</v>
      </c>
      <c r="U1" s="50" t="s">
        <v>1258</v>
      </c>
      <c r="V1" s="48" t="s">
        <v>1261</v>
      </c>
      <c r="W1" s="66" t="s">
        <v>1529</v>
      </c>
      <c r="X1" s="82" t="s">
        <v>2445</v>
      </c>
      <c r="Y1" s="73" t="s">
        <v>2444</v>
      </c>
      <c r="Z1" s="60" t="s">
        <v>1254</v>
      </c>
    </row>
    <row r="2" spans="1:26">
      <c r="A2" s="56" t="s">
        <v>801</v>
      </c>
      <c r="B2" s="54">
        <f>SUM(C2:I2)</f>
        <v>6187</v>
      </c>
      <c r="C2" s="55">
        <v>2008</v>
      </c>
      <c r="D2" s="55">
        <v>0</v>
      </c>
      <c r="E2" s="55">
        <v>0</v>
      </c>
      <c r="F2" s="55">
        <v>324</v>
      </c>
      <c r="G2" s="55">
        <v>0</v>
      </c>
      <c r="H2" s="55">
        <v>0</v>
      </c>
      <c r="I2" s="55">
        <v>3855</v>
      </c>
      <c r="K2" s="54">
        <f>SUM(L2:R2)</f>
        <v>4</v>
      </c>
      <c r="L2" s="55">
        <v>1</v>
      </c>
      <c r="M2" s="55">
        <v>0</v>
      </c>
      <c r="N2" s="55">
        <v>0</v>
      </c>
      <c r="O2" s="55">
        <v>0</v>
      </c>
      <c r="P2" s="55">
        <v>0</v>
      </c>
      <c r="Q2" s="55">
        <v>0</v>
      </c>
      <c r="R2" s="55">
        <v>3</v>
      </c>
      <c r="T2" s="61">
        <f t="shared" ref="T2:T7" si="0">SUM(C2/B2)</f>
        <v>0.32455147890738645</v>
      </c>
      <c r="U2" s="61">
        <f t="shared" ref="U2:U7" si="1">SUM(D2/B2)</f>
        <v>0</v>
      </c>
      <c r="V2" s="61">
        <f t="shared" ref="V2:V7" si="2">SUM(E2/B2)</f>
        <v>0</v>
      </c>
      <c r="W2" s="61">
        <f t="shared" ref="W2:W7" si="3">SUM(F2/B2)</f>
        <v>5.236786811055439E-2</v>
      </c>
      <c r="X2" s="61">
        <f t="shared" ref="X2:X7" si="4">SUM(G2/B2)</f>
        <v>0</v>
      </c>
      <c r="Y2" s="61">
        <f t="shared" ref="Y2:Y7" si="5">SUM(H2/B2)</f>
        <v>0</v>
      </c>
      <c r="Z2" s="61">
        <f t="shared" ref="Z2:Z7" si="6">SUM(I2/B2)</f>
        <v>0.62308065298205917</v>
      </c>
    </row>
    <row r="3" spans="1:26">
      <c r="A3" s="56" t="s">
        <v>802</v>
      </c>
      <c r="B3" s="54">
        <f>SUM(C3:I3)</f>
        <v>5762</v>
      </c>
      <c r="C3" s="55">
        <v>2187</v>
      </c>
      <c r="D3" s="55">
        <v>310</v>
      </c>
      <c r="E3" s="55">
        <v>0</v>
      </c>
      <c r="F3" s="55">
        <v>286</v>
      </c>
      <c r="G3" s="55">
        <v>1065</v>
      </c>
      <c r="H3" s="55">
        <v>0</v>
      </c>
      <c r="I3" s="55">
        <v>1914</v>
      </c>
      <c r="K3" s="54">
        <f>SUM(L3:R3)</f>
        <v>4</v>
      </c>
      <c r="L3" s="55">
        <v>2</v>
      </c>
      <c r="M3" s="55">
        <v>0</v>
      </c>
      <c r="N3" s="55">
        <v>0</v>
      </c>
      <c r="O3" s="55">
        <v>0</v>
      </c>
      <c r="P3" s="55">
        <v>1</v>
      </c>
      <c r="Q3" s="55">
        <v>0</v>
      </c>
      <c r="R3" s="55">
        <v>1</v>
      </c>
      <c r="T3" s="61">
        <f t="shared" si="0"/>
        <v>0.37955570982297815</v>
      </c>
      <c r="U3" s="61">
        <f t="shared" si="1"/>
        <v>5.3800763623741754E-2</v>
      </c>
      <c r="V3" s="61">
        <f t="shared" si="2"/>
        <v>0</v>
      </c>
      <c r="W3" s="61">
        <f t="shared" si="3"/>
        <v>4.9635543214161748E-2</v>
      </c>
      <c r="X3" s="61">
        <f t="shared" si="4"/>
        <v>0.18483165567511281</v>
      </c>
      <c r="Y3" s="61">
        <f t="shared" si="5"/>
        <v>0</v>
      </c>
      <c r="Z3" s="61">
        <f t="shared" si="6"/>
        <v>0.33217632766400557</v>
      </c>
    </row>
    <row r="4" spans="1:26">
      <c r="A4" s="56" t="s">
        <v>803</v>
      </c>
      <c r="B4" s="54">
        <f>SUM(C4:I4)</f>
        <v>6035</v>
      </c>
      <c r="C4" s="55">
        <v>450</v>
      </c>
      <c r="D4" s="55">
        <v>270</v>
      </c>
      <c r="E4" s="55">
        <v>0</v>
      </c>
      <c r="F4" s="55">
        <v>662</v>
      </c>
      <c r="G4" s="55">
        <v>1581</v>
      </c>
      <c r="H4" s="55">
        <v>0</v>
      </c>
      <c r="I4" s="55">
        <v>3072</v>
      </c>
      <c r="K4" s="54">
        <f>SUM(L4:R4)</f>
        <v>4</v>
      </c>
      <c r="L4" s="55">
        <v>1</v>
      </c>
      <c r="M4" s="55">
        <v>0</v>
      </c>
      <c r="N4" s="55">
        <v>0</v>
      </c>
      <c r="O4" s="55">
        <v>0</v>
      </c>
      <c r="P4" s="55">
        <v>1</v>
      </c>
      <c r="Q4" s="55">
        <v>0</v>
      </c>
      <c r="R4" s="55">
        <v>2</v>
      </c>
      <c r="T4" s="61">
        <f t="shared" si="0"/>
        <v>7.4565037282518648E-2</v>
      </c>
      <c r="U4" s="61">
        <f t="shared" si="1"/>
        <v>4.4739022369511182E-2</v>
      </c>
      <c r="V4" s="61">
        <f t="shared" si="2"/>
        <v>0</v>
      </c>
      <c r="W4" s="61">
        <f>SUM(F4/B4)</f>
        <v>0.10969345484672742</v>
      </c>
      <c r="X4" s="61">
        <f t="shared" si="4"/>
        <v>0.26197183098591548</v>
      </c>
      <c r="Y4" s="61">
        <f t="shared" si="5"/>
        <v>0</v>
      </c>
      <c r="Z4" s="61">
        <f t="shared" si="6"/>
        <v>0.50903065451532725</v>
      </c>
    </row>
    <row r="5" spans="1:26">
      <c r="A5" s="56" t="s">
        <v>804</v>
      </c>
      <c r="B5" s="54">
        <f>SUM(C5:I5)</f>
        <v>6058</v>
      </c>
      <c r="C5" s="55">
        <v>1143</v>
      </c>
      <c r="D5" s="55">
        <v>405</v>
      </c>
      <c r="E5" s="55">
        <v>1898</v>
      </c>
      <c r="F5" s="55">
        <v>298</v>
      </c>
      <c r="G5" s="55">
        <v>1212</v>
      </c>
      <c r="H5" s="55">
        <v>0</v>
      </c>
      <c r="I5" s="55">
        <v>1102</v>
      </c>
      <c r="K5" s="54">
        <f>SUM(L5:R5)</f>
        <v>4</v>
      </c>
      <c r="L5" s="55">
        <v>1</v>
      </c>
      <c r="M5" s="55">
        <v>0</v>
      </c>
      <c r="N5" s="55">
        <v>2</v>
      </c>
      <c r="O5" s="55">
        <v>0</v>
      </c>
      <c r="P5" s="55">
        <v>1</v>
      </c>
      <c r="Q5" s="55">
        <v>0</v>
      </c>
      <c r="R5" s="55">
        <v>0</v>
      </c>
      <c r="T5" s="61">
        <f t="shared" si="0"/>
        <v>0.18867613073621659</v>
      </c>
      <c r="U5" s="61">
        <f t="shared" si="1"/>
        <v>6.6853747111257841E-2</v>
      </c>
      <c r="V5" s="61">
        <f t="shared" si="2"/>
        <v>0.31330472103004292</v>
      </c>
      <c r="W5" s="61">
        <f t="shared" si="3"/>
        <v>4.9191152195444038E-2</v>
      </c>
      <c r="X5" s="61">
        <f t="shared" si="4"/>
        <v>0.20006602839220866</v>
      </c>
      <c r="Y5" s="61">
        <f t="shared" si="5"/>
        <v>0</v>
      </c>
      <c r="Z5" s="61">
        <f t="shared" si="6"/>
        <v>0.18190822053482997</v>
      </c>
    </row>
    <row r="6" spans="1:26">
      <c r="A6" s="56" t="s">
        <v>805</v>
      </c>
      <c r="B6" s="54">
        <f>SUM(C6:I6)</f>
        <v>5812</v>
      </c>
      <c r="C6" s="55">
        <v>774</v>
      </c>
      <c r="D6" s="55">
        <v>510</v>
      </c>
      <c r="E6" s="55">
        <v>1642</v>
      </c>
      <c r="F6" s="55">
        <v>715</v>
      </c>
      <c r="G6" s="55">
        <v>1496</v>
      </c>
      <c r="H6" s="55">
        <v>0</v>
      </c>
      <c r="I6" s="55">
        <v>675</v>
      </c>
      <c r="J6" s="55"/>
      <c r="K6" s="54">
        <f>SUM(L6:R6)</f>
        <v>4</v>
      </c>
      <c r="L6" s="55">
        <v>1</v>
      </c>
      <c r="M6" s="55">
        <v>0</v>
      </c>
      <c r="N6" s="55">
        <v>2</v>
      </c>
      <c r="O6" s="55">
        <v>0</v>
      </c>
      <c r="P6" s="55">
        <v>1</v>
      </c>
      <c r="Q6" s="55">
        <v>0</v>
      </c>
      <c r="R6" s="55">
        <v>0</v>
      </c>
      <c r="T6" s="61">
        <f t="shared" si="0"/>
        <v>0.13317274604267035</v>
      </c>
      <c r="U6" s="61">
        <f t="shared" si="1"/>
        <v>8.7749483826565722E-2</v>
      </c>
      <c r="V6" s="61">
        <f t="shared" si="2"/>
        <v>0.28251892635925668</v>
      </c>
      <c r="W6" s="61">
        <f t="shared" si="3"/>
        <v>0.12302133516861666</v>
      </c>
      <c r="X6" s="61">
        <f t="shared" si="4"/>
        <v>0.25739848589125947</v>
      </c>
      <c r="Y6" s="61">
        <f t="shared" si="5"/>
        <v>0</v>
      </c>
      <c r="Z6" s="61">
        <f t="shared" si="6"/>
        <v>0.11613902271163111</v>
      </c>
    </row>
    <row r="7" spans="1:26" s="52" customFormat="1">
      <c r="A7" s="53" t="s">
        <v>1532</v>
      </c>
      <c r="B7" s="54">
        <f>SUM(B2:B6)</f>
        <v>29854</v>
      </c>
      <c r="C7" s="54">
        <f t="shared" ref="C7:N7" si="7">SUM(C2:C6)</f>
        <v>6562</v>
      </c>
      <c r="D7" s="54">
        <f>SUM(D2:D6)</f>
        <v>1495</v>
      </c>
      <c r="E7" s="54">
        <f t="shared" si="7"/>
        <v>3540</v>
      </c>
      <c r="F7" s="54">
        <f>SUM(F2:F6)</f>
        <v>2285</v>
      </c>
      <c r="G7" s="54">
        <f>SUM(G2:G6)</f>
        <v>5354</v>
      </c>
      <c r="H7" s="54">
        <f>SUM(H2:H6)</f>
        <v>0</v>
      </c>
      <c r="I7" s="54">
        <f>SUM(I2:I6)</f>
        <v>10618</v>
      </c>
      <c r="J7" s="54"/>
      <c r="K7" s="54">
        <f t="shared" si="7"/>
        <v>20</v>
      </c>
      <c r="L7" s="54">
        <f t="shared" si="7"/>
        <v>6</v>
      </c>
      <c r="M7" s="54">
        <f t="shared" si="7"/>
        <v>0</v>
      </c>
      <c r="N7" s="54">
        <f t="shared" si="7"/>
        <v>4</v>
      </c>
      <c r="O7" s="54">
        <f>SUM(O2:O6)</f>
        <v>0</v>
      </c>
      <c r="P7" s="54">
        <f>SUM(P2:P6)</f>
        <v>4</v>
      </c>
      <c r="Q7" s="54">
        <f>SUM(Q2:Q6)</f>
        <v>0</v>
      </c>
      <c r="R7" s="54">
        <f>SUM(R2:R6)</f>
        <v>6</v>
      </c>
      <c r="T7" s="60">
        <f t="shared" si="0"/>
        <v>0.21980304146847993</v>
      </c>
      <c r="U7" s="60">
        <f t="shared" si="1"/>
        <v>5.007704160246533E-2</v>
      </c>
      <c r="V7" s="60">
        <f t="shared" si="2"/>
        <v>0.11857707509881422</v>
      </c>
      <c r="W7" s="60">
        <f t="shared" si="3"/>
        <v>7.6539157231861721E-2</v>
      </c>
      <c r="X7" s="60">
        <f t="shared" si="4"/>
        <v>0.17933945199973203</v>
      </c>
      <c r="Y7" s="60">
        <f t="shared" si="5"/>
        <v>0</v>
      </c>
      <c r="Z7" s="60">
        <f t="shared" si="6"/>
        <v>0.35566423259864677</v>
      </c>
    </row>
    <row r="8" spans="1:26">
      <c r="A8" s="53"/>
      <c r="B8" s="54"/>
      <c r="C8" s="55"/>
      <c r="D8" s="55"/>
      <c r="E8" s="55"/>
      <c r="F8" s="55"/>
      <c r="G8" s="55"/>
      <c r="H8" s="55"/>
      <c r="I8" s="55"/>
      <c r="K8" s="54"/>
      <c r="L8" s="55"/>
      <c r="M8" s="55"/>
      <c r="N8" s="55"/>
      <c r="O8" s="55"/>
      <c r="P8" s="55"/>
      <c r="Q8" s="55"/>
      <c r="R8" s="55"/>
    </row>
    <row r="9" spans="1:26">
      <c r="A9" s="56" t="s">
        <v>228</v>
      </c>
      <c r="B9" s="54">
        <f>SUM(C9:I9)</f>
        <v>5257</v>
      </c>
      <c r="C9" s="55">
        <v>1456</v>
      </c>
      <c r="D9" s="55">
        <v>0</v>
      </c>
      <c r="E9" s="55">
        <v>1669</v>
      </c>
      <c r="F9" s="55">
        <v>374</v>
      </c>
      <c r="G9" s="55">
        <v>865</v>
      </c>
      <c r="H9" s="55">
        <v>0</v>
      </c>
      <c r="I9" s="55">
        <v>893</v>
      </c>
      <c r="K9" s="54">
        <f>SUM(L9:R9)</f>
        <v>5</v>
      </c>
      <c r="L9" s="55">
        <v>1</v>
      </c>
      <c r="M9" s="55">
        <v>0</v>
      </c>
      <c r="N9" s="55">
        <v>2</v>
      </c>
      <c r="O9" s="55">
        <v>0</v>
      </c>
      <c r="P9" s="55">
        <v>1</v>
      </c>
      <c r="Q9" s="55">
        <v>0</v>
      </c>
      <c r="R9" s="55">
        <v>1</v>
      </c>
      <c r="T9" s="61">
        <f>SUM(C9/B9)</f>
        <v>0.2769640479360852</v>
      </c>
      <c r="U9" s="61">
        <f>SUM(D9/B9)</f>
        <v>0</v>
      </c>
      <c r="V9" s="61">
        <f>SUM(E9/B9)</f>
        <v>0.31748145330036143</v>
      </c>
      <c r="W9" s="61">
        <f>SUM(F9/B9)</f>
        <v>7.1143237587977928E-2</v>
      </c>
      <c r="X9" s="61">
        <f>SUM(G9/B9)</f>
        <v>0.16454251474224843</v>
      </c>
      <c r="Y9" s="61">
        <f>SUM(H9/B9)</f>
        <v>0</v>
      </c>
      <c r="Z9" s="61">
        <f>SUM(I9/B9)</f>
        <v>0.169868746433327</v>
      </c>
    </row>
    <row r="10" spans="1:26">
      <c r="A10" s="56" t="s">
        <v>229</v>
      </c>
      <c r="B10" s="54">
        <f>SUM(C10:I10)</f>
        <v>3998</v>
      </c>
      <c r="C10" s="55">
        <v>1079</v>
      </c>
      <c r="D10" s="55">
        <v>0</v>
      </c>
      <c r="E10" s="55">
        <v>0</v>
      </c>
      <c r="F10" s="55">
        <v>663</v>
      </c>
      <c r="G10" s="55">
        <v>872</v>
      </c>
      <c r="H10" s="55">
        <v>0</v>
      </c>
      <c r="I10" s="55">
        <v>1384</v>
      </c>
      <c r="K10" s="54">
        <f>SUM(L10:R10)</f>
        <v>4</v>
      </c>
      <c r="L10" s="55">
        <v>1</v>
      </c>
      <c r="M10" s="55">
        <v>0</v>
      </c>
      <c r="N10" s="55">
        <v>0</v>
      </c>
      <c r="O10" s="55">
        <v>1</v>
      </c>
      <c r="P10" s="55">
        <v>1</v>
      </c>
      <c r="Q10" s="55">
        <v>0</v>
      </c>
      <c r="R10" s="55">
        <v>1</v>
      </c>
      <c r="T10" s="61">
        <f>SUM(C10/B10)</f>
        <v>0.26988494247123562</v>
      </c>
      <c r="U10" s="61">
        <f>SUM(D10/B10)</f>
        <v>0</v>
      </c>
      <c r="V10" s="61">
        <f>SUM(E10/B10)</f>
        <v>0</v>
      </c>
      <c r="W10" s="61">
        <f>SUM(F10/B10)</f>
        <v>0.16583291645822912</v>
      </c>
      <c r="X10" s="61">
        <f>SUM(G10/B10)</f>
        <v>0.21810905452726362</v>
      </c>
      <c r="Y10" s="61">
        <f>SUM(H10/B10)</f>
        <v>0</v>
      </c>
      <c r="Z10" s="61">
        <f>SUM(I10/B10)</f>
        <v>0.34617308654327161</v>
      </c>
    </row>
    <row r="11" spans="1:26">
      <c r="A11" s="56" t="s">
        <v>230</v>
      </c>
      <c r="B11" s="54">
        <f>SUM(C11:I11)</f>
        <v>6208</v>
      </c>
      <c r="C11" s="55">
        <v>2089</v>
      </c>
      <c r="D11" s="55">
        <v>0</v>
      </c>
      <c r="E11" s="55">
        <v>1610</v>
      </c>
      <c r="F11" s="55">
        <v>933</v>
      </c>
      <c r="G11" s="55">
        <v>507</v>
      </c>
      <c r="H11" s="55">
        <v>0</v>
      </c>
      <c r="I11" s="55">
        <v>1069</v>
      </c>
      <c r="K11" s="54">
        <f>SUM(L11:R11)</f>
        <v>7</v>
      </c>
      <c r="L11" s="55">
        <v>3</v>
      </c>
      <c r="M11" s="55">
        <v>0</v>
      </c>
      <c r="N11" s="55">
        <v>2</v>
      </c>
      <c r="O11" s="55">
        <v>1</v>
      </c>
      <c r="P11" s="55">
        <v>0</v>
      </c>
      <c r="Q11" s="55">
        <v>0</v>
      </c>
      <c r="R11" s="55">
        <v>1</v>
      </c>
      <c r="T11" s="61">
        <f>SUM(C11/B11)</f>
        <v>0.33650128865979384</v>
      </c>
      <c r="U11" s="61">
        <f>SUM(D11/B11)</f>
        <v>0</v>
      </c>
      <c r="V11" s="61">
        <f>SUM(E11/B11)</f>
        <v>0.25934278350515466</v>
      </c>
      <c r="W11" s="61">
        <f>SUM(F11/B11)</f>
        <v>0.15028994845360824</v>
      </c>
      <c r="X11" s="61">
        <f>SUM(G11/B11)</f>
        <v>8.1668814432989692E-2</v>
      </c>
      <c r="Y11" s="61">
        <f>SUM(H11/B11)</f>
        <v>0</v>
      </c>
      <c r="Z11" s="61">
        <f>SUM(I11/B11)</f>
        <v>0.17219716494845361</v>
      </c>
    </row>
    <row r="12" spans="1:26">
      <c r="A12" s="56" t="s">
        <v>231</v>
      </c>
      <c r="B12" s="54">
        <f>SUM(C12:I12)</f>
        <v>3334</v>
      </c>
      <c r="C12" s="55">
        <v>775</v>
      </c>
      <c r="D12" s="55">
        <v>0</v>
      </c>
      <c r="E12" s="55">
        <v>0</v>
      </c>
      <c r="F12" s="55">
        <v>328</v>
      </c>
      <c r="G12" s="55">
        <v>264</v>
      </c>
      <c r="H12" s="55">
        <v>0</v>
      </c>
      <c r="I12" s="55">
        <v>1967</v>
      </c>
      <c r="K12" s="54">
        <f>SUM(L12:R12)</f>
        <v>4</v>
      </c>
      <c r="L12" s="55">
        <v>1</v>
      </c>
      <c r="M12" s="55">
        <v>0</v>
      </c>
      <c r="N12" s="55">
        <v>0</v>
      </c>
      <c r="O12" s="55">
        <v>1</v>
      </c>
      <c r="P12" s="55">
        <v>0</v>
      </c>
      <c r="Q12" s="55">
        <v>0</v>
      </c>
      <c r="R12" s="55">
        <v>2</v>
      </c>
      <c r="T12" s="61">
        <f>SUM(C12/B12)</f>
        <v>0.23245350929814038</v>
      </c>
      <c r="U12" s="61">
        <f>SUM(D12/B12)</f>
        <v>0</v>
      </c>
      <c r="V12" s="61">
        <f>SUM(E12/B12)</f>
        <v>0</v>
      </c>
      <c r="W12" s="61">
        <f>SUM(F12/B12)</f>
        <v>9.8380323935212954E-2</v>
      </c>
      <c r="X12" s="61">
        <f>SUM(G12/B12)</f>
        <v>7.9184163167366525E-2</v>
      </c>
      <c r="Y12" s="61">
        <f>SUM(H12/B12)</f>
        <v>0</v>
      </c>
      <c r="Z12" s="61">
        <f>SUM(I12/B12)</f>
        <v>0.5899820035992801</v>
      </c>
    </row>
    <row r="13" spans="1:26" s="52" customFormat="1">
      <c r="A13" s="53" t="s">
        <v>1531</v>
      </c>
      <c r="B13" s="54">
        <f>SUM(B9:B12)</f>
        <v>18797</v>
      </c>
      <c r="C13" s="54">
        <f t="shared" ref="C13:N13" si="8">SUM(C9:C12)</f>
        <v>5399</v>
      </c>
      <c r="D13" s="54">
        <f>SUM(D9:D12)</f>
        <v>0</v>
      </c>
      <c r="E13" s="54">
        <f t="shared" si="8"/>
        <v>3279</v>
      </c>
      <c r="F13" s="54">
        <f>SUM(F9:F12)</f>
        <v>2298</v>
      </c>
      <c r="G13" s="54">
        <f>SUM(G9:G12)</f>
        <v>2508</v>
      </c>
      <c r="H13" s="54">
        <f>SUM(H9:H12)</f>
        <v>0</v>
      </c>
      <c r="I13" s="54">
        <f>SUM(I9:I12)</f>
        <v>5313</v>
      </c>
      <c r="J13" s="54"/>
      <c r="K13" s="54">
        <f t="shared" si="8"/>
        <v>20</v>
      </c>
      <c r="L13" s="54">
        <f t="shared" si="8"/>
        <v>6</v>
      </c>
      <c r="M13" s="54">
        <f t="shared" si="8"/>
        <v>0</v>
      </c>
      <c r="N13" s="54">
        <f t="shared" si="8"/>
        <v>4</v>
      </c>
      <c r="O13" s="54">
        <f>SUM(O9:O12)</f>
        <v>3</v>
      </c>
      <c r="P13" s="54">
        <f>SUM(P9:P12)</f>
        <v>2</v>
      </c>
      <c r="Q13" s="54">
        <f>SUM(Q9:Q12)</f>
        <v>0</v>
      </c>
      <c r="R13" s="54">
        <f>SUM(R9:R12)</f>
        <v>5</v>
      </c>
      <c r="T13" s="60">
        <f>SUM(C13/B13)</f>
        <v>0.28722668510932597</v>
      </c>
      <c r="U13" s="60">
        <f>SUM(D13/B13)</f>
        <v>0</v>
      </c>
      <c r="V13" s="60">
        <f>SUM(E13/B13)</f>
        <v>0.1744427302229079</v>
      </c>
      <c r="W13" s="60">
        <f>SUM(F13/B13)</f>
        <v>0.12225355109857956</v>
      </c>
      <c r="X13" s="60">
        <f>SUM(G13/B13)</f>
        <v>0.13342554662978134</v>
      </c>
      <c r="Y13" s="60">
        <f>SUM(H13/B13)</f>
        <v>0</v>
      </c>
      <c r="Z13" s="60">
        <f>SUM(I13/B13)</f>
        <v>0.28265148693940523</v>
      </c>
    </row>
    <row r="14" spans="1:26">
      <c r="A14" s="53"/>
      <c r="B14" s="54"/>
      <c r="C14" s="55"/>
      <c r="D14" s="55"/>
      <c r="E14" s="55"/>
      <c r="F14" s="55"/>
      <c r="G14" s="55"/>
      <c r="H14" s="55"/>
      <c r="I14" s="55"/>
      <c r="K14" s="54"/>
      <c r="L14" s="55"/>
      <c r="M14" s="55"/>
      <c r="N14" s="55"/>
      <c r="O14" s="55"/>
      <c r="P14" s="55"/>
      <c r="Q14" s="55"/>
      <c r="R14" s="55"/>
    </row>
    <row r="15" spans="1:26">
      <c r="A15" s="56" t="s">
        <v>232</v>
      </c>
      <c r="B15" s="54">
        <f>SUM(C15:I15)</f>
        <v>6398</v>
      </c>
      <c r="C15" s="55">
        <v>3653</v>
      </c>
      <c r="D15" s="55">
        <v>0</v>
      </c>
      <c r="E15" s="55">
        <v>1437</v>
      </c>
      <c r="F15" s="55">
        <v>356</v>
      </c>
      <c r="G15" s="55">
        <v>0</v>
      </c>
      <c r="H15" s="55">
        <v>0</v>
      </c>
      <c r="I15" s="55">
        <v>952</v>
      </c>
      <c r="K15" s="54">
        <f>SUM(L15:R15)</f>
        <v>5</v>
      </c>
      <c r="L15" s="55">
        <v>3</v>
      </c>
      <c r="M15" s="55">
        <v>0</v>
      </c>
      <c r="N15" s="55">
        <v>1</v>
      </c>
      <c r="O15" s="55">
        <v>0</v>
      </c>
      <c r="P15" s="55">
        <v>0</v>
      </c>
      <c r="Q15" s="55">
        <v>0</v>
      </c>
      <c r="R15" s="55">
        <v>1</v>
      </c>
      <c r="T15" s="61">
        <f>SUM(C15/B15)</f>
        <v>0.57095967489840571</v>
      </c>
      <c r="U15" s="61">
        <f>SUM(D15/B15)</f>
        <v>0</v>
      </c>
      <c r="V15" s="61">
        <f>SUM(E15/B15)</f>
        <v>0.22460143794935916</v>
      </c>
      <c r="W15" s="61">
        <f>SUM(F15/B15)</f>
        <v>5.5642388246326981E-2</v>
      </c>
      <c r="X15" s="61">
        <f>SUM(G15/B15)</f>
        <v>0</v>
      </c>
      <c r="Y15" s="61">
        <f>SUM(H15/B15)</f>
        <v>0</v>
      </c>
      <c r="Z15" s="61">
        <f>SUM(I15/B15)</f>
        <v>0.1487964989059081</v>
      </c>
    </row>
    <row r="16" spans="1:26">
      <c r="A16" s="56" t="s">
        <v>233</v>
      </c>
      <c r="B16" s="54">
        <f>SUM(C16:I16)</f>
        <v>6312</v>
      </c>
      <c r="C16" s="55">
        <v>2317</v>
      </c>
      <c r="D16" s="55">
        <v>1048</v>
      </c>
      <c r="E16" s="55">
        <v>1742</v>
      </c>
      <c r="F16" s="55">
        <v>746</v>
      </c>
      <c r="G16" s="55">
        <v>0</v>
      </c>
      <c r="H16" s="55">
        <v>0</v>
      </c>
      <c r="I16" s="55">
        <v>459</v>
      </c>
      <c r="K16" s="54">
        <f>SUM(L16:R16)</f>
        <v>5</v>
      </c>
      <c r="L16" s="55">
        <v>2</v>
      </c>
      <c r="M16" s="55">
        <v>1</v>
      </c>
      <c r="N16" s="55">
        <v>1</v>
      </c>
      <c r="O16" s="55">
        <v>1</v>
      </c>
      <c r="P16" s="55">
        <v>0</v>
      </c>
      <c r="Q16" s="55">
        <v>0</v>
      </c>
      <c r="R16" s="55">
        <v>0</v>
      </c>
      <c r="T16" s="61">
        <f>SUM(C16/B16)</f>
        <v>0.36707858048162229</v>
      </c>
      <c r="U16" s="61">
        <f>SUM(D16/B16)</f>
        <v>0.16603295310519645</v>
      </c>
      <c r="V16" s="61">
        <f>SUM(E16/B16)</f>
        <v>0.27598225602027882</v>
      </c>
      <c r="W16" s="61">
        <f>SUM(F16/B16)</f>
        <v>0.11818757921419519</v>
      </c>
      <c r="X16" s="61">
        <f t="shared" ref="X16:X78" si="9">SUM(G16/B16)</f>
        <v>0</v>
      </c>
      <c r="Y16" s="61">
        <f>SUM(H16/B16)</f>
        <v>0</v>
      </c>
      <c r="Z16" s="61">
        <f>SUM(I16/B16)</f>
        <v>7.2718631178707221E-2</v>
      </c>
    </row>
    <row r="17" spans="1:26">
      <c r="A17" s="56" t="s">
        <v>234</v>
      </c>
      <c r="B17" s="54">
        <f>SUM(C17:I17)</f>
        <v>5588</v>
      </c>
      <c r="C17" s="55">
        <v>1150</v>
      </c>
      <c r="D17" s="55">
        <v>0</v>
      </c>
      <c r="E17" s="55">
        <v>1910</v>
      </c>
      <c r="F17" s="55">
        <v>655</v>
      </c>
      <c r="G17" s="55">
        <v>0</v>
      </c>
      <c r="H17" s="55">
        <v>709</v>
      </c>
      <c r="I17" s="55">
        <v>1164</v>
      </c>
      <c r="K17" s="54">
        <f>SUM(L17:R17)</f>
        <v>5</v>
      </c>
      <c r="L17" s="55">
        <v>1</v>
      </c>
      <c r="M17" s="55">
        <v>0</v>
      </c>
      <c r="N17" s="55">
        <v>2</v>
      </c>
      <c r="O17" s="55">
        <v>1</v>
      </c>
      <c r="P17" s="55">
        <v>0</v>
      </c>
      <c r="Q17" s="55">
        <v>0</v>
      </c>
      <c r="R17" s="55">
        <v>1</v>
      </c>
      <c r="T17" s="61">
        <f>SUM(C17/B17)</f>
        <v>0.205798138869005</v>
      </c>
      <c r="U17" s="61">
        <f>SUM(D17/B17)</f>
        <v>0</v>
      </c>
      <c r="V17" s="61">
        <f>SUM(E17/B17)</f>
        <v>0.34180386542591268</v>
      </c>
      <c r="W17" s="61">
        <f>SUM(F17/B17)</f>
        <v>0.11721546170365069</v>
      </c>
      <c r="X17" s="61">
        <f t="shared" si="9"/>
        <v>0</v>
      </c>
      <c r="Y17" s="61">
        <f>SUM(H17/B17)</f>
        <v>0.1268790264853257</v>
      </c>
      <c r="Z17" s="61">
        <f>SUM(I17/B17)</f>
        <v>0.20830350751610593</v>
      </c>
    </row>
    <row r="18" spans="1:26" s="52" customFormat="1">
      <c r="A18" s="53" t="s">
        <v>1533</v>
      </c>
      <c r="B18" s="54">
        <f>SUM(B15:B17)</f>
        <v>18298</v>
      </c>
      <c r="C18" s="54">
        <f t="shared" ref="C18:N18" si="10">SUM(C15:C17)</f>
        <v>7120</v>
      </c>
      <c r="D18" s="54">
        <f>SUM(D15:D17)</f>
        <v>1048</v>
      </c>
      <c r="E18" s="54">
        <f t="shared" si="10"/>
        <v>5089</v>
      </c>
      <c r="F18" s="54">
        <f>SUM(F15:F17)</f>
        <v>1757</v>
      </c>
      <c r="G18" s="54">
        <f>SUM(G15:G17)</f>
        <v>0</v>
      </c>
      <c r="H18" s="54">
        <f>SUM(H15:H17)</f>
        <v>709</v>
      </c>
      <c r="I18" s="54">
        <f>SUM(I15:I17)</f>
        <v>2575</v>
      </c>
      <c r="J18" s="54"/>
      <c r="K18" s="54">
        <f t="shared" si="10"/>
        <v>15</v>
      </c>
      <c r="L18" s="54">
        <f t="shared" si="10"/>
        <v>6</v>
      </c>
      <c r="M18" s="54">
        <f t="shared" si="10"/>
        <v>1</v>
      </c>
      <c r="N18" s="54">
        <f t="shared" si="10"/>
        <v>4</v>
      </c>
      <c r="O18" s="54">
        <f>SUM(O15:O17)</f>
        <v>2</v>
      </c>
      <c r="P18" s="54">
        <f>SUM(P15:P17)</f>
        <v>0</v>
      </c>
      <c r="Q18" s="54">
        <f>SUM(Q15:Q17)</f>
        <v>0</v>
      </c>
      <c r="R18" s="54">
        <f>SUM(R15:R17)</f>
        <v>2</v>
      </c>
      <c r="T18" s="60">
        <f>SUM(C18/B18)</f>
        <v>0.38911356432396982</v>
      </c>
      <c r="U18" s="60">
        <f>SUM(D18/B18)</f>
        <v>5.7274019018471962E-2</v>
      </c>
      <c r="V18" s="60">
        <f>SUM(E18/B18)</f>
        <v>0.27811782708492733</v>
      </c>
      <c r="W18" s="60">
        <f>SUM(F18/B18)</f>
        <v>9.6021423106350423E-2</v>
      </c>
      <c r="X18" s="60">
        <f t="shared" si="9"/>
        <v>0</v>
      </c>
      <c r="Y18" s="60">
        <f>SUM(H18/B18)</f>
        <v>3.8747404087878454E-2</v>
      </c>
      <c r="Z18" s="60">
        <f>SUM(I18/B18)</f>
        <v>0.14072576237840201</v>
      </c>
    </row>
    <row r="19" spans="1:26">
      <c r="A19" s="53"/>
      <c r="B19" s="54"/>
      <c r="C19" s="55"/>
      <c r="D19" s="55"/>
      <c r="E19" s="55"/>
      <c r="F19" s="55"/>
      <c r="G19" s="55"/>
      <c r="H19" s="55"/>
      <c r="I19" s="55"/>
      <c r="K19" s="54"/>
      <c r="L19" s="55"/>
      <c r="M19" s="55"/>
      <c r="N19" s="55"/>
      <c r="O19" s="55"/>
      <c r="P19" s="55"/>
      <c r="Q19" s="55"/>
      <c r="R19" s="55"/>
    </row>
    <row r="20" spans="1:26">
      <c r="A20" s="56" t="s">
        <v>235</v>
      </c>
      <c r="B20" s="54">
        <f>SUM(C20:I20)</f>
        <v>5572</v>
      </c>
      <c r="C20" s="55">
        <v>2942</v>
      </c>
      <c r="D20" s="55">
        <v>0</v>
      </c>
      <c r="E20" s="55">
        <v>1105</v>
      </c>
      <c r="F20" s="55">
        <v>283</v>
      </c>
      <c r="G20" s="55">
        <v>0</v>
      </c>
      <c r="H20" s="55">
        <v>0</v>
      </c>
      <c r="I20" s="55">
        <v>1242</v>
      </c>
      <c r="K20" s="54">
        <f>SUM(L20:R20)</f>
        <v>5</v>
      </c>
      <c r="L20" s="55">
        <v>3</v>
      </c>
      <c r="M20" s="55">
        <v>0</v>
      </c>
      <c r="N20" s="55">
        <v>1</v>
      </c>
      <c r="O20" s="55">
        <v>0</v>
      </c>
      <c r="P20" s="55">
        <v>0</v>
      </c>
      <c r="Q20" s="55">
        <v>0</v>
      </c>
      <c r="R20" s="55">
        <v>1</v>
      </c>
      <c r="T20" s="61">
        <f>SUM(C20/B20)</f>
        <v>0.52799712849964109</v>
      </c>
      <c r="U20" s="61">
        <f>SUM(D20/B20)</f>
        <v>0</v>
      </c>
      <c r="V20" s="61">
        <f>SUM(E20/B20)</f>
        <v>0.19831299353912418</v>
      </c>
      <c r="W20" s="61">
        <f>SUM(F20/B20)</f>
        <v>5.0789662598707826E-2</v>
      </c>
      <c r="X20" s="61">
        <f t="shared" si="9"/>
        <v>0</v>
      </c>
      <c r="Y20" s="61">
        <f>SUM(H20/B20)</f>
        <v>0</v>
      </c>
      <c r="Z20" s="61">
        <f>SUM(I20/B20)</f>
        <v>0.22290021536252691</v>
      </c>
    </row>
    <row r="21" spans="1:26">
      <c r="A21" s="56" t="s">
        <v>236</v>
      </c>
      <c r="B21" s="54">
        <f>SUM(C21:I21)</f>
        <v>5655</v>
      </c>
      <c r="C21" s="55">
        <v>1550</v>
      </c>
      <c r="D21" s="55">
        <v>0</v>
      </c>
      <c r="E21" s="55">
        <v>1981</v>
      </c>
      <c r="F21" s="55">
        <v>176</v>
      </c>
      <c r="G21" s="55">
        <v>0</v>
      </c>
      <c r="H21" s="55">
        <v>0</v>
      </c>
      <c r="I21" s="55">
        <v>1948</v>
      </c>
      <c r="K21" s="54">
        <f>SUM(L21:R21)</f>
        <v>5</v>
      </c>
      <c r="L21" s="55">
        <v>1</v>
      </c>
      <c r="M21" s="55">
        <v>0</v>
      </c>
      <c r="N21" s="55">
        <v>2</v>
      </c>
      <c r="O21" s="55">
        <v>0</v>
      </c>
      <c r="P21" s="55">
        <v>0</v>
      </c>
      <c r="Q21" s="55">
        <v>0</v>
      </c>
      <c r="R21" s="55">
        <v>2</v>
      </c>
      <c r="T21" s="61">
        <f>SUM(C21/B21)</f>
        <v>0.27409372236958446</v>
      </c>
      <c r="U21" s="61">
        <f>SUM(D21/B21)</f>
        <v>0</v>
      </c>
      <c r="V21" s="61">
        <f>SUM(E21/B21)</f>
        <v>0.35030946065428825</v>
      </c>
      <c r="W21" s="61">
        <f>SUM(F21/B21)</f>
        <v>3.1122900088417331E-2</v>
      </c>
      <c r="X21" s="61">
        <f t="shared" si="9"/>
        <v>0</v>
      </c>
      <c r="Y21" s="61">
        <f>SUM(H21/B21)</f>
        <v>0</v>
      </c>
      <c r="Z21" s="61">
        <f>SUM(I21/B21)</f>
        <v>0.34447391688771001</v>
      </c>
    </row>
    <row r="22" spans="1:26">
      <c r="A22" s="56" t="s">
        <v>237</v>
      </c>
      <c r="B22" s="54">
        <f>SUM(C22:I22)</f>
        <v>6073</v>
      </c>
      <c r="C22" s="55">
        <v>4071</v>
      </c>
      <c r="D22" s="55">
        <v>0</v>
      </c>
      <c r="E22" s="55">
        <v>988</v>
      </c>
      <c r="F22" s="55">
        <v>454</v>
      </c>
      <c r="G22" s="55">
        <v>0</v>
      </c>
      <c r="H22" s="55">
        <v>0</v>
      </c>
      <c r="I22" s="55">
        <v>560</v>
      </c>
      <c r="K22" s="54">
        <f>SUM(L22:R22)</f>
        <v>5</v>
      </c>
      <c r="L22" s="55">
        <v>4</v>
      </c>
      <c r="M22" s="55">
        <v>0</v>
      </c>
      <c r="N22" s="55">
        <v>1</v>
      </c>
      <c r="O22" s="55">
        <v>0</v>
      </c>
      <c r="P22" s="55">
        <v>0</v>
      </c>
      <c r="Q22" s="55">
        <v>0</v>
      </c>
      <c r="R22" s="55">
        <v>0</v>
      </c>
      <c r="T22" s="61">
        <f>SUM(C22/B22)</f>
        <v>0.67034414622097815</v>
      </c>
      <c r="U22" s="61">
        <f>SUM(D22/B22)</f>
        <v>0</v>
      </c>
      <c r="V22" s="61">
        <f>SUM(E22/B22)</f>
        <v>0.16268730446237445</v>
      </c>
      <c r="W22" s="61">
        <f>SUM(F22/B22)</f>
        <v>7.4757121686151826E-2</v>
      </c>
      <c r="X22" s="61">
        <f t="shared" si="9"/>
        <v>0</v>
      </c>
      <c r="Y22" s="61">
        <f>SUM(H22/B22)</f>
        <v>0</v>
      </c>
      <c r="Z22" s="61">
        <f>SUM(I22/B22)</f>
        <v>9.221142763049564E-2</v>
      </c>
    </row>
    <row r="23" spans="1:26">
      <c r="A23" s="56" t="s">
        <v>238</v>
      </c>
      <c r="B23" s="54">
        <f>SUM(C23:I23)</f>
        <v>5464</v>
      </c>
      <c r="C23" s="55">
        <v>2859</v>
      </c>
      <c r="D23" s="55">
        <v>0</v>
      </c>
      <c r="E23" s="55">
        <v>839</v>
      </c>
      <c r="F23" s="55">
        <v>435</v>
      </c>
      <c r="G23" s="55">
        <v>0</v>
      </c>
      <c r="H23" s="55">
        <v>179</v>
      </c>
      <c r="I23" s="55">
        <v>1152</v>
      </c>
      <c r="K23" s="54">
        <f>SUM(L23:R23)</f>
        <v>5</v>
      </c>
      <c r="L23" s="55">
        <v>3</v>
      </c>
      <c r="M23" s="55">
        <v>0</v>
      </c>
      <c r="N23" s="55">
        <v>1</v>
      </c>
      <c r="O23" s="55">
        <v>0</v>
      </c>
      <c r="P23" s="55">
        <v>0</v>
      </c>
      <c r="Q23" s="55">
        <v>0</v>
      </c>
      <c r="R23" s="55">
        <v>1</v>
      </c>
      <c r="T23" s="61">
        <f>SUM(C23/B23)</f>
        <v>0.52324304538799415</v>
      </c>
      <c r="U23" s="61">
        <f>SUM(D23/B23)</f>
        <v>0</v>
      </c>
      <c r="V23" s="61">
        <f>SUM(E23/B23)</f>
        <v>0.15355051244509516</v>
      </c>
      <c r="W23" s="61">
        <f>SUM(F23/B23)</f>
        <v>7.9612005856515372E-2</v>
      </c>
      <c r="X23" s="61">
        <f t="shared" si="9"/>
        <v>0</v>
      </c>
      <c r="Y23" s="61">
        <f>SUM(H23/B23)</f>
        <v>3.275988286969253E-2</v>
      </c>
      <c r="Z23" s="61">
        <f>SUM(I23/B23)</f>
        <v>0.21083455344070279</v>
      </c>
    </row>
    <row r="24" spans="1:26" s="52" customFormat="1">
      <c r="A24" s="53" t="s">
        <v>1546</v>
      </c>
      <c r="B24" s="54">
        <f>SUM(B20:B23)</f>
        <v>22764</v>
      </c>
      <c r="C24" s="54">
        <f t="shared" ref="C24:N24" si="11">SUM(C20:C23)</f>
        <v>11422</v>
      </c>
      <c r="D24" s="54">
        <f>SUM(D20:D23)</f>
        <v>0</v>
      </c>
      <c r="E24" s="54">
        <f t="shared" si="11"/>
        <v>4913</v>
      </c>
      <c r="F24" s="54">
        <f>SUM(F20:F23)</f>
        <v>1348</v>
      </c>
      <c r="G24" s="54">
        <f>SUM(G20:G23)</f>
        <v>0</v>
      </c>
      <c r="H24" s="54">
        <f>SUM(H20:H23)</f>
        <v>179</v>
      </c>
      <c r="I24" s="54">
        <f>SUM(I20:I23)</f>
        <v>4902</v>
      </c>
      <c r="J24" s="54"/>
      <c r="K24" s="54">
        <f t="shared" si="11"/>
        <v>20</v>
      </c>
      <c r="L24" s="54">
        <f t="shared" si="11"/>
        <v>11</v>
      </c>
      <c r="M24" s="54">
        <f t="shared" si="11"/>
        <v>0</v>
      </c>
      <c r="N24" s="54">
        <f t="shared" si="11"/>
        <v>5</v>
      </c>
      <c r="O24" s="54">
        <f>SUM(O20:O23)</f>
        <v>0</v>
      </c>
      <c r="P24" s="54">
        <f>SUM(P20:P23)</f>
        <v>0</v>
      </c>
      <c r="Q24" s="54">
        <f>SUM(Q20:Q23)</f>
        <v>0</v>
      </c>
      <c r="R24" s="54">
        <f>SUM(R20:R23)</f>
        <v>4</v>
      </c>
      <c r="T24" s="60">
        <f>SUM(C24/B24)</f>
        <v>0.50175716042874718</v>
      </c>
      <c r="U24" s="60">
        <f>SUM(D24/B24)</f>
        <v>0</v>
      </c>
      <c r="V24" s="60">
        <f>SUM(E24/B24)</f>
        <v>0.21582322966086803</v>
      </c>
      <c r="W24" s="60">
        <f>SUM(F24/B24)</f>
        <v>5.9216306448778774E-2</v>
      </c>
      <c r="X24" s="60">
        <f t="shared" si="9"/>
        <v>0</v>
      </c>
      <c r="Y24" s="60">
        <f>SUM(H24/B24)</f>
        <v>7.8632929186434729E-3</v>
      </c>
      <c r="Z24" s="60">
        <f>SUM(I24/B24)</f>
        <v>0.21534001054296256</v>
      </c>
    </row>
    <row r="25" spans="1:26">
      <c r="A25" s="53"/>
      <c r="B25" s="54"/>
      <c r="C25" s="55"/>
      <c r="D25" s="55"/>
      <c r="E25" s="55"/>
      <c r="F25" s="55"/>
      <c r="G25" s="55"/>
      <c r="H25" s="55"/>
      <c r="I25" s="55"/>
      <c r="K25" s="54"/>
      <c r="L25" s="55"/>
      <c r="M25" s="55"/>
      <c r="N25" s="55"/>
      <c r="O25" s="55"/>
      <c r="P25" s="55"/>
      <c r="Q25" s="55"/>
      <c r="R25" s="55"/>
    </row>
    <row r="26" spans="1:26">
      <c r="A26" s="56" t="s">
        <v>239</v>
      </c>
      <c r="B26" s="54">
        <f>SUM(C26:I26)</f>
        <v>4887</v>
      </c>
      <c r="C26" s="55">
        <v>1127</v>
      </c>
      <c r="D26" s="55">
        <v>0</v>
      </c>
      <c r="E26" s="55">
        <v>380</v>
      </c>
      <c r="F26" s="55">
        <v>282</v>
      </c>
      <c r="G26" s="55">
        <v>1674</v>
      </c>
      <c r="H26" s="55">
        <v>873</v>
      </c>
      <c r="I26" s="55">
        <v>551</v>
      </c>
      <c r="K26" s="54">
        <f>SUM(L26:R26)</f>
        <v>5</v>
      </c>
      <c r="L26" s="55">
        <v>1</v>
      </c>
      <c r="M26" s="55">
        <v>0</v>
      </c>
      <c r="N26" s="55">
        <v>0</v>
      </c>
      <c r="O26" s="55">
        <v>0</v>
      </c>
      <c r="P26" s="55">
        <v>2</v>
      </c>
      <c r="Q26" s="55">
        <v>1</v>
      </c>
      <c r="R26" s="55">
        <v>1</v>
      </c>
      <c r="T26" s="61">
        <f>SUM(C26/B26)</f>
        <v>0.23061182729691018</v>
      </c>
      <c r="U26" s="61">
        <f>SUM(D26/B26)</f>
        <v>0</v>
      </c>
      <c r="V26" s="61">
        <f>SUM(E26/B26)</f>
        <v>7.77573153263761E-2</v>
      </c>
      <c r="W26" s="61">
        <f>SUM(F26/B26)</f>
        <v>5.7704112952731736E-2</v>
      </c>
      <c r="X26" s="61">
        <f t="shared" si="9"/>
        <v>0.34254143646408841</v>
      </c>
      <c r="Y26" s="61">
        <f>SUM(H26/B26)</f>
        <v>0.17863720073664824</v>
      </c>
      <c r="Z26" s="61">
        <f>SUM(I26/B26)</f>
        <v>0.11274810722324534</v>
      </c>
    </row>
    <row r="27" spans="1:26">
      <c r="A27" s="56" t="s">
        <v>240</v>
      </c>
      <c r="B27" s="54">
        <f>SUM(C27:I27)</f>
        <v>5761</v>
      </c>
      <c r="C27" s="55">
        <v>2770</v>
      </c>
      <c r="D27" s="55">
        <v>0</v>
      </c>
      <c r="E27" s="55">
        <v>1463</v>
      </c>
      <c r="F27" s="55">
        <v>250</v>
      </c>
      <c r="G27" s="55">
        <v>0</v>
      </c>
      <c r="H27" s="55">
        <v>553</v>
      </c>
      <c r="I27" s="55">
        <v>725</v>
      </c>
      <c r="K27" s="54">
        <f>SUM(L27:R27)</f>
        <v>6</v>
      </c>
      <c r="L27" s="55">
        <v>3</v>
      </c>
      <c r="M27" s="55">
        <v>0</v>
      </c>
      <c r="N27" s="55">
        <v>2</v>
      </c>
      <c r="O27" s="55">
        <v>0</v>
      </c>
      <c r="P27" s="55">
        <v>0</v>
      </c>
      <c r="Q27" s="55">
        <v>0</v>
      </c>
      <c r="R27" s="55">
        <v>1</v>
      </c>
      <c r="T27" s="61">
        <f>SUM(C27/B27)</f>
        <v>0.48081930220447838</v>
      </c>
      <c r="U27" s="61">
        <f>SUM(D27/B27)</f>
        <v>0</v>
      </c>
      <c r="V27" s="61">
        <f>SUM(E27/B27)</f>
        <v>0.25394896719319565</v>
      </c>
      <c r="W27" s="61">
        <f>SUM(F27/B27)</f>
        <v>4.3395243881270612E-2</v>
      </c>
      <c r="X27" s="61">
        <f t="shared" si="9"/>
        <v>0</v>
      </c>
      <c r="Y27" s="61">
        <f>SUM(H27/B27)</f>
        <v>9.5990279465370601E-2</v>
      </c>
      <c r="Z27" s="61">
        <f>SUM(I27/B27)</f>
        <v>0.12584620725568477</v>
      </c>
    </row>
    <row r="28" spans="1:26">
      <c r="A28" s="56" t="s">
        <v>241</v>
      </c>
      <c r="B28" s="54">
        <f>SUM(C28:I28)</f>
        <v>4045</v>
      </c>
      <c r="C28" s="55">
        <v>1994</v>
      </c>
      <c r="D28" s="55">
        <v>0</v>
      </c>
      <c r="E28" s="55">
        <v>828</v>
      </c>
      <c r="F28" s="55">
        <v>393</v>
      </c>
      <c r="G28" s="55">
        <v>515</v>
      </c>
      <c r="H28" s="55">
        <v>315</v>
      </c>
      <c r="I28" s="55">
        <v>0</v>
      </c>
      <c r="K28" s="54">
        <f>SUM(L28:R28)</f>
        <v>4</v>
      </c>
      <c r="L28" s="55">
        <v>3</v>
      </c>
      <c r="M28" s="55">
        <v>0</v>
      </c>
      <c r="N28" s="55">
        <v>1</v>
      </c>
      <c r="O28" s="55">
        <v>0</v>
      </c>
      <c r="P28" s="55">
        <v>0</v>
      </c>
      <c r="Q28" s="55">
        <v>0</v>
      </c>
      <c r="R28" s="55">
        <v>0</v>
      </c>
      <c r="T28" s="61">
        <f>SUM(C28/B28)</f>
        <v>0.49295426452410385</v>
      </c>
      <c r="U28" s="61">
        <f>SUM(D28/B28)</f>
        <v>0</v>
      </c>
      <c r="V28" s="61">
        <f>SUM(E28/B28)</f>
        <v>0.20469715698393079</v>
      </c>
      <c r="W28" s="61">
        <f>SUM(F28/B28)</f>
        <v>9.7156983930778734E-2</v>
      </c>
      <c r="X28" s="61">
        <f t="shared" si="9"/>
        <v>0.1273176761433869</v>
      </c>
      <c r="Y28" s="61">
        <f>SUM(H28/B28)</f>
        <v>7.7873918417799753E-2</v>
      </c>
      <c r="Z28" s="61">
        <f>SUM(I28/B28)</f>
        <v>0</v>
      </c>
    </row>
    <row r="29" spans="1:26" s="52" customFormat="1">
      <c r="A29" s="53" t="s">
        <v>1550</v>
      </c>
      <c r="B29" s="54">
        <f>SUM(B26:B28)</f>
        <v>14693</v>
      </c>
      <c r="C29" s="54">
        <f t="shared" ref="C29:N29" si="12">SUM(C26:C28)</f>
        <v>5891</v>
      </c>
      <c r="D29" s="54">
        <f>SUM(D26:D28)</f>
        <v>0</v>
      </c>
      <c r="E29" s="54">
        <f t="shared" si="12"/>
        <v>2671</v>
      </c>
      <c r="F29" s="54">
        <f>SUM(F26:F28)</f>
        <v>925</v>
      </c>
      <c r="G29" s="54">
        <f>SUM(G26:G28)</f>
        <v>2189</v>
      </c>
      <c r="H29" s="54">
        <f>SUM(H26:H28)</f>
        <v>1741</v>
      </c>
      <c r="I29" s="54">
        <f>SUM(I26:I28)</f>
        <v>1276</v>
      </c>
      <c r="J29" s="54"/>
      <c r="K29" s="54">
        <f t="shared" si="12"/>
        <v>15</v>
      </c>
      <c r="L29" s="54">
        <f t="shared" si="12"/>
        <v>7</v>
      </c>
      <c r="M29" s="54">
        <f t="shared" si="12"/>
        <v>0</v>
      </c>
      <c r="N29" s="54">
        <f t="shared" si="12"/>
        <v>3</v>
      </c>
      <c r="O29" s="54">
        <f>SUM(O26:O28)</f>
        <v>0</v>
      </c>
      <c r="P29" s="54">
        <f>SUM(P26:P28)</f>
        <v>2</v>
      </c>
      <c r="Q29" s="54">
        <f>SUM(Q26:Q28)</f>
        <v>1</v>
      </c>
      <c r="R29" s="54">
        <f>SUM(R26:R28)</f>
        <v>2</v>
      </c>
      <c r="T29" s="60">
        <f>SUM(C29/B29)</f>
        <v>0.40093922275913702</v>
      </c>
      <c r="U29" s="60">
        <f>SUM(D29/B29)</f>
        <v>0</v>
      </c>
      <c r="V29" s="60">
        <f>SUM(E29/B29)</f>
        <v>0.18178724562716941</v>
      </c>
      <c r="W29" s="60">
        <f>SUM(F29/B29)</f>
        <v>6.2955148710270192E-2</v>
      </c>
      <c r="X29" s="60">
        <f t="shared" si="9"/>
        <v>0.14898250867760157</v>
      </c>
      <c r="Y29" s="60">
        <f>SUM(H29/B29)</f>
        <v>0.11849179881576261</v>
      </c>
      <c r="Z29" s="60">
        <f>SUM(I29/B29)</f>
        <v>8.6844075410059215E-2</v>
      </c>
    </row>
    <row r="30" spans="1:26">
      <c r="A30" s="53"/>
      <c r="B30" s="54"/>
      <c r="C30" s="55"/>
      <c r="D30" s="55"/>
      <c r="E30" s="55"/>
      <c r="F30" s="55"/>
      <c r="G30" s="55"/>
      <c r="H30" s="55"/>
      <c r="I30" s="55"/>
      <c r="K30" s="54"/>
      <c r="L30" s="55"/>
      <c r="M30" s="55"/>
      <c r="N30" s="55"/>
      <c r="O30" s="55"/>
      <c r="P30" s="55"/>
      <c r="Q30" s="55"/>
      <c r="R30" s="55"/>
    </row>
    <row r="31" spans="1:26">
      <c r="A31" s="56" t="s">
        <v>242</v>
      </c>
      <c r="B31" s="54">
        <f>SUM(C31:I31)</f>
        <v>5720</v>
      </c>
      <c r="C31" s="55">
        <v>1606</v>
      </c>
      <c r="D31" s="55">
        <v>0</v>
      </c>
      <c r="E31" s="55">
        <v>2494</v>
      </c>
      <c r="F31" s="55">
        <v>160</v>
      </c>
      <c r="G31" s="55">
        <v>290</v>
      </c>
      <c r="H31" s="55">
        <v>1170</v>
      </c>
      <c r="I31" s="55">
        <v>0</v>
      </c>
      <c r="K31" s="54">
        <f>SUM(L31:R31)</f>
        <v>5</v>
      </c>
      <c r="L31" s="55">
        <v>1</v>
      </c>
      <c r="M31" s="55">
        <v>0</v>
      </c>
      <c r="N31" s="55">
        <v>3</v>
      </c>
      <c r="O31" s="55">
        <v>0</v>
      </c>
      <c r="P31" s="55">
        <v>0</v>
      </c>
      <c r="Q31" s="55">
        <v>1</v>
      </c>
      <c r="R31" s="55">
        <v>0</v>
      </c>
      <c r="T31" s="61">
        <f>SUM(C31/B31)</f>
        <v>0.28076923076923077</v>
      </c>
      <c r="U31" s="61">
        <f>SUM(D31/B31)</f>
        <v>0</v>
      </c>
      <c r="V31" s="61">
        <f>SUM(E31/B31)</f>
        <v>0.436013986013986</v>
      </c>
      <c r="W31" s="61">
        <f>SUM(F31/B31)</f>
        <v>2.7972027972027972E-2</v>
      </c>
      <c r="X31" s="61">
        <f t="shared" si="9"/>
        <v>5.0699300699300696E-2</v>
      </c>
      <c r="Y31" s="61">
        <f>SUM(H31/B31)</f>
        <v>0.20454545454545456</v>
      </c>
      <c r="Z31" s="61">
        <f>SUM(I31/B31)</f>
        <v>0</v>
      </c>
    </row>
    <row r="32" spans="1:26">
      <c r="A32" s="56" t="s">
        <v>243</v>
      </c>
      <c r="B32" s="54">
        <f>SUM(C32:I32)</f>
        <v>5638</v>
      </c>
      <c r="C32" s="55">
        <v>2025</v>
      </c>
      <c r="D32" s="55">
        <v>0</v>
      </c>
      <c r="E32" s="55">
        <v>1351</v>
      </c>
      <c r="F32" s="55">
        <v>190</v>
      </c>
      <c r="G32" s="55">
        <v>1083</v>
      </c>
      <c r="H32" s="55">
        <v>0</v>
      </c>
      <c r="I32" s="55">
        <v>989</v>
      </c>
      <c r="K32" s="54">
        <f>SUM(L32:R32)</f>
        <v>5</v>
      </c>
      <c r="L32" s="55">
        <v>2</v>
      </c>
      <c r="M32" s="55">
        <v>0</v>
      </c>
      <c r="N32" s="55">
        <v>1</v>
      </c>
      <c r="O32" s="55">
        <v>0</v>
      </c>
      <c r="P32" s="55">
        <v>1</v>
      </c>
      <c r="Q32" s="55">
        <v>0</v>
      </c>
      <c r="R32" s="55">
        <v>1</v>
      </c>
      <c r="T32" s="61">
        <f>SUM(C32/B32)</f>
        <v>0.35916991841078394</v>
      </c>
      <c r="U32" s="61">
        <f>SUM(D32/B32)</f>
        <v>0</v>
      </c>
      <c r="V32" s="61">
        <f>SUM(E32/B32)</f>
        <v>0.23962398013479957</v>
      </c>
      <c r="W32" s="61">
        <f>SUM(F32/B32)</f>
        <v>3.3699893579283435E-2</v>
      </c>
      <c r="X32" s="61">
        <f t="shared" si="9"/>
        <v>0.19208939340191558</v>
      </c>
      <c r="Y32" s="61">
        <f>SUM(H32/B32)</f>
        <v>0</v>
      </c>
      <c r="Z32" s="61">
        <f>SUM(I32/B32)</f>
        <v>0.17541681447321744</v>
      </c>
    </row>
    <row r="33" spans="1:26">
      <c r="A33" s="56" t="s">
        <v>244</v>
      </c>
      <c r="B33" s="54">
        <f>SUM(C33:I33)</f>
        <v>5773</v>
      </c>
      <c r="C33" s="55">
        <v>992</v>
      </c>
      <c r="D33" s="55">
        <v>1749</v>
      </c>
      <c r="E33" s="55">
        <v>1675</v>
      </c>
      <c r="F33" s="55">
        <v>438</v>
      </c>
      <c r="G33" s="55">
        <v>355</v>
      </c>
      <c r="H33" s="55">
        <v>392</v>
      </c>
      <c r="I33" s="55">
        <v>172</v>
      </c>
      <c r="K33" s="54">
        <f>SUM(L33:R33)</f>
        <v>5</v>
      </c>
      <c r="L33" s="55">
        <v>2</v>
      </c>
      <c r="M33" s="55">
        <v>1</v>
      </c>
      <c r="N33" s="55">
        <v>2</v>
      </c>
      <c r="O33" s="55">
        <v>0</v>
      </c>
      <c r="P33" s="55">
        <v>0</v>
      </c>
      <c r="Q33" s="55">
        <v>0</v>
      </c>
      <c r="R33" s="55">
        <v>0</v>
      </c>
      <c r="T33" s="61">
        <f>SUM(C33/B33)</f>
        <v>0.17183440152433743</v>
      </c>
      <c r="U33" s="61">
        <f>SUM(D33/B33)</f>
        <v>0.3029620647843409</v>
      </c>
      <c r="V33" s="61">
        <f>SUM(E33/B33)</f>
        <v>0.29014377273514635</v>
      </c>
      <c r="W33" s="61">
        <f>SUM(F33/B33)</f>
        <v>7.5870431318205436E-2</v>
      </c>
      <c r="X33" s="61">
        <f t="shared" si="9"/>
        <v>6.1493157803568337E-2</v>
      </c>
      <c r="Y33" s="61">
        <f>SUM(H33/B33)</f>
        <v>6.7902303828165603E-2</v>
      </c>
      <c r="Z33" s="61">
        <f>SUM(I33/B33)</f>
        <v>2.9793868006235926E-2</v>
      </c>
    </row>
    <row r="34" spans="1:26" s="52" customFormat="1">
      <c r="A34" s="53" t="s">
        <v>1554</v>
      </c>
      <c r="B34" s="54">
        <f>SUM(B31:B33)</f>
        <v>17131</v>
      </c>
      <c r="C34" s="54">
        <f t="shared" ref="C34:N34" si="13">SUM(C31:C33)</f>
        <v>4623</v>
      </c>
      <c r="D34" s="54">
        <f>SUM(D31:D33)</f>
        <v>1749</v>
      </c>
      <c r="E34" s="54">
        <f t="shared" si="13"/>
        <v>5520</v>
      </c>
      <c r="F34" s="54">
        <f>SUM(F31:F33)</f>
        <v>788</v>
      </c>
      <c r="G34" s="54">
        <f>SUM(G31:G33)</f>
        <v>1728</v>
      </c>
      <c r="H34" s="54">
        <f>SUM(H31:H33)</f>
        <v>1562</v>
      </c>
      <c r="I34" s="54">
        <f>SUM(I31:I33)</f>
        <v>1161</v>
      </c>
      <c r="J34" s="54"/>
      <c r="K34" s="54">
        <f t="shared" si="13"/>
        <v>15</v>
      </c>
      <c r="L34" s="54">
        <f t="shared" si="13"/>
        <v>5</v>
      </c>
      <c r="M34" s="54">
        <f t="shared" si="13"/>
        <v>1</v>
      </c>
      <c r="N34" s="54">
        <f t="shared" si="13"/>
        <v>6</v>
      </c>
      <c r="O34" s="54">
        <f>SUM(O31:O33)</f>
        <v>0</v>
      </c>
      <c r="P34" s="54">
        <f>SUM(P31:P33)</f>
        <v>1</v>
      </c>
      <c r="Q34" s="54">
        <f>SUM(Q31:Q33)</f>
        <v>1</v>
      </c>
      <c r="R34" s="54">
        <f>SUM(R31:R33)</f>
        <v>1</v>
      </c>
      <c r="T34" s="60">
        <f>SUM(C34/B34)</f>
        <v>0.26986165431089837</v>
      </c>
      <c r="U34" s="60">
        <f>SUM(D34/B34)</f>
        <v>0.10209561613449303</v>
      </c>
      <c r="V34" s="60">
        <f>SUM(E34/B34)</f>
        <v>0.32222287081898315</v>
      </c>
      <c r="W34" s="60">
        <f>SUM(F34/B34)</f>
        <v>4.5998482283579473E-2</v>
      </c>
      <c r="X34" s="60">
        <f t="shared" si="9"/>
        <v>0.10086976825637733</v>
      </c>
      <c r="Y34" s="60">
        <f>SUM(H34/B34)</f>
        <v>9.1179732648415154E-2</v>
      </c>
      <c r="Z34" s="60">
        <f>SUM(I34/B34)</f>
        <v>6.7771875547253516E-2</v>
      </c>
    </row>
    <row r="35" spans="1:26">
      <c r="A35" s="53"/>
      <c r="B35" s="54"/>
      <c r="C35" s="55"/>
      <c r="D35" s="55"/>
      <c r="E35" s="55"/>
      <c r="F35" s="55"/>
      <c r="G35" s="55"/>
      <c r="H35" s="55"/>
      <c r="I35" s="55"/>
      <c r="K35" s="54"/>
      <c r="L35" s="55"/>
      <c r="M35" s="55"/>
      <c r="N35" s="55"/>
      <c r="O35" s="55"/>
      <c r="P35" s="55"/>
      <c r="Q35" s="55"/>
      <c r="R35" s="55"/>
    </row>
    <row r="36" spans="1:26">
      <c r="A36" s="56" t="s">
        <v>245</v>
      </c>
      <c r="B36" s="54">
        <f>SUM(C36:I36)</f>
        <v>8262</v>
      </c>
      <c r="C36" s="55">
        <v>0</v>
      </c>
      <c r="D36" s="55">
        <v>0</v>
      </c>
      <c r="E36" s="55">
        <v>2660</v>
      </c>
      <c r="F36" s="55">
        <v>1011</v>
      </c>
      <c r="G36" s="55">
        <v>4147</v>
      </c>
      <c r="H36" s="55">
        <v>214</v>
      </c>
      <c r="I36" s="55">
        <v>230</v>
      </c>
      <c r="K36" s="54">
        <f>SUM(L36:R36)</f>
        <v>6</v>
      </c>
      <c r="L36" s="55">
        <v>0</v>
      </c>
      <c r="M36" s="55">
        <v>0</v>
      </c>
      <c r="N36" s="55">
        <v>2</v>
      </c>
      <c r="O36" s="55">
        <v>1</v>
      </c>
      <c r="P36" s="55">
        <v>3</v>
      </c>
      <c r="Q36" s="55">
        <v>0</v>
      </c>
      <c r="R36" s="55">
        <v>0</v>
      </c>
      <c r="T36" s="61">
        <f t="shared" ref="T36:T41" si="14">SUM(C36/B36)</f>
        <v>0</v>
      </c>
      <c r="U36" s="61">
        <f t="shared" ref="U36:U41" si="15">SUM(D36/B36)</f>
        <v>0</v>
      </c>
      <c r="V36" s="61">
        <f t="shared" ref="V36:V41" si="16">SUM(E36/B36)</f>
        <v>0.32195594287097556</v>
      </c>
      <c r="W36" s="61">
        <f t="shared" ref="W36:W41" si="17">SUM(F36/B36)</f>
        <v>0.12236746550472041</v>
      </c>
      <c r="X36" s="61">
        <f t="shared" si="9"/>
        <v>0.50193657709997574</v>
      </c>
      <c r="Y36" s="61">
        <f t="shared" ref="Y36:Y41" si="18">SUM(H36/B36)</f>
        <v>2.5901718712176228E-2</v>
      </c>
      <c r="Z36" s="61">
        <f t="shared" ref="Z36:Z41" si="19">SUM(I36/B36)</f>
        <v>2.7838295812152022E-2</v>
      </c>
    </row>
    <row r="37" spans="1:26">
      <c r="A37" s="56" t="s">
        <v>246</v>
      </c>
      <c r="B37" s="54">
        <f>SUM(C37:I37)</f>
        <v>7502</v>
      </c>
      <c r="C37" s="55">
        <v>0</v>
      </c>
      <c r="D37" s="55">
        <v>0</v>
      </c>
      <c r="E37" s="55">
        <v>1373</v>
      </c>
      <c r="F37" s="55">
        <v>1274</v>
      </c>
      <c r="G37" s="55">
        <v>4368</v>
      </c>
      <c r="H37" s="55">
        <v>163</v>
      </c>
      <c r="I37" s="55">
        <v>324</v>
      </c>
      <c r="K37" s="54">
        <f>SUM(L37:R37)</f>
        <v>5</v>
      </c>
      <c r="L37" s="55">
        <v>0</v>
      </c>
      <c r="M37" s="55">
        <v>0</v>
      </c>
      <c r="N37" s="55">
        <v>1</v>
      </c>
      <c r="O37" s="55">
        <v>1</v>
      </c>
      <c r="P37" s="55">
        <v>3</v>
      </c>
      <c r="Q37" s="55">
        <v>0</v>
      </c>
      <c r="R37" s="55">
        <v>0</v>
      </c>
      <c r="T37" s="61">
        <f t="shared" si="14"/>
        <v>0</v>
      </c>
      <c r="U37" s="61">
        <f t="shared" si="15"/>
        <v>0</v>
      </c>
      <c r="V37" s="61">
        <f t="shared" si="16"/>
        <v>0.1830178619034924</v>
      </c>
      <c r="W37" s="61">
        <f t="shared" si="17"/>
        <v>0.16982138096507599</v>
      </c>
      <c r="X37" s="61">
        <f t="shared" si="9"/>
        <v>0.58224473473740335</v>
      </c>
      <c r="Y37" s="61">
        <f t="shared" si="18"/>
        <v>2.1727539322847239E-2</v>
      </c>
      <c r="Z37" s="61">
        <f t="shared" si="19"/>
        <v>4.3188483071181019E-2</v>
      </c>
    </row>
    <row r="38" spans="1:26">
      <c r="A38" s="56" t="s">
        <v>247</v>
      </c>
      <c r="B38" s="54">
        <f>SUM(C38:I38)</f>
        <v>5033</v>
      </c>
      <c r="C38" s="55">
        <v>0</v>
      </c>
      <c r="D38" s="55">
        <v>0</v>
      </c>
      <c r="E38" s="55">
        <v>2480</v>
      </c>
      <c r="F38" s="55">
        <v>675</v>
      </c>
      <c r="G38" s="55">
        <v>0</v>
      </c>
      <c r="H38" s="55">
        <v>802</v>
      </c>
      <c r="I38" s="55">
        <v>1076</v>
      </c>
      <c r="J38" s="55"/>
      <c r="K38" s="54">
        <f>SUM(L38:R38)</f>
        <v>5</v>
      </c>
      <c r="L38" s="55">
        <v>0</v>
      </c>
      <c r="M38" s="55">
        <v>0</v>
      </c>
      <c r="N38" s="55">
        <v>3</v>
      </c>
      <c r="O38" s="55">
        <v>0</v>
      </c>
      <c r="P38" s="55">
        <v>0</v>
      </c>
      <c r="Q38" s="55">
        <v>1</v>
      </c>
      <c r="R38" s="55">
        <v>1</v>
      </c>
      <c r="T38" s="61">
        <f t="shared" si="14"/>
        <v>0</v>
      </c>
      <c r="U38" s="61">
        <f t="shared" si="15"/>
        <v>0</v>
      </c>
      <c r="V38" s="61">
        <f t="shared" si="16"/>
        <v>0.49274786409696009</v>
      </c>
      <c r="W38" s="61">
        <f t="shared" si="17"/>
        <v>0.13411484204251936</v>
      </c>
      <c r="X38" s="61">
        <f t="shared" si="9"/>
        <v>0</v>
      </c>
      <c r="Y38" s="61">
        <f t="shared" si="18"/>
        <v>0.1593483012120008</v>
      </c>
      <c r="Z38" s="61">
        <f t="shared" si="19"/>
        <v>0.21378899264851978</v>
      </c>
    </row>
    <row r="39" spans="1:26">
      <c r="A39" s="56" t="s">
        <v>248</v>
      </c>
      <c r="B39" s="54">
        <f>SUM(C39:I39)</f>
        <v>4445</v>
      </c>
      <c r="C39" s="55">
        <v>0</v>
      </c>
      <c r="D39" s="55">
        <v>0</v>
      </c>
      <c r="E39" s="55">
        <v>1784</v>
      </c>
      <c r="F39" s="55">
        <v>594</v>
      </c>
      <c r="G39" s="55">
        <v>1041</v>
      </c>
      <c r="H39" s="55">
        <v>384</v>
      </c>
      <c r="I39" s="55">
        <v>642</v>
      </c>
      <c r="K39" s="54">
        <f>SUM(L39:R39)</f>
        <v>5</v>
      </c>
      <c r="L39" s="55">
        <v>0</v>
      </c>
      <c r="M39" s="55">
        <v>0</v>
      </c>
      <c r="N39" s="55">
        <v>2</v>
      </c>
      <c r="O39" s="55">
        <v>1</v>
      </c>
      <c r="P39" s="55">
        <v>1</v>
      </c>
      <c r="Q39" s="55">
        <v>0</v>
      </c>
      <c r="R39" s="55">
        <v>1</v>
      </c>
      <c r="T39" s="61">
        <f t="shared" si="14"/>
        <v>0</v>
      </c>
      <c r="U39" s="61">
        <f t="shared" si="15"/>
        <v>0</v>
      </c>
      <c r="V39" s="61">
        <f t="shared" si="16"/>
        <v>0.40134983127109114</v>
      </c>
      <c r="W39" s="61">
        <f t="shared" si="17"/>
        <v>0.13363329583802025</v>
      </c>
      <c r="X39" s="61">
        <f t="shared" si="9"/>
        <v>0.2341957255343082</v>
      </c>
      <c r="Y39" s="61">
        <f t="shared" si="18"/>
        <v>8.6389201349831274E-2</v>
      </c>
      <c r="Z39" s="61">
        <f t="shared" si="19"/>
        <v>0.14443194600674916</v>
      </c>
    </row>
    <row r="40" spans="1:26">
      <c r="A40" s="56" t="s">
        <v>249</v>
      </c>
      <c r="B40" s="54">
        <f>SUM(C40:I40)</f>
        <v>8704</v>
      </c>
      <c r="C40" s="55">
        <v>0</v>
      </c>
      <c r="D40" s="55">
        <v>0</v>
      </c>
      <c r="E40" s="55">
        <v>2711</v>
      </c>
      <c r="F40" s="55">
        <v>1376</v>
      </c>
      <c r="G40" s="55">
        <v>2927</v>
      </c>
      <c r="H40" s="55">
        <v>528</v>
      </c>
      <c r="I40" s="55">
        <v>1162</v>
      </c>
      <c r="K40" s="54">
        <f>SUM(L40:R40)</f>
        <v>6</v>
      </c>
      <c r="L40" s="55">
        <v>0</v>
      </c>
      <c r="M40" s="55">
        <v>0</v>
      </c>
      <c r="N40" s="55">
        <v>2</v>
      </c>
      <c r="O40" s="55">
        <v>1</v>
      </c>
      <c r="P40" s="55">
        <v>2</v>
      </c>
      <c r="Q40" s="55">
        <v>0</v>
      </c>
      <c r="R40" s="55">
        <v>1</v>
      </c>
      <c r="T40" s="61">
        <f t="shared" si="14"/>
        <v>0</v>
      </c>
      <c r="U40" s="61">
        <f t="shared" si="15"/>
        <v>0</v>
      </c>
      <c r="V40" s="61">
        <f t="shared" si="16"/>
        <v>0.31146599264705882</v>
      </c>
      <c r="W40" s="61">
        <f t="shared" si="17"/>
        <v>0.15808823529411764</v>
      </c>
      <c r="X40" s="61">
        <f t="shared" si="9"/>
        <v>0.33628216911764708</v>
      </c>
      <c r="Y40" s="61">
        <f t="shared" si="18"/>
        <v>6.0661764705882353E-2</v>
      </c>
      <c r="Z40" s="61">
        <f t="shared" si="19"/>
        <v>0.13350183823529413</v>
      </c>
    </row>
    <row r="41" spans="1:26" s="52" customFormat="1">
      <c r="A41" s="53" t="s">
        <v>1560</v>
      </c>
      <c r="B41" s="54">
        <f>SUM(B36:B40)</f>
        <v>33946</v>
      </c>
      <c r="C41" s="54">
        <f t="shared" ref="C41:N41" si="20">SUM(C36:C40)</f>
        <v>0</v>
      </c>
      <c r="D41" s="54">
        <f>SUM(D36:D40)</f>
        <v>0</v>
      </c>
      <c r="E41" s="54">
        <f t="shared" si="20"/>
        <v>11008</v>
      </c>
      <c r="F41" s="54">
        <f>SUM(F36:F40)</f>
        <v>4930</v>
      </c>
      <c r="G41" s="54">
        <f>SUM(G36:G40)</f>
        <v>12483</v>
      </c>
      <c r="H41" s="54">
        <f>SUM(H36:H40)</f>
        <v>2091</v>
      </c>
      <c r="I41" s="54">
        <f>SUM(I36:I40)</f>
        <v>3434</v>
      </c>
      <c r="J41" s="54"/>
      <c r="K41" s="54">
        <f t="shared" si="20"/>
        <v>27</v>
      </c>
      <c r="L41" s="54">
        <f t="shared" si="20"/>
        <v>0</v>
      </c>
      <c r="M41" s="54">
        <f t="shared" si="20"/>
        <v>0</v>
      </c>
      <c r="N41" s="54">
        <f t="shared" si="20"/>
        <v>10</v>
      </c>
      <c r="O41" s="54">
        <f>SUM(O36:O40)</f>
        <v>4</v>
      </c>
      <c r="P41" s="54">
        <f>SUM(P36:P40)</f>
        <v>9</v>
      </c>
      <c r="Q41" s="54">
        <f>SUM(Q36:Q40)</f>
        <v>1</v>
      </c>
      <c r="R41" s="54">
        <f>SUM(R36:R40)</f>
        <v>3</v>
      </c>
      <c r="T41" s="60">
        <f t="shared" si="14"/>
        <v>0</v>
      </c>
      <c r="U41" s="60">
        <f t="shared" si="15"/>
        <v>0</v>
      </c>
      <c r="V41" s="60">
        <f t="shared" si="16"/>
        <v>0.32427973840805985</v>
      </c>
      <c r="W41" s="60">
        <f t="shared" si="17"/>
        <v>0.14523066046073174</v>
      </c>
      <c r="X41" s="60">
        <f t="shared" si="9"/>
        <v>0.36773110233900902</v>
      </c>
      <c r="Y41" s="60">
        <f t="shared" si="18"/>
        <v>6.1597831850586225E-2</v>
      </c>
      <c r="Z41" s="60">
        <f t="shared" si="19"/>
        <v>0.10116066694161314</v>
      </c>
    </row>
    <row r="42" spans="1:26">
      <c r="A42" s="53"/>
      <c r="B42" s="54"/>
      <c r="C42" s="55"/>
      <c r="D42" s="55"/>
      <c r="E42" s="55"/>
      <c r="F42" s="55"/>
      <c r="G42" s="55"/>
      <c r="H42" s="55"/>
      <c r="I42" s="55"/>
      <c r="K42" s="54"/>
      <c r="L42" s="55"/>
      <c r="M42" s="55"/>
      <c r="N42" s="55"/>
      <c r="O42" s="55"/>
      <c r="P42" s="55"/>
      <c r="Q42" s="55"/>
      <c r="R42" s="55"/>
    </row>
    <row r="43" spans="1:26">
      <c r="A43" s="56" t="s">
        <v>250</v>
      </c>
      <c r="B43" s="54">
        <f>SUM(C43:I43)</f>
        <v>4208</v>
      </c>
      <c r="C43" s="55">
        <v>1913</v>
      </c>
      <c r="D43" s="55">
        <v>0</v>
      </c>
      <c r="E43" s="55">
        <v>1577</v>
      </c>
      <c r="F43" s="55">
        <v>603</v>
      </c>
      <c r="G43" s="55">
        <v>0</v>
      </c>
      <c r="H43" s="55">
        <v>58</v>
      </c>
      <c r="I43" s="55">
        <v>57</v>
      </c>
      <c r="K43" s="54">
        <f>SUM(L43:R43)</f>
        <v>6</v>
      </c>
      <c r="L43" s="55">
        <v>3</v>
      </c>
      <c r="M43" s="55">
        <v>0</v>
      </c>
      <c r="N43" s="55">
        <v>2</v>
      </c>
      <c r="O43" s="55">
        <v>1</v>
      </c>
      <c r="P43" s="55">
        <v>0</v>
      </c>
      <c r="Q43" s="55">
        <v>0</v>
      </c>
      <c r="R43" s="55">
        <v>0</v>
      </c>
      <c r="T43" s="61">
        <f>SUM(C43/B43)</f>
        <v>0.4546102661596958</v>
      </c>
      <c r="U43" s="61">
        <f>SUM(D43/B43)</f>
        <v>0</v>
      </c>
      <c r="V43" s="61">
        <f>SUM(E43/B43)</f>
        <v>0.37476235741444869</v>
      </c>
      <c r="W43" s="61">
        <f>SUM(F43/B43)</f>
        <v>0.14329847908745247</v>
      </c>
      <c r="X43" s="61">
        <f t="shared" si="9"/>
        <v>0</v>
      </c>
      <c r="Y43" s="61">
        <f>SUM(H43/B43)</f>
        <v>1.3783269961977186E-2</v>
      </c>
      <c r="Z43" s="61">
        <f>SUM(I43/B43)</f>
        <v>1.3545627376425855E-2</v>
      </c>
    </row>
    <row r="44" spans="1:26">
      <c r="A44" s="56" t="s">
        <v>251</v>
      </c>
      <c r="B44" s="54">
        <f>SUM(C44:I44)</f>
        <v>3847</v>
      </c>
      <c r="C44" s="55">
        <v>1612</v>
      </c>
      <c r="D44" s="55">
        <v>0</v>
      </c>
      <c r="E44" s="55">
        <v>1260</v>
      </c>
      <c r="F44" s="55">
        <v>67</v>
      </c>
      <c r="G44" s="55">
        <v>0</v>
      </c>
      <c r="H44" s="55">
        <v>425</v>
      </c>
      <c r="I44" s="55">
        <v>483</v>
      </c>
      <c r="K44" s="54">
        <f>SUM(L44:R44)</f>
        <v>5</v>
      </c>
      <c r="L44" s="55">
        <v>2</v>
      </c>
      <c r="M44" s="55">
        <v>0</v>
      </c>
      <c r="N44" s="55">
        <v>2</v>
      </c>
      <c r="O44" s="55">
        <v>0</v>
      </c>
      <c r="P44" s="55">
        <v>0</v>
      </c>
      <c r="Q44" s="55">
        <v>0</v>
      </c>
      <c r="R44" s="55">
        <v>1</v>
      </c>
      <c r="T44" s="61">
        <f>SUM(C44/B44)</f>
        <v>0.41902781388094618</v>
      </c>
      <c r="U44" s="61">
        <f>SUM(D44/B44)</f>
        <v>0</v>
      </c>
      <c r="V44" s="61">
        <f>SUM(E44/B44)</f>
        <v>0.32752794385235251</v>
      </c>
      <c r="W44" s="61">
        <f>SUM(F44/B44)</f>
        <v>1.7416168442942553E-2</v>
      </c>
      <c r="X44" s="61">
        <f t="shared" si="9"/>
        <v>0</v>
      </c>
      <c r="Y44" s="61">
        <f>SUM(H44/B44)</f>
        <v>0.11047569534702366</v>
      </c>
      <c r="Z44" s="61">
        <f>SUM(I44/B44)</f>
        <v>0.12555237847673512</v>
      </c>
    </row>
    <row r="45" spans="1:26">
      <c r="A45" s="56" t="s">
        <v>252</v>
      </c>
      <c r="B45" s="54">
        <f>SUM(C45:I45)</f>
        <v>3563</v>
      </c>
      <c r="C45" s="55">
        <v>2010</v>
      </c>
      <c r="D45" s="55">
        <v>0</v>
      </c>
      <c r="E45" s="55">
        <v>648</v>
      </c>
      <c r="F45" s="55">
        <v>635</v>
      </c>
      <c r="G45" s="55">
        <v>0</v>
      </c>
      <c r="H45" s="55">
        <v>0</v>
      </c>
      <c r="I45" s="55">
        <v>270</v>
      </c>
      <c r="K45" s="54">
        <f>SUM(L45:R45)</f>
        <v>4</v>
      </c>
      <c r="L45" s="55">
        <v>3</v>
      </c>
      <c r="M45" s="55">
        <v>0</v>
      </c>
      <c r="N45" s="55">
        <v>0</v>
      </c>
      <c r="O45" s="55">
        <v>1</v>
      </c>
      <c r="P45" s="55">
        <v>0</v>
      </c>
      <c r="Q45" s="55">
        <v>0</v>
      </c>
      <c r="R45" s="55">
        <v>0</v>
      </c>
      <c r="T45" s="61">
        <f>SUM(C45/B45)</f>
        <v>0.56413134998596692</v>
      </c>
      <c r="U45" s="61">
        <f>SUM(D45/B45)</f>
        <v>0</v>
      </c>
      <c r="V45" s="61">
        <f>SUM(E45/B45)</f>
        <v>0.18186921133875947</v>
      </c>
      <c r="W45" s="61">
        <f>SUM(F45/B45)</f>
        <v>0.1782206006174572</v>
      </c>
      <c r="X45" s="61">
        <f t="shared" si="9"/>
        <v>0</v>
      </c>
      <c r="Y45" s="61">
        <f>SUM(H45/B45)</f>
        <v>0</v>
      </c>
      <c r="Z45" s="61">
        <f>SUM(I45/B45)</f>
        <v>7.5778838057816447E-2</v>
      </c>
    </row>
    <row r="46" spans="1:26" s="52" customFormat="1">
      <c r="A46" s="53" t="s">
        <v>1561</v>
      </c>
      <c r="B46" s="54">
        <f>SUM(B43:B45)</f>
        <v>11618</v>
      </c>
      <c r="C46" s="54">
        <f t="shared" ref="C46:N46" si="21">SUM(C43:C45)</f>
        <v>5535</v>
      </c>
      <c r="D46" s="54">
        <f>SUM(D43:D45)</f>
        <v>0</v>
      </c>
      <c r="E46" s="54">
        <f t="shared" si="21"/>
        <v>3485</v>
      </c>
      <c r="F46" s="54">
        <f>SUM(F43:F45)</f>
        <v>1305</v>
      </c>
      <c r="G46" s="54">
        <f>SUM(G43:G45)</f>
        <v>0</v>
      </c>
      <c r="H46" s="54">
        <f>SUM(H43:H45)</f>
        <v>483</v>
      </c>
      <c r="I46" s="54">
        <f>SUM(I43:I45)</f>
        <v>810</v>
      </c>
      <c r="J46" s="54"/>
      <c r="K46" s="54">
        <f t="shared" si="21"/>
        <v>15</v>
      </c>
      <c r="L46" s="54">
        <f t="shared" si="21"/>
        <v>8</v>
      </c>
      <c r="M46" s="54">
        <f t="shared" si="21"/>
        <v>0</v>
      </c>
      <c r="N46" s="54">
        <f t="shared" si="21"/>
        <v>4</v>
      </c>
      <c r="O46" s="54">
        <f>SUM(O43:O45)</f>
        <v>2</v>
      </c>
      <c r="P46" s="54">
        <f>SUM(P43:P45)</f>
        <v>0</v>
      </c>
      <c r="Q46" s="54">
        <f>SUM(Q43:Q45)</f>
        <v>0</v>
      </c>
      <c r="R46" s="54">
        <f>SUM(R43:R45)</f>
        <v>1</v>
      </c>
      <c r="T46" s="60">
        <f>SUM(C46/B46)</f>
        <v>0.47641590635221209</v>
      </c>
      <c r="U46" s="60">
        <f>SUM(D46/B46)</f>
        <v>0</v>
      </c>
      <c r="V46" s="60">
        <f>SUM(E46/B46)</f>
        <v>0.2999655706662076</v>
      </c>
      <c r="W46" s="60">
        <f>SUM(F46/B46)</f>
        <v>0.11232570149767603</v>
      </c>
      <c r="X46" s="60">
        <f t="shared" si="9"/>
        <v>0</v>
      </c>
      <c r="Y46" s="60">
        <f>SUM(H46/B46)</f>
        <v>4.1573420554312276E-2</v>
      </c>
      <c r="Z46" s="60">
        <f>SUM(I46/B46)</f>
        <v>6.9719400929592015E-2</v>
      </c>
    </row>
    <row r="47" spans="1:26">
      <c r="A47" s="53"/>
      <c r="B47" s="54"/>
      <c r="C47" s="55"/>
      <c r="D47" s="55"/>
      <c r="E47" s="55"/>
      <c r="F47" s="55"/>
      <c r="G47" s="55"/>
      <c r="H47" s="55"/>
      <c r="I47" s="55"/>
      <c r="K47" s="54"/>
      <c r="L47" s="55"/>
      <c r="M47" s="55"/>
      <c r="N47" s="55"/>
      <c r="O47" s="55"/>
      <c r="P47" s="55"/>
      <c r="Q47" s="55"/>
      <c r="R47" s="55"/>
    </row>
    <row r="48" spans="1:26">
      <c r="A48" s="56" t="s">
        <v>261</v>
      </c>
      <c r="B48" s="54">
        <f>SUM(C48:I48)</f>
        <v>6904</v>
      </c>
      <c r="C48" s="55">
        <v>2649</v>
      </c>
      <c r="D48" s="55">
        <v>0</v>
      </c>
      <c r="E48" s="55">
        <v>1095</v>
      </c>
      <c r="F48" s="55">
        <v>327</v>
      </c>
      <c r="G48" s="55">
        <v>2047</v>
      </c>
      <c r="H48" s="55">
        <v>497</v>
      </c>
      <c r="I48" s="55">
        <v>289</v>
      </c>
      <c r="K48" s="54">
        <f>SUM(L48:R48)</f>
        <v>6</v>
      </c>
      <c r="L48" s="55">
        <v>3</v>
      </c>
      <c r="M48" s="55">
        <v>0</v>
      </c>
      <c r="N48" s="55">
        <v>1</v>
      </c>
      <c r="O48" s="55">
        <v>0</v>
      </c>
      <c r="P48" s="55">
        <v>0</v>
      </c>
      <c r="Q48" s="55">
        <v>0</v>
      </c>
      <c r="R48" s="55">
        <v>2</v>
      </c>
      <c r="T48" s="61">
        <f>SUM(C48/B48)</f>
        <v>0.38369061413673233</v>
      </c>
      <c r="U48" s="61">
        <f>SUM(D48/B48)</f>
        <v>0</v>
      </c>
      <c r="V48" s="61">
        <f>SUM(E48/B48)</f>
        <v>0.158603707995365</v>
      </c>
      <c r="W48" s="61">
        <f>SUM(F48/B48)</f>
        <v>4.7363847045191192E-2</v>
      </c>
      <c r="X48" s="61">
        <f t="shared" si="9"/>
        <v>0.29649478563151799</v>
      </c>
      <c r="Y48" s="61">
        <f>SUM(H48/B48)</f>
        <v>7.198725376593279E-2</v>
      </c>
      <c r="Z48" s="61">
        <f>SUM(I48/B48)</f>
        <v>4.1859791425260716E-2</v>
      </c>
    </row>
    <row r="49" spans="1:26">
      <c r="A49" s="56" t="s">
        <v>262</v>
      </c>
      <c r="B49" s="54">
        <f>SUM(C49:I49)</f>
        <v>7295</v>
      </c>
      <c r="C49" s="55">
        <v>4624</v>
      </c>
      <c r="D49" s="55">
        <v>0</v>
      </c>
      <c r="E49" s="55">
        <v>388</v>
      </c>
      <c r="F49" s="55">
        <v>1552</v>
      </c>
      <c r="G49" s="55">
        <v>325</v>
      </c>
      <c r="H49" s="55">
        <v>0</v>
      </c>
      <c r="I49" s="55">
        <v>406</v>
      </c>
      <c r="K49" s="54">
        <f>SUM(L49:R49)</f>
        <v>7</v>
      </c>
      <c r="L49" s="55">
        <v>5</v>
      </c>
      <c r="M49" s="55">
        <v>0</v>
      </c>
      <c r="N49" s="55">
        <v>0</v>
      </c>
      <c r="O49" s="55">
        <v>2</v>
      </c>
      <c r="P49" s="55">
        <v>0</v>
      </c>
      <c r="Q49" s="55">
        <v>0</v>
      </c>
      <c r="R49" s="55">
        <v>0</v>
      </c>
      <c r="T49" s="61">
        <f>SUM(C49/B49)</f>
        <v>0.63385880740233036</v>
      </c>
      <c r="U49" s="61">
        <f>SUM(D49/B49)</f>
        <v>0</v>
      </c>
      <c r="V49" s="61">
        <f>SUM(E49/B49)</f>
        <v>5.3187114461960248E-2</v>
      </c>
      <c r="W49" s="61">
        <f>SUM(F49/B49)</f>
        <v>0.21274845784784099</v>
      </c>
      <c r="X49" s="61">
        <f t="shared" si="9"/>
        <v>4.4551062371487322E-2</v>
      </c>
      <c r="Y49" s="61">
        <f>SUM(H49/B49)</f>
        <v>0</v>
      </c>
      <c r="Z49" s="61">
        <f>SUM(I49/B49)</f>
        <v>5.5654557916381082E-2</v>
      </c>
    </row>
    <row r="50" spans="1:26">
      <c r="A50" s="56" t="s">
        <v>263</v>
      </c>
      <c r="B50" s="54">
        <f>SUM(C50:I50)</f>
        <v>7586</v>
      </c>
      <c r="C50" s="55">
        <v>4252</v>
      </c>
      <c r="D50" s="55">
        <v>0</v>
      </c>
      <c r="E50" s="55">
        <v>0</v>
      </c>
      <c r="F50" s="55">
        <v>990</v>
      </c>
      <c r="G50" s="55">
        <v>0</v>
      </c>
      <c r="H50" s="55">
        <v>162</v>
      </c>
      <c r="I50" s="55">
        <v>2182</v>
      </c>
      <c r="K50" s="54">
        <f>SUM(L50:R50)</f>
        <v>7</v>
      </c>
      <c r="L50" s="55">
        <v>4</v>
      </c>
      <c r="M50" s="55">
        <v>0</v>
      </c>
      <c r="N50" s="55">
        <v>0</v>
      </c>
      <c r="O50" s="55">
        <v>1</v>
      </c>
      <c r="P50" s="55">
        <v>0</v>
      </c>
      <c r="Q50" s="55">
        <v>0</v>
      </c>
      <c r="R50" s="55">
        <v>2</v>
      </c>
      <c r="T50" s="61">
        <f>SUM(C50/B50)</f>
        <v>0.560506195623517</v>
      </c>
      <c r="U50" s="61">
        <f>SUM(D50/B50)</f>
        <v>0</v>
      </c>
      <c r="V50" s="61">
        <f>SUM(E50/B50)</f>
        <v>0</v>
      </c>
      <c r="W50" s="61">
        <f>SUM(F50/B50)</f>
        <v>0.13050355918797785</v>
      </c>
      <c r="X50" s="61">
        <f t="shared" si="9"/>
        <v>0</v>
      </c>
      <c r="Y50" s="61">
        <f>SUM(H50/B50)</f>
        <v>2.1355127867123649E-2</v>
      </c>
      <c r="Z50" s="61">
        <f>SUM(I50/B50)</f>
        <v>0.28763511732138147</v>
      </c>
    </row>
    <row r="51" spans="1:26" s="52" customFormat="1">
      <c r="A51" s="53" t="s">
        <v>1569</v>
      </c>
      <c r="B51" s="54">
        <f t="shared" ref="B51:I51" si="22">SUM(B48:B50)</f>
        <v>21785</v>
      </c>
      <c r="C51" s="54">
        <f t="shared" si="22"/>
        <v>11525</v>
      </c>
      <c r="D51" s="54">
        <f t="shared" si="22"/>
        <v>0</v>
      </c>
      <c r="E51" s="54">
        <f t="shared" si="22"/>
        <v>1483</v>
      </c>
      <c r="F51" s="54">
        <f t="shared" si="22"/>
        <v>2869</v>
      </c>
      <c r="G51" s="54">
        <f t="shared" si="22"/>
        <v>2372</v>
      </c>
      <c r="H51" s="54">
        <f t="shared" si="22"/>
        <v>659</v>
      </c>
      <c r="I51" s="54">
        <f t="shared" si="22"/>
        <v>2877</v>
      </c>
      <c r="J51" s="54"/>
      <c r="K51" s="54">
        <f t="shared" ref="K51:R51" si="23">SUM(K48:K50)</f>
        <v>20</v>
      </c>
      <c r="L51" s="54">
        <f t="shared" si="23"/>
        <v>12</v>
      </c>
      <c r="M51" s="54">
        <f t="shared" si="23"/>
        <v>0</v>
      </c>
      <c r="N51" s="54">
        <f t="shared" si="23"/>
        <v>1</v>
      </c>
      <c r="O51" s="54">
        <f t="shared" si="23"/>
        <v>3</v>
      </c>
      <c r="P51" s="54">
        <f t="shared" si="23"/>
        <v>0</v>
      </c>
      <c r="Q51" s="54">
        <f t="shared" si="23"/>
        <v>0</v>
      </c>
      <c r="R51" s="54">
        <f t="shared" si="23"/>
        <v>4</v>
      </c>
      <c r="T51" s="60">
        <f>SUM(C51/B51)</f>
        <v>0.5290337388111086</v>
      </c>
      <c r="U51" s="60">
        <f>SUM(D51/B51)</f>
        <v>0</v>
      </c>
      <c r="V51" s="60">
        <f>SUM(E51/B51)</f>
        <v>6.8074363093871937E-2</v>
      </c>
      <c r="W51" s="60">
        <f>SUM(F51/B51)</f>
        <v>0.13169612118430113</v>
      </c>
      <c r="X51" s="60">
        <f t="shared" si="9"/>
        <v>0.10888225843470278</v>
      </c>
      <c r="Y51" s="60">
        <f>SUM(H51/B51)</f>
        <v>3.0250172136791369E-2</v>
      </c>
      <c r="Z51" s="60">
        <f>SUM(I51/B51)</f>
        <v>0.13206334633922423</v>
      </c>
    </row>
    <row r="52" spans="1:26">
      <c r="A52" s="53"/>
      <c r="B52" s="54"/>
      <c r="C52" s="55"/>
      <c r="D52" s="55"/>
      <c r="E52" s="55"/>
      <c r="F52" s="55"/>
      <c r="G52" s="55"/>
      <c r="H52" s="55"/>
      <c r="I52" s="55"/>
      <c r="J52" s="55"/>
      <c r="K52" s="54"/>
      <c r="L52" s="55"/>
      <c r="M52" s="55"/>
      <c r="N52" s="55"/>
      <c r="O52" s="55"/>
      <c r="P52" s="55"/>
      <c r="Q52" s="55"/>
      <c r="R52" s="55"/>
    </row>
    <row r="53" spans="1:26">
      <c r="A53" s="56" t="s">
        <v>264</v>
      </c>
      <c r="B53" s="54">
        <f>SUM(C53:I53)</f>
        <v>4334</v>
      </c>
      <c r="C53" s="55">
        <v>1487</v>
      </c>
      <c r="D53" s="55">
        <v>1076</v>
      </c>
      <c r="E53" s="55">
        <v>635</v>
      </c>
      <c r="F53" s="55">
        <v>230</v>
      </c>
      <c r="G53" s="55">
        <v>0</v>
      </c>
      <c r="H53" s="55">
        <v>367</v>
      </c>
      <c r="I53" s="55">
        <v>539</v>
      </c>
      <c r="K53" s="54">
        <f>SUM(L53:R53)</f>
        <v>4</v>
      </c>
      <c r="L53" s="55">
        <v>2</v>
      </c>
      <c r="M53" s="55">
        <v>1</v>
      </c>
      <c r="N53" s="55">
        <v>0</v>
      </c>
      <c r="O53" s="55">
        <v>0</v>
      </c>
      <c r="P53" s="55">
        <v>0</v>
      </c>
      <c r="Q53" s="55">
        <v>0</v>
      </c>
      <c r="R53" s="55">
        <v>1</v>
      </c>
      <c r="T53" s="61">
        <f>SUM(C53/B53)</f>
        <v>0.34310106137517304</v>
      </c>
      <c r="U53" s="61">
        <f>SUM(D53/B53)</f>
        <v>0.24826949700046147</v>
      </c>
      <c r="V53" s="61">
        <f>SUM(E53/B53)</f>
        <v>0.14651592062759575</v>
      </c>
      <c r="W53" s="61">
        <f>SUM(F53/B53)</f>
        <v>5.3068758652515001E-2</v>
      </c>
      <c r="X53" s="61">
        <f t="shared" si="9"/>
        <v>0</v>
      </c>
      <c r="Y53" s="61">
        <f>SUM(H53/B53)</f>
        <v>8.4679280110752195E-2</v>
      </c>
      <c r="Z53" s="61">
        <f>SUM(I53/B53)</f>
        <v>0.12436548223350254</v>
      </c>
    </row>
    <row r="54" spans="1:26">
      <c r="A54" s="56" t="s">
        <v>265</v>
      </c>
      <c r="B54" s="54">
        <f>SUM(C54:I54)</f>
        <v>7434</v>
      </c>
      <c r="C54" s="55">
        <v>3984</v>
      </c>
      <c r="D54" s="55">
        <v>1525</v>
      </c>
      <c r="E54" s="55">
        <v>1071</v>
      </c>
      <c r="F54" s="55">
        <v>677</v>
      </c>
      <c r="G54" s="55">
        <v>0</v>
      </c>
      <c r="H54" s="55">
        <v>0</v>
      </c>
      <c r="I54" s="55">
        <v>177</v>
      </c>
      <c r="K54" s="54">
        <f>SUM(L54:R54)</f>
        <v>6</v>
      </c>
      <c r="L54" s="55">
        <v>4</v>
      </c>
      <c r="M54" s="55">
        <v>1</v>
      </c>
      <c r="N54" s="55">
        <v>1</v>
      </c>
      <c r="O54" s="55">
        <v>0</v>
      </c>
      <c r="P54" s="55">
        <v>0</v>
      </c>
      <c r="Q54" s="55">
        <v>0</v>
      </c>
      <c r="R54" s="55">
        <v>0</v>
      </c>
      <c r="T54" s="61">
        <f>SUM(C54/B54)</f>
        <v>0.5359160613397902</v>
      </c>
      <c r="U54" s="61">
        <f>SUM(D54/B54)</f>
        <v>0.20513855259617972</v>
      </c>
      <c r="V54" s="61">
        <f>SUM(E54/B54)</f>
        <v>0.1440677966101695</v>
      </c>
      <c r="W54" s="61">
        <f>SUM(F54/B54)</f>
        <v>9.1068065644336837E-2</v>
      </c>
      <c r="X54" s="61">
        <f t="shared" si="9"/>
        <v>0</v>
      </c>
      <c r="Y54" s="61">
        <f>SUM(H54/B54)</f>
        <v>0</v>
      </c>
      <c r="Z54" s="61">
        <f>SUM(I54/B54)</f>
        <v>2.3809523809523808E-2</v>
      </c>
    </row>
    <row r="55" spans="1:26">
      <c r="A55" s="56" t="s">
        <v>266</v>
      </c>
      <c r="B55" s="54">
        <f>SUM(C55:I55)</f>
        <v>5439</v>
      </c>
      <c r="C55" s="55">
        <v>2396</v>
      </c>
      <c r="D55" s="55">
        <v>0</v>
      </c>
      <c r="E55" s="55">
        <v>1893</v>
      </c>
      <c r="F55" s="55">
        <v>383</v>
      </c>
      <c r="G55" s="55">
        <v>0</v>
      </c>
      <c r="H55" s="55">
        <v>0</v>
      </c>
      <c r="I55" s="55">
        <v>767</v>
      </c>
      <c r="K55" s="54">
        <f>SUM(L55:R55)</f>
        <v>5</v>
      </c>
      <c r="L55" s="55">
        <v>2</v>
      </c>
      <c r="M55" s="55">
        <v>0</v>
      </c>
      <c r="N55" s="55">
        <v>2</v>
      </c>
      <c r="O55" s="55">
        <v>1</v>
      </c>
      <c r="P55" s="55">
        <v>0</v>
      </c>
      <c r="Q55" s="55">
        <v>0</v>
      </c>
      <c r="R55" s="55">
        <v>0</v>
      </c>
      <c r="T55" s="61">
        <f>SUM(C55/B55)</f>
        <v>0.4405221548078691</v>
      </c>
      <c r="U55" s="61">
        <f>SUM(D55/B55)</f>
        <v>0</v>
      </c>
      <c r="V55" s="61">
        <f>SUM(E55/B55)</f>
        <v>0.3480419194704909</v>
      </c>
      <c r="W55" s="61">
        <f>SUM(F55/B55)</f>
        <v>7.0417356131641851E-2</v>
      </c>
      <c r="X55" s="61">
        <f t="shared" si="9"/>
        <v>0</v>
      </c>
      <c r="Y55" s="61">
        <f>SUM(H55/B55)</f>
        <v>0</v>
      </c>
      <c r="Z55" s="61">
        <f>SUM(I55/B55)</f>
        <v>0.14101856958999817</v>
      </c>
    </row>
    <row r="56" spans="1:26">
      <c r="A56" s="56" t="s">
        <v>267</v>
      </c>
      <c r="B56" s="54">
        <f>SUM(C56:I56)</f>
        <v>5720</v>
      </c>
      <c r="C56" s="55">
        <v>2057</v>
      </c>
      <c r="D56" s="55">
        <v>0</v>
      </c>
      <c r="E56" s="55">
        <v>1601</v>
      </c>
      <c r="F56" s="55">
        <v>495</v>
      </c>
      <c r="G56" s="55">
        <v>481</v>
      </c>
      <c r="H56" s="55">
        <v>703</v>
      </c>
      <c r="I56" s="55">
        <v>383</v>
      </c>
      <c r="K56" s="54">
        <f>SUM(L56:R56)</f>
        <v>5</v>
      </c>
      <c r="L56" s="55">
        <v>2</v>
      </c>
      <c r="M56" s="55">
        <v>1</v>
      </c>
      <c r="N56" s="55">
        <v>0</v>
      </c>
      <c r="O56" s="55">
        <v>0</v>
      </c>
      <c r="P56" s="55">
        <v>1</v>
      </c>
      <c r="Q56" s="55">
        <v>1</v>
      </c>
      <c r="R56" s="55">
        <v>0</v>
      </c>
      <c r="T56" s="61">
        <f>SUM(C56/B56)</f>
        <v>0.35961538461538461</v>
      </c>
      <c r="U56" s="61">
        <f>SUM(D56/B56)</f>
        <v>0</v>
      </c>
      <c r="V56" s="61">
        <f>SUM(E56/B56)</f>
        <v>0.27989510489510488</v>
      </c>
      <c r="W56" s="61">
        <f>SUM(F56/B56)</f>
        <v>8.6538461538461536E-2</v>
      </c>
      <c r="X56" s="61">
        <f t="shared" si="9"/>
        <v>8.4090909090909091E-2</v>
      </c>
      <c r="Y56" s="61">
        <f>SUM(H56/B56)</f>
        <v>0.1229020979020979</v>
      </c>
      <c r="Z56" s="61">
        <f>SUM(I56/B56)</f>
        <v>6.6958041958041961E-2</v>
      </c>
    </row>
    <row r="57" spans="1:26" s="52" customFormat="1">
      <c r="A57" s="53" t="s">
        <v>1574</v>
      </c>
      <c r="B57" s="54">
        <f>SUM(B53:B56)</f>
        <v>22927</v>
      </c>
      <c r="C57" s="54">
        <f t="shared" ref="C57:N57" si="24">SUM(C53:C56)</f>
        <v>9924</v>
      </c>
      <c r="D57" s="54">
        <f>SUM(D53:D56)</f>
        <v>2601</v>
      </c>
      <c r="E57" s="54">
        <f t="shared" si="24"/>
        <v>5200</v>
      </c>
      <c r="F57" s="54">
        <f>SUM(F53:F56)</f>
        <v>1785</v>
      </c>
      <c r="G57" s="54">
        <f>SUM(G53:G56)</f>
        <v>481</v>
      </c>
      <c r="H57" s="54">
        <f>SUM(H53:H56)</f>
        <v>1070</v>
      </c>
      <c r="I57" s="54">
        <f>SUM(I53:I56)</f>
        <v>1866</v>
      </c>
      <c r="J57" s="54"/>
      <c r="K57" s="54">
        <f t="shared" si="24"/>
        <v>20</v>
      </c>
      <c r="L57" s="54">
        <f t="shared" si="24"/>
        <v>10</v>
      </c>
      <c r="M57" s="54">
        <f t="shared" si="24"/>
        <v>3</v>
      </c>
      <c r="N57" s="54">
        <f t="shared" si="24"/>
        <v>3</v>
      </c>
      <c r="O57" s="54">
        <f>SUM(O53:O56)</f>
        <v>1</v>
      </c>
      <c r="P57" s="54">
        <f>SUM(P53:P56)</f>
        <v>1</v>
      </c>
      <c r="Q57" s="54">
        <f>SUM(Q53:Q56)</f>
        <v>1</v>
      </c>
      <c r="R57" s="54">
        <f>SUM(R53:R56)</f>
        <v>1</v>
      </c>
      <c r="T57" s="60">
        <f>SUM(C57/B57)</f>
        <v>0.43285209578226547</v>
      </c>
      <c r="U57" s="60">
        <f>SUM(D57/B57)</f>
        <v>0.11344702752213548</v>
      </c>
      <c r="V57" s="60">
        <f>SUM(E57/B57)</f>
        <v>0.22680682165132812</v>
      </c>
      <c r="W57" s="60">
        <f>SUM(F57/B57)</f>
        <v>7.7855803201465526E-2</v>
      </c>
      <c r="X57" s="60">
        <f t="shared" si="9"/>
        <v>2.0979631002747853E-2</v>
      </c>
      <c r="Y57" s="60">
        <f>SUM(H57/B57)</f>
        <v>4.6669865224407907E-2</v>
      </c>
      <c r="Z57" s="60">
        <f>SUM(I57/B57)</f>
        <v>8.1388755615649677E-2</v>
      </c>
    </row>
    <row r="58" spans="1:26">
      <c r="A58" s="53"/>
      <c r="B58" s="54"/>
      <c r="C58" s="55"/>
      <c r="D58" s="55"/>
      <c r="E58" s="55"/>
      <c r="F58" s="55"/>
      <c r="G58" s="55"/>
      <c r="H58" s="55"/>
      <c r="I58" s="55"/>
      <c r="K58" s="54"/>
      <c r="L58" s="55"/>
      <c r="M58" s="55"/>
      <c r="N58" s="55"/>
      <c r="O58" s="55"/>
      <c r="P58" s="55"/>
      <c r="Q58" s="55"/>
      <c r="R58" s="55"/>
    </row>
    <row r="59" spans="1:26">
      <c r="A59" s="56" t="s">
        <v>268</v>
      </c>
      <c r="B59" s="54">
        <f t="shared" ref="B59:B64" si="25">SUM(C59:I59)</f>
        <v>6012</v>
      </c>
      <c r="C59" s="55">
        <v>3171</v>
      </c>
      <c r="D59" s="55">
        <v>0</v>
      </c>
      <c r="E59" s="55">
        <v>1073</v>
      </c>
      <c r="F59" s="55">
        <v>257</v>
      </c>
      <c r="G59" s="55">
        <v>0</v>
      </c>
      <c r="H59" s="55">
        <v>0</v>
      </c>
      <c r="I59" s="55">
        <v>1511</v>
      </c>
      <c r="K59" s="54">
        <f t="shared" ref="K59:K64" si="26">SUM(L59:R59)</f>
        <v>5</v>
      </c>
      <c r="L59" s="55">
        <v>3</v>
      </c>
      <c r="M59" s="55">
        <v>0</v>
      </c>
      <c r="N59" s="55">
        <v>1</v>
      </c>
      <c r="O59" s="55">
        <v>0</v>
      </c>
      <c r="P59" s="55">
        <v>0</v>
      </c>
      <c r="Q59" s="55">
        <v>0</v>
      </c>
      <c r="R59" s="55">
        <v>1</v>
      </c>
      <c r="T59" s="61">
        <f t="shared" ref="T59:T65" si="27">SUM(C59/B59)</f>
        <v>0.52744510978043913</v>
      </c>
      <c r="U59" s="61">
        <f t="shared" ref="U59:U65" si="28">SUM(D59/B59)</f>
        <v>0</v>
      </c>
      <c r="V59" s="61">
        <f t="shared" ref="V59:V65" si="29">SUM(E59/B59)</f>
        <v>0.17847638057218895</v>
      </c>
      <c r="W59" s="61">
        <f t="shared" ref="W59:W65" si="30">SUM(F59/B59)</f>
        <v>4.2747837658017297E-2</v>
      </c>
      <c r="X59" s="61">
        <f t="shared" si="9"/>
        <v>0</v>
      </c>
      <c r="Y59" s="61">
        <f t="shared" ref="Y59:Y65" si="31">SUM(H59/B59)</f>
        <v>0</v>
      </c>
      <c r="Z59" s="61">
        <f t="shared" ref="Z59:Z65" si="32">SUM(I59/B59)</f>
        <v>0.2513306719893546</v>
      </c>
    </row>
    <row r="60" spans="1:26">
      <c r="A60" s="56" t="s">
        <v>269</v>
      </c>
      <c r="B60" s="54">
        <f t="shared" si="25"/>
        <v>4520</v>
      </c>
      <c r="C60" s="55">
        <v>586</v>
      </c>
      <c r="D60" s="55">
        <v>0</v>
      </c>
      <c r="E60" s="55">
        <v>1711</v>
      </c>
      <c r="F60" s="55">
        <v>894</v>
      </c>
      <c r="G60" s="55">
        <v>0</v>
      </c>
      <c r="H60" s="55">
        <v>579</v>
      </c>
      <c r="I60" s="55">
        <v>750</v>
      </c>
      <c r="K60" s="54">
        <f t="shared" si="26"/>
        <v>4</v>
      </c>
      <c r="L60" s="55">
        <v>0</v>
      </c>
      <c r="M60" s="55">
        <v>0</v>
      </c>
      <c r="N60" s="55">
        <v>2</v>
      </c>
      <c r="O60" s="55">
        <v>1</v>
      </c>
      <c r="P60" s="55">
        <v>0</v>
      </c>
      <c r="Q60" s="55">
        <v>0</v>
      </c>
      <c r="R60" s="55">
        <v>1</v>
      </c>
      <c r="T60" s="61">
        <f t="shared" si="27"/>
        <v>0.12964601769911505</v>
      </c>
      <c r="U60" s="61">
        <f t="shared" si="28"/>
        <v>0</v>
      </c>
      <c r="V60" s="61">
        <f t="shared" si="29"/>
        <v>0.37853982300884959</v>
      </c>
      <c r="W60" s="61">
        <f t="shared" si="30"/>
        <v>0.19778761061946903</v>
      </c>
      <c r="X60" s="61">
        <f t="shared" si="9"/>
        <v>0</v>
      </c>
      <c r="Y60" s="61">
        <f t="shared" si="31"/>
        <v>0.12809734513274337</v>
      </c>
      <c r="Z60" s="61">
        <f t="shared" si="32"/>
        <v>0.16592920353982302</v>
      </c>
    </row>
    <row r="61" spans="1:26">
      <c r="A61" s="56" t="s">
        <v>270</v>
      </c>
      <c r="B61" s="54">
        <f t="shared" si="25"/>
        <v>4316</v>
      </c>
      <c r="C61" s="55">
        <v>0</v>
      </c>
      <c r="D61" s="55">
        <v>0</v>
      </c>
      <c r="E61" s="55">
        <v>1739</v>
      </c>
      <c r="F61" s="55">
        <v>277</v>
      </c>
      <c r="G61" s="55">
        <v>0</v>
      </c>
      <c r="H61" s="55">
        <v>304</v>
      </c>
      <c r="I61" s="55">
        <v>1996</v>
      </c>
      <c r="K61" s="54">
        <f t="shared" si="26"/>
        <v>4</v>
      </c>
      <c r="L61" s="55">
        <v>0</v>
      </c>
      <c r="M61" s="55">
        <v>0</v>
      </c>
      <c r="N61" s="55">
        <v>2</v>
      </c>
      <c r="O61" s="55">
        <v>0</v>
      </c>
      <c r="P61" s="55">
        <v>0</v>
      </c>
      <c r="Q61" s="55">
        <v>0</v>
      </c>
      <c r="R61" s="55">
        <v>2</v>
      </c>
      <c r="T61" s="61">
        <f t="shared" si="27"/>
        <v>0</v>
      </c>
      <c r="U61" s="61">
        <f t="shared" si="28"/>
        <v>0</v>
      </c>
      <c r="V61" s="61">
        <f t="shared" si="29"/>
        <v>0.40291936978683968</v>
      </c>
      <c r="W61" s="61">
        <f t="shared" si="30"/>
        <v>6.4179796107506945E-2</v>
      </c>
      <c r="X61" s="61">
        <f t="shared" si="9"/>
        <v>0</v>
      </c>
      <c r="Y61" s="61">
        <f t="shared" si="31"/>
        <v>7.0435588507877664E-2</v>
      </c>
      <c r="Z61" s="61">
        <f t="shared" si="32"/>
        <v>0.46246524559777574</v>
      </c>
    </row>
    <row r="62" spans="1:26">
      <c r="A62" s="56" t="s">
        <v>271</v>
      </c>
      <c r="B62" s="54">
        <f t="shared" si="25"/>
        <v>6815</v>
      </c>
      <c r="C62" s="55">
        <v>0</v>
      </c>
      <c r="D62" s="55">
        <v>0</v>
      </c>
      <c r="E62" s="55">
        <v>2615</v>
      </c>
      <c r="F62" s="55">
        <v>747</v>
      </c>
      <c r="G62" s="55">
        <v>0</v>
      </c>
      <c r="H62" s="55">
        <v>1068</v>
      </c>
      <c r="I62" s="55">
        <v>2385</v>
      </c>
      <c r="K62" s="54">
        <f t="shared" si="26"/>
        <v>7</v>
      </c>
      <c r="L62" s="55">
        <v>0</v>
      </c>
      <c r="M62" s="55">
        <v>0</v>
      </c>
      <c r="N62" s="55">
        <v>3</v>
      </c>
      <c r="O62" s="55">
        <v>1</v>
      </c>
      <c r="P62" s="55">
        <v>0</v>
      </c>
      <c r="Q62" s="55">
        <v>1</v>
      </c>
      <c r="R62" s="55">
        <v>2</v>
      </c>
      <c r="T62" s="61">
        <f t="shared" si="27"/>
        <v>0</v>
      </c>
      <c r="U62" s="61">
        <f t="shared" si="28"/>
        <v>0</v>
      </c>
      <c r="V62" s="61">
        <f t="shared" si="29"/>
        <v>0.38371239911958915</v>
      </c>
      <c r="W62" s="61">
        <f t="shared" si="30"/>
        <v>0.10961115187087307</v>
      </c>
      <c r="X62" s="61">
        <f t="shared" si="9"/>
        <v>0</v>
      </c>
      <c r="Y62" s="61">
        <f t="shared" si="31"/>
        <v>0.15671313279530447</v>
      </c>
      <c r="Z62" s="61">
        <f t="shared" si="32"/>
        <v>0.34996331621423332</v>
      </c>
    </row>
    <row r="63" spans="1:26">
      <c r="A63" s="56" t="s">
        <v>272</v>
      </c>
      <c r="B63" s="54">
        <f t="shared" si="25"/>
        <v>3778</v>
      </c>
      <c r="C63" s="55">
        <v>0</v>
      </c>
      <c r="D63" s="55">
        <v>0</v>
      </c>
      <c r="E63" s="55">
        <v>1749</v>
      </c>
      <c r="F63" s="55">
        <v>200</v>
      </c>
      <c r="G63" s="55">
        <v>0</v>
      </c>
      <c r="H63" s="55">
        <v>609</v>
      </c>
      <c r="I63" s="55">
        <v>1220</v>
      </c>
      <c r="K63" s="54">
        <f t="shared" si="26"/>
        <v>6</v>
      </c>
      <c r="L63" s="55">
        <v>0</v>
      </c>
      <c r="M63" s="55">
        <v>0</v>
      </c>
      <c r="N63" s="55">
        <v>3</v>
      </c>
      <c r="O63" s="55">
        <v>0</v>
      </c>
      <c r="P63" s="55">
        <v>0</v>
      </c>
      <c r="Q63" s="55">
        <v>1</v>
      </c>
      <c r="R63" s="55">
        <v>2</v>
      </c>
      <c r="T63" s="61">
        <f>SUM(C63/B63)</f>
        <v>0</v>
      </c>
      <c r="U63" s="61">
        <f>SUM(D63/B63)</f>
        <v>0</v>
      </c>
      <c r="V63" s="61">
        <f>SUM(E63/B63)</f>
        <v>0.46294335627316041</v>
      </c>
      <c r="W63" s="61">
        <f>SUM(F63/B63)</f>
        <v>5.293806246691371E-2</v>
      </c>
      <c r="X63" s="61">
        <f>SUM(G63/B63)</f>
        <v>0</v>
      </c>
      <c r="Y63" s="61">
        <f>SUM(H63/B63)</f>
        <v>0.16119640021175224</v>
      </c>
      <c r="Z63" s="61">
        <f>SUM(I63/B63)</f>
        <v>0.32292218104817366</v>
      </c>
    </row>
    <row r="64" spans="1:26">
      <c r="A64" s="56" t="s">
        <v>273</v>
      </c>
      <c r="B64" s="54">
        <f t="shared" si="25"/>
        <v>3719</v>
      </c>
      <c r="C64" s="55">
        <v>0</v>
      </c>
      <c r="D64" s="55">
        <v>0</v>
      </c>
      <c r="E64" s="55">
        <v>1404</v>
      </c>
      <c r="F64" s="55">
        <v>1564</v>
      </c>
      <c r="G64" s="55">
        <v>0</v>
      </c>
      <c r="H64" s="55">
        <v>600</v>
      </c>
      <c r="I64" s="55">
        <v>151</v>
      </c>
      <c r="K64" s="54">
        <f t="shared" si="26"/>
        <v>4</v>
      </c>
      <c r="L64" s="55">
        <v>0</v>
      </c>
      <c r="M64" s="55">
        <v>0</v>
      </c>
      <c r="N64" s="55">
        <v>2</v>
      </c>
      <c r="O64" s="55">
        <v>2</v>
      </c>
      <c r="P64" s="55">
        <v>0</v>
      </c>
      <c r="Q64" s="55">
        <v>0</v>
      </c>
      <c r="R64" s="55">
        <v>0</v>
      </c>
      <c r="T64" s="61">
        <f t="shared" si="27"/>
        <v>0</v>
      </c>
      <c r="U64" s="61">
        <f t="shared" si="28"/>
        <v>0</v>
      </c>
      <c r="V64" s="61">
        <f t="shared" si="29"/>
        <v>0.37752083893519761</v>
      </c>
      <c r="W64" s="61">
        <f t="shared" si="30"/>
        <v>0.42054315676257059</v>
      </c>
      <c r="X64" s="61">
        <f t="shared" si="9"/>
        <v>0</v>
      </c>
      <c r="Y64" s="61">
        <f t="shared" si="31"/>
        <v>0.16133369185264856</v>
      </c>
      <c r="Z64" s="61">
        <f t="shared" si="32"/>
        <v>4.0602312449583219E-2</v>
      </c>
    </row>
    <row r="65" spans="1:26" s="52" customFormat="1">
      <c r="A65" s="53" t="s">
        <v>1580</v>
      </c>
      <c r="B65" s="54">
        <f>SUM(B59:B64)</f>
        <v>29160</v>
      </c>
      <c r="C65" s="54">
        <f t="shared" ref="C65:N65" si="33">SUM(C59:C64)</f>
        <v>3757</v>
      </c>
      <c r="D65" s="54">
        <f>SUM(D59:D64)</f>
        <v>0</v>
      </c>
      <c r="E65" s="54">
        <f t="shared" si="33"/>
        <v>10291</v>
      </c>
      <c r="F65" s="54">
        <f>SUM(F59:F64)</f>
        <v>3939</v>
      </c>
      <c r="G65" s="54">
        <f>SUM(G59:G64)</f>
        <v>0</v>
      </c>
      <c r="H65" s="54">
        <f>SUM(H59:H64)</f>
        <v>3160</v>
      </c>
      <c r="I65" s="54">
        <f>SUM(I59:I64)</f>
        <v>8013</v>
      </c>
      <c r="J65" s="54"/>
      <c r="K65" s="54">
        <f t="shared" si="33"/>
        <v>30</v>
      </c>
      <c r="L65" s="54">
        <f t="shared" si="33"/>
        <v>3</v>
      </c>
      <c r="M65" s="54">
        <f t="shared" si="33"/>
        <v>0</v>
      </c>
      <c r="N65" s="54">
        <f t="shared" si="33"/>
        <v>13</v>
      </c>
      <c r="O65" s="54">
        <f>SUM(O59:O64)</f>
        <v>4</v>
      </c>
      <c r="P65" s="54">
        <f>SUM(P59:P64)</f>
        <v>0</v>
      </c>
      <c r="Q65" s="54">
        <f>SUM(Q59:Q64)</f>
        <v>2</v>
      </c>
      <c r="R65" s="54">
        <f>SUM(R59:R64)</f>
        <v>8</v>
      </c>
      <c r="T65" s="60">
        <f t="shared" si="27"/>
        <v>0.128840877914952</v>
      </c>
      <c r="U65" s="60">
        <f t="shared" si="28"/>
        <v>0</v>
      </c>
      <c r="V65" s="60">
        <f t="shared" si="29"/>
        <v>0.35291495198902606</v>
      </c>
      <c r="W65" s="60">
        <f t="shared" si="30"/>
        <v>0.13508230452674896</v>
      </c>
      <c r="X65" s="60">
        <f t="shared" si="9"/>
        <v>0</v>
      </c>
      <c r="Y65" s="60">
        <f t="shared" si="31"/>
        <v>0.1083676268861454</v>
      </c>
      <c r="Z65" s="60">
        <f t="shared" si="32"/>
        <v>0.27479423868312758</v>
      </c>
    </row>
    <row r="66" spans="1:26">
      <c r="A66" s="53"/>
      <c r="B66" s="54"/>
      <c r="C66" s="55"/>
      <c r="D66" s="55"/>
      <c r="E66" s="55"/>
      <c r="F66" s="55"/>
      <c r="G66" s="55"/>
      <c r="H66" s="55"/>
      <c r="I66" s="55"/>
      <c r="K66" s="54"/>
      <c r="L66" s="55"/>
      <c r="M66" s="55"/>
      <c r="N66" s="55"/>
      <c r="O66" s="55"/>
      <c r="P66" s="55"/>
      <c r="Q66" s="55"/>
      <c r="R66" s="55"/>
    </row>
    <row r="67" spans="1:26">
      <c r="A67" s="56" t="s">
        <v>274</v>
      </c>
      <c r="B67" s="54">
        <f>SUM(C67:I67)</f>
        <v>5848</v>
      </c>
      <c r="C67" s="55">
        <v>1296</v>
      </c>
      <c r="D67" s="55">
        <v>806</v>
      </c>
      <c r="E67" s="55">
        <v>1038</v>
      </c>
      <c r="F67" s="55">
        <v>861</v>
      </c>
      <c r="G67" s="55">
        <v>0</v>
      </c>
      <c r="H67" s="55">
        <v>803</v>
      </c>
      <c r="I67" s="55">
        <v>1044</v>
      </c>
      <c r="J67" s="55"/>
      <c r="K67" s="54">
        <f>SUM(L67:R67)</f>
        <v>5</v>
      </c>
      <c r="L67" s="55">
        <v>1</v>
      </c>
      <c r="M67" s="55">
        <v>1</v>
      </c>
      <c r="N67" s="55">
        <v>1</v>
      </c>
      <c r="O67" s="55">
        <v>1</v>
      </c>
      <c r="P67" s="55">
        <v>0</v>
      </c>
      <c r="Q67" s="55">
        <v>0</v>
      </c>
      <c r="R67" s="55">
        <v>1</v>
      </c>
      <c r="T67" s="61">
        <f>SUM(C67/B67)</f>
        <v>0.22161422708618331</v>
      </c>
      <c r="U67" s="61">
        <f>SUM(D67/B67)</f>
        <v>0.13782489740082079</v>
      </c>
      <c r="V67" s="61">
        <f>SUM(E67/B67)</f>
        <v>0.17749658002735977</v>
      </c>
      <c r="W67" s="61">
        <f>SUM(F67/B67)</f>
        <v>0.14722982216142272</v>
      </c>
      <c r="X67" s="61">
        <f t="shared" si="9"/>
        <v>0</v>
      </c>
      <c r="Y67" s="61">
        <f>SUM(H67/B67)</f>
        <v>0.13731190150478798</v>
      </c>
      <c r="Z67" s="61">
        <f>SUM(I67/B67)</f>
        <v>0.17852257181942544</v>
      </c>
    </row>
    <row r="68" spans="1:26">
      <c r="A68" s="56" t="s">
        <v>275</v>
      </c>
      <c r="B68" s="54">
        <f>SUM(C68:I68)</f>
        <v>8933</v>
      </c>
      <c r="C68" s="55">
        <v>3796</v>
      </c>
      <c r="D68" s="55">
        <v>707</v>
      </c>
      <c r="E68" s="55">
        <v>0</v>
      </c>
      <c r="F68" s="55">
        <v>1938</v>
      </c>
      <c r="G68" s="55">
        <v>1768</v>
      </c>
      <c r="H68" s="55">
        <v>361</v>
      </c>
      <c r="I68" s="55">
        <v>363</v>
      </c>
      <c r="K68" s="54">
        <f>SUM(L68:R68)</f>
        <v>7</v>
      </c>
      <c r="L68" s="55">
        <v>3</v>
      </c>
      <c r="M68" s="55">
        <v>0</v>
      </c>
      <c r="N68" s="55">
        <v>0</v>
      </c>
      <c r="O68" s="55">
        <v>2</v>
      </c>
      <c r="P68" s="55">
        <v>2</v>
      </c>
      <c r="Q68" s="55">
        <v>0</v>
      </c>
      <c r="R68" s="55">
        <v>0</v>
      </c>
      <c r="T68" s="61">
        <f>SUM(C68/B68)</f>
        <v>0.42494122915034144</v>
      </c>
      <c r="U68" s="61">
        <f>SUM(D68/B68)</f>
        <v>7.9144744206873396E-2</v>
      </c>
      <c r="V68" s="61">
        <f>SUM(E68/B68)</f>
        <v>0</v>
      </c>
      <c r="W68" s="61">
        <f>SUM(F68/B68)</f>
        <v>0.21694839359677601</v>
      </c>
      <c r="X68" s="61">
        <f t="shared" si="9"/>
        <v>0.19791783275495353</v>
      </c>
      <c r="Y68" s="61">
        <f>SUM(H68/B68)</f>
        <v>4.0411955669987683E-2</v>
      </c>
      <c r="Z68" s="61">
        <f>SUM(I68/B68)</f>
        <v>4.0635844621067951E-2</v>
      </c>
    </row>
    <row r="69" spans="1:26">
      <c r="A69" s="56" t="s">
        <v>276</v>
      </c>
      <c r="B69" s="54">
        <f>SUM(C69:I69)</f>
        <v>7347</v>
      </c>
      <c r="C69" s="55">
        <v>2437</v>
      </c>
      <c r="D69" s="55">
        <v>402</v>
      </c>
      <c r="E69" s="55">
        <v>1054</v>
      </c>
      <c r="F69" s="55">
        <v>1193</v>
      </c>
      <c r="G69" s="55">
        <v>1385</v>
      </c>
      <c r="H69" s="55">
        <v>715</v>
      </c>
      <c r="I69" s="55">
        <v>161</v>
      </c>
      <c r="K69" s="54">
        <f>SUM(L69:R69)</f>
        <v>6</v>
      </c>
      <c r="L69" s="55">
        <v>3</v>
      </c>
      <c r="M69" s="55">
        <v>0</v>
      </c>
      <c r="N69" s="55">
        <v>1</v>
      </c>
      <c r="O69" s="55">
        <v>1</v>
      </c>
      <c r="P69" s="55">
        <v>1</v>
      </c>
      <c r="Q69" s="55">
        <v>0</v>
      </c>
      <c r="R69" s="55">
        <v>0</v>
      </c>
      <c r="T69" s="61">
        <f>SUM(C69/B69)</f>
        <v>0.33170001361099771</v>
      </c>
      <c r="U69" s="61">
        <f>SUM(D69/B69)</f>
        <v>5.4716210698244179E-2</v>
      </c>
      <c r="V69" s="61">
        <f>SUM(E69/B69)</f>
        <v>0.14345991561181434</v>
      </c>
      <c r="W69" s="61">
        <f>SUM(F69/B69)</f>
        <v>0.1623792023955356</v>
      </c>
      <c r="X69" s="61">
        <f t="shared" si="9"/>
        <v>0.18851231795290596</v>
      </c>
      <c r="Y69" s="61">
        <f>SUM(H69/B69)</f>
        <v>9.7318633455832318E-2</v>
      </c>
      <c r="Z69" s="61">
        <f>SUM(I69/B69)</f>
        <v>2.1913706274669934E-2</v>
      </c>
    </row>
    <row r="70" spans="1:26">
      <c r="A70" s="56" t="s">
        <v>277</v>
      </c>
      <c r="B70" s="54">
        <f>SUM(C70:I70)</f>
        <v>9296</v>
      </c>
      <c r="C70" s="55">
        <v>4681</v>
      </c>
      <c r="D70" s="55">
        <v>1732</v>
      </c>
      <c r="E70" s="55">
        <v>0</v>
      </c>
      <c r="F70" s="55">
        <v>1022</v>
      </c>
      <c r="G70" s="55">
        <v>1861</v>
      </c>
      <c r="H70" s="55">
        <v>0</v>
      </c>
      <c r="I70" s="55">
        <v>0</v>
      </c>
      <c r="K70" s="54">
        <f>SUM(L70:R70)</f>
        <v>7</v>
      </c>
      <c r="L70" s="55">
        <v>4</v>
      </c>
      <c r="M70" s="55">
        <v>2</v>
      </c>
      <c r="N70" s="55">
        <v>0</v>
      </c>
      <c r="O70" s="55">
        <v>0</v>
      </c>
      <c r="P70" s="55">
        <v>1</v>
      </c>
      <c r="Q70" s="55">
        <v>0</v>
      </c>
      <c r="R70" s="55">
        <v>0</v>
      </c>
      <c r="T70" s="61">
        <f>SUM(C70/B70)</f>
        <v>0.50354991394148019</v>
      </c>
      <c r="U70" s="61">
        <f>SUM(D70/B70)</f>
        <v>0.18631669535283993</v>
      </c>
      <c r="V70" s="61">
        <f>SUM(E70/B70)</f>
        <v>0</v>
      </c>
      <c r="W70" s="61">
        <f>SUM(F70/B70)</f>
        <v>0.10993975903614457</v>
      </c>
      <c r="X70" s="61">
        <f t="shared" si="9"/>
        <v>0.20019363166953527</v>
      </c>
      <c r="Y70" s="61">
        <f>SUM(H70/B70)</f>
        <v>0</v>
      </c>
      <c r="Z70" s="61">
        <f>SUM(I70/B70)</f>
        <v>0</v>
      </c>
    </row>
    <row r="71" spans="1:26" s="52" customFormat="1">
      <c r="A71" s="53" t="s">
        <v>1585</v>
      </c>
      <c r="B71" s="54">
        <f>SUM(B67:B70)</f>
        <v>31424</v>
      </c>
      <c r="C71" s="54">
        <f t="shared" ref="C71:N71" si="34">SUM(C67:C70)</f>
        <v>12210</v>
      </c>
      <c r="D71" s="54">
        <f>SUM(D67:D70)</f>
        <v>3647</v>
      </c>
      <c r="E71" s="54">
        <f t="shared" si="34"/>
        <v>2092</v>
      </c>
      <c r="F71" s="54">
        <f>SUM(F67:F70)</f>
        <v>5014</v>
      </c>
      <c r="G71" s="54">
        <f>SUM(G67:G70)</f>
        <v>5014</v>
      </c>
      <c r="H71" s="54">
        <f>SUM(H67:H70)</f>
        <v>1879</v>
      </c>
      <c r="I71" s="54">
        <f>SUM(I67:I70)</f>
        <v>1568</v>
      </c>
      <c r="J71" s="54"/>
      <c r="K71" s="54">
        <f t="shared" si="34"/>
        <v>25</v>
      </c>
      <c r="L71" s="54">
        <f t="shared" si="34"/>
        <v>11</v>
      </c>
      <c r="M71" s="54">
        <f t="shared" si="34"/>
        <v>3</v>
      </c>
      <c r="N71" s="54">
        <f t="shared" si="34"/>
        <v>2</v>
      </c>
      <c r="O71" s="54">
        <f>SUM(O67:O70)</f>
        <v>4</v>
      </c>
      <c r="P71" s="54">
        <f>SUM(P67:P70)</f>
        <v>4</v>
      </c>
      <c r="Q71" s="54">
        <f>SUM(Q67:Q70)</f>
        <v>0</v>
      </c>
      <c r="R71" s="54">
        <f>SUM(R67:R70)</f>
        <v>1</v>
      </c>
      <c r="T71" s="60">
        <f>SUM(C71/B71)</f>
        <v>0.38855651731160895</v>
      </c>
      <c r="U71" s="60">
        <f>SUM(D71/B71)</f>
        <v>0.11605779022403259</v>
      </c>
      <c r="V71" s="60">
        <f>SUM(E71/B71)</f>
        <v>6.657331975560081E-2</v>
      </c>
      <c r="W71" s="60">
        <f>SUM(F71/B71)</f>
        <v>0.15955957230142567</v>
      </c>
      <c r="X71" s="60">
        <f t="shared" si="9"/>
        <v>0.15955957230142567</v>
      </c>
      <c r="Y71" s="60">
        <f>SUM(H71/B71)</f>
        <v>5.9795061099796334E-2</v>
      </c>
      <c r="Z71" s="60">
        <f>SUM(I71/B71)</f>
        <v>4.9898167006109981E-2</v>
      </c>
    </row>
    <row r="72" spans="1:26">
      <c r="A72" s="53"/>
      <c r="B72" s="54"/>
      <c r="C72" s="55"/>
      <c r="D72" s="55"/>
      <c r="E72" s="55"/>
      <c r="F72" s="55"/>
      <c r="G72" s="55"/>
      <c r="H72" s="55"/>
      <c r="I72" s="55"/>
      <c r="K72" s="54"/>
      <c r="L72" s="55"/>
      <c r="M72" s="55"/>
      <c r="N72" s="55"/>
      <c r="O72" s="55"/>
      <c r="P72" s="55"/>
      <c r="Q72" s="55"/>
      <c r="R72" s="55"/>
    </row>
    <row r="73" spans="1:26">
      <c r="A73" s="56" t="s">
        <v>278</v>
      </c>
      <c r="B73" s="54">
        <f>SUM(C73:I73)</f>
        <v>7121</v>
      </c>
      <c r="C73" s="55">
        <v>4080</v>
      </c>
      <c r="D73" s="55">
        <v>0</v>
      </c>
      <c r="E73" s="55">
        <v>0</v>
      </c>
      <c r="F73" s="55">
        <v>584</v>
      </c>
      <c r="G73" s="55">
        <v>0</v>
      </c>
      <c r="H73" s="55">
        <v>0</v>
      </c>
      <c r="I73" s="55">
        <v>2457</v>
      </c>
      <c r="K73" s="54">
        <f>SUM(L73:R73)</f>
        <v>7</v>
      </c>
      <c r="L73" s="55">
        <v>4</v>
      </c>
      <c r="M73" s="55">
        <v>0</v>
      </c>
      <c r="N73" s="55">
        <v>0</v>
      </c>
      <c r="O73" s="55">
        <v>0</v>
      </c>
      <c r="P73" s="55">
        <v>0</v>
      </c>
      <c r="Q73" s="55">
        <v>0</v>
      </c>
      <c r="R73" s="55">
        <v>3</v>
      </c>
      <c r="T73" s="61">
        <f>SUM(C73/B73)</f>
        <v>0.57295323690492905</v>
      </c>
      <c r="U73" s="61">
        <f>SUM(D73/B73)</f>
        <v>0</v>
      </c>
      <c r="V73" s="61">
        <f>SUM(E73/B73)</f>
        <v>0</v>
      </c>
      <c r="W73" s="61">
        <f>SUM(F73/B73)</f>
        <v>8.2010953517764357E-2</v>
      </c>
      <c r="X73" s="61">
        <f t="shared" si="9"/>
        <v>0</v>
      </c>
      <c r="Y73" s="61">
        <f>SUM(H73/B73)</f>
        <v>0</v>
      </c>
      <c r="Z73" s="61">
        <f>SUM(I73/B73)</f>
        <v>0.34503580957730656</v>
      </c>
    </row>
    <row r="74" spans="1:26">
      <c r="A74" s="56" t="s">
        <v>279</v>
      </c>
      <c r="B74" s="54">
        <f>SUM(C74:I74)</f>
        <v>7676</v>
      </c>
      <c r="C74" s="55">
        <v>5542</v>
      </c>
      <c r="D74" s="55">
        <v>0</v>
      </c>
      <c r="E74" s="55">
        <v>1183</v>
      </c>
      <c r="F74" s="55">
        <v>266</v>
      </c>
      <c r="G74" s="55">
        <v>0</v>
      </c>
      <c r="H74" s="55">
        <v>0</v>
      </c>
      <c r="I74" s="55">
        <v>685</v>
      </c>
      <c r="K74" s="54">
        <f>SUM(L74:R74)</f>
        <v>8</v>
      </c>
      <c r="L74" s="55">
        <v>7</v>
      </c>
      <c r="M74" s="55">
        <v>0</v>
      </c>
      <c r="N74" s="55">
        <v>1</v>
      </c>
      <c r="O74" s="55">
        <v>0</v>
      </c>
      <c r="P74" s="55">
        <v>0</v>
      </c>
      <c r="Q74" s="55">
        <v>0</v>
      </c>
      <c r="R74" s="55">
        <v>0</v>
      </c>
      <c r="T74" s="61">
        <f>SUM(C74/B74)</f>
        <v>0.72199062011464299</v>
      </c>
      <c r="U74" s="61">
        <f>SUM(D74/B74)</f>
        <v>0</v>
      </c>
      <c r="V74" s="61">
        <f>SUM(E74/B74)</f>
        <v>0.15411672746221991</v>
      </c>
      <c r="W74" s="61">
        <f>SUM(F74/B74)</f>
        <v>3.4653465346534656E-2</v>
      </c>
      <c r="X74" s="61">
        <f t="shared" si="9"/>
        <v>0</v>
      </c>
      <c r="Y74" s="61">
        <f>SUM(H74/B74)</f>
        <v>0</v>
      </c>
      <c r="Z74" s="61">
        <f>SUM(I74/B74)</f>
        <v>8.9239187076602403E-2</v>
      </c>
    </row>
    <row r="75" spans="1:26" s="52" customFormat="1">
      <c r="A75" s="53" t="s">
        <v>1589</v>
      </c>
      <c r="B75" s="54">
        <f t="shared" ref="B75:I75" si="35">SUM(B73:B74)</f>
        <v>14797</v>
      </c>
      <c r="C75" s="54">
        <f t="shared" si="35"/>
        <v>9622</v>
      </c>
      <c r="D75" s="54">
        <f t="shared" si="35"/>
        <v>0</v>
      </c>
      <c r="E75" s="54">
        <f t="shared" si="35"/>
        <v>1183</v>
      </c>
      <c r="F75" s="54">
        <f t="shared" si="35"/>
        <v>850</v>
      </c>
      <c r="G75" s="54">
        <f t="shared" si="35"/>
        <v>0</v>
      </c>
      <c r="H75" s="54">
        <f t="shared" si="35"/>
        <v>0</v>
      </c>
      <c r="I75" s="54">
        <f t="shared" si="35"/>
        <v>3142</v>
      </c>
      <c r="J75" s="54"/>
      <c r="K75" s="54">
        <f t="shared" ref="K75:R75" si="36">SUM(K73:K74)</f>
        <v>15</v>
      </c>
      <c r="L75" s="54">
        <f t="shared" si="36"/>
        <v>11</v>
      </c>
      <c r="M75" s="54">
        <f t="shared" si="36"/>
        <v>0</v>
      </c>
      <c r="N75" s="54">
        <f t="shared" si="36"/>
        <v>1</v>
      </c>
      <c r="O75" s="54">
        <f t="shared" si="36"/>
        <v>0</v>
      </c>
      <c r="P75" s="54">
        <f t="shared" si="36"/>
        <v>0</v>
      </c>
      <c r="Q75" s="54">
        <f t="shared" si="36"/>
        <v>0</v>
      </c>
      <c r="R75" s="54">
        <f t="shared" si="36"/>
        <v>3</v>
      </c>
      <c r="T75" s="60">
        <f>SUM(C75/B75)</f>
        <v>0.65026694600256807</v>
      </c>
      <c r="U75" s="60">
        <f>SUM(D75/B75)</f>
        <v>0</v>
      </c>
      <c r="V75" s="60">
        <f>SUM(E75/B75)</f>
        <v>7.9948638237480565E-2</v>
      </c>
      <c r="W75" s="60">
        <f>SUM(F75/B75)</f>
        <v>5.7444076501993645E-2</v>
      </c>
      <c r="X75" s="60">
        <f t="shared" si="9"/>
        <v>0</v>
      </c>
      <c r="Y75" s="60">
        <f>SUM(H75/B75)</f>
        <v>0</v>
      </c>
      <c r="Z75" s="60">
        <f>SUM(I75/B75)</f>
        <v>0.2123403392579577</v>
      </c>
    </row>
    <row r="76" spans="1:26">
      <c r="A76" s="53"/>
      <c r="B76" s="54"/>
      <c r="C76" s="55"/>
      <c r="D76" s="55"/>
      <c r="E76" s="55"/>
      <c r="F76" s="55"/>
      <c r="G76" s="55"/>
      <c r="H76" s="55"/>
      <c r="I76" s="55"/>
      <c r="K76" s="54"/>
      <c r="L76" s="55"/>
      <c r="M76" s="55"/>
      <c r="N76" s="55"/>
      <c r="O76" s="55"/>
      <c r="P76" s="55"/>
      <c r="Q76" s="55"/>
      <c r="R76" s="55"/>
    </row>
    <row r="77" spans="1:26">
      <c r="A77" s="56" t="s">
        <v>282</v>
      </c>
      <c r="B77" s="54">
        <f>SUM(C77:I77)</f>
        <v>8136</v>
      </c>
      <c r="C77" s="55">
        <v>4385</v>
      </c>
      <c r="D77" s="55">
        <v>0</v>
      </c>
      <c r="E77" s="55">
        <v>1614</v>
      </c>
      <c r="F77" s="55">
        <v>932</v>
      </c>
      <c r="G77" s="55">
        <v>1046</v>
      </c>
      <c r="H77" s="55">
        <v>0</v>
      </c>
      <c r="I77" s="55">
        <v>159</v>
      </c>
      <c r="K77" s="54">
        <f>SUM(L77:R77)</f>
        <v>7</v>
      </c>
      <c r="L77" s="55">
        <v>4</v>
      </c>
      <c r="M77" s="55">
        <v>0</v>
      </c>
      <c r="N77" s="55">
        <v>1</v>
      </c>
      <c r="O77" s="55">
        <v>1</v>
      </c>
      <c r="P77" s="55">
        <v>1</v>
      </c>
      <c r="Q77" s="55">
        <v>0</v>
      </c>
      <c r="R77" s="55">
        <v>0</v>
      </c>
      <c r="T77" s="61">
        <f>SUM(C77/B77)</f>
        <v>0.53896263520157328</v>
      </c>
      <c r="U77" s="61">
        <f>SUM(D77/B77)</f>
        <v>0</v>
      </c>
      <c r="V77" s="61">
        <f>SUM(E77/B77)</f>
        <v>0.19837758112094395</v>
      </c>
      <c r="W77" s="61">
        <f>SUM(F77/B77)</f>
        <v>0.11455260570304818</v>
      </c>
      <c r="X77" s="61">
        <f t="shared" si="9"/>
        <v>0.12856440511307768</v>
      </c>
      <c r="Y77" s="61">
        <f>SUM(H77/B77)</f>
        <v>0</v>
      </c>
      <c r="Z77" s="61">
        <f>SUM(I77/B77)</f>
        <v>1.9542772861356934E-2</v>
      </c>
    </row>
    <row r="78" spans="1:26">
      <c r="A78" s="56" t="s">
        <v>283</v>
      </c>
      <c r="B78" s="54">
        <f>SUM(C78:I78)</f>
        <v>7115</v>
      </c>
      <c r="C78" s="55">
        <v>1688</v>
      </c>
      <c r="D78" s="55">
        <v>0</v>
      </c>
      <c r="E78" s="55">
        <v>3232</v>
      </c>
      <c r="F78" s="55">
        <v>1096</v>
      </c>
      <c r="G78" s="55">
        <v>0</v>
      </c>
      <c r="H78" s="55">
        <v>0</v>
      </c>
      <c r="I78" s="55">
        <v>1099</v>
      </c>
      <c r="K78" s="54">
        <f>SUM(L78:R78)</f>
        <v>6</v>
      </c>
      <c r="L78" s="55">
        <v>1</v>
      </c>
      <c r="M78" s="55">
        <v>0</v>
      </c>
      <c r="N78" s="55">
        <v>3</v>
      </c>
      <c r="O78" s="55">
        <v>1</v>
      </c>
      <c r="P78" s="55">
        <v>0</v>
      </c>
      <c r="Q78" s="55">
        <v>0</v>
      </c>
      <c r="R78" s="55">
        <v>1</v>
      </c>
      <c r="T78" s="61">
        <f>SUM(C78/B78)</f>
        <v>0.23724525650035136</v>
      </c>
      <c r="U78" s="61">
        <f>SUM(D78/B78)</f>
        <v>0</v>
      </c>
      <c r="V78" s="61">
        <f>SUM(E78/B78)</f>
        <v>0.45425158116654957</v>
      </c>
      <c r="W78" s="61">
        <f>SUM(F78/B78)</f>
        <v>0.15404075895994379</v>
      </c>
      <c r="X78" s="61">
        <f t="shared" si="9"/>
        <v>0</v>
      </c>
      <c r="Y78" s="61">
        <f>SUM(H78/B78)</f>
        <v>0</v>
      </c>
      <c r="Z78" s="61">
        <f>SUM(I78/B78)</f>
        <v>0.15446240337315531</v>
      </c>
    </row>
    <row r="79" spans="1:26">
      <c r="A79" s="56" t="s">
        <v>284</v>
      </c>
      <c r="B79" s="54">
        <f>SUM(C79:I79)</f>
        <v>7875</v>
      </c>
      <c r="C79" s="55">
        <v>2857</v>
      </c>
      <c r="D79" s="55">
        <v>0</v>
      </c>
      <c r="E79" s="55">
        <v>3255</v>
      </c>
      <c r="F79" s="55">
        <v>819</v>
      </c>
      <c r="G79" s="55">
        <v>0</v>
      </c>
      <c r="H79" s="55">
        <v>563</v>
      </c>
      <c r="I79" s="55">
        <v>381</v>
      </c>
      <c r="K79" s="54">
        <f>SUM(L79:R79)</f>
        <v>7</v>
      </c>
      <c r="L79" s="55">
        <v>3</v>
      </c>
      <c r="M79" s="55">
        <v>0</v>
      </c>
      <c r="N79" s="55">
        <v>4</v>
      </c>
      <c r="O79" s="55">
        <v>0</v>
      </c>
      <c r="P79" s="55">
        <v>0</v>
      </c>
      <c r="Q79" s="55">
        <v>0</v>
      </c>
      <c r="R79" s="55">
        <v>0</v>
      </c>
      <c r="T79" s="61">
        <f>SUM(C79/B79)</f>
        <v>0.36279365079365078</v>
      </c>
      <c r="U79" s="61">
        <f>SUM(D79/B79)</f>
        <v>0</v>
      </c>
      <c r="V79" s="61">
        <f>SUM(E79/B79)</f>
        <v>0.41333333333333333</v>
      </c>
      <c r="W79" s="61">
        <f>SUM(F79/B79)</f>
        <v>0.104</v>
      </c>
      <c r="X79" s="61">
        <f t="shared" ref="X79:X139" si="37">SUM(G79/B79)</f>
        <v>0</v>
      </c>
      <c r="Y79" s="61">
        <f>SUM(H79/B79)</f>
        <v>7.1492063492063496E-2</v>
      </c>
      <c r="Z79" s="61">
        <f>SUM(I79/B79)</f>
        <v>4.8380952380952379E-2</v>
      </c>
    </row>
    <row r="80" spans="1:26" s="52" customFormat="1">
      <c r="A80" s="53" t="s">
        <v>1594</v>
      </c>
      <c r="B80" s="54">
        <f t="shared" ref="B80:I80" si="38">SUM(B77:B79)</f>
        <v>23126</v>
      </c>
      <c r="C80" s="54">
        <f t="shared" si="38"/>
        <v>8930</v>
      </c>
      <c r="D80" s="54">
        <f t="shared" si="38"/>
        <v>0</v>
      </c>
      <c r="E80" s="54">
        <f t="shared" si="38"/>
        <v>8101</v>
      </c>
      <c r="F80" s="54">
        <f t="shared" si="38"/>
        <v>2847</v>
      </c>
      <c r="G80" s="54">
        <f t="shared" si="38"/>
        <v>1046</v>
      </c>
      <c r="H80" s="54">
        <f t="shared" si="38"/>
        <v>563</v>
      </c>
      <c r="I80" s="54">
        <f t="shared" si="38"/>
        <v>1639</v>
      </c>
      <c r="J80" s="54"/>
      <c r="K80" s="54">
        <f t="shared" ref="K80:R80" si="39">SUM(K77:K79)</f>
        <v>20</v>
      </c>
      <c r="L80" s="54">
        <f t="shared" si="39"/>
        <v>8</v>
      </c>
      <c r="M80" s="54">
        <f t="shared" si="39"/>
        <v>0</v>
      </c>
      <c r="N80" s="54">
        <f t="shared" si="39"/>
        <v>8</v>
      </c>
      <c r="O80" s="54">
        <f t="shared" si="39"/>
        <v>2</v>
      </c>
      <c r="P80" s="54">
        <f t="shared" si="39"/>
        <v>1</v>
      </c>
      <c r="Q80" s="54">
        <f t="shared" si="39"/>
        <v>0</v>
      </c>
      <c r="R80" s="54">
        <f t="shared" si="39"/>
        <v>1</v>
      </c>
      <c r="T80" s="60">
        <f>SUM(C80/B80)</f>
        <v>0.38614546397993599</v>
      </c>
      <c r="U80" s="60">
        <f>SUM(D80/B80)</f>
        <v>0</v>
      </c>
      <c r="V80" s="60">
        <f>SUM(E80/B80)</f>
        <v>0.3502983654760875</v>
      </c>
      <c r="W80" s="60">
        <f>SUM(F80/B80)</f>
        <v>0.12310818991611173</v>
      </c>
      <c r="X80" s="60">
        <f t="shared" si="37"/>
        <v>4.5230476519934275E-2</v>
      </c>
      <c r="Y80" s="60">
        <f>SUM(H80/B80)</f>
        <v>2.4344893193807834E-2</v>
      </c>
      <c r="Z80" s="60">
        <f>SUM(I80/B80)</f>
        <v>7.0872610914122627E-2</v>
      </c>
    </row>
    <row r="81" spans="1:26">
      <c r="A81" s="53"/>
      <c r="B81" s="54"/>
      <c r="C81" s="55"/>
      <c r="D81" s="55"/>
      <c r="E81" s="55"/>
      <c r="F81" s="55"/>
      <c r="G81" s="55"/>
      <c r="H81" s="55"/>
      <c r="I81" s="55"/>
      <c r="K81" s="54"/>
      <c r="L81" s="55"/>
      <c r="M81" s="55"/>
      <c r="N81" s="55"/>
      <c r="O81" s="55"/>
      <c r="P81" s="55"/>
      <c r="Q81" s="55"/>
      <c r="R81" s="55"/>
    </row>
    <row r="82" spans="1:26">
      <c r="A82" s="56" t="s">
        <v>285</v>
      </c>
      <c r="B82" s="54">
        <f>SUM(C82:I82)</f>
        <v>4649</v>
      </c>
      <c r="C82" s="55">
        <v>2452</v>
      </c>
      <c r="D82" s="55">
        <v>769</v>
      </c>
      <c r="E82" s="55">
        <v>829</v>
      </c>
      <c r="F82" s="55">
        <v>395</v>
      </c>
      <c r="G82" s="55">
        <v>204</v>
      </c>
      <c r="H82" s="55">
        <v>0</v>
      </c>
      <c r="I82" s="55">
        <v>0</v>
      </c>
      <c r="K82" s="54">
        <f>SUM(L82:R82)</f>
        <v>4</v>
      </c>
      <c r="L82" s="55">
        <v>3</v>
      </c>
      <c r="M82" s="55">
        <v>0</v>
      </c>
      <c r="N82" s="55">
        <v>1</v>
      </c>
      <c r="O82" s="55">
        <v>0</v>
      </c>
      <c r="P82" s="55">
        <v>0</v>
      </c>
      <c r="Q82" s="55">
        <v>0</v>
      </c>
      <c r="R82" s="55">
        <v>0</v>
      </c>
      <c r="T82" s="61">
        <f t="shared" ref="T82:T87" si="40">SUM(C82/B82)</f>
        <v>0.52742525274252527</v>
      </c>
      <c r="U82" s="61">
        <f t="shared" ref="U82:U87" si="41">SUM(D82/B82)</f>
        <v>0.16541191654119167</v>
      </c>
      <c r="V82" s="61">
        <f t="shared" ref="V82:V87" si="42">SUM(E82/B82)</f>
        <v>0.17831791783179179</v>
      </c>
      <c r="W82" s="61">
        <f t="shared" ref="W82:W87" si="43">SUM(F82/B82)</f>
        <v>8.4964508496450847E-2</v>
      </c>
      <c r="X82" s="61">
        <f t="shared" si="37"/>
        <v>4.3880404388040438E-2</v>
      </c>
      <c r="Y82" s="61">
        <f t="shared" ref="Y82:Y87" si="44">SUM(H82/B82)</f>
        <v>0</v>
      </c>
      <c r="Z82" s="61">
        <f t="shared" ref="Z82:Z87" si="45">SUM(I82/B82)</f>
        <v>0</v>
      </c>
    </row>
    <row r="83" spans="1:26">
      <c r="A83" s="56" t="s">
        <v>286</v>
      </c>
      <c r="B83" s="54">
        <f>SUM(C83:I83)</f>
        <v>5595</v>
      </c>
      <c r="C83" s="55">
        <v>3196</v>
      </c>
      <c r="D83" s="55">
        <v>1089</v>
      </c>
      <c r="E83" s="55">
        <v>0</v>
      </c>
      <c r="F83" s="55">
        <v>749</v>
      </c>
      <c r="G83" s="55">
        <v>561</v>
      </c>
      <c r="H83" s="55">
        <v>0</v>
      </c>
      <c r="I83" s="55">
        <v>0</v>
      </c>
      <c r="K83" s="54">
        <f>SUM(L83:R83)</f>
        <v>5</v>
      </c>
      <c r="L83" s="55">
        <v>4</v>
      </c>
      <c r="M83" s="55">
        <v>1</v>
      </c>
      <c r="N83" s="55">
        <v>0</v>
      </c>
      <c r="O83" s="55">
        <v>0</v>
      </c>
      <c r="P83" s="55">
        <v>0</v>
      </c>
      <c r="Q83" s="55">
        <v>0</v>
      </c>
      <c r="R83" s="55">
        <v>0</v>
      </c>
      <c r="T83" s="61">
        <f t="shared" si="40"/>
        <v>0.57122430741733687</v>
      </c>
      <c r="U83" s="61">
        <f t="shared" si="41"/>
        <v>0.19463806970509384</v>
      </c>
      <c r="V83" s="61">
        <f t="shared" si="42"/>
        <v>0</v>
      </c>
      <c r="W83" s="61">
        <f t="shared" si="43"/>
        <v>0.13386952636282395</v>
      </c>
      <c r="X83" s="61">
        <f t="shared" si="37"/>
        <v>0.1002680965147453</v>
      </c>
      <c r="Y83" s="61">
        <f t="shared" si="44"/>
        <v>0</v>
      </c>
      <c r="Z83" s="61">
        <f t="shared" si="45"/>
        <v>0</v>
      </c>
    </row>
    <row r="84" spans="1:26">
      <c r="A84" s="56" t="s">
        <v>287</v>
      </c>
      <c r="B84" s="54">
        <f>SUM(C84:I84)</f>
        <v>7391</v>
      </c>
      <c r="C84" s="55">
        <v>2831</v>
      </c>
      <c r="D84" s="55">
        <v>1511</v>
      </c>
      <c r="E84" s="55">
        <v>457</v>
      </c>
      <c r="F84" s="55">
        <v>955</v>
      </c>
      <c r="G84" s="55">
        <v>978</v>
      </c>
      <c r="H84" s="55">
        <v>0</v>
      </c>
      <c r="I84" s="55">
        <v>659</v>
      </c>
      <c r="K84" s="54">
        <f>SUM(L84:R84)</f>
        <v>5</v>
      </c>
      <c r="L84" s="55">
        <v>2</v>
      </c>
      <c r="M84" s="55">
        <v>1</v>
      </c>
      <c r="N84" s="55">
        <v>0</v>
      </c>
      <c r="O84" s="55">
        <v>1</v>
      </c>
      <c r="P84" s="55">
        <v>1</v>
      </c>
      <c r="Q84" s="55">
        <v>0</v>
      </c>
      <c r="R84" s="55">
        <v>0</v>
      </c>
      <c r="T84" s="61">
        <f t="shared" si="40"/>
        <v>0.38303341902313626</v>
      </c>
      <c r="U84" s="61">
        <f t="shared" si="41"/>
        <v>0.20443782979299147</v>
      </c>
      <c r="V84" s="61">
        <f t="shared" si="42"/>
        <v>6.183195778649709E-2</v>
      </c>
      <c r="W84" s="61">
        <f t="shared" si="43"/>
        <v>0.12921120281423354</v>
      </c>
      <c r="X84" s="61">
        <f t="shared" si="37"/>
        <v>0.13232309565688</v>
      </c>
      <c r="Y84" s="61">
        <f t="shared" si="44"/>
        <v>0</v>
      </c>
      <c r="Z84" s="61">
        <f t="shared" si="45"/>
        <v>8.9162494926261673E-2</v>
      </c>
    </row>
    <row r="85" spans="1:26">
      <c r="A85" s="56" t="s">
        <v>288</v>
      </c>
      <c r="B85" s="54">
        <f>SUM(C85:I85)</f>
        <v>8651</v>
      </c>
      <c r="C85" s="55">
        <v>4406</v>
      </c>
      <c r="D85" s="55">
        <v>922</v>
      </c>
      <c r="E85" s="55">
        <v>435</v>
      </c>
      <c r="F85" s="55">
        <v>2145</v>
      </c>
      <c r="G85" s="55">
        <v>627</v>
      </c>
      <c r="H85" s="55">
        <v>0</v>
      </c>
      <c r="I85" s="55">
        <v>116</v>
      </c>
      <c r="K85" s="54">
        <f>SUM(L85:R85)</f>
        <v>5</v>
      </c>
      <c r="L85" s="55">
        <v>3</v>
      </c>
      <c r="M85" s="55">
        <v>1</v>
      </c>
      <c r="N85" s="55">
        <v>0</v>
      </c>
      <c r="O85" s="55">
        <v>1</v>
      </c>
      <c r="P85" s="55">
        <v>0</v>
      </c>
      <c r="Q85" s="55">
        <v>0</v>
      </c>
      <c r="R85" s="55">
        <v>0</v>
      </c>
      <c r="T85" s="61">
        <f t="shared" si="40"/>
        <v>0.50930528262628594</v>
      </c>
      <c r="U85" s="61">
        <f t="shared" si="41"/>
        <v>0.10657727430354873</v>
      </c>
      <c r="V85" s="61">
        <f t="shared" si="42"/>
        <v>5.0283204253843486E-2</v>
      </c>
      <c r="W85" s="61">
        <f t="shared" si="43"/>
        <v>0.24794821407929718</v>
      </c>
      <c r="X85" s="61">
        <f t="shared" si="37"/>
        <v>7.2477170269333022E-2</v>
      </c>
      <c r="Y85" s="61">
        <f t="shared" si="44"/>
        <v>0</v>
      </c>
      <c r="Z85" s="61">
        <f t="shared" si="45"/>
        <v>1.3408854467691597E-2</v>
      </c>
    </row>
    <row r="86" spans="1:26">
      <c r="A86" s="56" t="s">
        <v>289</v>
      </c>
      <c r="B86" s="54">
        <f>SUM(C86:I86)</f>
        <v>6376</v>
      </c>
      <c r="C86" s="55">
        <v>3094</v>
      </c>
      <c r="D86" s="55">
        <v>1191</v>
      </c>
      <c r="E86" s="55">
        <v>0</v>
      </c>
      <c r="F86" s="55">
        <v>1672</v>
      </c>
      <c r="G86" s="55">
        <v>0</v>
      </c>
      <c r="H86" s="55">
        <v>0</v>
      </c>
      <c r="I86" s="55">
        <v>419</v>
      </c>
      <c r="K86" s="54">
        <f>SUM(L86:R86)</f>
        <v>4</v>
      </c>
      <c r="L86" s="55">
        <v>2</v>
      </c>
      <c r="M86" s="55">
        <v>1</v>
      </c>
      <c r="N86" s="55">
        <v>0</v>
      </c>
      <c r="O86" s="55">
        <v>1</v>
      </c>
      <c r="P86" s="55">
        <v>0</v>
      </c>
      <c r="Q86" s="55">
        <v>0</v>
      </c>
      <c r="R86" s="55">
        <v>0</v>
      </c>
      <c r="T86" s="61">
        <f t="shared" si="40"/>
        <v>0.48525721455457965</v>
      </c>
      <c r="U86" s="61">
        <f t="shared" si="41"/>
        <v>0.18679422835633627</v>
      </c>
      <c r="V86" s="61">
        <f t="shared" si="42"/>
        <v>0</v>
      </c>
      <c r="W86" s="61">
        <f t="shared" si="43"/>
        <v>0.26223337515683814</v>
      </c>
      <c r="X86" s="61">
        <f t="shared" si="37"/>
        <v>0</v>
      </c>
      <c r="Y86" s="61">
        <f t="shared" si="44"/>
        <v>0</v>
      </c>
      <c r="Z86" s="61">
        <f t="shared" si="45"/>
        <v>6.5715181932245917E-2</v>
      </c>
    </row>
    <row r="87" spans="1:26" s="52" customFormat="1">
      <c r="A87" s="53" t="s">
        <v>1600</v>
      </c>
      <c r="B87" s="54">
        <f>SUM(B82:B86)</f>
        <v>32662</v>
      </c>
      <c r="C87" s="54">
        <f t="shared" ref="C87:N87" si="46">SUM(C82:C86)</f>
        <v>15979</v>
      </c>
      <c r="D87" s="54">
        <f>SUM(D82:D86)</f>
        <v>5482</v>
      </c>
      <c r="E87" s="54">
        <f t="shared" si="46"/>
        <v>1721</v>
      </c>
      <c r="F87" s="54">
        <f>SUM(F82:F86)</f>
        <v>5916</v>
      </c>
      <c r="G87" s="54">
        <f>SUM(G82:G86)</f>
        <v>2370</v>
      </c>
      <c r="H87" s="54">
        <f>SUM(H82:H86)</f>
        <v>0</v>
      </c>
      <c r="I87" s="54">
        <f>SUM(I82:I86)</f>
        <v>1194</v>
      </c>
      <c r="J87" s="54"/>
      <c r="K87" s="54">
        <f t="shared" si="46"/>
        <v>23</v>
      </c>
      <c r="L87" s="54">
        <f t="shared" si="46"/>
        <v>14</v>
      </c>
      <c r="M87" s="54">
        <f t="shared" si="46"/>
        <v>4</v>
      </c>
      <c r="N87" s="54">
        <f t="shared" si="46"/>
        <v>1</v>
      </c>
      <c r="O87" s="54">
        <f>SUM(O82:O86)</f>
        <v>3</v>
      </c>
      <c r="P87" s="54">
        <f>SUM(P82:P86)</f>
        <v>1</v>
      </c>
      <c r="Q87" s="54">
        <f>SUM(Q82:Q86)</f>
        <v>0</v>
      </c>
      <c r="R87" s="54">
        <f>SUM(R82:R86)</f>
        <v>0</v>
      </c>
      <c r="T87" s="60">
        <f t="shared" si="40"/>
        <v>0.48922295021737799</v>
      </c>
      <c r="U87" s="60">
        <f t="shared" si="41"/>
        <v>0.16784030371685751</v>
      </c>
      <c r="V87" s="60">
        <f t="shared" si="42"/>
        <v>5.269120078378544E-2</v>
      </c>
      <c r="W87" s="60">
        <f t="shared" si="43"/>
        <v>0.18112791623293123</v>
      </c>
      <c r="X87" s="60">
        <f t="shared" si="37"/>
        <v>7.2561386320494761E-2</v>
      </c>
      <c r="Y87" s="60">
        <f t="shared" si="44"/>
        <v>0</v>
      </c>
      <c r="Z87" s="60">
        <f t="shared" si="45"/>
        <v>3.6556242728553061E-2</v>
      </c>
    </row>
    <row r="88" spans="1:26">
      <c r="A88" s="53"/>
      <c r="B88" s="54"/>
      <c r="C88" s="55"/>
      <c r="D88" s="55"/>
      <c r="E88" s="55"/>
      <c r="F88" s="55"/>
      <c r="G88" s="55"/>
      <c r="H88" s="55"/>
      <c r="I88" s="55"/>
      <c r="K88" s="54"/>
      <c r="L88" s="55"/>
      <c r="M88" s="55"/>
      <c r="N88" s="55"/>
      <c r="O88" s="55"/>
      <c r="P88" s="55"/>
      <c r="Q88" s="55"/>
      <c r="R88" s="55"/>
    </row>
    <row r="89" spans="1:26">
      <c r="A89" s="56" t="s">
        <v>310</v>
      </c>
      <c r="B89" s="54">
        <f>SUM(C89:I89)</f>
        <v>7500</v>
      </c>
      <c r="C89" s="55">
        <v>5057</v>
      </c>
      <c r="D89" s="55">
        <v>0</v>
      </c>
      <c r="E89" s="55">
        <v>1101</v>
      </c>
      <c r="F89" s="55">
        <v>809</v>
      </c>
      <c r="G89" s="55">
        <v>478</v>
      </c>
      <c r="H89" s="55">
        <v>0</v>
      </c>
      <c r="I89" s="55">
        <v>55</v>
      </c>
      <c r="K89" s="54">
        <f>SUM(L89:R89)</f>
        <v>7</v>
      </c>
      <c r="L89" s="55">
        <v>6</v>
      </c>
      <c r="M89" s="55">
        <v>0</v>
      </c>
      <c r="N89" s="55">
        <v>1</v>
      </c>
      <c r="O89" s="55">
        <v>0</v>
      </c>
      <c r="P89" s="55">
        <v>0</v>
      </c>
      <c r="Q89" s="55">
        <v>0</v>
      </c>
      <c r="R89" s="55">
        <v>0</v>
      </c>
      <c r="T89" s="61">
        <f>SUM(C89/B89)</f>
        <v>0.67426666666666668</v>
      </c>
      <c r="U89" s="61">
        <f>SUM(D89/B89)</f>
        <v>0</v>
      </c>
      <c r="V89" s="61">
        <f>SUM(E89/B89)</f>
        <v>0.14680000000000001</v>
      </c>
      <c r="W89" s="61">
        <f>SUM(F89/B89)</f>
        <v>0.10786666666666667</v>
      </c>
      <c r="X89" s="61">
        <f t="shared" si="37"/>
        <v>6.3733333333333336E-2</v>
      </c>
      <c r="Y89" s="61">
        <f>SUM(H89/B89)</f>
        <v>0</v>
      </c>
      <c r="Z89" s="61">
        <f>SUM(I89/B89)</f>
        <v>7.3333333333333332E-3</v>
      </c>
    </row>
    <row r="90" spans="1:26">
      <c r="A90" s="56" t="s">
        <v>311</v>
      </c>
      <c r="B90" s="54">
        <f>SUM(C90:I90)</f>
        <v>8090</v>
      </c>
      <c r="C90" s="55">
        <v>3930</v>
      </c>
      <c r="D90" s="55">
        <v>513</v>
      </c>
      <c r="E90" s="55">
        <v>79</v>
      </c>
      <c r="F90" s="55">
        <v>1247</v>
      </c>
      <c r="G90" s="55">
        <v>1095</v>
      </c>
      <c r="H90" s="55">
        <v>0</v>
      </c>
      <c r="I90" s="55">
        <v>1226</v>
      </c>
      <c r="K90" s="54">
        <f>SUM(L90:R90)</f>
        <v>6</v>
      </c>
      <c r="L90" s="55">
        <v>3</v>
      </c>
      <c r="M90" s="55">
        <v>0</v>
      </c>
      <c r="N90" s="55">
        <v>0</v>
      </c>
      <c r="O90" s="55">
        <v>1</v>
      </c>
      <c r="P90" s="55">
        <v>1</v>
      </c>
      <c r="Q90" s="55">
        <v>0</v>
      </c>
      <c r="R90" s="55">
        <v>1</v>
      </c>
      <c r="T90" s="61">
        <f>SUM(C90/B90)</f>
        <v>0.4857849196538937</v>
      </c>
      <c r="U90" s="61">
        <f>SUM(D90/B90)</f>
        <v>6.3411619283065518E-2</v>
      </c>
      <c r="V90" s="61">
        <f>SUM(E90/B90)</f>
        <v>9.765142150803461E-3</v>
      </c>
      <c r="W90" s="61">
        <f>SUM(F90/B90)</f>
        <v>0.15414091470951793</v>
      </c>
      <c r="X90" s="61">
        <f t="shared" si="37"/>
        <v>0.13535228677379482</v>
      </c>
      <c r="Y90" s="61">
        <f>SUM(H90/B90)</f>
        <v>0</v>
      </c>
      <c r="Z90" s="61">
        <f>SUM(I90/B90)</f>
        <v>0.1515451174289246</v>
      </c>
    </row>
    <row r="91" spans="1:26">
      <c r="A91" s="56" t="s">
        <v>312</v>
      </c>
      <c r="B91" s="54">
        <f>SUM(C91:I91)</f>
        <v>5516</v>
      </c>
      <c r="C91" s="55">
        <v>2512</v>
      </c>
      <c r="D91" s="55">
        <v>0</v>
      </c>
      <c r="E91" s="55">
        <v>0</v>
      </c>
      <c r="F91" s="55">
        <v>1077</v>
      </c>
      <c r="G91" s="55">
        <v>1032</v>
      </c>
      <c r="H91" s="55">
        <v>0</v>
      </c>
      <c r="I91" s="55">
        <v>895</v>
      </c>
      <c r="K91" s="54">
        <f>SUM(L91:R91)</f>
        <v>4</v>
      </c>
      <c r="L91" s="55">
        <v>2</v>
      </c>
      <c r="M91" s="55">
        <v>0</v>
      </c>
      <c r="N91" s="55">
        <v>0</v>
      </c>
      <c r="O91" s="55">
        <v>1</v>
      </c>
      <c r="P91" s="55">
        <v>0</v>
      </c>
      <c r="Q91" s="55">
        <v>0</v>
      </c>
      <c r="R91" s="55">
        <v>1</v>
      </c>
      <c r="T91" s="61">
        <f>SUM(C91/B91)</f>
        <v>0.45540246555474984</v>
      </c>
      <c r="U91" s="61">
        <f>SUM(D91/B91)</f>
        <v>0</v>
      </c>
      <c r="V91" s="61">
        <f>SUM(E91/B91)</f>
        <v>0</v>
      </c>
      <c r="W91" s="61">
        <f>SUM(F91/B91)</f>
        <v>0.19525018129079041</v>
      </c>
      <c r="X91" s="61">
        <f t="shared" si="37"/>
        <v>0.18709209572153734</v>
      </c>
      <c r="Y91" s="61">
        <f>SUM(H91/B91)</f>
        <v>0</v>
      </c>
      <c r="Z91" s="61">
        <f>SUM(I91/B91)</f>
        <v>0.16225525743292241</v>
      </c>
    </row>
    <row r="92" spans="1:26" s="52" customFormat="1">
      <c r="A92" s="53" t="s">
        <v>1605</v>
      </c>
      <c r="B92" s="54">
        <f t="shared" ref="B92:I92" si="47">SUM(B89:B91)</f>
        <v>21106</v>
      </c>
      <c r="C92" s="54">
        <f t="shared" si="47"/>
        <v>11499</v>
      </c>
      <c r="D92" s="54">
        <f t="shared" si="47"/>
        <v>513</v>
      </c>
      <c r="E92" s="54">
        <f t="shared" si="47"/>
        <v>1180</v>
      </c>
      <c r="F92" s="54">
        <f t="shared" si="47"/>
        <v>3133</v>
      </c>
      <c r="G92" s="54">
        <f t="shared" si="47"/>
        <v>2605</v>
      </c>
      <c r="H92" s="54">
        <f t="shared" si="47"/>
        <v>0</v>
      </c>
      <c r="I92" s="54">
        <f t="shared" si="47"/>
        <v>2176</v>
      </c>
      <c r="J92" s="54"/>
      <c r="K92" s="54">
        <f t="shared" ref="K92:R92" si="48">SUM(K89:K91)</f>
        <v>17</v>
      </c>
      <c r="L92" s="54">
        <f t="shared" si="48"/>
        <v>11</v>
      </c>
      <c r="M92" s="54">
        <f t="shared" si="48"/>
        <v>0</v>
      </c>
      <c r="N92" s="54">
        <f t="shared" si="48"/>
        <v>1</v>
      </c>
      <c r="O92" s="54">
        <f t="shared" si="48"/>
        <v>2</v>
      </c>
      <c r="P92" s="54">
        <f t="shared" si="48"/>
        <v>1</v>
      </c>
      <c r="Q92" s="54">
        <f t="shared" si="48"/>
        <v>0</v>
      </c>
      <c r="R92" s="54">
        <f t="shared" si="48"/>
        <v>2</v>
      </c>
      <c r="T92" s="60">
        <f>SUM(C92/B92)</f>
        <v>0.54482137780725859</v>
      </c>
      <c r="U92" s="60">
        <f>SUM(D92/B92)</f>
        <v>2.4305884582583152E-2</v>
      </c>
      <c r="V92" s="60">
        <f>SUM(E92/B92)</f>
        <v>5.5908272529138631E-2</v>
      </c>
      <c r="W92" s="60">
        <f>SUM(F92/B92)</f>
        <v>0.14844120155406046</v>
      </c>
      <c r="X92" s="60">
        <f t="shared" si="37"/>
        <v>0.12342461859186961</v>
      </c>
      <c r="Y92" s="60">
        <f>SUM(H92/B92)</f>
        <v>0</v>
      </c>
      <c r="Z92" s="60">
        <f>SUM(I92/B92)</f>
        <v>0.10309864493508955</v>
      </c>
    </row>
    <row r="93" spans="1:26">
      <c r="A93" s="53"/>
      <c r="B93" s="54"/>
      <c r="C93" s="55"/>
      <c r="D93" s="55"/>
      <c r="E93" s="55"/>
      <c r="F93" s="55"/>
      <c r="G93" s="55"/>
      <c r="H93" s="55"/>
      <c r="I93" s="55"/>
      <c r="J93" s="55"/>
      <c r="K93" s="54"/>
      <c r="L93" s="55"/>
      <c r="M93" s="55"/>
      <c r="N93" s="55"/>
      <c r="O93" s="55"/>
      <c r="P93" s="55"/>
      <c r="Q93" s="55"/>
      <c r="R93" s="55"/>
    </row>
    <row r="94" spans="1:26">
      <c r="A94" s="56" t="s">
        <v>313</v>
      </c>
      <c r="B94" s="54">
        <f>SUM(C94:I94)</f>
        <v>6871</v>
      </c>
      <c r="C94" s="55">
        <v>3950</v>
      </c>
      <c r="D94" s="55">
        <v>0</v>
      </c>
      <c r="E94" s="55">
        <v>0</v>
      </c>
      <c r="F94" s="55">
        <v>2133</v>
      </c>
      <c r="G94" s="55">
        <v>788</v>
      </c>
      <c r="H94" s="55">
        <v>0</v>
      </c>
      <c r="I94" s="55">
        <v>0</v>
      </c>
      <c r="K94" s="54">
        <f>SUM(L94:R94)</f>
        <v>5</v>
      </c>
      <c r="L94" s="55">
        <v>3</v>
      </c>
      <c r="M94" s="55">
        <v>0</v>
      </c>
      <c r="N94" s="55">
        <v>0</v>
      </c>
      <c r="O94" s="55">
        <v>2</v>
      </c>
      <c r="P94" s="55">
        <v>0</v>
      </c>
      <c r="Q94" s="55">
        <v>0</v>
      </c>
      <c r="R94" s="55">
        <v>0</v>
      </c>
      <c r="T94" s="61">
        <f>SUM(C94/B94)</f>
        <v>0.574879930141173</v>
      </c>
      <c r="U94" s="61">
        <f>SUM(D94/B94)</f>
        <v>0</v>
      </c>
      <c r="V94" s="61">
        <f>SUM(E94/B94)</f>
        <v>0</v>
      </c>
      <c r="W94" s="61">
        <f>SUM(F94/B94)</f>
        <v>0.31043516227623347</v>
      </c>
      <c r="X94" s="61">
        <f t="shared" si="37"/>
        <v>0.1146849075825935</v>
      </c>
      <c r="Y94" s="61">
        <f>SUM(H94/B94)</f>
        <v>0</v>
      </c>
      <c r="Z94" s="61">
        <f>SUM(I94/B94)</f>
        <v>0</v>
      </c>
    </row>
    <row r="95" spans="1:26">
      <c r="A95" s="56" t="s">
        <v>314</v>
      </c>
      <c r="B95" s="54">
        <f>SUM(C95:I95)</f>
        <v>6631</v>
      </c>
      <c r="C95" s="55">
        <v>2951</v>
      </c>
      <c r="D95" s="55">
        <v>0</v>
      </c>
      <c r="E95" s="55">
        <v>0</v>
      </c>
      <c r="F95" s="55">
        <v>1427</v>
      </c>
      <c r="G95" s="55">
        <v>2253</v>
      </c>
      <c r="H95" s="55">
        <v>0</v>
      </c>
      <c r="I95" s="55">
        <v>0</v>
      </c>
      <c r="K95" s="54">
        <f>SUM(L95:R95)</f>
        <v>5</v>
      </c>
      <c r="L95" s="55">
        <v>2</v>
      </c>
      <c r="M95" s="55">
        <v>0</v>
      </c>
      <c r="N95" s="55">
        <v>0</v>
      </c>
      <c r="O95" s="55">
        <v>1</v>
      </c>
      <c r="P95" s="55">
        <v>2</v>
      </c>
      <c r="Q95" s="55">
        <v>0</v>
      </c>
      <c r="R95" s="55">
        <v>0</v>
      </c>
      <c r="T95" s="61">
        <f>SUM(C95/B95)</f>
        <v>0.44503091539737594</v>
      </c>
      <c r="U95" s="61">
        <f>SUM(D95/B95)</f>
        <v>0</v>
      </c>
      <c r="V95" s="61">
        <f>SUM(E95/B95)</f>
        <v>0</v>
      </c>
      <c r="W95" s="61">
        <f>SUM(F95/B95)</f>
        <v>0.21520132709998491</v>
      </c>
      <c r="X95" s="61">
        <f t="shared" si="37"/>
        <v>0.3397677575026391</v>
      </c>
      <c r="Y95" s="61">
        <f>SUM(H95/B95)</f>
        <v>0</v>
      </c>
      <c r="Z95" s="61">
        <f>SUM(I95/B95)</f>
        <v>0</v>
      </c>
    </row>
    <row r="96" spans="1:26">
      <c r="A96" s="56" t="s">
        <v>315</v>
      </c>
      <c r="B96" s="54">
        <f>SUM(C96:I96)</f>
        <v>6184</v>
      </c>
      <c r="C96" s="55">
        <v>2365</v>
      </c>
      <c r="D96" s="55">
        <v>0</v>
      </c>
      <c r="E96" s="55">
        <v>0</v>
      </c>
      <c r="F96" s="55">
        <v>1783</v>
      </c>
      <c r="G96" s="55">
        <v>1239</v>
      </c>
      <c r="H96" s="55">
        <v>0</v>
      </c>
      <c r="I96" s="55">
        <v>797</v>
      </c>
      <c r="K96" s="54">
        <f>SUM(L96:R96)</f>
        <v>5</v>
      </c>
      <c r="L96" s="55">
        <v>2</v>
      </c>
      <c r="M96" s="55">
        <v>0</v>
      </c>
      <c r="N96" s="55">
        <v>0</v>
      </c>
      <c r="O96" s="55">
        <v>2</v>
      </c>
      <c r="P96" s="55">
        <v>1</v>
      </c>
      <c r="Q96" s="55">
        <v>0</v>
      </c>
      <c r="R96" s="55">
        <v>0</v>
      </c>
      <c r="T96" s="61">
        <f>SUM(C96/B96)</f>
        <v>0.38243855109961189</v>
      </c>
      <c r="U96" s="61">
        <f>SUM(D96/B96)</f>
        <v>0</v>
      </c>
      <c r="V96" s="61">
        <f>SUM(E96/B96)</f>
        <v>0</v>
      </c>
      <c r="W96" s="61">
        <f>SUM(F96/B96)</f>
        <v>0.28832470892626133</v>
      </c>
      <c r="X96" s="61">
        <f t="shared" si="37"/>
        <v>0.20035575679172057</v>
      </c>
      <c r="Y96" s="61">
        <f>SUM(H96/B96)</f>
        <v>0</v>
      </c>
      <c r="Z96" s="61">
        <f>SUM(I96/B96)</f>
        <v>0.12888098318240621</v>
      </c>
    </row>
    <row r="97" spans="1:26">
      <c r="A97" s="56" t="s">
        <v>316</v>
      </c>
      <c r="B97" s="54">
        <f>SUM(C97:I97)</f>
        <v>6365</v>
      </c>
      <c r="C97" s="55">
        <v>2711</v>
      </c>
      <c r="D97" s="55">
        <v>0</v>
      </c>
      <c r="E97" s="55">
        <v>0</v>
      </c>
      <c r="F97" s="55">
        <v>2348</v>
      </c>
      <c r="G97" s="55">
        <v>673</v>
      </c>
      <c r="H97" s="55">
        <v>0</v>
      </c>
      <c r="I97" s="55">
        <v>633</v>
      </c>
      <c r="K97" s="54">
        <f>SUM(L97:R97)</f>
        <v>5</v>
      </c>
      <c r="L97" s="55">
        <v>2</v>
      </c>
      <c r="M97" s="55">
        <v>0</v>
      </c>
      <c r="N97" s="55">
        <v>0</v>
      </c>
      <c r="O97" s="55">
        <v>2</v>
      </c>
      <c r="P97" s="55">
        <v>1</v>
      </c>
      <c r="Q97" s="55">
        <v>0</v>
      </c>
      <c r="R97" s="55">
        <v>0</v>
      </c>
      <c r="T97" s="61">
        <f>SUM(C97/B97)</f>
        <v>0.42592301649646502</v>
      </c>
      <c r="U97" s="61">
        <f>SUM(D97/B97)</f>
        <v>0</v>
      </c>
      <c r="V97" s="61">
        <f>SUM(E97/B97)</f>
        <v>0</v>
      </c>
      <c r="W97" s="61">
        <f>SUM(F97/B97)</f>
        <v>0.36889238020424192</v>
      </c>
      <c r="X97" s="61">
        <f t="shared" si="37"/>
        <v>0.10573448546739984</v>
      </c>
      <c r="Y97" s="61">
        <f>SUM(H97/B97)</f>
        <v>0</v>
      </c>
      <c r="Z97" s="61">
        <f>SUM(I97/B97)</f>
        <v>9.945011783189317E-2</v>
      </c>
    </row>
    <row r="98" spans="1:26" s="52" customFormat="1">
      <c r="A98" s="53" t="s">
        <v>1610</v>
      </c>
      <c r="B98" s="54">
        <f>SUM(B94:B97)</f>
        <v>26051</v>
      </c>
      <c r="C98" s="54">
        <f t="shared" ref="C98:N98" si="49">SUM(C94:C97)</f>
        <v>11977</v>
      </c>
      <c r="D98" s="54">
        <f>SUM(D94:D97)</f>
        <v>0</v>
      </c>
      <c r="E98" s="54">
        <f t="shared" si="49"/>
        <v>0</v>
      </c>
      <c r="F98" s="54">
        <f>SUM(F94:F97)</f>
        <v>7691</v>
      </c>
      <c r="G98" s="54">
        <f>SUM(G94:G97)</f>
        <v>4953</v>
      </c>
      <c r="H98" s="54">
        <f>SUM(H94:H97)</f>
        <v>0</v>
      </c>
      <c r="I98" s="54">
        <f>SUM(I94:I97)</f>
        <v>1430</v>
      </c>
      <c r="J98" s="54"/>
      <c r="K98" s="54">
        <f t="shared" si="49"/>
        <v>20</v>
      </c>
      <c r="L98" s="54">
        <f t="shared" si="49"/>
        <v>9</v>
      </c>
      <c r="M98" s="54">
        <f t="shared" si="49"/>
        <v>0</v>
      </c>
      <c r="N98" s="54">
        <f t="shared" si="49"/>
        <v>0</v>
      </c>
      <c r="O98" s="54">
        <f>SUM(O94:O97)</f>
        <v>7</v>
      </c>
      <c r="P98" s="54">
        <f>SUM(P94:P97)</f>
        <v>4</v>
      </c>
      <c r="Q98" s="54">
        <f>SUM(Q94:Q97)</f>
        <v>0</v>
      </c>
      <c r="R98" s="54">
        <f>SUM(R94:R97)</f>
        <v>0</v>
      </c>
      <c r="T98" s="60">
        <f>SUM(C98/B98)</f>
        <v>0.45975202487428507</v>
      </c>
      <c r="U98" s="60">
        <f>SUM(D98/B98)</f>
        <v>0</v>
      </c>
      <c r="V98" s="60">
        <f>SUM(E98/B98)</f>
        <v>0</v>
      </c>
      <c r="W98" s="60">
        <f>SUM(F98/B98)</f>
        <v>0.2952285900733177</v>
      </c>
      <c r="X98" s="60">
        <f t="shared" si="37"/>
        <v>0.19012705846224712</v>
      </c>
      <c r="Y98" s="60">
        <f>SUM(H98/B98)</f>
        <v>0</v>
      </c>
      <c r="Z98" s="60">
        <f>SUM(I98/B98)</f>
        <v>5.4892326590150087E-2</v>
      </c>
    </row>
    <row r="99" spans="1:26">
      <c r="A99" s="53"/>
      <c r="B99" s="54"/>
      <c r="C99" s="55"/>
      <c r="D99" s="55"/>
      <c r="E99" s="55"/>
      <c r="F99" s="55"/>
      <c r="G99" s="55"/>
      <c r="H99" s="55"/>
      <c r="I99" s="55"/>
      <c r="K99" s="54"/>
      <c r="L99" s="55"/>
      <c r="M99" s="55"/>
      <c r="N99" s="55"/>
      <c r="O99" s="55"/>
      <c r="P99" s="55"/>
      <c r="Q99" s="55"/>
      <c r="R99" s="55"/>
    </row>
    <row r="100" spans="1:26">
      <c r="A100" s="56" t="s">
        <v>317</v>
      </c>
      <c r="B100" s="54">
        <f>SUM(C100:I100)</f>
        <v>9035</v>
      </c>
      <c r="C100" s="55">
        <v>5008</v>
      </c>
      <c r="D100" s="55">
        <v>0</v>
      </c>
      <c r="E100" s="55">
        <v>0</v>
      </c>
      <c r="F100" s="55">
        <v>2331</v>
      </c>
      <c r="G100" s="55">
        <v>1305</v>
      </c>
      <c r="H100" s="55">
        <v>0</v>
      </c>
      <c r="I100" s="55">
        <v>391</v>
      </c>
      <c r="K100" s="54">
        <f>SUM(L100:R100)</f>
        <v>6</v>
      </c>
      <c r="L100" s="55">
        <v>3</v>
      </c>
      <c r="M100" s="55">
        <v>0</v>
      </c>
      <c r="N100" s="55">
        <v>0</v>
      </c>
      <c r="O100" s="55">
        <v>2</v>
      </c>
      <c r="P100" s="55">
        <v>1</v>
      </c>
      <c r="Q100" s="55">
        <v>0</v>
      </c>
      <c r="R100" s="55">
        <v>0</v>
      </c>
      <c r="T100" s="61">
        <f>SUM(C100/B100)</f>
        <v>0.55428887659103487</v>
      </c>
      <c r="U100" s="61">
        <f>SUM(D100/B100)</f>
        <v>0</v>
      </c>
      <c r="V100" s="61">
        <f>SUM(E100/B100)</f>
        <v>0</v>
      </c>
      <c r="W100" s="61">
        <f>SUM(F100/B100)</f>
        <v>0.25799667957941341</v>
      </c>
      <c r="X100" s="61">
        <f t="shared" si="37"/>
        <v>0.1444382955174322</v>
      </c>
      <c r="Y100" s="61">
        <f>SUM(H100/B100)</f>
        <v>0</v>
      </c>
      <c r="Z100" s="61">
        <f>SUM(I100/B100)</f>
        <v>4.3276148312119532E-2</v>
      </c>
    </row>
    <row r="101" spans="1:26">
      <c r="A101" s="56" t="s">
        <v>318</v>
      </c>
      <c r="B101" s="54">
        <f>SUM(C101:I101)</f>
        <v>11706</v>
      </c>
      <c r="C101" s="55">
        <v>4824</v>
      </c>
      <c r="D101" s="55">
        <v>0</v>
      </c>
      <c r="E101" s="55">
        <v>0</v>
      </c>
      <c r="F101" s="55">
        <v>2432</v>
      </c>
      <c r="G101" s="55">
        <v>3566</v>
      </c>
      <c r="H101" s="55">
        <v>0</v>
      </c>
      <c r="I101" s="55">
        <v>884</v>
      </c>
      <c r="K101" s="54">
        <f>SUM(L101:R101)</f>
        <v>8</v>
      </c>
      <c r="L101" s="55">
        <v>4</v>
      </c>
      <c r="M101" s="55">
        <v>0</v>
      </c>
      <c r="N101" s="55">
        <v>0</v>
      </c>
      <c r="O101" s="55">
        <v>2</v>
      </c>
      <c r="P101" s="55">
        <v>2</v>
      </c>
      <c r="Q101" s="55">
        <v>0</v>
      </c>
      <c r="R101" s="55">
        <v>0</v>
      </c>
      <c r="T101" s="61">
        <f>SUM(C101/B101)</f>
        <v>0.41209636084059459</v>
      </c>
      <c r="U101" s="61">
        <f>SUM(D101/B101)</f>
        <v>0</v>
      </c>
      <c r="V101" s="61">
        <f>SUM(E101/B101)</f>
        <v>0</v>
      </c>
      <c r="W101" s="61">
        <f>SUM(F101/B101)</f>
        <v>0.20775670596275414</v>
      </c>
      <c r="X101" s="61">
        <f t="shared" si="37"/>
        <v>0.3046301042200581</v>
      </c>
      <c r="Y101" s="61">
        <f>SUM(H101/B101)</f>
        <v>0</v>
      </c>
      <c r="Z101" s="61">
        <f>SUM(I101/B101)</f>
        <v>7.5516828976593203E-2</v>
      </c>
    </row>
    <row r="102" spans="1:26">
      <c r="A102" s="56" t="s">
        <v>319</v>
      </c>
      <c r="B102" s="54">
        <f>SUM(C102:I102)</f>
        <v>7472</v>
      </c>
      <c r="C102" s="55">
        <v>4450</v>
      </c>
      <c r="D102" s="55">
        <v>0</v>
      </c>
      <c r="E102" s="55">
        <v>0</v>
      </c>
      <c r="F102" s="55">
        <v>1485</v>
      </c>
      <c r="G102" s="55">
        <v>0</v>
      </c>
      <c r="H102" s="55">
        <v>0</v>
      </c>
      <c r="I102" s="55">
        <v>1537</v>
      </c>
      <c r="K102" s="54">
        <f>SUM(L102:R102)</f>
        <v>5</v>
      </c>
      <c r="L102" s="55">
        <v>3</v>
      </c>
      <c r="M102" s="55">
        <v>0</v>
      </c>
      <c r="N102" s="55">
        <v>0</v>
      </c>
      <c r="O102" s="55">
        <v>1</v>
      </c>
      <c r="P102" s="55">
        <v>0</v>
      </c>
      <c r="Q102" s="55">
        <v>0</v>
      </c>
      <c r="R102" s="55">
        <v>1</v>
      </c>
      <c r="T102" s="61">
        <f>SUM(C102/B102)</f>
        <v>0.59555674518201285</v>
      </c>
      <c r="U102" s="61">
        <f>SUM(D102/B102)</f>
        <v>0</v>
      </c>
      <c r="V102" s="61">
        <f>SUM(E102/B102)</f>
        <v>0</v>
      </c>
      <c r="W102" s="61">
        <f>SUM(F102/B102)</f>
        <v>0.19874197002141328</v>
      </c>
      <c r="X102" s="61">
        <f t="shared" si="37"/>
        <v>0</v>
      </c>
      <c r="Y102" s="61">
        <f>SUM(H102/B102)</f>
        <v>0</v>
      </c>
      <c r="Z102" s="61">
        <f>SUM(I102/B102)</f>
        <v>0.20570128479657387</v>
      </c>
    </row>
    <row r="103" spans="1:26" s="52" customFormat="1">
      <c r="A103" s="53" t="s">
        <v>1614</v>
      </c>
      <c r="B103" s="54">
        <f t="shared" ref="B103:I103" si="50">SUM(B100:B102)</f>
        <v>28213</v>
      </c>
      <c r="C103" s="54">
        <f t="shared" si="50"/>
        <v>14282</v>
      </c>
      <c r="D103" s="54">
        <f t="shared" si="50"/>
        <v>0</v>
      </c>
      <c r="E103" s="54">
        <f t="shared" si="50"/>
        <v>0</v>
      </c>
      <c r="F103" s="54">
        <f t="shared" si="50"/>
        <v>6248</v>
      </c>
      <c r="G103" s="54">
        <f t="shared" si="50"/>
        <v>4871</v>
      </c>
      <c r="H103" s="54">
        <f t="shared" si="50"/>
        <v>0</v>
      </c>
      <c r="I103" s="54">
        <f t="shared" si="50"/>
        <v>2812</v>
      </c>
      <c r="J103" s="54"/>
      <c r="K103" s="54">
        <f t="shared" ref="K103:R103" si="51">SUM(K100:K102)</f>
        <v>19</v>
      </c>
      <c r="L103" s="54">
        <f t="shared" si="51"/>
        <v>10</v>
      </c>
      <c r="M103" s="54">
        <f t="shared" si="51"/>
        <v>0</v>
      </c>
      <c r="N103" s="54">
        <f t="shared" si="51"/>
        <v>0</v>
      </c>
      <c r="O103" s="54">
        <f t="shared" si="51"/>
        <v>5</v>
      </c>
      <c r="P103" s="54">
        <f t="shared" si="51"/>
        <v>3</v>
      </c>
      <c r="Q103" s="54">
        <f t="shared" si="51"/>
        <v>0</v>
      </c>
      <c r="R103" s="54">
        <f t="shared" si="51"/>
        <v>1</v>
      </c>
      <c r="T103" s="60">
        <f>SUM(C103/B103)</f>
        <v>0.50622053663204902</v>
      </c>
      <c r="U103" s="60">
        <f>SUM(D103/B103)</f>
        <v>0</v>
      </c>
      <c r="V103" s="60">
        <f>SUM(E103/B103)</f>
        <v>0</v>
      </c>
      <c r="W103" s="60">
        <f>SUM(F103/B103)</f>
        <v>0.22145819303158118</v>
      </c>
      <c r="X103" s="60">
        <f t="shared" si="37"/>
        <v>0.17265090561088861</v>
      </c>
      <c r="Y103" s="60">
        <f>SUM(H103/B103)</f>
        <v>0</v>
      </c>
      <c r="Z103" s="60">
        <f>SUM(I103/B103)</f>
        <v>9.9670364725481159E-2</v>
      </c>
    </row>
    <row r="104" spans="1:26">
      <c r="A104" s="53"/>
      <c r="B104" s="54"/>
      <c r="C104" s="55"/>
      <c r="D104" s="55"/>
      <c r="E104" s="55"/>
      <c r="F104" s="55"/>
      <c r="G104" s="55"/>
      <c r="H104" s="55"/>
      <c r="I104" s="55"/>
      <c r="K104" s="54"/>
      <c r="L104" s="55"/>
      <c r="M104" s="55"/>
      <c r="N104" s="55"/>
      <c r="O104" s="55"/>
      <c r="P104" s="55"/>
      <c r="Q104" s="55"/>
      <c r="R104" s="55"/>
    </row>
    <row r="105" spans="1:26">
      <c r="A105" s="56" t="s">
        <v>320</v>
      </c>
      <c r="B105" s="54">
        <f>SUM(C105:I105)</f>
        <v>4621</v>
      </c>
      <c r="C105" s="55">
        <v>1489</v>
      </c>
      <c r="D105" s="55">
        <v>748</v>
      </c>
      <c r="E105" s="55">
        <v>0</v>
      </c>
      <c r="F105" s="55">
        <v>356</v>
      </c>
      <c r="G105" s="55">
        <v>0</v>
      </c>
      <c r="H105" s="55">
        <v>0</v>
      </c>
      <c r="I105" s="55">
        <v>2028</v>
      </c>
      <c r="K105" s="54">
        <f>SUM(L105:R105)</f>
        <v>5</v>
      </c>
      <c r="L105" s="55">
        <v>2</v>
      </c>
      <c r="M105" s="55">
        <v>1</v>
      </c>
      <c r="N105" s="55">
        <v>0</v>
      </c>
      <c r="O105" s="55">
        <v>0</v>
      </c>
      <c r="P105" s="55">
        <v>0</v>
      </c>
      <c r="Q105" s="55">
        <v>0</v>
      </c>
      <c r="R105" s="55">
        <v>2</v>
      </c>
      <c r="T105" s="61">
        <f>SUM(C105/B105)</f>
        <v>0.32222462670417656</v>
      </c>
      <c r="U105" s="61">
        <f>SUM(D105/B105)</f>
        <v>0.16186972516771261</v>
      </c>
      <c r="V105" s="61">
        <f>SUM(E105/B105)</f>
        <v>0</v>
      </c>
      <c r="W105" s="61">
        <f>SUM(F105/B105)</f>
        <v>7.7039601817788364E-2</v>
      </c>
      <c r="X105" s="61">
        <f t="shared" si="37"/>
        <v>0</v>
      </c>
      <c r="Y105" s="61">
        <f>SUM(H105/B105)</f>
        <v>0</v>
      </c>
      <c r="Z105" s="61">
        <f>SUM(I105/B105)</f>
        <v>0.43886604631032244</v>
      </c>
    </row>
    <row r="106" spans="1:26">
      <c r="A106" s="56" t="s">
        <v>321</v>
      </c>
      <c r="B106" s="54">
        <f>SUM(C106:I106)</f>
        <v>4181</v>
      </c>
      <c r="C106" s="55">
        <v>3046</v>
      </c>
      <c r="D106" s="55">
        <v>0</v>
      </c>
      <c r="E106" s="55">
        <v>343</v>
      </c>
      <c r="F106" s="55">
        <v>505</v>
      </c>
      <c r="G106" s="55">
        <v>0</v>
      </c>
      <c r="H106" s="55">
        <v>0</v>
      </c>
      <c r="I106" s="55">
        <v>287</v>
      </c>
      <c r="J106" s="55"/>
      <c r="K106" s="54">
        <f>SUM(L106:R106)</f>
        <v>5</v>
      </c>
      <c r="L106" s="55">
        <v>4</v>
      </c>
      <c r="M106" s="55">
        <v>0</v>
      </c>
      <c r="N106" s="55">
        <v>0</v>
      </c>
      <c r="O106" s="55">
        <v>1</v>
      </c>
      <c r="P106" s="55">
        <v>0</v>
      </c>
      <c r="Q106" s="55">
        <v>0</v>
      </c>
      <c r="R106" s="55">
        <v>0</v>
      </c>
      <c r="T106" s="61">
        <f>SUM(C106/B106)</f>
        <v>0.72853384357809137</v>
      </c>
      <c r="U106" s="61">
        <f>SUM(D106/B106)</f>
        <v>0</v>
      </c>
      <c r="V106" s="61">
        <f>SUM(E106/B106)</f>
        <v>8.2037790002391767E-2</v>
      </c>
      <c r="W106" s="61">
        <f>SUM(F106/B106)</f>
        <v>0.12078450131547476</v>
      </c>
      <c r="X106" s="61">
        <f t="shared" si="37"/>
        <v>0</v>
      </c>
      <c r="Y106" s="61">
        <f>SUM(H106/B106)</f>
        <v>0</v>
      </c>
      <c r="Z106" s="61">
        <f>SUM(I106/B106)</f>
        <v>6.8643865104042093E-2</v>
      </c>
    </row>
    <row r="107" spans="1:26">
      <c r="A107" s="56" t="s">
        <v>322</v>
      </c>
      <c r="B107" s="54">
        <f>SUM(C107:I107)</f>
        <v>5454</v>
      </c>
      <c r="C107" s="55">
        <v>1527</v>
      </c>
      <c r="D107" s="55">
        <v>0</v>
      </c>
      <c r="E107" s="55">
        <v>0</v>
      </c>
      <c r="F107" s="55">
        <v>1430</v>
      </c>
      <c r="G107" s="55">
        <v>1862</v>
      </c>
      <c r="H107" s="55">
        <v>0</v>
      </c>
      <c r="I107" s="55">
        <v>635</v>
      </c>
      <c r="K107" s="54">
        <f>SUM(L107:R107)</f>
        <v>5</v>
      </c>
      <c r="L107" s="55">
        <v>2</v>
      </c>
      <c r="M107" s="55">
        <v>0</v>
      </c>
      <c r="N107" s="55">
        <v>0</v>
      </c>
      <c r="O107" s="55">
        <v>1</v>
      </c>
      <c r="P107" s="55">
        <v>2</v>
      </c>
      <c r="Q107" s="55">
        <v>0</v>
      </c>
      <c r="R107" s="55">
        <v>0</v>
      </c>
      <c r="T107" s="61">
        <f>SUM(C107/B107)</f>
        <v>0.27997799779978</v>
      </c>
      <c r="U107" s="61">
        <f>SUM(D107/B107)</f>
        <v>0</v>
      </c>
      <c r="V107" s="61">
        <f>SUM(E107/B107)</f>
        <v>0</v>
      </c>
      <c r="W107" s="61">
        <f>SUM(F107/B107)</f>
        <v>0.26219288595526219</v>
      </c>
      <c r="X107" s="61">
        <f t="shared" si="37"/>
        <v>0.34140080674734141</v>
      </c>
      <c r="Y107" s="61">
        <f>SUM(H107/B107)</f>
        <v>0</v>
      </c>
      <c r="Z107" s="61">
        <f>SUM(I107/B107)</f>
        <v>0.11642830949761643</v>
      </c>
    </row>
    <row r="108" spans="1:26" s="52" customFormat="1">
      <c r="A108" s="53" t="s">
        <v>1618</v>
      </c>
      <c r="B108" s="54">
        <f>SUM(B105:B107)</f>
        <v>14256</v>
      </c>
      <c r="C108" s="54">
        <f t="shared" ref="C108:N108" si="52">SUM(C105:C107)</f>
        <v>6062</v>
      </c>
      <c r="D108" s="54">
        <f>SUM(D105:D107)</f>
        <v>748</v>
      </c>
      <c r="E108" s="54">
        <f t="shared" si="52"/>
        <v>343</v>
      </c>
      <c r="F108" s="54">
        <f>SUM(F105:F107)</f>
        <v>2291</v>
      </c>
      <c r="G108" s="54">
        <f>SUM(G105:G107)</f>
        <v>1862</v>
      </c>
      <c r="H108" s="54">
        <f>SUM(H105:H107)</f>
        <v>0</v>
      </c>
      <c r="I108" s="54">
        <f>SUM(I105:I107)</f>
        <v>2950</v>
      </c>
      <c r="J108" s="54"/>
      <c r="K108" s="54">
        <f t="shared" si="52"/>
        <v>15</v>
      </c>
      <c r="L108" s="54">
        <f t="shared" si="52"/>
        <v>8</v>
      </c>
      <c r="M108" s="54">
        <f t="shared" si="52"/>
        <v>1</v>
      </c>
      <c r="N108" s="54">
        <f t="shared" si="52"/>
        <v>0</v>
      </c>
      <c r="O108" s="54">
        <f>SUM(O105:O107)</f>
        <v>2</v>
      </c>
      <c r="P108" s="54">
        <f>SUM(P105:P107)</f>
        <v>2</v>
      </c>
      <c r="Q108" s="54">
        <f>SUM(Q105:Q107)</f>
        <v>0</v>
      </c>
      <c r="R108" s="54">
        <f>SUM(R105:R107)</f>
        <v>2</v>
      </c>
      <c r="T108" s="60">
        <f>SUM(C108/B108)</f>
        <v>0.42522446689113358</v>
      </c>
      <c r="U108" s="60">
        <f>SUM(D108/B108)</f>
        <v>5.2469135802469133E-2</v>
      </c>
      <c r="V108" s="60">
        <f>SUM(E108/B108)</f>
        <v>2.4060044893378228E-2</v>
      </c>
      <c r="W108" s="60">
        <f>SUM(F108/B108)</f>
        <v>0.16070426487093153</v>
      </c>
      <c r="X108" s="60">
        <f t="shared" si="37"/>
        <v>0.13061167227833895</v>
      </c>
      <c r="Y108" s="60">
        <f>SUM(H108/B108)</f>
        <v>0</v>
      </c>
      <c r="Z108" s="60">
        <f>SUM(I108/B108)</f>
        <v>0.20693041526374858</v>
      </c>
    </row>
    <row r="109" spans="1:26">
      <c r="A109" s="53"/>
      <c r="B109" s="54"/>
      <c r="C109" s="55"/>
      <c r="D109" s="55"/>
      <c r="E109" s="55"/>
      <c r="F109" s="55"/>
      <c r="G109" s="55"/>
      <c r="H109" s="55"/>
      <c r="I109" s="55"/>
      <c r="K109" s="54"/>
      <c r="L109" s="55"/>
      <c r="M109" s="55"/>
      <c r="N109" s="55"/>
      <c r="O109" s="55"/>
      <c r="P109" s="55"/>
      <c r="Q109" s="55"/>
      <c r="R109" s="55"/>
    </row>
    <row r="110" spans="1:26">
      <c r="A110" s="56" t="s">
        <v>306</v>
      </c>
      <c r="B110" s="54">
        <f>SUM(C110:I110)</f>
        <v>4297</v>
      </c>
      <c r="C110" s="55">
        <v>1947</v>
      </c>
      <c r="D110" s="55">
        <v>586</v>
      </c>
      <c r="E110" s="55">
        <v>0</v>
      </c>
      <c r="F110" s="55">
        <v>97</v>
      </c>
      <c r="G110" s="55">
        <v>0</v>
      </c>
      <c r="H110" s="55">
        <v>0</v>
      </c>
      <c r="I110" s="55">
        <v>1667</v>
      </c>
      <c r="K110" s="54">
        <f>SUM(L110:R110)</f>
        <v>4</v>
      </c>
      <c r="L110" s="55">
        <v>2</v>
      </c>
      <c r="M110" s="55">
        <v>1</v>
      </c>
      <c r="N110" s="55">
        <v>0</v>
      </c>
      <c r="O110" s="55">
        <v>0</v>
      </c>
      <c r="P110" s="55">
        <v>0</v>
      </c>
      <c r="Q110" s="55">
        <v>0</v>
      </c>
      <c r="R110" s="55">
        <v>1</v>
      </c>
      <c r="T110" s="61">
        <f>SUM(C110/B110)</f>
        <v>0.45310681871072844</v>
      </c>
      <c r="U110" s="61">
        <f>SUM(D110/B110)</f>
        <v>0.13637421456830348</v>
      </c>
      <c r="V110" s="61">
        <f>SUM(E110/B110)</f>
        <v>0</v>
      </c>
      <c r="W110" s="61">
        <f>SUM(F110/B110)</f>
        <v>2.257388875959972E-2</v>
      </c>
      <c r="X110" s="61">
        <f t="shared" si="37"/>
        <v>0</v>
      </c>
      <c r="Y110" s="61">
        <f>SUM(H110/B110)</f>
        <v>0</v>
      </c>
      <c r="Z110" s="61">
        <f>SUM(I110/B110)</f>
        <v>0.3879450779613684</v>
      </c>
    </row>
    <row r="111" spans="1:26">
      <c r="A111" s="56" t="s">
        <v>307</v>
      </c>
      <c r="B111" s="54">
        <f>SUM(C111:I111)</f>
        <v>6232</v>
      </c>
      <c r="C111" s="55">
        <v>995</v>
      </c>
      <c r="D111" s="55">
        <v>2439</v>
      </c>
      <c r="E111" s="55">
        <v>0</v>
      </c>
      <c r="F111" s="55">
        <v>330</v>
      </c>
      <c r="G111" s="55">
        <v>0</v>
      </c>
      <c r="H111" s="55">
        <v>0</v>
      </c>
      <c r="I111" s="55">
        <v>2468</v>
      </c>
      <c r="K111" s="54">
        <f>SUM(L111:R111)</f>
        <v>6</v>
      </c>
      <c r="L111" s="55">
        <v>1</v>
      </c>
      <c r="M111" s="55">
        <v>2</v>
      </c>
      <c r="N111" s="55">
        <v>0</v>
      </c>
      <c r="O111" s="55">
        <v>0</v>
      </c>
      <c r="P111" s="55">
        <v>0</v>
      </c>
      <c r="Q111" s="55">
        <v>0</v>
      </c>
      <c r="R111" s="55">
        <v>3</v>
      </c>
      <c r="T111" s="61">
        <f>SUM(C111/B111)</f>
        <v>0.15965982028241335</v>
      </c>
      <c r="U111" s="61">
        <f>SUM(D111/B111)</f>
        <v>0.39136713735558409</v>
      </c>
      <c r="V111" s="61">
        <f>SUM(E111/B111)</f>
        <v>0</v>
      </c>
      <c r="W111" s="61">
        <f>SUM(F111/B111)</f>
        <v>5.2952503209242621E-2</v>
      </c>
      <c r="X111" s="61">
        <f t="shared" si="37"/>
        <v>0</v>
      </c>
      <c r="Y111" s="61">
        <f>SUM(H111/B111)</f>
        <v>0</v>
      </c>
      <c r="Z111" s="61">
        <f>SUM(I111/B111)</f>
        <v>0.39602053915275998</v>
      </c>
    </row>
    <row r="112" spans="1:26">
      <c r="A112" s="56" t="s">
        <v>309</v>
      </c>
      <c r="B112" s="54">
        <f>SUM(C112:I112)</f>
        <v>5662</v>
      </c>
      <c r="C112" s="55">
        <v>2316</v>
      </c>
      <c r="D112" s="55">
        <v>1039</v>
      </c>
      <c r="E112" s="55">
        <v>0</v>
      </c>
      <c r="F112" s="55">
        <v>254</v>
      </c>
      <c r="G112" s="55">
        <v>1276</v>
      </c>
      <c r="H112" s="55">
        <v>0</v>
      </c>
      <c r="I112" s="55">
        <v>777</v>
      </c>
      <c r="K112" s="54">
        <f>SUM(L112:R112)</f>
        <v>5</v>
      </c>
      <c r="L112" s="55">
        <v>3</v>
      </c>
      <c r="M112" s="55">
        <v>1</v>
      </c>
      <c r="N112" s="55">
        <v>0</v>
      </c>
      <c r="O112" s="55">
        <v>0</v>
      </c>
      <c r="P112" s="55">
        <v>1</v>
      </c>
      <c r="Q112" s="55">
        <v>0</v>
      </c>
      <c r="R112" s="55">
        <v>0</v>
      </c>
      <c r="T112" s="61">
        <f>SUM(C112/B112)</f>
        <v>0.40904274108089017</v>
      </c>
      <c r="U112" s="61">
        <f>SUM(D112/B112)</f>
        <v>0.18350406216884493</v>
      </c>
      <c r="V112" s="61">
        <f>SUM(E112/B112)</f>
        <v>0</v>
      </c>
      <c r="W112" s="61">
        <f>SUM(F112/B112)</f>
        <v>4.4860473330978451E-2</v>
      </c>
      <c r="X112" s="61">
        <f t="shared" si="37"/>
        <v>0.22536206287530908</v>
      </c>
      <c r="Y112" s="61">
        <f>SUM(H112/B112)</f>
        <v>0</v>
      </c>
      <c r="Z112" s="61">
        <f>SUM(I112/B112)</f>
        <v>0.1372306605439774</v>
      </c>
    </row>
    <row r="113" spans="1:26">
      <c r="A113" s="56" t="s">
        <v>308</v>
      </c>
      <c r="B113" s="54">
        <f>SUM(C113:I113)</f>
        <v>6753</v>
      </c>
      <c r="C113" s="55">
        <v>3430</v>
      </c>
      <c r="D113" s="55">
        <v>1543</v>
      </c>
      <c r="E113" s="55">
        <v>0</v>
      </c>
      <c r="F113" s="55">
        <v>788</v>
      </c>
      <c r="G113" s="55">
        <v>0</v>
      </c>
      <c r="H113" s="55">
        <v>0</v>
      </c>
      <c r="I113" s="55">
        <v>992</v>
      </c>
      <c r="K113" s="54">
        <f>SUM(L113:R113)</f>
        <v>6</v>
      </c>
      <c r="L113" s="55">
        <v>3</v>
      </c>
      <c r="M113" s="55">
        <v>1</v>
      </c>
      <c r="N113" s="55">
        <v>0</v>
      </c>
      <c r="O113" s="55">
        <v>1</v>
      </c>
      <c r="P113" s="55">
        <v>0</v>
      </c>
      <c r="Q113" s="55">
        <v>0</v>
      </c>
      <c r="R113" s="55">
        <v>1</v>
      </c>
      <c r="T113" s="61">
        <f>SUM(C113/B113)</f>
        <v>0.5079224048571005</v>
      </c>
      <c r="U113" s="61">
        <f>SUM(D113/B113)</f>
        <v>0.22849104101880646</v>
      </c>
      <c r="V113" s="61">
        <f>SUM(E113/B113)</f>
        <v>0</v>
      </c>
      <c r="W113" s="61">
        <f>SUM(F113/B113)</f>
        <v>0.1166888790167333</v>
      </c>
      <c r="X113" s="61">
        <f t="shared" si="37"/>
        <v>0</v>
      </c>
      <c r="Y113" s="61">
        <f>SUM(H113/B113)</f>
        <v>0</v>
      </c>
      <c r="Z113" s="61">
        <f>SUM(I113/B113)</f>
        <v>0.14689767510735968</v>
      </c>
    </row>
    <row r="114" spans="1:26" s="52" customFormat="1">
      <c r="A114" s="53" t="s">
        <v>1623</v>
      </c>
      <c r="B114" s="54">
        <f>SUM(B110:B113)</f>
        <v>22944</v>
      </c>
      <c r="C114" s="54">
        <f t="shared" ref="C114:N114" si="53">SUM(C110:C113)</f>
        <v>8688</v>
      </c>
      <c r="D114" s="54">
        <f>SUM(D110:D113)</f>
        <v>5607</v>
      </c>
      <c r="E114" s="54">
        <f t="shared" si="53"/>
        <v>0</v>
      </c>
      <c r="F114" s="54">
        <f>SUM(F110:F113)</f>
        <v>1469</v>
      </c>
      <c r="G114" s="54">
        <f>SUM(G110:G113)</f>
        <v>1276</v>
      </c>
      <c r="H114" s="54">
        <f>SUM(H110:H113)</f>
        <v>0</v>
      </c>
      <c r="I114" s="54">
        <f>SUM(I110:I113)</f>
        <v>5904</v>
      </c>
      <c r="J114" s="54"/>
      <c r="K114" s="54">
        <f t="shared" si="53"/>
        <v>21</v>
      </c>
      <c r="L114" s="54">
        <f t="shared" si="53"/>
        <v>9</v>
      </c>
      <c r="M114" s="54">
        <f t="shared" si="53"/>
        <v>5</v>
      </c>
      <c r="N114" s="54">
        <f t="shared" si="53"/>
        <v>0</v>
      </c>
      <c r="O114" s="54">
        <f>SUM(O110:O113)</f>
        <v>1</v>
      </c>
      <c r="P114" s="54">
        <f>SUM(P110:P113)</f>
        <v>1</v>
      </c>
      <c r="Q114" s="54">
        <f>SUM(Q110:Q113)</f>
        <v>0</v>
      </c>
      <c r="R114" s="54">
        <f>SUM(R110:R113)</f>
        <v>5</v>
      </c>
      <c r="T114" s="60">
        <f>SUM(C114/B114)</f>
        <v>0.3786610878661088</v>
      </c>
      <c r="U114" s="60">
        <f>SUM(D114/B114)</f>
        <v>0.24437761506276151</v>
      </c>
      <c r="V114" s="60">
        <f>SUM(E114/B114)</f>
        <v>0</v>
      </c>
      <c r="W114" s="60">
        <f>SUM(F114/B114)</f>
        <v>6.402545327754533E-2</v>
      </c>
      <c r="X114" s="60">
        <f t="shared" si="37"/>
        <v>5.5613668061366806E-2</v>
      </c>
      <c r="Y114" s="60">
        <f>SUM(H114/B114)</f>
        <v>0</v>
      </c>
      <c r="Z114" s="60">
        <f>SUM(I114/B114)</f>
        <v>0.25732217573221755</v>
      </c>
    </row>
    <row r="115" spans="1:26">
      <c r="A115" s="53"/>
      <c r="B115" s="54"/>
      <c r="C115" s="55"/>
      <c r="D115" s="55"/>
      <c r="E115" s="55"/>
      <c r="F115" s="55"/>
      <c r="G115" s="55"/>
      <c r="H115" s="55"/>
      <c r="I115" s="55"/>
      <c r="K115" s="54"/>
      <c r="L115" s="55"/>
      <c r="M115" s="55"/>
      <c r="N115" s="55"/>
      <c r="O115" s="55"/>
      <c r="P115" s="55"/>
      <c r="Q115" s="55"/>
      <c r="R115" s="55"/>
    </row>
    <row r="116" spans="1:26">
      <c r="A116" s="56" t="s">
        <v>293</v>
      </c>
      <c r="B116" s="54">
        <f>SUM(C116:I116)</f>
        <v>2005</v>
      </c>
      <c r="C116" s="55">
        <v>342</v>
      </c>
      <c r="D116" s="55">
        <v>687</v>
      </c>
      <c r="E116" s="55">
        <v>0</v>
      </c>
      <c r="F116" s="55">
        <v>0</v>
      </c>
      <c r="G116" s="55">
        <v>0</v>
      </c>
      <c r="H116" s="55">
        <v>0</v>
      </c>
      <c r="I116" s="55">
        <v>976</v>
      </c>
      <c r="K116" s="54">
        <f>SUM(L116:R116)</f>
        <v>4</v>
      </c>
      <c r="L116" s="55">
        <v>1</v>
      </c>
      <c r="M116" s="55">
        <v>1</v>
      </c>
      <c r="N116" s="55">
        <v>0</v>
      </c>
      <c r="O116" s="55">
        <v>0</v>
      </c>
      <c r="P116" s="55">
        <v>0</v>
      </c>
      <c r="Q116" s="55">
        <v>0</v>
      </c>
      <c r="R116" s="55">
        <v>2</v>
      </c>
      <c r="T116" s="61">
        <f>SUM(C116/B116)</f>
        <v>0.17057356608478802</v>
      </c>
      <c r="U116" s="61">
        <f>SUM(D116/B116)</f>
        <v>0.34264339152119699</v>
      </c>
      <c r="V116" s="61">
        <f>SUM(E116/B116)</f>
        <v>0</v>
      </c>
      <c r="W116" s="61">
        <f>SUM(F116/B116)</f>
        <v>0</v>
      </c>
      <c r="X116" s="61">
        <f t="shared" si="37"/>
        <v>0</v>
      </c>
      <c r="Y116" s="61">
        <f>SUM(H116/B116)</f>
        <v>0</v>
      </c>
      <c r="Z116" s="61">
        <f>SUM(I116/B116)</f>
        <v>0.48678304239401499</v>
      </c>
    </row>
    <row r="117" spans="1:26">
      <c r="A117" s="56" t="s">
        <v>294</v>
      </c>
      <c r="B117" s="54">
        <f>SUM(C117:I117)</f>
        <v>4274</v>
      </c>
      <c r="C117" s="55">
        <v>1535</v>
      </c>
      <c r="D117" s="55">
        <v>0</v>
      </c>
      <c r="E117" s="55">
        <v>824</v>
      </c>
      <c r="F117" s="55">
        <v>168</v>
      </c>
      <c r="G117" s="55">
        <v>442</v>
      </c>
      <c r="H117" s="55">
        <v>0</v>
      </c>
      <c r="I117" s="55">
        <v>1305</v>
      </c>
      <c r="K117" s="54">
        <f>SUM(L117:R117)</f>
        <v>8</v>
      </c>
      <c r="L117" s="55">
        <v>3</v>
      </c>
      <c r="M117" s="55">
        <v>0</v>
      </c>
      <c r="N117" s="55">
        <v>2</v>
      </c>
      <c r="O117" s="55">
        <v>0</v>
      </c>
      <c r="P117" s="55">
        <v>1</v>
      </c>
      <c r="Q117" s="55">
        <v>0</v>
      </c>
      <c r="R117" s="55">
        <v>2</v>
      </c>
      <c r="T117" s="61">
        <f>SUM(C117/B117)</f>
        <v>0.35914833879270003</v>
      </c>
      <c r="U117" s="61">
        <f>SUM(D117/B117)</f>
        <v>0</v>
      </c>
      <c r="V117" s="61">
        <f>SUM(E117/B117)</f>
        <v>0.19279363593823118</v>
      </c>
      <c r="W117" s="61">
        <f>SUM(F117/B117)</f>
        <v>3.9307440336920914E-2</v>
      </c>
      <c r="X117" s="61">
        <f t="shared" si="37"/>
        <v>0.10341600374356574</v>
      </c>
      <c r="Y117" s="61">
        <f>SUM(H117/B117)</f>
        <v>0</v>
      </c>
      <c r="Z117" s="61">
        <f>SUM(I117/B117)</f>
        <v>0.30533458118858214</v>
      </c>
    </row>
    <row r="118" spans="1:26">
      <c r="A118" s="56" t="s">
        <v>295</v>
      </c>
      <c r="B118" s="54">
        <f>SUM(C118:I118)</f>
        <v>2536</v>
      </c>
      <c r="C118" s="55">
        <v>271</v>
      </c>
      <c r="D118" s="55">
        <v>0</v>
      </c>
      <c r="E118" s="55">
        <v>0</v>
      </c>
      <c r="F118" s="55">
        <v>511</v>
      </c>
      <c r="G118" s="55">
        <v>400</v>
      </c>
      <c r="H118" s="55">
        <v>0</v>
      </c>
      <c r="I118" s="55">
        <v>1354</v>
      </c>
      <c r="K118" s="54">
        <f>SUM(L118:R118)</f>
        <v>4</v>
      </c>
      <c r="L118" s="55">
        <v>0</v>
      </c>
      <c r="M118" s="55">
        <v>0</v>
      </c>
      <c r="N118" s="55">
        <v>0</v>
      </c>
      <c r="O118" s="55">
        <v>1</v>
      </c>
      <c r="P118" s="55">
        <v>1</v>
      </c>
      <c r="Q118" s="55">
        <v>0</v>
      </c>
      <c r="R118" s="55">
        <v>2</v>
      </c>
      <c r="T118" s="61">
        <f>SUM(C118/B118)</f>
        <v>0.10686119873817035</v>
      </c>
      <c r="U118" s="61">
        <f>SUM(D118/B118)</f>
        <v>0</v>
      </c>
      <c r="V118" s="61">
        <f>SUM(E118/B118)</f>
        <v>0</v>
      </c>
      <c r="W118" s="61">
        <f>SUM(F118/B118)</f>
        <v>0.20149842271293375</v>
      </c>
      <c r="X118" s="61">
        <f t="shared" si="37"/>
        <v>0.15772870662460567</v>
      </c>
      <c r="Y118" s="61">
        <f>SUM(H118/B118)</f>
        <v>0</v>
      </c>
      <c r="Z118" s="61">
        <f>SUM(I118/B118)</f>
        <v>0.53391167192429023</v>
      </c>
    </row>
    <row r="119" spans="1:26" s="52" customFormat="1">
      <c r="A119" s="53" t="s">
        <v>1627</v>
      </c>
      <c r="B119" s="54">
        <f>SUM(B116:B118)</f>
        <v>8815</v>
      </c>
      <c r="C119" s="54">
        <f t="shared" ref="C119:N119" si="54">SUM(C116:C118)</f>
        <v>2148</v>
      </c>
      <c r="D119" s="54">
        <f>SUM(D116:D118)</f>
        <v>687</v>
      </c>
      <c r="E119" s="54">
        <f t="shared" si="54"/>
        <v>824</v>
      </c>
      <c r="F119" s="54">
        <f>SUM(F116:F118)</f>
        <v>679</v>
      </c>
      <c r="G119" s="54">
        <f>SUM(G116:G118)</f>
        <v>842</v>
      </c>
      <c r="H119" s="54">
        <f>SUM(H116:H118)</f>
        <v>0</v>
      </c>
      <c r="I119" s="54">
        <f>SUM(I116:I118)</f>
        <v>3635</v>
      </c>
      <c r="J119" s="54"/>
      <c r="K119" s="54">
        <f t="shared" si="54"/>
        <v>16</v>
      </c>
      <c r="L119" s="54">
        <f t="shared" si="54"/>
        <v>4</v>
      </c>
      <c r="M119" s="54">
        <f t="shared" si="54"/>
        <v>1</v>
      </c>
      <c r="N119" s="54">
        <f t="shared" si="54"/>
        <v>2</v>
      </c>
      <c r="O119" s="54">
        <f>SUM(O116:O118)</f>
        <v>1</v>
      </c>
      <c r="P119" s="54">
        <f>SUM(P116:P118)</f>
        <v>2</v>
      </c>
      <c r="Q119" s="54">
        <f>SUM(Q116:Q118)</f>
        <v>0</v>
      </c>
      <c r="R119" s="54">
        <f>SUM(R116:R118)</f>
        <v>6</v>
      </c>
      <c r="T119" s="60">
        <f>SUM(C119/B119)</f>
        <v>0.24367555303460012</v>
      </c>
      <c r="U119" s="60">
        <f>SUM(D119/B119)</f>
        <v>7.7935337492909817E-2</v>
      </c>
      <c r="V119" s="60">
        <f>SUM(E119/B119)</f>
        <v>9.3477027793533743E-2</v>
      </c>
      <c r="W119" s="60">
        <f>SUM(F119/B119)</f>
        <v>7.7027793533749292E-2</v>
      </c>
      <c r="X119" s="60">
        <f t="shared" si="37"/>
        <v>9.5519001701644929E-2</v>
      </c>
      <c r="Y119" s="60">
        <f>SUM(H119/B119)</f>
        <v>0</v>
      </c>
      <c r="Z119" s="60">
        <f>SUM(I119/B119)</f>
        <v>0.41236528644356213</v>
      </c>
    </row>
    <row r="120" spans="1:26">
      <c r="A120" s="53"/>
      <c r="B120" s="54"/>
      <c r="C120" s="55"/>
      <c r="D120" s="55"/>
      <c r="E120" s="55"/>
      <c r="F120" s="55"/>
      <c r="G120" s="55"/>
      <c r="H120" s="55"/>
      <c r="I120" s="55"/>
      <c r="K120" s="54"/>
      <c r="L120" s="55"/>
      <c r="M120" s="55"/>
      <c r="N120" s="55"/>
      <c r="O120" s="55"/>
      <c r="P120" s="55"/>
      <c r="Q120" s="55"/>
      <c r="R120" s="55"/>
    </row>
    <row r="121" spans="1:26">
      <c r="A121" s="56" t="s">
        <v>290</v>
      </c>
      <c r="B121" s="54">
        <f>SUM(C121:I121)</f>
        <v>2233</v>
      </c>
      <c r="C121" s="55">
        <v>0</v>
      </c>
      <c r="D121" s="55">
        <v>0</v>
      </c>
      <c r="E121" s="55">
        <v>103</v>
      </c>
      <c r="F121" s="55">
        <v>50</v>
      </c>
      <c r="G121" s="55">
        <v>0</v>
      </c>
      <c r="H121" s="55">
        <v>0</v>
      </c>
      <c r="I121" s="55">
        <v>2080</v>
      </c>
      <c r="J121" s="55"/>
      <c r="K121" s="54">
        <f>SUM(L121:R121)</f>
        <v>4</v>
      </c>
      <c r="L121" s="55">
        <v>0</v>
      </c>
      <c r="M121" s="55">
        <v>0</v>
      </c>
      <c r="N121" s="55">
        <v>0</v>
      </c>
      <c r="O121" s="55">
        <v>0</v>
      </c>
      <c r="P121" s="55">
        <v>0</v>
      </c>
      <c r="Q121" s="55">
        <v>0</v>
      </c>
      <c r="R121" s="55">
        <v>4</v>
      </c>
      <c r="T121" s="61">
        <f>SUM(C121/B121)</f>
        <v>0</v>
      </c>
      <c r="U121" s="61">
        <f>SUM(D121/B121)</f>
        <v>0</v>
      </c>
      <c r="V121" s="61">
        <f>SUM(E121/B121)</f>
        <v>4.612628750559785E-2</v>
      </c>
      <c r="W121" s="61">
        <f>SUM(F121/B121)</f>
        <v>2.2391401701746531E-2</v>
      </c>
      <c r="X121" s="61">
        <f t="shared" si="37"/>
        <v>0</v>
      </c>
      <c r="Y121" s="61">
        <f>SUM(H121/B121)</f>
        <v>0</v>
      </c>
      <c r="Z121" s="61">
        <f>SUM(I121/B121)</f>
        <v>0.93148231079265564</v>
      </c>
    </row>
    <row r="122" spans="1:26">
      <c r="A122" s="56" t="s">
        <v>291</v>
      </c>
      <c r="B122" s="54">
        <f>SUM(C122:I122)</f>
        <v>2821</v>
      </c>
      <c r="C122" s="55">
        <v>1007</v>
      </c>
      <c r="D122" s="55">
        <v>0</v>
      </c>
      <c r="E122" s="55">
        <v>0</v>
      </c>
      <c r="F122" s="55">
        <v>129</v>
      </c>
      <c r="G122" s="55">
        <v>357</v>
      </c>
      <c r="H122" s="55">
        <v>0</v>
      </c>
      <c r="I122" s="55">
        <v>1328</v>
      </c>
      <c r="K122" s="54">
        <f>SUM(L122:R122)</f>
        <v>8</v>
      </c>
      <c r="L122" s="55">
        <v>3</v>
      </c>
      <c r="M122" s="55">
        <v>0</v>
      </c>
      <c r="N122" s="55">
        <v>0</v>
      </c>
      <c r="O122" s="55">
        <v>0</v>
      </c>
      <c r="P122" s="55">
        <v>1</v>
      </c>
      <c r="Q122" s="55">
        <v>0</v>
      </c>
      <c r="R122" s="55">
        <v>4</v>
      </c>
      <c r="T122" s="61">
        <f>SUM(C122/B122)</f>
        <v>0.35696561503013113</v>
      </c>
      <c r="U122" s="61">
        <f>SUM(D122/B122)</f>
        <v>0</v>
      </c>
      <c r="V122" s="61">
        <f>SUM(E122/B122)</f>
        <v>0</v>
      </c>
      <c r="W122" s="61">
        <f>SUM(F122/B122)</f>
        <v>4.572846508330379E-2</v>
      </c>
      <c r="X122" s="61">
        <f t="shared" si="37"/>
        <v>0.12655086848635236</v>
      </c>
      <c r="Y122" s="61">
        <f>SUM(H122/B122)</f>
        <v>0</v>
      </c>
      <c r="Z122" s="61">
        <f>SUM(I122/B122)</f>
        <v>0.47075505140021268</v>
      </c>
    </row>
    <row r="123" spans="1:26">
      <c r="A123" s="56" t="s">
        <v>292</v>
      </c>
      <c r="B123" s="54">
        <f>SUM(C123:I123)</f>
        <v>1614</v>
      </c>
      <c r="C123" s="55">
        <v>450</v>
      </c>
      <c r="D123" s="55">
        <v>0</v>
      </c>
      <c r="E123" s="55">
        <v>696</v>
      </c>
      <c r="F123" s="55">
        <v>155</v>
      </c>
      <c r="G123" s="55">
        <v>0</v>
      </c>
      <c r="H123" s="55">
        <v>0</v>
      </c>
      <c r="I123" s="55">
        <v>313</v>
      </c>
      <c r="K123" s="54">
        <f>SUM(L123:R123)</f>
        <v>4</v>
      </c>
      <c r="L123" s="55">
        <v>1</v>
      </c>
      <c r="M123" s="55">
        <v>0</v>
      </c>
      <c r="N123" s="55">
        <v>2</v>
      </c>
      <c r="O123" s="55">
        <v>0</v>
      </c>
      <c r="P123" s="55">
        <v>0</v>
      </c>
      <c r="Q123" s="55">
        <v>0</v>
      </c>
      <c r="R123" s="55">
        <v>1</v>
      </c>
      <c r="T123" s="61">
        <f>SUM(C123/B123)</f>
        <v>0.27881040892193309</v>
      </c>
      <c r="U123" s="61">
        <f>SUM(D123/B123)</f>
        <v>0</v>
      </c>
      <c r="V123" s="61">
        <f>SUM(E123/B123)</f>
        <v>0.43122676579925651</v>
      </c>
      <c r="W123" s="61">
        <f>SUM(F123/B123)</f>
        <v>9.6034696406443618E-2</v>
      </c>
      <c r="X123" s="61">
        <f t="shared" si="37"/>
        <v>0</v>
      </c>
      <c r="Y123" s="61">
        <f>SUM(H123/B123)</f>
        <v>0</v>
      </c>
      <c r="Z123" s="61">
        <f>SUM(I123/B123)</f>
        <v>0.1939281288723668</v>
      </c>
    </row>
    <row r="124" spans="1:26" s="52" customFormat="1">
      <c r="A124" s="53" t="s">
        <v>1631</v>
      </c>
      <c r="B124" s="54">
        <f>SUM(B121:B123)</f>
        <v>6668</v>
      </c>
      <c r="C124" s="54">
        <f t="shared" ref="C124:N124" si="55">SUM(C121:C123)</f>
        <v>1457</v>
      </c>
      <c r="D124" s="54">
        <f>SUM(D121:D123)</f>
        <v>0</v>
      </c>
      <c r="E124" s="54">
        <f t="shared" si="55"/>
        <v>799</v>
      </c>
      <c r="F124" s="54">
        <f>SUM(F121:F123)</f>
        <v>334</v>
      </c>
      <c r="G124" s="54">
        <f>SUM(G121:G123)</f>
        <v>357</v>
      </c>
      <c r="H124" s="54">
        <f>SUM(H121:H123)</f>
        <v>0</v>
      </c>
      <c r="I124" s="54">
        <f>SUM(I121:I123)</f>
        <v>3721</v>
      </c>
      <c r="J124" s="54"/>
      <c r="K124" s="54">
        <f t="shared" si="55"/>
        <v>16</v>
      </c>
      <c r="L124" s="54">
        <f t="shared" si="55"/>
        <v>4</v>
      </c>
      <c r="M124" s="54">
        <f t="shared" si="55"/>
        <v>0</v>
      </c>
      <c r="N124" s="54">
        <f t="shared" si="55"/>
        <v>2</v>
      </c>
      <c r="O124" s="54">
        <f>SUM(O121:O123)</f>
        <v>0</v>
      </c>
      <c r="P124" s="54">
        <f>SUM(P121:P123)</f>
        <v>1</v>
      </c>
      <c r="Q124" s="54">
        <f>SUM(Q121:Q123)</f>
        <v>0</v>
      </c>
      <c r="R124" s="54">
        <f>SUM(R121:R123)</f>
        <v>9</v>
      </c>
      <c r="T124" s="60">
        <f>SUM(C124/B124)</f>
        <v>0.21850629874025196</v>
      </c>
      <c r="U124" s="60">
        <f>SUM(D124/B124)</f>
        <v>0</v>
      </c>
      <c r="V124" s="60">
        <f>SUM(E124/B124)</f>
        <v>0.11982603479304139</v>
      </c>
      <c r="W124" s="60">
        <f>SUM(F124/B124)</f>
        <v>5.0089982003599279E-2</v>
      </c>
      <c r="X124" s="60">
        <f t="shared" si="37"/>
        <v>5.3539292141571687E-2</v>
      </c>
      <c r="Y124" s="60">
        <f>SUM(H124/B124)</f>
        <v>0</v>
      </c>
      <c r="Z124" s="60">
        <f>SUM(I124/B124)</f>
        <v>0.55803839232153574</v>
      </c>
    </row>
    <row r="125" spans="1:26">
      <c r="A125" s="53"/>
      <c r="B125" s="54"/>
      <c r="C125" s="55"/>
      <c r="D125" s="55"/>
      <c r="E125" s="55"/>
      <c r="F125" s="55"/>
      <c r="G125" s="55"/>
      <c r="H125" s="55"/>
      <c r="I125" s="55"/>
      <c r="K125" s="54"/>
      <c r="L125" s="55"/>
      <c r="M125" s="55"/>
      <c r="N125" s="55"/>
      <c r="O125" s="55"/>
      <c r="P125" s="55"/>
      <c r="Q125" s="55"/>
      <c r="R125" s="55"/>
    </row>
    <row r="126" spans="1:26">
      <c r="A126" s="56" t="s">
        <v>296</v>
      </c>
      <c r="B126" s="54">
        <f>SUM(C126:I126)</f>
        <v>3426</v>
      </c>
      <c r="C126" s="55">
        <v>641</v>
      </c>
      <c r="D126" s="55">
        <v>751</v>
      </c>
      <c r="E126" s="55">
        <v>543</v>
      </c>
      <c r="F126" s="55">
        <v>631</v>
      </c>
      <c r="G126" s="55">
        <v>395</v>
      </c>
      <c r="H126" s="55">
        <v>0</v>
      </c>
      <c r="I126" s="55">
        <v>465</v>
      </c>
      <c r="K126" s="54">
        <f>SUM(L126:R126)</f>
        <v>4</v>
      </c>
      <c r="L126" s="55">
        <v>1</v>
      </c>
      <c r="M126" s="55">
        <v>1</v>
      </c>
      <c r="N126" s="55">
        <v>0</v>
      </c>
      <c r="O126" s="55">
        <v>1</v>
      </c>
      <c r="P126" s="55">
        <v>0</v>
      </c>
      <c r="Q126" s="55">
        <v>0</v>
      </c>
      <c r="R126" s="55">
        <v>1</v>
      </c>
      <c r="T126" s="61">
        <f>SUM(C126/B126)</f>
        <v>0.18709865732632808</v>
      </c>
      <c r="U126" s="61">
        <f>SUM(D126/B126)</f>
        <v>0.21920607122008173</v>
      </c>
      <c r="V126" s="61">
        <f>SUM(E126/B126)</f>
        <v>0.15849387040280211</v>
      </c>
      <c r="W126" s="61">
        <f>SUM(F126/B126)</f>
        <v>0.18417980151780503</v>
      </c>
      <c r="X126" s="61">
        <f t="shared" si="37"/>
        <v>0.11529480443666083</v>
      </c>
      <c r="Y126" s="61">
        <f>SUM(H126/B126)</f>
        <v>0</v>
      </c>
      <c r="Z126" s="61">
        <f>SUM(I126/B126)</f>
        <v>0.13572679509632224</v>
      </c>
    </row>
    <row r="127" spans="1:26">
      <c r="A127" s="56" t="s">
        <v>297</v>
      </c>
      <c r="B127" s="54">
        <f>SUM(C127:I127)</f>
        <v>3375</v>
      </c>
      <c r="C127" s="55">
        <v>0</v>
      </c>
      <c r="D127" s="55">
        <v>0</v>
      </c>
      <c r="E127" s="55">
        <v>0</v>
      </c>
      <c r="F127" s="55">
        <v>566</v>
      </c>
      <c r="G127" s="55">
        <v>2249</v>
      </c>
      <c r="H127" s="55">
        <v>0</v>
      </c>
      <c r="I127" s="55">
        <v>560</v>
      </c>
      <c r="K127" s="54">
        <f>SUM(L127:R127)</f>
        <v>4</v>
      </c>
      <c r="L127" s="55">
        <v>0</v>
      </c>
      <c r="M127" s="55">
        <v>0</v>
      </c>
      <c r="N127" s="55">
        <v>0</v>
      </c>
      <c r="O127" s="55">
        <v>0</v>
      </c>
      <c r="P127" s="55">
        <v>3</v>
      </c>
      <c r="Q127" s="55">
        <v>0</v>
      </c>
      <c r="R127" s="55">
        <v>1</v>
      </c>
      <c r="T127" s="61">
        <f>SUM(C127/B127)</f>
        <v>0</v>
      </c>
      <c r="U127" s="61">
        <f>SUM(D127/B127)</f>
        <v>0</v>
      </c>
      <c r="V127" s="61">
        <f>SUM(E127/B127)</f>
        <v>0</v>
      </c>
      <c r="W127" s="61">
        <f>SUM(F127/B127)</f>
        <v>0.16770370370370372</v>
      </c>
      <c r="X127" s="61">
        <f t="shared" si="37"/>
        <v>0.66637037037037039</v>
      </c>
      <c r="Y127" s="61">
        <f>SUM(H127/B127)</f>
        <v>0</v>
      </c>
      <c r="Z127" s="61">
        <f>SUM(I127/B127)</f>
        <v>0.16592592592592592</v>
      </c>
    </row>
    <row r="128" spans="1:26">
      <c r="A128" s="56" t="s">
        <v>298</v>
      </c>
      <c r="B128" s="54">
        <f>SUM(C128:I128)</f>
        <v>6596</v>
      </c>
      <c r="C128" s="55">
        <v>0</v>
      </c>
      <c r="D128" s="55">
        <v>0</v>
      </c>
      <c r="E128" s="55">
        <v>0</v>
      </c>
      <c r="F128" s="55">
        <v>2214</v>
      </c>
      <c r="G128" s="55">
        <v>3411</v>
      </c>
      <c r="H128" s="55">
        <v>0</v>
      </c>
      <c r="I128" s="55">
        <v>971</v>
      </c>
      <c r="K128" s="54">
        <f>SUM(L128:R128)</f>
        <v>7</v>
      </c>
      <c r="L128" s="55">
        <v>0</v>
      </c>
      <c r="M128" s="55">
        <v>0</v>
      </c>
      <c r="N128" s="55">
        <v>0</v>
      </c>
      <c r="O128" s="55">
        <v>2</v>
      </c>
      <c r="P128" s="55">
        <v>4</v>
      </c>
      <c r="Q128" s="55">
        <v>0</v>
      </c>
      <c r="R128" s="55">
        <v>1</v>
      </c>
      <c r="T128" s="61">
        <f>SUM(C128/B128)</f>
        <v>0</v>
      </c>
      <c r="U128" s="61">
        <f>SUM(D128/B128)</f>
        <v>0</v>
      </c>
      <c r="V128" s="61">
        <f>SUM(E128/B128)</f>
        <v>0</v>
      </c>
      <c r="W128" s="61">
        <f>SUM(F128/B128)</f>
        <v>0.33565797453001817</v>
      </c>
      <c r="X128" s="61">
        <f t="shared" si="37"/>
        <v>0.51713159490600369</v>
      </c>
      <c r="Y128" s="61">
        <f>SUM(H128/B128)</f>
        <v>0</v>
      </c>
      <c r="Z128" s="61">
        <f>SUM(I128/B128)</f>
        <v>0.14721043056397817</v>
      </c>
    </row>
    <row r="129" spans="1:26" s="52" customFormat="1">
      <c r="A129" s="53" t="s">
        <v>1635</v>
      </c>
      <c r="B129" s="54">
        <f>SUM(B126:B128)</f>
        <v>13397</v>
      </c>
      <c r="C129" s="54">
        <f t="shared" ref="C129:N129" si="56">SUM(C126:C128)</f>
        <v>641</v>
      </c>
      <c r="D129" s="54">
        <f>SUM(D126:D128)</f>
        <v>751</v>
      </c>
      <c r="E129" s="54">
        <f t="shared" si="56"/>
        <v>543</v>
      </c>
      <c r="F129" s="54">
        <f>SUM(F126:F128)</f>
        <v>3411</v>
      </c>
      <c r="G129" s="54">
        <f>SUM(G126:G128)</f>
        <v>6055</v>
      </c>
      <c r="H129" s="54">
        <f>SUM(H126:H128)</f>
        <v>0</v>
      </c>
      <c r="I129" s="54">
        <f>SUM(I126:I128)</f>
        <v>1996</v>
      </c>
      <c r="J129" s="54"/>
      <c r="K129" s="54">
        <f t="shared" si="56"/>
        <v>15</v>
      </c>
      <c r="L129" s="54">
        <f t="shared" si="56"/>
        <v>1</v>
      </c>
      <c r="M129" s="54">
        <f t="shared" si="56"/>
        <v>1</v>
      </c>
      <c r="N129" s="54">
        <f t="shared" si="56"/>
        <v>0</v>
      </c>
      <c r="O129" s="54">
        <f>SUM(O126:O128)</f>
        <v>3</v>
      </c>
      <c r="P129" s="54">
        <f>SUM(P126:P128)</f>
        <v>7</v>
      </c>
      <c r="Q129" s="54">
        <f>SUM(Q126:Q128)</f>
        <v>0</v>
      </c>
      <c r="R129" s="54">
        <f>SUM(R126:R128)</f>
        <v>3</v>
      </c>
      <c r="T129" s="60">
        <f>SUM(C129/B129)</f>
        <v>4.7846532805852056E-2</v>
      </c>
      <c r="U129" s="60">
        <f>SUM(D129/B129)</f>
        <v>5.6057326267074721E-2</v>
      </c>
      <c r="V129" s="60">
        <f>SUM(E129/B129)</f>
        <v>4.0531462267671868E-2</v>
      </c>
      <c r="W129" s="60">
        <f>SUM(F129/B129)</f>
        <v>0.25460924087482273</v>
      </c>
      <c r="X129" s="60">
        <f t="shared" si="37"/>
        <v>0.4519668582518474</v>
      </c>
      <c r="Y129" s="60">
        <f>SUM(H129/B129)</f>
        <v>0</v>
      </c>
      <c r="Z129" s="60">
        <f>SUM(I129/B129)</f>
        <v>0.1489885795327312</v>
      </c>
    </row>
    <row r="130" spans="1:26">
      <c r="A130" s="53"/>
      <c r="B130" s="54"/>
      <c r="C130" s="55"/>
      <c r="D130" s="55"/>
      <c r="E130" s="55"/>
      <c r="F130" s="55"/>
      <c r="G130" s="55"/>
      <c r="H130" s="55"/>
      <c r="I130" s="55"/>
      <c r="K130" s="54"/>
      <c r="L130" s="55"/>
      <c r="M130" s="55"/>
      <c r="N130" s="55"/>
      <c r="O130" s="55"/>
      <c r="P130" s="55"/>
      <c r="Q130" s="55"/>
      <c r="R130" s="55"/>
    </row>
    <row r="131" spans="1:26">
      <c r="A131" s="56" t="s">
        <v>299</v>
      </c>
      <c r="B131" s="54">
        <f>SUM(C131:I131)</f>
        <v>3873</v>
      </c>
      <c r="C131" s="55">
        <v>1540</v>
      </c>
      <c r="D131" s="55">
        <v>0</v>
      </c>
      <c r="E131" s="55">
        <v>0</v>
      </c>
      <c r="F131" s="55">
        <v>1032</v>
      </c>
      <c r="G131" s="55">
        <v>1175</v>
      </c>
      <c r="H131" s="55">
        <v>0</v>
      </c>
      <c r="I131" s="55">
        <v>126</v>
      </c>
      <c r="K131" s="54">
        <f>SUM(L131:R131)</f>
        <v>5</v>
      </c>
      <c r="L131" s="55">
        <v>2</v>
      </c>
      <c r="M131" s="55">
        <v>0</v>
      </c>
      <c r="N131" s="55">
        <v>0</v>
      </c>
      <c r="O131" s="55">
        <v>1</v>
      </c>
      <c r="P131" s="55">
        <v>2</v>
      </c>
      <c r="Q131" s="55">
        <v>0</v>
      </c>
      <c r="R131" s="55">
        <v>0</v>
      </c>
      <c r="T131" s="61">
        <f>SUM(C131/B131)</f>
        <v>0.39762458042860832</v>
      </c>
      <c r="U131" s="61">
        <f>SUM(D131/B131)</f>
        <v>0</v>
      </c>
      <c r="V131" s="61">
        <f>SUM(E131/B131)</f>
        <v>0</v>
      </c>
      <c r="W131" s="61">
        <f>SUM(F131/B131)</f>
        <v>0.26646010844306739</v>
      </c>
      <c r="X131" s="61">
        <f t="shared" si="37"/>
        <v>0.30338239091143815</v>
      </c>
      <c r="Y131" s="61">
        <f>SUM(H131/B131)</f>
        <v>0</v>
      </c>
      <c r="Z131" s="61">
        <f>SUM(I131/B131)</f>
        <v>3.2532920216886134E-2</v>
      </c>
    </row>
    <row r="132" spans="1:26">
      <c r="A132" s="56" t="s">
        <v>300</v>
      </c>
      <c r="B132" s="54">
        <f>SUM(C132:I132)</f>
        <v>4130</v>
      </c>
      <c r="C132" s="55">
        <v>1035</v>
      </c>
      <c r="D132" s="55">
        <v>0</v>
      </c>
      <c r="E132" s="55">
        <v>0</v>
      </c>
      <c r="F132" s="55">
        <v>1052</v>
      </c>
      <c r="G132" s="55">
        <v>1231</v>
      </c>
      <c r="H132" s="55">
        <v>0</v>
      </c>
      <c r="I132" s="55">
        <v>812</v>
      </c>
      <c r="K132" s="54">
        <f>SUM(L132:R132)</f>
        <v>5</v>
      </c>
      <c r="L132" s="55">
        <v>2</v>
      </c>
      <c r="M132" s="55">
        <v>0</v>
      </c>
      <c r="N132" s="55">
        <v>0</v>
      </c>
      <c r="O132" s="55">
        <v>1</v>
      </c>
      <c r="P132" s="55">
        <v>1</v>
      </c>
      <c r="Q132" s="55">
        <v>0</v>
      </c>
      <c r="R132" s="55">
        <v>1</v>
      </c>
      <c r="T132" s="61">
        <f>SUM(C132/B132)</f>
        <v>0.25060532687651332</v>
      </c>
      <c r="U132" s="61">
        <f>SUM(D132/B132)</f>
        <v>0</v>
      </c>
      <c r="V132" s="61">
        <f>SUM(E132/B132)</f>
        <v>0</v>
      </c>
      <c r="W132" s="61">
        <f>SUM(F132/B132)</f>
        <v>0.25472154963680388</v>
      </c>
      <c r="X132" s="61">
        <f t="shared" si="37"/>
        <v>0.29806295399515736</v>
      </c>
      <c r="Y132" s="61">
        <f>SUM(H132/B132)</f>
        <v>0</v>
      </c>
      <c r="Z132" s="61">
        <f>SUM(I132/B132)</f>
        <v>0.19661016949152543</v>
      </c>
    </row>
    <row r="133" spans="1:26">
      <c r="A133" s="56" t="s">
        <v>301</v>
      </c>
      <c r="B133" s="54">
        <f>SUM(C133:I133)</f>
        <v>4156</v>
      </c>
      <c r="C133" s="55">
        <v>865</v>
      </c>
      <c r="D133" s="55">
        <v>0</v>
      </c>
      <c r="E133" s="55">
        <v>0</v>
      </c>
      <c r="F133" s="55">
        <v>632</v>
      </c>
      <c r="G133" s="55">
        <v>1996</v>
      </c>
      <c r="H133" s="55">
        <v>0</v>
      </c>
      <c r="I133" s="55">
        <v>663</v>
      </c>
      <c r="K133" s="54">
        <f>SUM(L133:R133)</f>
        <v>5</v>
      </c>
      <c r="L133" s="55">
        <v>1</v>
      </c>
      <c r="M133" s="55">
        <v>0</v>
      </c>
      <c r="N133" s="55">
        <v>0</v>
      </c>
      <c r="O133" s="55">
        <v>1</v>
      </c>
      <c r="P133" s="55">
        <v>3</v>
      </c>
      <c r="Q133" s="55">
        <v>0</v>
      </c>
      <c r="R133" s="55">
        <v>0</v>
      </c>
      <c r="T133" s="61">
        <f>SUM(C133/B133)</f>
        <v>0.20813282001924927</v>
      </c>
      <c r="U133" s="61">
        <f>SUM(D133/B133)</f>
        <v>0</v>
      </c>
      <c r="V133" s="61">
        <f>SUM(E133/B133)</f>
        <v>0</v>
      </c>
      <c r="W133" s="61">
        <f>SUM(F133/B133)</f>
        <v>0.15206929740134745</v>
      </c>
      <c r="X133" s="61">
        <f t="shared" si="37"/>
        <v>0.48026948989412899</v>
      </c>
      <c r="Y133" s="61">
        <f>SUM(H133/B133)</f>
        <v>0</v>
      </c>
      <c r="Z133" s="61">
        <f>SUM(I133/B133)</f>
        <v>0.1595283926852743</v>
      </c>
    </row>
    <row r="134" spans="1:26" s="52" customFormat="1">
      <c r="A134" s="53" t="s">
        <v>1639</v>
      </c>
      <c r="B134" s="54">
        <f>SUM(B131:B133)</f>
        <v>12159</v>
      </c>
      <c r="C134" s="54">
        <f t="shared" ref="C134:N134" si="57">SUM(C131:C133)</f>
        <v>3440</v>
      </c>
      <c r="D134" s="54">
        <f>SUM(D131:D133)</f>
        <v>0</v>
      </c>
      <c r="E134" s="54">
        <f t="shared" si="57"/>
        <v>0</v>
      </c>
      <c r="F134" s="54">
        <f>SUM(F131:F133)</f>
        <v>2716</v>
      </c>
      <c r="G134" s="54">
        <f>SUM(G131:G133)</f>
        <v>4402</v>
      </c>
      <c r="H134" s="54">
        <f>SUM(H131:H133)</f>
        <v>0</v>
      </c>
      <c r="I134" s="54">
        <f>SUM(I131:I133)</f>
        <v>1601</v>
      </c>
      <c r="J134" s="54"/>
      <c r="K134" s="54">
        <f t="shared" si="57"/>
        <v>15</v>
      </c>
      <c r="L134" s="54">
        <f t="shared" si="57"/>
        <v>5</v>
      </c>
      <c r="M134" s="54">
        <f t="shared" si="57"/>
        <v>0</v>
      </c>
      <c r="N134" s="54">
        <f t="shared" si="57"/>
        <v>0</v>
      </c>
      <c r="O134" s="54">
        <f>SUM(O131:O133)</f>
        <v>3</v>
      </c>
      <c r="P134" s="54">
        <f>SUM(P131:P133)</f>
        <v>6</v>
      </c>
      <c r="Q134" s="54">
        <f>SUM(Q131:Q133)</f>
        <v>0</v>
      </c>
      <c r="R134" s="54">
        <f>SUM(R131:R133)</f>
        <v>1</v>
      </c>
      <c r="T134" s="60">
        <f>SUM(C134/B134)</f>
        <v>0.282918003125257</v>
      </c>
      <c r="U134" s="60">
        <f>SUM(D134/B134)</f>
        <v>0</v>
      </c>
      <c r="V134" s="60">
        <f>SUM(E134/B134)</f>
        <v>0</v>
      </c>
      <c r="W134" s="60">
        <f>SUM(F134/B134)</f>
        <v>0.22337363270005758</v>
      </c>
      <c r="X134" s="60">
        <f t="shared" si="37"/>
        <v>0.36203635167365739</v>
      </c>
      <c r="Y134" s="60">
        <f>SUM(H134/B134)</f>
        <v>0</v>
      </c>
      <c r="Z134" s="60">
        <f>SUM(I134/B134)</f>
        <v>0.13167201250102806</v>
      </c>
    </row>
    <row r="135" spans="1:26">
      <c r="A135" s="53"/>
      <c r="B135" s="54"/>
      <c r="C135" s="55"/>
      <c r="D135" s="55"/>
      <c r="E135" s="55"/>
      <c r="F135" s="55"/>
      <c r="G135" s="55"/>
      <c r="H135" s="55"/>
      <c r="I135" s="55"/>
      <c r="K135" s="54"/>
      <c r="L135" s="55"/>
      <c r="M135" s="55"/>
      <c r="N135" s="55"/>
      <c r="O135" s="55"/>
      <c r="P135" s="55"/>
      <c r="Q135" s="55"/>
      <c r="R135" s="55"/>
    </row>
    <row r="136" spans="1:26">
      <c r="A136" s="56" t="s">
        <v>302</v>
      </c>
      <c r="B136" s="54">
        <f>SUM(C136:I136)</f>
        <v>5214</v>
      </c>
      <c r="C136" s="55">
        <v>3036</v>
      </c>
      <c r="D136" s="55">
        <v>878</v>
      </c>
      <c r="E136" s="55">
        <v>0</v>
      </c>
      <c r="F136" s="55">
        <v>668</v>
      </c>
      <c r="G136" s="55">
        <v>579</v>
      </c>
      <c r="H136" s="55">
        <v>0</v>
      </c>
      <c r="I136" s="55">
        <v>53</v>
      </c>
      <c r="J136" s="55"/>
      <c r="K136" s="54">
        <f>SUM(L136:R136)</f>
        <v>5</v>
      </c>
      <c r="L136" s="55">
        <v>3</v>
      </c>
      <c r="M136" s="55">
        <v>1</v>
      </c>
      <c r="N136" s="55">
        <v>0</v>
      </c>
      <c r="O136" s="55">
        <v>0</v>
      </c>
      <c r="P136" s="55">
        <v>1</v>
      </c>
      <c r="Q136" s="55">
        <v>0</v>
      </c>
      <c r="R136" s="55">
        <v>0</v>
      </c>
      <c r="T136" s="61">
        <f>SUM(C136/B136)</f>
        <v>0.58227848101265822</v>
      </c>
      <c r="U136" s="61">
        <f>SUM(D136/B136)</f>
        <v>0.1683927886459532</v>
      </c>
      <c r="V136" s="61">
        <f>SUM(E136/B136)</f>
        <v>0</v>
      </c>
      <c r="W136" s="61">
        <f>SUM(F136/B136)</f>
        <v>0.12811660912926737</v>
      </c>
      <c r="X136" s="61">
        <f t="shared" si="37"/>
        <v>0.11104718066743383</v>
      </c>
      <c r="Y136" s="61">
        <f>SUM(H136/B136)</f>
        <v>0</v>
      </c>
      <c r="Z136" s="61">
        <f>SUM(I136/B136)</f>
        <v>1.0164940544687379E-2</v>
      </c>
    </row>
    <row r="137" spans="1:26">
      <c r="A137" s="56" t="s">
        <v>303</v>
      </c>
      <c r="B137" s="54">
        <f>SUM(C137:I137)</f>
        <v>8090</v>
      </c>
      <c r="C137" s="55">
        <v>3072</v>
      </c>
      <c r="D137" s="55">
        <v>0</v>
      </c>
      <c r="E137" s="55">
        <v>0</v>
      </c>
      <c r="F137" s="55">
        <v>1053</v>
      </c>
      <c r="G137" s="55">
        <v>2252</v>
      </c>
      <c r="H137" s="55">
        <v>0</v>
      </c>
      <c r="I137" s="55">
        <v>1713</v>
      </c>
      <c r="K137" s="54">
        <f>SUM(L137:R137)</f>
        <v>6</v>
      </c>
      <c r="L137" s="55">
        <v>2</v>
      </c>
      <c r="M137" s="55">
        <v>0</v>
      </c>
      <c r="N137" s="55">
        <v>0</v>
      </c>
      <c r="O137" s="55">
        <v>1</v>
      </c>
      <c r="P137" s="55">
        <v>0</v>
      </c>
      <c r="Q137" s="55">
        <v>0</v>
      </c>
      <c r="R137" s="55">
        <v>3</v>
      </c>
      <c r="T137" s="61">
        <f>SUM(C137/B137)</f>
        <v>0.37972805933250925</v>
      </c>
      <c r="U137" s="61">
        <f>SUM(D137/B137)</f>
        <v>0</v>
      </c>
      <c r="V137" s="61">
        <f>SUM(E137/B137)</f>
        <v>0</v>
      </c>
      <c r="W137" s="61">
        <f>SUM(F137/B137)</f>
        <v>0.13016069221260815</v>
      </c>
      <c r="X137" s="61">
        <f t="shared" si="37"/>
        <v>0.27836835599505561</v>
      </c>
      <c r="Y137" s="61">
        <f>SUM(H137/B137)</f>
        <v>0</v>
      </c>
      <c r="Z137" s="61">
        <f>SUM(I137/B137)</f>
        <v>0.21174289245982694</v>
      </c>
    </row>
    <row r="138" spans="1:26">
      <c r="A138" s="56" t="s">
        <v>304</v>
      </c>
      <c r="B138" s="54">
        <f>SUM(C138:I138)</f>
        <v>7954</v>
      </c>
      <c r="C138" s="55">
        <v>2911</v>
      </c>
      <c r="D138" s="55">
        <v>1985</v>
      </c>
      <c r="E138" s="55">
        <v>0</v>
      </c>
      <c r="F138" s="55">
        <v>2039</v>
      </c>
      <c r="G138" s="55">
        <v>576</v>
      </c>
      <c r="H138" s="55">
        <v>0</v>
      </c>
      <c r="I138" s="55">
        <v>443</v>
      </c>
      <c r="K138" s="54">
        <f>SUM(L138:R138)</f>
        <v>5</v>
      </c>
      <c r="L138" s="55">
        <v>2</v>
      </c>
      <c r="M138" s="106">
        <v>1</v>
      </c>
      <c r="N138" s="55">
        <v>0</v>
      </c>
      <c r="O138" s="55">
        <v>1</v>
      </c>
      <c r="P138" s="55">
        <v>1</v>
      </c>
      <c r="Q138" s="55">
        <v>0</v>
      </c>
      <c r="R138" s="55">
        <v>0</v>
      </c>
      <c r="T138" s="61">
        <f>SUM(C138/B138)</f>
        <v>0.36597938144329895</v>
      </c>
      <c r="U138" s="61">
        <f>SUM(D138/B138)</f>
        <v>0.24955996982650239</v>
      </c>
      <c r="V138" s="61">
        <f>SUM(E138/B138)</f>
        <v>0</v>
      </c>
      <c r="W138" s="61">
        <f>SUM(F138/B138)</f>
        <v>0.25634900678903694</v>
      </c>
      <c r="X138" s="61">
        <f t="shared" si="37"/>
        <v>7.2416394267035458E-2</v>
      </c>
      <c r="Y138" s="61">
        <f>SUM(H138/B138)</f>
        <v>0</v>
      </c>
      <c r="Z138" s="61">
        <f>SUM(I138/B138)</f>
        <v>5.5695247674126223E-2</v>
      </c>
    </row>
    <row r="139" spans="1:26">
      <c r="A139" s="56" t="s">
        <v>305</v>
      </c>
      <c r="B139" s="54">
        <f>SUM(C139:I139)</f>
        <v>8178</v>
      </c>
      <c r="C139" s="55">
        <v>2275</v>
      </c>
      <c r="D139" s="55">
        <v>1295</v>
      </c>
      <c r="E139" s="55">
        <v>508</v>
      </c>
      <c r="F139" s="55">
        <v>1805</v>
      </c>
      <c r="G139" s="55">
        <v>1621</v>
      </c>
      <c r="H139" s="55">
        <v>0</v>
      </c>
      <c r="I139" s="55">
        <v>674</v>
      </c>
      <c r="K139" s="54">
        <f>SUM(L139:R139)</f>
        <v>5</v>
      </c>
      <c r="L139" s="55">
        <v>2</v>
      </c>
      <c r="M139" s="55">
        <v>1</v>
      </c>
      <c r="N139" s="55">
        <v>0</v>
      </c>
      <c r="O139" s="55">
        <v>1</v>
      </c>
      <c r="P139" s="55">
        <v>1</v>
      </c>
      <c r="Q139" s="55">
        <v>0</v>
      </c>
      <c r="R139" s="55">
        <v>0</v>
      </c>
      <c r="T139" s="61">
        <f>SUM(C139/B139)</f>
        <v>0.27818537539740767</v>
      </c>
      <c r="U139" s="61">
        <f>SUM(D139/B139)</f>
        <v>0.15835167522621668</v>
      </c>
      <c r="V139" s="61">
        <f>SUM(E139/B139)</f>
        <v>6.2117877231596966E-2</v>
      </c>
      <c r="W139" s="61">
        <f>SUM(F139/B139)</f>
        <v>0.2207141110295916</v>
      </c>
      <c r="X139" s="61">
        <f t="shared" si="37"/>
        <v>0.19821472242602103</v>
      </c>
      <c r="Y139" s="61">
        <f>SUM(H139/B139)</f>
        <v>0</v>
      </c>
      <c r="Z139" s="61">
        <f>SUM(I139/B139)</f>
        <v>8.241623868916606E-2</v>
      </c>
    </row>
    <row r="140" spans="1:26" s="52" customFormat="1">
      <c r="A140" s="53" t="s">
        <v>1644</v>
      </c>
      <c r="B140" s="54">
        <f>SUM(B136:B139)</f>
        <v>29436</v>
      </c>
      <c r="C140" s="54">
        <f t="shared" ref="C140:N140" si="58">SUM(C136:C139)</f>
        <v>11294</v>
      </c>
      <c r="D140" s="54">
        <f>SUM(D136:D139)</f>
        <v>4158</v>
      </c>
      <c r="E140" s="54">
        <f t="shared" si="58"/>
        <v>508</v>
      </c>
      <c r="F140" s="54">
        <f>SUM(F136:F139)</f>
        <v>5565</v>
      </c>
      <c r="G140" s="54">
        <f>SUM(G136:G139)</f>
        <v>5028</v>
      </c>
      <c r="H140" s="54">
        <f>SUM(H136:H139)</f>
        <v>0</v>
      </c>
      <c r="I140" s="54">
        <f>SUM(I136:I139)</f>
        <v>2883</v>
      </c>
      <c r="J140" s="54"/>
      <c r="K140" s="54">
        <f t="shared" si="58"/>
        <v>21</v>
      </c>
      <c r="L140" s="54">
        <f t="shared" si="58"/>
        <v>9</v>
      </c>
      <c r="M140" s="54">
        <f t="shared" si="58"/>
        <v>3</v>
      </c>
      <c r="N140" s="54">
        <f t="shared" si="58"/>
        <v>0</v>
      </c>
      <c r="O140" s="54">
        <f>SUM(O136:O139)</f>
        <v>3</v>
      </c>
      <c r="P140" s="54">
        <f>SUM(P136:P139)</f>
        <v>3</v>
      </c>
      <c r="Q140" s="54">
        <f>SUM(Q136:Q139)</f>
        <v>0</v>
      </c>
      <c r="R140" s="54">
        <f>SUM(R136:R139)</f>
        <v>3</v>
      </c>
      <c r="T140" s="60">
        <f>SUM(C140/B140)</f>
        <v>0.38367984780540837</v>
      </c>
      <c r="U140" s="60">
        <f>SUM(D140/B140)</f>
        <v>0.14125560538116591</v>
      </c>
      <c r="V140" s="60">
        <f>SUM(E140/B140)</f>
        <v>1.7257779589618154E-2</v>
      </c>
      <c r="W140" s="60">
        <f>SUM(F140/B140)</f>
        <v>0.18905421932327762</v>
      </c>
      <c r="X140" s="60">
        <f t="shared" ref="X140:X152" si="59">SUM(G140/B140)</f>
        <v>0.17081125152874033</v>
      </c>
      <c r="Y140" s="60">
        <f>SUM(H140/B140)</f>
        <v>0</v>
      </c>
      <c r="Z140" s="60">
        <f>SUM(I140/B140)</f>
        <v>9.7941296371789652E-2</v>
      </c>
    </row>
    <row r="141" spans="1:26">
      <c r="A141" s="53"/>
      <c r="B141" s="54"/>
      <c r="C141" s="55"/>
      <c r="D141" s="55"/>
      <c r="E141" s="55"/>
      <c r="F141" s="55"/>
      <c r="G141" s="55"/>
      <c r="H141" s="55"/>
      <c r="I141" s="55"/>
      <c r="K141" s="54"/>
      <c r="L141" s="55"/>
      <c r="M141" s="55"/>
      <c r="N141" s="55"/>
      <c r="O141" s="55"/>
      <c r="P141" s="55"/>
      <c r="Q141" s="55"/>
      <c r="R141" s="55"/>
    </row>
    <row r="142" spans="1:26">
      <c r="A142" s="56" t="s">
        <v>253</v>
      </c>
      <c r="B142" s="54">
        <f t="shared" ref="B142:B149" si="60">SUM(C142:I142)</f>
        <v>24814</v>
      </c>
      <c r="C142" s="55">
        <v>13759</v>
      </c>
      <c r="D142" s="55">
        <v>2032</v>
      </c>
      <c r="E142" s="55">
        <v>1302</v>
      </c>
      <c r="F142" s="55">
        <v>2639</v>
      </c>
      <c r="G142" s="55">
        <v>3223</v>
      </c>
      <c r="H142" s="55">
        <v>0</v>
      </c>
      <c r="I142" s="55">
        <v>1859</v>
      </c>
      <c r="K142" s="54">
        <f t="shared" ref="K142:K149" si="61">SUM(L142:R142)</f>
        <v>7</v>
      </c>
      <c r="L142" s="55">
        <v>4</v>
      </c>
      <c r="M142" s="55">
        <v>0</v>
      </c>
      <c r="N142" s="55">
        <v>0</v>
      </c>
      <c r="O142" s="55">
        <v>1</v>
      </c>
      <c r="P142" s="55">
        <v>1</v>
      </c>
      <c r="Q142" s="55">
        <v>0</v>
      </c>
      <c r="R142" s="55">
        <v>1</v>
      </c>
      <c r="T142" s="61">
        <f t="shared" ref="T142:T150" si="62">SUM(C142/B142)</f>
        <v>0.55448537116144114</v>
      </c>
      <c r="U142" s="61">
        <f t="shared" ref="U142:U150" si="63">SUM(D142/B142)</f>
        <v>8.1889256065124524E-2</v>
      </c>
      <c r="V142" s="61">
        <f t="shared" ref="V142:V150" si="64">SUM(E142/B142)</f>
        <v>5.247037962440558E-2</v>
      </c>
      <c r="W142" s="61">
        <f t="shared" ref="W142:W150" si="65">SUM(F142/B142)</f>
        <v>0.10635125332473604</v>
      </c>
      <c r="X142" s="61">
        <f t="shared" si="59"/>
        <v>0.1298863544773112</v>
      </c>
      <c r="Y142" s="61">
        <f t="shared" ref="Y142:Y150" si="66">SUM(H142/B142)</f>
        <v>0</v>
      </c>
      <c r="Z142" s="61">
        <f t="shared" ref="Z142:Z150" si="67">SUM(I142/B142)</f>
        <v>7.4917385346981544E-2</v>
      </c>
    </row>
    <row r="143" spans="1:26">
      <c r="A143" s="56" t="s">
        <v>254</v>
      </c>
      <c r="B143" s="54">
        <f t="shared" si="60"/>
        <v>26403</v>
      </c>
      <c r="C143" s="55">
        <v>16452</v>
      </c>
      <c r="D143" s="55">
        <v>0</v>
      </c>
      <c r="E143" s="55">
        <v>0</v>
      </c>
      <c r="F143" s="55">
        <v>5166</v>
      </c>
      <c r="G143" s="55">
        <v>3371</v>
      </c>
      <c r="H143" s="55">
        <v>0</v>
      </c>
      <c r="I143" s="55">
        <v>1414</v>
      </c>
      <c r="K143" s="54">
        <f t="shared" si="61"/>
        <v>7</v>
      </c>
      <c r="L143" s="55">
        <v>5</v>
      </c>
      <c r="M143" s="55">
        <v>0</v>
      </c>
      <c r="N143" s="55">
        <v>0</v>
      </c>
      <c r="O143" s="55">
        <v>1</v>
      </c>
      <c r="P143" s="55">
        <v>1</v>
      </c>
      <c r="Q143" s="55">
        <v>0</v>
      </c>
      <c r="R143" s="55">
        <v>0</v>
      </c>
      <c r="T143" s="61">
        <f t="shared" si="62"/>
        <v>0.62311101011248726</v>
      </c>
      <c r="U143" s="61">
        <f t="shared" si="63"/>
        <v>0</v>
      </c>
      <c r="V143" s="61">
        <f t="shared" si="64"/>
        <v>0</v>
      </c>
      <c r="W143" s="61">
        <f t="shared" si="65"/>
        <v>0.19565958413816611</v>
      </c>
      <c r="X143" s="61">
        <f t="shared" si="59"/>
        <v>0.12767488542968602</v>
      </c>
      <c r="Y143" s="61">
        <f t="shared" si="66"/>
        <v>0</v>
      </c>
      <c r="Z143" s="61">
        <f t="shared" si="67"/>
        <v>5.3554520319660646E-2</v>
      </c>
    </row>
    <row r="144" spans="1:26">
      <c r="A144" s="56" t="s">
        <v>255</v>
      </c>
      <c r="B144" s="54">
        <f t="shared" si="60"/>
        <v>21136</v>
      </c>
      <c r="C144" s="55">
        <v>11554</v>
      </c>
      <c r="D144" s="55">
        <v>0</v>
      </c>
      <c r="E144" s="55">
        <v>948</v>
      </c>
      <c r="F144" s="55">
        <v>4825</v>
      </c>
      <c r="G144" s="55">
        <v>1693</v>
      </c>
      <c r="H144" s="55">
        <v>503</v>
      </c>
      <c r="I144" s="55">
        <v>1613</v>
      </c>
      <c r="K144" s="54">
        <f t="shared" si="61"/>
        <v>6</v>
      </c>
      <c r="L144" s="55">
        <v>4</v>
      </c>
      <c r="M144" s="55">
        <v>0</v>
      </c>
      <c r="N144" s="55">
        <v>0</v>
      </c>
      <c r="O144" s="55">
        <v>2</v>
      </c>
      <c r="P144" s="55">
        <v>0</v>
      </c>
      <c r="Q144" s="55">
        <v>0</v>
      </c>
      <c r="R144" s="55">
        <v>0</v>
      </c>
      <c r="T144" s="61">
        <f t="shared" si="62"/>
        <v>0.54665026495079483</v>
      </c>
      <c r="U144" s="61">
        <f t="shared" si="63"/>
        <v>0</v>
      </c>
      <c r="V144" s="61">
        <f t="shared" si="64"/>
        <v>4.4852384557153673E-2</v>
      </c>
      <c r="W144" s="61">
        <f t="shared" si="65"/>
        <v>0.22828349735049205</v>
      </c>
      <c r="X144" s="61">
        <f t="shared" si="59"/>
        <v>8.0100302800908407E-2</v>
      </c>
      <c r="Y144" s="61">
        <f t="shared" si="66"/>
        <v>2.3798258894776686E-2</v>
      </c>
      <c r="Z144" s="61">
        <f t="shared" si="67"/>
        <v>7.6315291445874331E-2</v>
      </c>
    </row>
    <row r="145" spans="1:26">
      <c r="A145" s="56" t="s">
        <v>256</v>
      </c>
      <c r="B145" s="54">
        <f t="shared" si="60"/>
        <v>14914</v>
      </c>
      <c r="C145" s="55">
        <v>1045</v>
      </c>
      <c r="D145" s="55">
        <v>0</v>
      </c>
      <c r="E145" s="55">
        <v>6643</v>
      </c>
      <c r="F145" s="55">
        <v>2882</v>
      </c>
      <c r="G145" s="55">
        <v>0</v>
      </c>
      <c r="H145" s="55">
        <v>2707</v>
      </c>
      <c r="I145" s="55">
        <v>1637</v>
      </c>
      <c r="K145" s="54">
        <f t="shared" si="61"/>
        <v>6</v>
      </c>
      <c r="L145" s="55">
        <v>0</v>
      </c>
      <c r="M145" s="55">
        <v>0</v>
      </c>
      <c r="N145" s="55">
        <v>4</v>
      </c>
      <c r="O145" s="55">
        <v>1</v>
      </c>
      <c r="P145" s="55">
        <v>0</v>
      </c>
      <c r="Q145" s="55">
        <v>1</v>
      </c>
      <c r="R145" s="55">
        <v>0</v>
      </c>
      <c r="T145" s="61">
        <f t="shared" si="62"/>
        <v>7.0068392114791475E-2</v>
      </c>
      <c r="U145" s="61">
        <f t="shared" si="63"/>
        <v>0</v>
      </c>
      <c r="V145" s="61">
        <f t="shared" si="64"/>
        <v>0.44542041035268876</v>
      </c>
      <c r="W145" s="61">
        <f t="shared" si="65"/>
        <v>0.19324124983237226</v>
      </c>
      <c r="X145" s="61">
        <f t="shared" si="59"/>
        <v>0</v>
      </c>
      <c r="Y145" s="61">
        <f t="shared" si="66"/>
        <v>0.18150730856912967</v>
      </c>
      <c r="Z145" s="61">
        <f t="shared" si="67"/>
        <v>0.10976263913101783</v>
      </c>
    </row>
    <row r="146" spans="1:26">
      <c r="A146" s="56" t="s">
        <v>257</v>
      </c>
      <c r="B146" s="54">
        <f t="shared" si="60"/>
        <v>19748</v>
      </c>
      <c r="C146" s="55">
        <v>7875</v>
      </c>
      <c r="D146" s="55">
        <v>2670</v>
      </c>
      <c r="E146" s="55">
        <v>1444</v>
      </c>
      <c r="F146" s="55">
        <v>1452</v>
      </c>
      <c r="G146" s="55">
        <v>3355</v>
      </c>
      <c r="H146" s="55">
        <v>0</v>
      </c>
      <c r="I146" s="55">
        <v>2952</v>
      </c>
      <c r="K146" s="54">
        <f t="shared" si="61"/>
        <v>6</v>
      </c>
      <c r="L146" s="55">
        <v>1</v>
      </c>
      <c r="M146" s="55">
        <v>1</v>
      </c>
      <c r="N146" s="55">
        <v>0</v>
      </c>
      <c r="O146" s="55">
        <v>1</v>
      </c>
      <c r="P146" s="55">
        <v>2</v>
      </c>
      <c r="Q146" s="55">
        <v>0</v>
      </c>
      <c r="R146" s="55">
        <v>1</v>
      </c>
      <c r="T146" s="61">
        <f t="shared" si="62"/>
        <v>0.39877455944905815</v>
      </c>
      <c r="U146" s="61">
        <f t="shared" si="63"/>
        <v>0.13520356491796637</v>
      </c>
      <c r="V146" s="61">
        <f t="shared" si="64"/>
        <v>7.3121328742151104E-2</v>
      </c>
      <c r="W146" s="61">
        <f t="shared" si="65"/>
        <v>7.3526433056512047E-2</v>
      </c>
      <c r="X146" s="61">
        <f t="shared" si="59"/>
        <v>0.16989062183512255</v>
      </c>
      <c r="Y146" s="61">
        <f t="shared" si="66"/>
        <v>0</v>
      </c>
      <c r="Z146" s="61">
        <f t="shared" si="67"/>
        <v>0.14948349199918978</v>
      </c>
    </row>
    <row r="147" spans="1:26">
      <c r="A147" s="56" t="s">
        <v>258</v>
      </c>
      <c r="B147" s="54">
        <f t="shared" si="60"/>
        <v>15768</v>
      </c>
      <c r="C147" s="55">
        <v>7761</v>
      </c>
      <c r="D147" s="55">
        <v>1190</v>
      </c>
      <c r="E147" s="55">
        <v>2947</v>
      </c>
      <c r="F147" s="55">
        <v>600</v>
      </c>
      <c r="G147" s="55">
        <v>0</v>
      </c>
      <c r="H147" s="55">
        <v>2533</v>
      </c>
      <c r="I147" s="55">
        <v>737</v>
      </c>
      <c r="K147" s="54">
        <f t="shared" si="61"/>
        <v>6</v>
      </c>
      <c r="L147" s="55">
        <v>3</v>
      </c>
      <c r="M147" s="55">
        <v>1</v>
      </c>
      <c r="N147" s="55">
        <v>1</v>
      </c>
      <c r="O147" s="55">
        <v>0</v>
      </c>
      <c r="P147" s="55">
        <v>0</v>
      </c>
      <c r="Q147" s="55">
        <v>1</v>
      </c>
      <c r="R147" s="55">
        <v>0</v>
      </c>
      <c r="T147" s="61">
        <f t="shared" si="62"/>
        <v>0.49219939117199391</v>
      </c>
      <c r="U147" s="61">
        <f t="shared" si="63"/>
        <v>7.5469304921359712E-2</v>
      </c>
      <c r="V147" s="61">
        <f t="shared" si="64"/>
        <v>0.18689751395230847</v>
      </c>
      <c r="W147" s="61">
        <f t="shared" si="65"/>
        <v>3.8051750380517502E-2</v>
      </c>
      <c r="X147" s="61">
        <f t="shared" si="59"/>
        <v>0</v>
      </c>
      <c r="Y147" s="61">
        <f t="shared" si="66"/>
        <v>0.16064180618975141</v>
      </c>
      <c r="Z147" s="61">
        <f t="shared" si="67"/>
        <v>4.6740233384068998E-2</v>
      </c>
    </row>
    <row r="148" spans="1:26">
      <c r="A148" s="56" t="s">
        <v>259</v>
      </c>
      <c r="B148" s="54">
        <f t="shared" si="60"/>
        <v>17378</v>
      </c>
      <c r="C148" s="55">
        <v>9839</v>
      </c>
      <c r="D148" s="55">
        <v>0</v>
      </c>
      <c r="E148" s="55">
        <v>2876</v>
      </c>
      <c r="F148" s="55">
        <v>572</v>
      </c>
      <c r="G148" s="55">
        <v>2291</v>
      </c>
      <c r="H148" s="55">
        <v>841</v>
      </c>
      <c r="I148" s="55">
        <v>959</v>
      </c>
      <c r="K148" s="54">
        <f t="shared" si="61"/>
        <v>6</v>
      </c>
      <c r="L148" s="55">
        <v>3</v>
      </c>
      <c r="M148" s="55">
        <v>0</v>
      </c>
      <c r="N148" s="55">
        <v>1</v>
      </c>
      <c r="O148" s="55">
        <v>1</v>
      </c>
      <c r="P148" s="55">
        <v>1</v>
      </c>
      <c r="Q148" s="55">
        <v>0</v>
      </c>
      <c r="R148" s="55">
        <v>0</v>
      </c>
      <c r="T148" s="61">
        <f t="shared" si="62"/>
        <v>0.5661756243526298</v>
      </c>
      <c r="U148" s="61">
        <f t="shared" si="63"/>
        <v>0</v>
      </c>
      <c r="V148" s="61">
        <f t="shared" si="64"/>
        <v>0.16549660490275062</v>
      </c>
      <c r="W148" s="61">
        <f t="shared" si="65"/>
        <v>3.2915180112786283E-2</v>
      </c>
      <c r="X148" s="61">
        <f t="shared" si="59"/>
        <v>0.13183335251467374</v>
      </c>
      <c r="Y148" s="61">
        <f t="shared" si="66"/>
        <v>4.8394521809184028E-2</v>
      </c>
      <c r="Z148" s="61">
        <f t="shared" si="67"/>
        <v>5.5184716307975598E-2</v>
      </c>
    </row>
    <row r="149" spans="1:26">
      <c r="A149" s="56" t="s">
        <v>260</v>
      </c>
      <c r="B149" s="54">
        <f t="shared" si="60"/>
        <v>24811</v>
      </c>
      <c r="C149" s="55">
        <v>15373</v>
      </c>
      <c r="D149" s="55">
        <v>0</v>
      </c>
      <c r="E149" s="55">
        <v>2667</v>
      </c>
      <c r="F149" s="55">
        <v>3945</v>
      </c>
      <c r="G149" s="55">
        <v>1096</v>
      </c>
      <c r="H149" s="55">
        <v>0</v>
      </c>
      <c r="I149" s="55">
        <v>1730</v>
      </c>
      <c r="J149" s="55"/>
      <c r="K149" s="54">
        <f t="shared" si="61"/>
        <v>7</v>
      </c>
      <c r="L149" s="55">
        <v>5</v>
      </c>
      <c r="M149" s="55">
        <v>0</v>
      </c>
      <c r="N149" s="55">
        <v>1</v>
      </c>
      <c r="O149" s="55">
        <v>1</v>
      </c>
      <c r="P149" s="55">
        <v>0</v>
      </c>
      <c r="Q149" s="55">
        <v>0</v>
      </c>
      <c r="R149" s="55">
        <v>0</v>
      </c>
      <c r="T149" s="61">
        <f t="shared" si="62"/>
        <v>0.61960420781105152</v>
      </c>
      <c r="U149" s="61">
        <f t="shared" si="63"/>
        <v>0</v>
      </c>
      <c r="V149" s="61">
        <f t="shared" si="64"/>
        <v>0.1074926443916005</v>
      </c>
      <c r="W149" s="61">
        <f t="shared" si="65"/>
        <v>0.1590020555398815</v>
      </c>
      <c r="X149" s="61">
        <f t="shared" si="59"/>
        <v>4.4173955100560235E-2</v>
      </c>
      <c r="Y149" s="61">
        <f t="shared" si="66"/>
        <v>0</v>
      </c>
      <c r="Z149" s="61">
        <f t="shared" si="67"/>
        <v>6.9727137156906205E-2</v>
      </c>
    </row>
    <row r="150" spans="1:26" s="52" customFormat="1">
      <c r="A150" s="53" t="s">
        <v>1654</v>
      </c>
      <c r="B150" s="54">
        <f t="shared" ref="B150:I150" si="68">SUM(B142:B149)</f>
        <v>164972</v>
      </c>
      <c r="C150" s="54">
        <f t="shared" si="68"/>
        <v>83658</v>
      </c>
      <c r="D150" s="54">
        <f t="shared" si="68"/>
        <v>5892</v>
      </c>
      <c r="E150" s="54">
        <f t="shared" si="68"/>
        <v>18827</v>
      </c>
      <c r="F150" s="54">
        <f t="shared" si="68"/>
        <v>22081</v>
      </c>
      <c r="G150" s="54">
        <f t="shared" si="68"/>
        <v>15029</v>
      </c>
      <c r="H150" s="54">
        <f t="shared" si="68"/>
        <v>6584</v>
      </c>
      <c r="I150" s="54">
        <f t="shared" si="68"/>
        <v>12901</v>
      </c>
      <c r="J150" s="54"/>
      <c r="K150" s="54">
        <f t="shared" ref="K150:R150" si="69">SUM(K142:K149)</f>
        <v>51</v>
      </c>
      <c r="L150" s="54">
        <f t="shared" si="69"/>
        <v>25</v>
      </c>
      <c r="M150" s="54">
        <f t="shared" si="69"/>
        <v>2</v>
      </c>
      <c r="N150" s="54">
        <f t="shared" si="69"/>
        <v>7</v>
      </c>
      <c r="O150" s="54">
        <f t="shared" si="69"/>
        <v>8</v>
      </c>
      <c r="P150" s="54">
        <f t="shared" si="69"/>
        <v>5</v>
      </c>
      <c r="Q150" s="54">
        <f t="shared" si="69"/>
        <v>2</v>
      </c>
      <c r="R150" s="54">
        <f t="shared" si="69"/>
        <v>2</v>
      </c>
      <c r="T150" s="60">
        <f t="shared" si="62"/>
        <v>0.50710423587032949</v>
      </c>
      <c r="U150" s="60">
        <f t="shared" si="63"/>
        <v>3.5715151662100236E-2</v>
      </c>
      <c r="V150" s="60">
        <f t="shared" si="64"/>
        <v>0.11412239652789564</v>
      </c>
      <c r="W150" s="60">
        <f t="shared" si="65"/>
        <v>0.13384695584705283</v>
      </c>
      <c r="X150" s="60">
        <f t="shared" si="59"/>
        <v>9.1100307931042845E-2</v>
      </c>
      <c r="Y150" s="60">
        <f t="shared" si="66"/>
        <v>3.99098028756395E-2</v>
      </c>
      <c r="Z150" s="60">
        <f t="shared" si="67"/>
        <v>7.8201149285939436E-2</v>
      </c>
    </row>
    <row r="151" spans="1:26">
      <c r="A151" s="53"/>
      <c r="B151" s="54"/>
      <c r="C151" s="55"/>
      <c r="D151" s="55"/>
      <c r="E151" s="55"/>
      <c r="F151" s="55"/>
      <c r="G151" s="55"/>
      <c r="H151" s="55"/>
      <c r="I151" s="55"/>
      <c r="K151" s="54"/>
      <c r="L151" s="55"/>
      <c r="M151" s="55"/>
      <c r="N151" s="55"/>
      <c r="O151" s="55"/>
      <c r="P151" s="55"/>
      <c r="Q151" s="55"/>
      <c r="R151" s="55"/>
    </row>
    <row r="152" spans="1:26" s="52" customFormat="1">
      <c r="A152" s="53" t="s">
        <v>1255</v>
      </c>
      <c r="B152" s="54">
        <f t="shared" ref="B152:I152" si="70">SUM(B150+B140+B134+B129+B124+B119+B114+B108+B103+B98+B92+B87+B80+B75+B71+B65+B57+B51+B46+B41+B34+B29+B24+B18+B13+B7)</f>
        <v>690999</v>
      </c>
      <c r="C152" s="54">
        <f t="shared" si="70"/>
        <v>273645</v>
      </c>
      <c r="D152" s="54">
        <f t="shared" si="70"/>
        <v>34378</v>
      </c>
      <c r="E152" s="54">
        <f t="shared" si="70"/>
        <v>92600</v>
      </c>
      <c r="F152" s="54">
        <f t="shared" si="70"/>
        <v>94474</v>
      </c>
      <c r="G152" s="54">
        <f t="shared" si="70"/>
        <v>82825</v>
      </c>
      <c r="H152" s="54">
        <f t="shared" si="70"/>
        <v>20680</v>
      </c>
      <c r="I152" s="54">
        <f t="shared" si="70"/>
        <v>92397</v>
      </c>
      <c r="J152" s="54"/>
      <c r="K152" s="54">
        <f t="shared" ref="K152:R152" si="71">SUM(K150+K140+K134+K129+K124+K119+K114+K108+K103+K98+K92+K87+K80+K75+K71+K65+K57+K51+K46+K41+K34+K29+K24+K18+K13+K7)</f>
        <v>526</v>
      </c>
      <c r="L152" s="54">
        <f t="shared" si="71"/>
        <v>213</v>
      </c>
      <c r="M152" s="54">
        <f t="shared" si="71"/>
        <v>25</v>
      </c>
      <c r="N152" s="54">
        <f t="shared" si="71"/>
        <v>81</v>
      </c>
      <c r="O152" s="54">
        <f t="shared" si="71"/>
        <v>63</v>
      </c>
      <c r="P152" s="54">
        <f t="shared" si="71"/>
        <v>60</v>
      </c>
      <c r="Q152" s="54">
        <f t="shared" si="71"/>
        <v>8</v>
      </c>
      <c r="R152" s="54">
        <f t="shared" si="71"/>
        <v>76</v>
      </c>
      <c r="T152" s="60">
        <f>SUM(C152/B152)</f>
        <v>0.39601359770419348</v>
      </c>
      <c r="U152" s="60">
        <f>SUM(D152/B152)</f>
        <v>4.9751157382282751E-2</v>
      </c>
      <c r="V152" s="60">
        <f>SUM(E152/B152)</f>
        <v>0.13400887700271635</v>
      </c>
      <c r="W152" s="60">
        <f>SUM(F152/B152)</f>
        <v>0.13672089250490957</v>
      </c>
      <c r="X152" s="60">
        <f t="shared" si="59"/>
        <v>0.11986269155237562</v>
      </c>
      <c r="Y152" s="60">
        <f>SUM(H152/B152)</f>
        <v>2.992768441054184E-2</v>
      </c>
      <c r="Z152" s="60">
        <f>SUM(I152/B152)</f>
        <v>0.13371509944298038</v>
      </c>
    </row>
  </sheetData>
  <phoneticPr fontId="0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43</vt:i4>
      </vt:variant>
    </vt:vector>
  </HeadingPairs>
  <TitlesOfParts>
    <vt:vector size="43" baseType="lpstr">
      <vt:lpstr>2011Ass</vt:lpstr>
      <vt:lpstr>2007Ass</vt:lpstr>
      <vt:lpstr>2003Ass</vt:lpstr>
      <vt:lpstr>1998Ass</vt:lpstr>
      <vt:lpstr>1982Ass</vt:lpstr>
      <vt:lpstr>1975Con</vt:lpstr>
      <vt:lpstr>1973Ass</vt:lpstr>
      <vt:lpstr>2010</vt:lpstr>
      <vt:lpstr>2005</vt:lpstr>
      <vt:lpstr>2001</vt:lpstr>
      <vt:lpstr>1997</vt:lpstr>
      <vt:lpstr>1992</vt:lpstr>
      <vt:lpstr>1987</vt:lpstr>
      <vt:lpstr>1986By</vt:lpstr>
      <vt:lpstr>1983</vt:lpstr>
      <vt:lpstr>1979</vt:lpstr>
      <vt:lpstr>Oct1974</vt:lpstr>
      <vt:lpstr>Feb1974</vt:lpstr>
      <vt:lpstr>1970</vt:lpstr>
      <vt:lpstr>1966</vt:lpstr>
      <vt:lpstr>1964</vt:lpstr>
      <vt:lpstr>1959</vt:lpstr>
      <vt:lpstr>1955</vt:lpstr>
      <vt:lpstr>1951</vt:lpstr>
      <vt:lpstr>1950</vt:lpstr>
      <vt:lpstr>1945</vt:lpstr>
      <vt:lpstr>1935</vt:lpstr>
      <vt:lpstr>1931</vt:lpstr>
      <vt:lpstr>1929</vt:lpstr>
      <vt:lpstr>1924</vt:lpstr>
      <vt:lpstr>1923</vt:lpstr>
      <vt:lpstr>1922</vt:lpstr>
      <vt:lpstr>1969Stor</vt:lpstr>
      <vt:lpstr>2011Local</vt:lpstr>
      <vt:lpstr>2005Local</vt:lpstr>
      <vt:lpstr>2001Local</vt:lpstr>
      <vt:lpstr>1997Local</vt:lpstr>
      <vt:lpstr>1993Local</vt:lpstr>
      <vt:lpstr>1989Local</vt:lpstr>
      <vt:lpstr>1985Local</vt:lpstr>
      <vt:lpstr>1981Local</vt:lpstr>
      <vt:lpstr>1977Local</vt:lpstr>
      <vt:lpstr>1973Local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2007-01-28T22:22:27Z</dcterms:created>
  <dcterms:modified xsi:type="dcterms:W3CDTF">2012-09-06T09:03:48Z</dcterms:modified>
</cp:coreProperties>
</file>