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30" windowWidth="15195" windowHeight="9210" tabRatio="621" firstSheet="2" activeTab="15"/>
  </bookViews>
  <sheets>
    <sheet name="1925" sheetId="19" r:id="rId1"/>
    <sheet name="1928" sheetId="18" r:id="rId2"/>
    <sheet name="1934" sheetId="17" r:id="rId3"/>
    <sheet name="1942" sheetId="16" r:id="rId4"/>
    <sheet name="1945" sheetId="15" r:id="rId5"/>
    <sheet name="1950" sheetId="14" r:id="rId6"/>
    <sheet name="1955" sheetId="13" r:id="rId7"/>
    <sheet name="1960" sheetId="11" r:id="rId8"/>
    <sheet name="1967" sheetId="8" r:id="rId9"/>
    <sheet name="1974" sheetId="7" r:id="rId10"/>
    <sheet name="1979" sheetId="6" r:id="rId11"/>
    <sheet name="1985" sheetId="5" r:id="rId12"/>
    <sheet name="1991" sheetId="4" r:id="rId13"/>
    <sheet name="1999" sheetId="3" r:id="rId14"/>
    <sheet name="2004" sheetId="1" r:id="rId15"/>
    <sheet name="2009" sheetId="12" r:id="rId16"/>
    <sheet name="Party%" sheetId="10" r:id="rId17"/>
    <sheet name="HighVotes" sheetId="9" r:id="rId18"/>
  </sheets>
  <calcPr calcId="125725"/>
</workbook>
</file>

<file path=xl/calcChain.xml><?xml version="1.0" encoding="utf-8"?>
<calcChain xmlns="http://schemas.openxmlformats.org/spreadsheetml/2006/main">
  <c r="H27" i="9"/>
  <c r="G111" i="19"/>
  <c r="F111"/>
  <c r="L77"/>
  <c r="L78"/>
  <c r="L75"/>
  <c r="U90"/>
  <c r="U91"/>
  <c r="U92"/>
  <c r="U93"/>
  <c r="U88"/>
  <c r="P58"/>
  <c r="P59"/>
  <c r="P56"/>
  <c r="S36"/>
  <c r="S37"/>
  <c r="S38"/>
  <c r="S39"/>
  <c r="N19"/>
  <c r="N20"/>
  <c r="N22"/>
  <c r="S34"/>
  <c r="O21"/>
  <c r="N17"/>
  <c r="L5"/>
  <c r="L6"/>
  <c r="L3"/>
  <c r="M7"/>
  <c r="B111" l="1"/>
  <c r="F112" s="1"/>
  <c r="V92"/>
  <c r="V91"/>
  <c r="M77"/>
  <c r="Q60"/>
  <c r="Q59"/>
  <c r="Q58"/>
  <c r="T39"/>
  <c r="T38"/>
  <c r="T37"/>
  <c r="T36"/>
  <c r="O22"/>
  <c r="O20"/>
  <c r="O19"/>
  <c r="M6"/>
  <c r="M5"/>
  <c r="G92" i="18"/>
  <c r="P49"/>
  <c r="P50"/>
  <c r="M79"/>
  <c r="M82"/>
  <c r="Q30"/>
  <c r="Q31"/>
  <c r="L17"/>
  <c r="L18"/>
  <c r="L19"/>
  <c r="L5"/>
  <c r="L6"/>
  <c r="L66"/>
  <c r="L67"/>
  <c r="Q51"/>
  <c r="R32"/>
  <c r="G112" i="19" l="1"/>
  <c r="D111"/>
  <c r="D112" s="1"/>
  <c r="C111"/>
  <c r="C112" s="1"/>
  <c r="M78"/>
  <c r="V90"/>
  <c r="V93"/>
  <c r="E112"/>
  <c r="B92" i="18"/>
  <c r="N81"/>
  <c r="M67"/>
  <c r="M66"/>
  <c r="Q50"/>
  <c r="Q49"/>
  <c r="R33"/>
  <c r="R31"/>
  <c r="R30"/>
  <c r="M19"/>
  <c r="M18"/>
  <c r="M17"/>
  <c r="M6"/>
  <c r="M5"/>
  <c r="L8" i="12"/>
  <c r="L6"/>
  <c r="L5"/>
  <c r="P23"/>
  <c r="P20"/>
  <c r="P19"/>
  <c r="J37"/>
  <c r="J36"/>
  <c r="J35"/>
  <c r="I50"/>
  <c r="I49"/>
  <c r="K76"/>
  <c r="K75"/>
  <c r="K63"/>
  <c r="K62"/>
  <c r="K65"/>
  <c r="H25" i="9"/>
  <c r="H56"/>
  <c r="H22"/>
  <c r="H35"/>
  <c r="H61"/>
  <c r="H29"/>
  <c r="H86"/>
  <c r="H83"/>
  <c r="H14"/>
  <c r="H5"/>
  <c r="H8"/>
  <c r="H93"/>
  <c r="H91"/>
  <c r="H84"/>
  <c r="H41"/>
  <c r="O89" i="17"/>
  <c r="O90"/>
  <c r="O92"/>
  <c r="F104" s="1"/>
  <c r="P91"/>
  <c r="O87"/>
  <c r="N71"/>
  <c r="N73"/>
  <c r="N74"/>
  <c r="N75"/>
  <c r="Q55"/>
  <c r="Q54"/>
  <c r="Q52"/>
  <c r="P35"/>
  <c r="P36"/>
  <c r="P33"/>
  <c r="O19"/>
  <c r="O20"/>
  <c r="O21"/>
  <c r="O17"/>
  <c r="M5"/>
  <c r="M6"/>
  <c r="M3"/>
  <c r="B104"/>
  <c r="E105" s="1"/>
  <c r="O75"/>
  <c r="O74"/>
  <c r="O73"/>
  <c r="R55"/>
  <c r="R54"/>
  <c r="Q37"/>
  <c r="Q36"/>
  <c r="Q35"/>
  <c r="P21"/>
  <c r="P20"/>
  <c r="P19"/>
  <c r="N6"/>
  <c r="N5"/>
  <c r="D85" i="16"/>
  <c r="G85"/>
  <c r="F85"/>
  <c r="E85"/>
  <c r="L75"/>
  <c r="L76"/>
  <c r="L78"/>
  <c r="L73"/>
  <c r="H65"/>
  <c r="H66"/>
  <c r="H63"/>
  <c r="M50"/>
  <c r="M51"/>
  <c r="M53"/>
  <c r="N51"/>
  <c r="M48"/>
  <c r="K36"/>
  <c r="K37"/>
  <c r="K34"/>
  <c r="J25"/>
  <c r="J26"/>
  <c r="K28"/>
  <c r="J23"/>
  <c r="Q3"/>
  <c r="Q5"/>
  <c r="Q6"/>
  <c r="Q9"/>
  <c r="R8"/>
  <c r="B85"/>
  <c r="F86" s="1"/>
  <c r="G86"/>
  <c r="I67"/>
  <c r="I66"/>
  <c r="I65"/>
  <c r="N53"/>
  <c r="N52"/>
  <c r="N50"/>
  <c r="L38"/>
  <c r="L37"/>
  <c r="L36"/>
  <c r="K27"/>
  <c r="K26"/>
  <c r="K25"/>
  <c r="R9"/>
  <c r="R7"/>
  <c r="R6"/>
  <c r="R5"/>
  <c r="C90" i="15"/>
  <c r="G90"/>
  <c r="D90"/>
  <c r="M77"/>
  <c r="M78"/>
  <c r="M79"/>
  <c r="M80"/>
  <c r="J66"/>
  <c r="J67"/>
  <c r="N52"/>
  <c r="N53"/>
  <c r="O53"/>
  <c r="O33"/>
  <c r="O34"/>
  <c r="O35"/>
  <c r="L20"/>
  <c r="L21"/>
  <c r="L22"/>
  <c r="L5"/>
  <c r="L6"/>
  <c r="L7"/>
  <c r="B90"/>
  <c r="F91" s="1"/>
  <c r="N80"/>
  <c r="K69"/>
  <c r="K68"/>
  <c r="K67"/>
  <c r="K66"/>
  <c r="O54"/>
  <c r="O52"/>
  <c r="P36"/>
  <c r="P35"/>
  <c r="P34"/>
  <c r="P33"/>
  <c r="M22"/>
  <c r="M21"/>
  <c r="M20"/>
  <c r="M8"/>
  <c r="M7"/>
  <c r="M6"/>
  <c r="M5"/>
  <c r="I102" i="14"/>
  <c r="G102"/>
  <c r="N89"/>
  <c r="N90"/>
  <c r="N91"/>
  <c r="N92"/>
  <c r="F102" s="1"/>
  <c r="O92"/>
  <c r="N87"/>
  <c r="N75"/>
  <c r="N76"/>
  <c r="N78"/>
  <c r="N73"/>
  <c r="L61"/>
  <c r="L62"/>
  <c r="L63"/>
  <c r="M64"/>
  <c r="L59"/>
  <c r="S39"/>
  <c r="S40"/>
  <c r="S41"/>
  <c r="S43"/>
  <c r="T42"/>
  <c r="H103" s="1"/>
  <c r="S37"/>
  <c r="M24"/>
  <c r="M25"/>
  <c r="M26"/>
  <c r="M22"/>
  <c r="Q5"/>
  <c r="Q6"/>
  <c r="Q9"/>
  <c r="Q7"/>
  <c r="Q8"/>
  <c r="Q3"/>
  <c r="P68" i="6"/>
  <c r="K56"/>
  <c r="I45"/>
  <c r="M29"/>
  <c r="J17"/>
  <c r="L3"/>
  <c r="K69" i="5"/>
  <c r="H59"/>
  <c r="J48"/>
  <c r="N30"/>
  <c r="M15"/>
  <c r="K3"/>
  <c r="K80" i="1"/>
  <c r="J68"/>
  <c r="L55"/>
  <c r="I44"/>
  <c r="I33"/>
  <c r="M18"/>
  <c r="M3"/>
  <c r="H77" i="3"/>
  <c r="L64"/>
  <c r="I54"/>
  <c r="G45"/>
  <c r="J33"/>
  <c r="L17"/>
  <c r="L3"/>
  <c r="I70" i="4"/>
  <c r="K58"/>
  <c r="I47"/>
  <c r="N30"/>
  <c r="K17"/>
  <c r="L3"/>
  <c r="B102" i="14"/>
  <c r="G103" s="1"/>
  <c r="O78"/>
  <c r="O79"/>
  <c r="O77"/>
  <c r="O76"/>
  <c r="O75"/>
  <c r="M63"/>
  <c r="M62"/>
  <c r="M61"/>
  <c r="T43"/>
  <c r="T41"/>
  <c r="T40"/>
  <c r="T39"/>
  <c r="N27"/>
  <c r="N26"/>
  <c r="N25"/>
  <c r="N24"/>
  <c r="R9"/>
  <c r="R8"/>
  <c r="R7"/>
  <c r="R6"/>
  <c r="R5"/>
  <c r="N34" i="11"/>
  <c r="N33"/>
  <c r="H76" i="9"/>
  <c r="H62"/>
  <c r="H81"/>
  <c r="B96" i="13"/>
  <c r="F96"/>
  <c r="L83"/>
  <c r="L85"/>
  <c r="L86"/>
  <c r="L89"/>
  <c r="L87"/>
  <c r="L69"/>
  <c r="L71"/>
  <c r="L72"/>
  <c r="L73"/>
  <c r="M74"/>
  <c r="M73"/>
  <c r="M72"/>
  <c r="M71"/>
  <c r="N55"/>
  <c r="N56"/>
  <c r="N57"/>
  <c r="N53"/>
  <c r="N36"/>
  <c r="N38"/>
  <c r="N39"/>
  <c r="N41"/>
  <c r="N40"/>
  <c r="H52" i="9"/>
  <c r="H49"/>
  <c r="H97"/>
  <c r="H70"/>
  <c r="H59"/>
  <c r="H54"/>
  <c r="H100"/>
  <c r="H12"/>
  <c r="H36"/>
  <c r="H20"/>
  <c r="H3"/>
  <c r="H78"/>
  <c r="H46"/>
  <c r="H43"/>
  <c r="H23"/>
  <c r="H9"/>
  <c r="H94"/>
  <c r="H67"/>
  <c r="H6"/>
  <c r="H7"/>
  <c r="H10"/>
  <c r="H11"/>
  <c r="H13"/>
  <c r="H15"/>
  <c r="H16"/>
  <c r="H17"/>
  <c r="H18"/>
  <c r="H19"/>
  <c r="H21"/>
  <c r="H24"/>
  <c r="H26"/>
  <c r="H28"/>
  <c r="H30"/>
  <c r="H31"/>
  <c r="H32"/>
  <c r="H33"/>
  <c r="H34"/>
  <c r="H37"/>
  <c r="H38"/>
  <c r="H39"/>
  <c r="H40"/>
  <c r="H42"/>
  <c r="H44"/>
  <c r="H45"/>
  <c r="H47"/>
  <c r="H48"/>
  <c r="H50"/>
  <c r="H51"/>
  <c r="H53"/>
  <c r="H55"/>
  <c r="H57"/>
  <c r="H58"/>
  <c r="H60"/>
  <c r="H63"/>
  <c r="H64"/>
  <c r="H65"/>
  <c r="H66"/>
  <c r="H68"/>
  <c r="H69"/>
  <c r="H71"/>
  <c r="H72"/>
  <c r="H73"/>
  <c r="H74"/>
  <c r="H75"/>
  <c r="H77"/>
  <c r="H79"/>
  <c r="H80"/>
  <c r="H82"/>
  <c r="H85"/>
  <c r="H87"/>
  <c r="H88"/>
  <c r="H89"/>
  <c r="H90"/>
  <c r="H92"/>
  <c r="H95"/>
  <c r="H96"/>
  <c r="H98"/>
  <c r="H99"/>
  <c r="H101"/>
  <c r="H4"/>
  <c r="F88" i="3"/>
  <c r="N22" i="13"/>
  <c r="N23"/>
  <c r="N24"/>
  <c r="N26"/>
  <c r="O25"/>
  <c r="N20"/>
  <c r="F85" i="12"/>
  <c r="E85"/>
  <c r="P17"/>
  <c r="Q22"/>
  <c r="B85"/>
  <c r="K79"/>
  <c r="K73"/>
  <c r="L78"/>
  <c r="L79"/>
  <c r="J33"/>
  <c r="K60"/>
  <c r="I47"/>
  <c r="I52"/>
  <c r="L3"/>
  <c r="H89" i="11"/>
  <c r="E89"/>
  <c r="C89"/>
  <c r="B89"/>
  <c r="F89"/>
  <c r="G90"/>
  <c r="M75"/>
  <c r="M49"/>
  <c r="N30"/>
  <c r="O3" i="13"/>
  <c r="O5"/>
  <c r="O6"/>
  <c r="O8"/>
  <c r="F97"/>
  <c r="M88"/>
  <c r="G97"/>
  <c r="M87"/>
  <c r="O57"/>
  <c r="O56"/>
  <c r="O55"/>
  <c r="O41"/>
  <c r="O39"/>
  <c r="O38"/>
  <c r="O26"/>
  <c r="O24"/>
  <c r="O23"/>
  <c r="O22"/>
  <c r="P9"/>
  <c r="P8"/>
  <c r="P7"/>
  <c r="P6"/>
  <c r="P5"/>
  <c r="M51" i="11"/>
  <c r="M52"/>
  <c r="M53"/>
  <c r="N53"/>
  <c r="M54"/>
  <c r="M77"/>
  <c r="M78"/>
  <c r="M80"/>
  <c r="M81"/>
  <c r="N81"/>
  <c r="N80"/>
  <c r="N79"/>
  <c r="N32"/>
  <c r="D89"/>
  <c r="D90" s="1"/>
  <c r="O34"/>
  <c r="O35"/>
  <c r="L77" i="12"/>
  <c r="L76"/>
  <c r="L75"/>
  <c r="L65"/>
  <c r="L64"/>
  <c r="L63"/>
  <c r="L62"/>
  <c r="J52"/>
  <c r="J51"/>
  <c r="J50"/>
  <c r="J49"/>
  <c r="K36"/>
  <c r="K35"/>
  <c r="Q23"/>
  <c r="Q21"/>
  <c r="Q20"/>
  <c r="Q19"/>
  <c r="M8"/>
  <c r="M7"/>
  <c r="L16" i="11"/>
  <c r="I64"/>
  <c r="I66"/>
  <c r="I67"/>
  <c r="L18"/>
  <c r="L19"/>
  <c r="L20"/>
  <c r="L21"/>
  <c r="M21"/>
  <c r="J3"/>
  <c r="K7"/>
  <c r="J5"/>
  <c r="J6"/>
  <c r="K5"/>
  <c r="K6"/>
  <c r="K8"/>
  <c r="K9"/>
  <c r="M18"/>
  <c r="M19"/>
  <c r="M20"/>
  <c r="O32"/>
  <c r="O33"/>
  <c r="O36"/>
  <c r="N51"/>
  <c r="N52"/>
  <c r="N54"/>
  <c r="J66"/>
  <c r="J67"/>
  <c r="J68"/>
  <c r="N77"/>
  <c r="N78"/>
  <c r="C90"/>
  <c r="E90"/>
  <c r="H90"/>
  <c r="B94" i="8"/>
  <c r="E94"/>
  <c r="N79"/>
  <c r="N80"/>
  <c r="N82"/>
  <c r="F94"/>
  <c r="F95"/>
  <c r="K66"/>
  <c r="K67"/>
  <c r="K53"/>
  <c r="K54"/>
  <c r="S33"/>
  <c r="S34"/>
  <c r="S36"/>
  <c r="T36"/>
  <c r="J20"/>
  <c r="J21"/>
  <c r="M6"/>
  <c r="M5"/>
  <c r="N7"/>
  <c r="N5"/>
  <c r="N6"/>
  <c r="N8"/>
  <c r="K20"/>
  <c r="K21"/>
  <c r="K22"/>
  <c r="T33"/>
  <c r="T34"/>
  <c r="T35"/>
  <c r="L53"/>
  <c r="L54"/>
  <c r="L55"/>
  <c r="L66"/>
  <c r="L67"/>
  <c r="L68"/>
  <c r="O79"/>
  <c r="O80"/>
  <c r="O81"/>
  <c r="O82"/>
  <c r="C94"/>
  <c r="D94"/>
  <c r="C95"/>
  <c r="D95"/>
  <c r="E95"/>
  <c r="K3" i="7"/>
  <c r="L17"/>
  <c r="M30"/>
  <c r="I44"/>
  <c r="I56"/>
  <c r="O67"/>
  <c r="O72"/>
  <c r="K7"/>
  <c r="F85"/>
  <c r="E85"/>
  <c r="O70"/>
  <c r="I59"/>
  <c r="I47"/>
  <c r="M33"/>
  <c r="L20"/>
  <c r="K6"/>
  <c r="D85"/>
  <c r="O69"/>
  <c r="I58"/>
  <c r="I46"/>
  <c r="M32"/>
  <c r="L19"/>
  <c r="K5"/>
  <c r="C85"/>
  <c r="B85"/>
  <c r="D86"/>
  <c r="E86"/>
  <c r="F86"/>
  <c r="C86"/>
  <c r="P72"/>
  <c r="L5"/>
  <c r="L6"/>
  <c r="L7"/>
  <c r="M19"/>
  <c r="M20"/>
  <c r="M21"/>
  <c r="N32"/>
  <c r="N33"/>
  <c r="N34"/>
  <c r="J46"/>
  <c r="J47"/>
  <c r="J48"/>
  <c r="J58"/>
  <c r="J59"/>
  <c r="J60"/>
  <c r="P69"/>
  <c r="P70"/>
  <c r="P71"/>
  <c r="P73" i="6"/>
  <c r="L7"/>
  <c r="G83"/>
  <c r="F83"/>
  <c r="E83"/>
  <c r="Q73"/>
  <c r="P71"/>
  <c r="K59"/>
  <c r="I48"/>
  <c r="M32"/>
  <c r="J20"/>
  <c r="L6"/>
  <c r="D83"/>
  <c r="P70"/>
  <c r="K58"/>
  <c r="I47"/>
  <c r="M31"/>
  <c r="J19"/>
  <c r="L5"/>
  <c r="C83"/>
  <c r="B83"/>
  <c r="D84"/>
  <c r="E84"/>
  <c r="F84"/>
  <c r="G84"/>
  <c r="C84"/>
  <c r="L61"/>
  <c r="L60"/>
  <c r="M7"/>
  <c r="M5"/>
  <c r="M6"/>
  <c r="K19"/>
  <c r="K20"/>
  <c r="K21"/>
  <c r="N31"/>
  <c r="N32"/>
  <c r="N33"/>
  <c r="J47"/>
  <c r="J48"/>
  <c r="J49"/>
  <c r="L58"/>
  <c r="L59"/>
  <c r="Q70"/>
  <c r="Q71"/>
  <c r="Q72"/>
  <c r="N34" i="5"/>
  <c r="G81"/>
  <c r="F81"/>
  <c r="K72"/>
  <c r="H62"/>
  <c r="J51"/>
  <c r="N33"/>
  <c r="M18"/>
  <c r="K6"/>
  <c r="D81"/>
  <c r="K71"/>
  <c r="H61"/>
  <c r="J50"/>
  <c r="N32"/>
  <c r="M17"/>
  <c r="K5"/>
  <c r="C81"/>
  <c r="B81"/>
  <c r="D82"/>
  <c r="E82"/>
  <c r="F82"/>
  <c r="G82"/>
  <c r="C82"/>
  <c r="L5"/>
  <c r="L6"/>
  <c r="N17"/>
  <c r="N18"/>
  <c r="N19"/>
  <c r="N20"/>
  <c r="O32"/>
  <c r="O33"/>
  <c r="O34"/>
  <c r="K50"/>
  <c r="K51"/>
  <c r="K52"/>
  <c r="I61"/>
  <c r="I62"/>
  <c r="L71"/>
  <c r="L72"/>
  <c r="L73"/>
  <c r="K62" i="4"/>
  <c r="G81"/>
  <c r="F81"/>
  <c r="E81"/>
  <c r="I73"/>
  <c r="K61"/>
  <c r="I50"/>
  <c r="N33"/>
  <c r="K20"/>
  <c r="L6"/>
  <c r="D81"/>
  <c r="L5"/>
  <c r="K19"/>
  <c r="N32"/>
  <c r="I49"/>
  <c r="K60"/>
  <c r="I72"/>
  <c r="C81"/>
  <c r="B81"/>
  <c r="D82"/>
  <c r="E82"/>
  <c r="F82"/>
  <c r="G82"/>
  <c r="C82"/>
  <c r="O36"/>
  <c r="O35"/>
  <c r="M5"/>
  <c r="M6"/>
  <c r="M7"/>
  <c r="M8"/>
  <c r="L19"/>
  <c r="L20"/>
  <c r="L21"/>
  <c r="L22"/>
  <c r="O32"/>
  <c r="O33"/>
  <c r="O34"/>
  <c r="J49"/>
  <c r="J50"/>
  <c r="J51"/>
  <c r="L60"/>
  <c r="L61"/>
  <c r="L62"/>
  <c r="J72"/>
  <c r="J73"/>
  <c r="J74"/>
  <c r="J75"/>
  <c r="H82" i="3"/>
  <c r="L68"/>
  <c r="H88"/>
  <c r="G88"/>
  <c r="L6"/>
  <c r="L20"/>
  <c r="J36"/>
  <c r="G48"/>
  <c r="I57"/>
  <c r="L67"/>
  <c r="H80"/>
  <c r="D88"/>
  <c r="B88"/>
  <c r="D89"/>
  <c r="E89"/>
  <c r="F89"/>
  <c r="G89"/>
  <c r="H89"/>
  <c r="L5"/>
  <c r="L19"/>
  <c r="J35"/>
  <c r="G47"/>
  <c r="I56"/>
  <c r="L66"/>
  <c r="H79"/>
  <c r="C88"/>
  <c r="C89"/>
  <c r="K38"/>
  <c r="M23"/>
  <c r="M22"/>
  <c r="M19"/>
  <c r="M20"/>
  <c r="M5"/>
  <c r="M6"/>
  <c r="M7"/>
  <c r="M8"/>
  <c r="M21"/>
  <c r="K35"/>
  <c r="K36"/>
  <c r="K37"/>
  <c r="H47"/>
  <c r="H48"/>
  <c r="H49"/>
  <c r="J56"/>
  <c r="J57"/>
  <c r="M66"/>
  <c r="M67"/>
  <c r="M68"/>
  <c r="I79"/>
  <c r="I80"/>
  <c r="I81"/>
  <c r="I82"/>
  <c r="I48" i="1"/>
  <c r="J73"/>
  <c r="K85"/>
  <c r="I92"/>
  <c r="H92"/>
  <c r="B92"/>
  <c r="H93"/>
  <c r="G92"/>
  <c r="F92"/>
  <c r="E92"/>
  <c r="M6"/>
  <c r="M21"/>
  <c r="I36"/>
  <c r="I47"/>
  <c r="L58"/>
  <c r="J71"/>
  <c r="K83"/>
  <c r="D92"/>
  <c r="D93"/>
  <c r="E93"/>
  <c r="F93"/>
  <c r="G93"/>
  <c r="I93"/>
  <c r="M5"/>
  <c r="M20"/>
  <c r="I35"/>
  <c r="I46"/>
  <c r="L57"/>
  <c r="J70"/>
  <c r="K82"/>
  <c r="C92"/>
  <c r="C93"/>
  <c r="L85"/>
  <c r="L84"/>
  <c r="L83"/>
  <c r="L82"/>
  <c r="K73"/>
  <c r="K72"/>
  <c r="K71"/>
  <c r="K70"/>
  <c r="M60"/>
  <c r="M61"/>
  <c r="M59"/>
  <c r="M58"/>
  <c r="M57"/>
  <c r="J48"/>
  <c r="J47"/>
  <c r="J46"/>
  <c r="N23"/>
  <c r="N22"/>
  <c r="N21"/>
  <c r="N20"/>
  <c r="J35"/>
  <c r="J36"/>
  <c r="J37"/>
  <c r="N5"/>
  <c r="N6"/>
  <c r="N7"/>
  <c r="N8"/>
  <c r="F90" i="11"/>
  <c r="C96" i="13"/>
  <c r="C97"/>
  <c r="O40"/>
  <c r="M85"/>
  <c r="M86"/>
  <c r="M89"/>
  <c r="E86" i="12"/>
  <c r="F86"/>
  <c r="M5"/>
  <c r="M6"/>
  <c r="K37"/>
  <c r="G85"/>
  <c r="G86"/>
  <c r="C85"/>
  <c r="C86"/>
  <c r="D85"/>
  <c r="D86"/>
  <c r="E93" i="18" l="1"/>
  <c r="F93"/>
  <c r="G93"/>
  <c r="C92"/>
  <c r="C93" s="1"/>
  <c r="D92"/>
  <c r="D93" s="1"/>
  <c r="N79"/>
  <c r="N80"/>
  <c r="N82"/>
  <c r="C104" i="17"/>
  <c r="C105" s="1"/>
  <c r="D104"/>
  <c r="D105" s="1"/>
  <c r="F105"/>
  <c r="P89"/>
  <c r="P90"/>
  <c r="P92"/>
  <c r="C85" i="16"/>
  <c r="C86" s="1"/>
  <c r="D86"/>
  <c r="E86"/>
  <c r="M75"/>
  <c r="M76"/>
  <c r="M77"/>
  <c r="M78"/>
  <c r="G91" i="15"/>
  <c r="C91"/>
  <c r="D91"/>
  <c r="E90"/>
  <c r="E91" s="1"/>
  <c r="P37"/>
  <c r="N77"/>
  <c r="N78"/>
  <c r="N79"/>
  <c r="F103" i="14"/>
  <c r="I103"/>
  <c r="C102"/>
  <c r="C103" s="1"/>
  <c r="D102"/>
  <c r="D103" s="1"/>
  <c r="E102"/>
  <c r="E103" s="1"/>
  <c r="O89"/>
  <c r="O90"/>
  <c r="O91"/>
  <c r="O93"/>
  <c r="H96" i="13"/>
  <c r="H97" s="1"/>
  <c r="E96"/>
  <c r="E97" s="1"/>
  <c r="D96"/>
  <c r="D97" s="1"/>
</calcChain>
</file>

<file path=xl/sharedStrings.xml><?xml version="1.0" encoding="utf-8"?>
<sst xmlns="http://schemas.openxmlformats.org/spreadsheetml/2006/main" count="4718" uniqueCount="832">
  <si>
    <t>Candidate</t>
  </si>
  <si>
    <t>Party</t>
  </si>
  <si>
    <t>Count 1</t>
  </si>
  <si>
    <t>FF</t>
  </si>
  <si>
    <t>FG</t>
  </si>
  <si>
    <t>Gerry Murray*</t>
  </si>
  <si>
    <t>Turnout</t>
  </si>
  <si>
    <t>Votes</t>
  </si>
  <si>
    <t>Share</t>
  </si>
  <si>
    <t>Seats</t>
  </si>
  <si>
    <t>-</t>
  </si>
  <si>
    <t>Ind</t>
  </si>
  <si>
    <t>Lab</t>
  </si>
  <si>
    <t>SF</t>
  </si>
  <si>
    <t>Oth</t>
  </si>
  <si>
    <t>Annie Mae Reape*</t>
  </si>
  <si>
    <t>Seamus Weir*</t>
  </si>
  <si>
    <t>Eddie Staunton*</t>
  </si>
  <si>
    <t>Michelle Mulherin</t>
  </si>
  <si>
    <t>Stephen Molloy*</t>
  </si>
  <si>
    <t>Jarlath Munnelly</t>
  </si>
  <si>
    <t>Johnny O'Malley</t>
  </si>
  <si>
    <t>Greg Jackson</t>
  </si>
  <si>
    <t>PD</t>
  </si>
  <si>
    <t>Brian Golden*</t>
  </si>
  <si>
    <t>Ray Collins</t>
  </si>
  <si>
    <t>Sean Newcombe</t>
  </si>
  <si>
    <t>Cyril Burke*</t>
  </si>
  <si>
    <t>Henry Kenny*</t>
  </si>
  <si>
    <t>Paddy McGuinness</t>
  </si>
  <si>
    <t>Sean Bourke*</t>
  </si>
  <si>
    <t>Al McDonnell*</t>
  </si>
  <si>
    <t>Michael Kilcoyne</t>
  </si>
  <si>
    <t>Johnny Mee*</t>
  </si>
  <si>
    <t>John Devaney</t>
  </si>
  <si>
    <t>Iarla Duffy</t>
  </si>
  <si>
    <t>Aidan Crowley</t>
  </si>
  <si>
    <t>George O'Malley</t>
  </si>
  <si>
    <t>Damien Ryan*</t>
  </si>
  <si>
    <t>Patsy O'Brien</t>
  </si>
  <si>
    <t>Harry Walsh</t>
  </si>
  <si>
    <t>Michael Burke*</t>
  </si>
  <si>
    <t>Nora Conroy</t>
  </si>
  <si>
    <t>Padraig Flannery</t>
  </si>
  <si>
    <t>John Cribbin*</t>
  </si>
  <si>
    <t>Tom Connolly</t>
  </si>
  <si>
    <t>Pat McHugh*</t>
  </si>
  <si>
    <t>Michael Carty*</t>
  </si>
  <si>
    <t>Richard Finn*</t>
  </si>
  <si>
    <t>Stephen Finn</t>
  </si>
  <si>
    <t>John Kelly</t>
  </si>
  <si>
    <t>Eugene Lavin</t>
  </si>
  <si>
    <t>Jimmy Maloney*</t>
  </si>
  <si>
    <t>Joe Mellett*</t>
  </si>
  <si>
    <t>John Flannery*</t>
  </si>
  <si>
    <t>Brendan McNulty</t>
  </si>
  <si>
    <t>Sean Murphy</t>
  </si>
  <si>
    <t>Michael Griffin</t>
  </si>
  <si>
    <t>Martin Peyton</t>
  </si>
  <si>
    <t>Tim Quinn*</t>
  </si>
  <si>
    <t>Gerry Coyle*</t>
  </si>
  <si>
    <t>Michael Holmes</t>
  </si>
  <si>
    <t>Pat Kilbane*</t>
  </si>
  <si>
    <t>Michael McNamara</t>
  </si>
  <si>
    <t>Rose Conway-Walsh</t>
  </si>
  <si>
    <t>Frank Leneghan*</t>
  </si>
  <si>
    <t>Michael Healy</t>
  </si>
  <si>
    <t>GP</t>
  </si>
  <si>
    <t>Margaret Adams*</t>
  </si>
  <si>
    <t>Frank Chambers*</t>
  </si>
  <si>
    <t>John O'Malley</t>
  </si>
  <si>
    <t>Peter Flynn</t>
  </si>
  <si>
    <t>Peter Sweeney*</t>
  </si>
  <si>
    <t>Austin O'Malley</t>
  </si>
  <si>
    <t>Christy Loftus</t>
  </si>
  <si>
    <t>Lucille Ryan-O'Shea</t>
  </si>
  <si>
    <t>Tom King</t>
  </si>
  <si>
    <t>Annie Mae Reape</t>
  </si>
  <si>
    <t>Ernie Caffrey</t>
  </si>
  <si>
    <t>Stephen Molloy</t>
  </si>
  <si>
    <t>Frank Devaney*</t>
  </si>
  <si>
    <t>Eddie Staunton</t>
  </si>
  <si>
    <t>Tony Durkan</t>
  </si>
  <si>
    <t>Dick Melrose</t>
  </si>
  <si>
    <t>Padraic Bourke*</t>
  </si>
  <si>
    <t>1st</t>
  </si>
  <si>
    <t>2nd</t>
  </si>
  <si>
    <t>3rd</t>
  </si>
  <si>
    <t>6th</t>
  </si>
  <si>
    <t>5th</t>
  </si>
  <si>
    <t>4th</t>
  </si>
  <si>
    <t>Al McDonnell</t>
  </si>
  <si>
    <t>Enda Kenny*</t>
  </si>
  <si>
    <t>Richard Morrin*</t>
  </si>
  <si>
    <t>Paddy Burke*</t>
  </si>
  <si>
    <t>Johnny Mee</t>
  </si>
  <si>
    <t>Liam Coady</t>
  </si>
  <si>
    <t>Regina Mulrooney</t>
  </si>
  <si>
    <t>Kevin Bourke</t>
  </si>
  <si>
    <t>Jim Higgins*</t>
  </si>
  <si>
    <t>P.J. Morley*</t>
  </si>
  <si>
    <t>Jack Heneghan*</t>
  </si>
  <si>
    <t>Richard Finn</t>
  </si>
  <si>
    <t>Jim Mannion*</t>
  </si>
  <si>
    <t>Michael Raftery*</t>
  </si>
  <si>
    <t>Sean Fitzpatrick*</t>
  </si>
  <si>
    <t>Tom Higgins</t>
  </si>
  <si>
    <t>Ray Leonard</t>
  </si>
  <si>
    <t>Michael Ryan</t>
  </si>
  <si>
    <t>John Murphy</t>
  </si>
  <si>
    <t>Michael Robinson</t>
  </si>
  <si>
    <t>7th</t>
  </si>
  <si>
    <t>Jimmy Maloney</t>
  </si>
  <si>
    <t>Paddy Oliver</t>
  </si>
  <si>
    <t>Patsy Dunne*</t>
  </si>
  <si>
    <t>Sean McEvoy*</t>
  </si>
  <si>
    <t>Joe Mellett</t>
  </si>
  <si>
    <t>Tony McDonagh</t>
  </si>
  <si>
    <t>Padraig Cosgrove*</t>
  </si>
  <si>
    <t>Vinnie Munnelly*</t>
  </si>
  <si>
    <t>Brian Golden</t>
  </si>
  <si>
    <t>John Noel Carey*</t>
  </si>
  <si>
    <t>Michael Goonan</t>
  </si>
  <si>
    <t>Tony Mullarkey</t>
  </si>
  <si>
    <t>Martin Tighe</t>
  </si>
  <si>
    <t>Michael Ring</t>
  </si>
  <si>
    <t>Martin J. O'Toole*</t>
  </si>
  <si>
    <t>Denis Gallagher</t>
  </si>
  <si>
    <t>Maurice Rice</t>
  </si>
  <si>
    <t>John Joe Kilcoyne</t>
  </si>
  <si>
    <t>Seamus Hughes*</t>
  </si>
  <si>
    <t>Sean Calleary*</t>
  </si>
  <si>
    <t>John Kelly*</t>
  </si>
  <si>
    <t>Bridie Greavey</t>
  </si>
  <si>
    <t>Frank Durcan*</t>
  </si>
  <si>
    <t>Padraig Flynn*</t>
  </si>
  <si>
    <t>Kevin O'Toole</t>
  </si>
  <si>
    <t>Henry Kenny</t>
  </si>
  <si>
    <t>David Kelly</t>
  </si>
  <si>
    <t>Martin Finn*</t>
  </si>
  <si>
    <t>Pat McHugh</t>
  </si>
  <si>
    <t>Jim Mannion</t>
  </si>
  <si>
    <t>Michael Mellett</t>
  </si>
  <si>
    <t>Thomas Charlton</t>
  </si>
  <si>
    <t>Madeline Maloney</t>
  </si>
  <si>
    <t>Pa Connolly</t>
  </si>
  <si>
    <t>Patrick Griffith</t>
  </si>
  <si>
    <t>Padraic Gavin*</t>
  </si>
  <si>
    <t>Oliver Flannery</t>
  </si>
  <si>
    <t>John McNicholas</t>
  </si>
  <si>
    <t>Joe McHale</t>
  </si>
  <si>
    <t>Padraig Cosgrove</t>
  </si>
  <si>
    <t>David O'Connor*</t>
  </si>
  <si>
    <t>Vinnie Munnelly</t>
  </si>
  <si>
    <t>Patrick Durcan</t>
  </si>
  <si>
    <t>Pat Conway*</t>
  </si>
  <si>
    <t>Seamus Hughes</t>
  </si>
  <si>
    <t>Mary McGing</t>
  </si>
  <si>
    <t>Paddy O'Toole</t>
  </si>
  <si>
    <t>Padraic Bourke</t>
  </si>
  <si>
    <t>Gerry Ginty</t>
  </si>
  <si>
    <t>Paddy Burke</t>
  </si>
  <si>
    <t>Frank Durcan</t>
  </si>
  <si>
    <t>Seamus McDonnell</t>
  </si>
  <si>
    <t>Joe Ginty</t>
  </si>
  <si>
    <t>Jim Higgins</t>
  </si>
  <si>
    <t>Cormac Hanley</t>
  </si>
  <si>
    <t>Mary O'Neill</t>
  </si>
  <si>
    <t>P.J. Gilmartin</t>
  </si>
  <si>
    <t>Sean Clarke</t>
  </si>
  <si>
    <t>Gerry Boyle</t>
  </si>
  <si>
    <t>John Flannery</t>
  </si>
  <si>
    <t>Teresa Mulligan</t>
  </si>
  <si>
    <t>Padraic Gannon</t>
  </si>
  <si>
    <t>Fred Hodgins</t>
  </si>
  <si>
    <t>John Bollingbrook*</t>
  </si>
  <si>
    <t>David O'Connor</t>
  </si>
  <si>
    <t>John Noel Carey</t>
  </si>
  <si>
    <t>Patrick Lavelle</t>
  </si>
  <si>
    <t>Cathal Quinn</t>
  </si>
  <si>
    <t>Pat Conway</t>
  </si>
  <si>
    <t>Jack Gibbons</t>
  </si>
  <si>
    <t>Frank Chambers</t>
  </si>
  <si>
    <t>Ted McHale</t>
  </si>
  <si>
    <t>Pat Kilbane</t>
  </si>
  <si>
    <t>Paddy Quinn</t>
  </si>
  <si>
    <t>Basil Morahan</t>
  </si>
  <si>
    <t>Tadhg Hastings</t>
  </si>
  <si>
    <t>Aidan Clarke</t>
  </si>
  <si>
    <t>Thomas Lynchehaun</t>
  </si>
  <si>
    <t>Ted McHale*</t>
  </si>
  <si>
    <t>John Morahan</t>
  </si>
  <si>
    <t>Edward T. Griffith</t>
  </si>
  <si>
    <t>Tim Quinn</t>
  </si>
  <si>
    <t>Ernie Caffrey*</t>
  </si>
  <si>
    <t>Seamus Weir</t>
  </si>
  <si>
    <t>John O'Donnell</t>
  </si>
  <si>
    <t>John Clarke</t>
  </si>
  <si>
    <t>Bernard Flynn</t>
  </si>
  <si>
    <t>Elected</t>
  </si>
  <si>
    <t>Beverley Cooper Flynn</t>
  </si>
  <si>
    <t>Sean Bourke</t>
  </si>
  <si>
    <t>John Devaney*</t>
  </si>
  <si>
    <t>Eoin Garavan</t>
  </si>
  <si>
    <t>Gerry Rowland</t>
  </si>
  <si>
    <t>Lucille Ryan O'Shea</t>
  </si>
  <si>
    <t>Damien Ryan</t>
  </si>
  <si>
    <t>Noel Hughes</t>
  </si>
  <si>
    <t>Ben Ryan</t>
  </si>
  <si>
    <t>John Carty</t>
  </si>
  <si>
    <t>John Cribbin</t>
  </si>
  <si>
    <t>Gerry Murray</t>
  </si>
  <si>
    <t>Paddy Oliver*</t>
  </si>
  <si>
    <t>Ian McAndrew</t>
  </si>
  <si>
    <t>Gerry Coyle</t>
  </si>
  <si>
    <t>Michael McNulty</t>
  </si>
  <si>
    <t>Frank Leneghan</t>
  </si>
  <si>
    <t>Michael Ring*</t>
  </si>
  <si>
    <t>Peter Sweeney</t>
  </si>
  <si>
    <t>Margaret Adams</t>
  </si>
  <si>
    <t>Peter McManamon</t>
  </si>
  <si>
    <t>Martin Keane</t>
  </si>
  <si>
    <t>Ann Crowley</t>
  </si>
  <si>
    <t>Jack Garrett*</t>
  </si>
  <si>
    <t>Paddy O'Toole*</t>
  </si>
  <si>
    <t>Vincent James</t>
  </si>
  <si>
    <t>Nellie Robinson*</t>
  </si>
  <si>
    <t>Noel Mullen</t>
  </si>
  <si>
    <t>Seamus Browne</t>
  </si>
  <si>
    <t>Christy Garrett</t>
  </si>
  <si>
    <t>Sean Nestor*</t>
  </si>
  <si>
    <t>Joe Mulrooney*</t>
  </si>
  <si>
    <t>Sean Feeney</t>
  </si>
  <si>
    <t>Walter Hughes</t>
  </si>
  <si>
    <t>Sonny Holster</t>
  </si>
  <si>
    <t>Charles Kelly</t>
  </si>
  <si>
    <t>Sean McEvoy</t>
  </si>
  <si>
    <t>Patsy Dunne</t>
  </si>
  <si>
    <t>John Bolingbrook</t>
  </si>
  <si>
    <t>James Grennan*</t>
  </si>
  <si>
    <t>Cathal Henry</t>
  </si>
  <si>
    <t>Kevin McLoughlin*</t>
  </si>
  <si>
    <t>Joe Leneghan*</t>
  </si>
  <si>
    <t>James Browne*</t>
  </si>
  <si>
    <t>Eamon Carey*</t>
  </si>
  <si>
    <t>James Barrett*</t>
  </si>
  <si>
    <t>James Barrett</t>
  </si>
  <si>
    <t>Denis Gallagher*</t>
  </si>
  <si>
    <t>Myles Staunton*</t>
  </si>
  <si>
    <t>Owen Hughes*</t>
  </si>
  <si>
    <t>John Lyons</t>
  </si>
  <si>
    <t>Patrick Gibbons</t>
  </si>
  <si>
    <t>Sean Staunton</t>
  </si>
  <si>
    <t>John Moran</t>
  </si>
  <si>
    <t>Brendan Fahy</t>
  </si>
  <si>
    <t>Michael McFadden</t>
  </si>
  <si>
    <t>Aiden Clarke</t>
  </si>
  <si>
    <t>Michael O'Malley</t>
  </si>
  <si>
    <t>Jack Gibbons*</t>
  </si>
  <si>
    <t>Total</t>
  </si>
  <si>
    <t>Castlebar (6 seats) Total Electorate: 19,200 Total Poll: 11,362 Valid Poll: 11,222 Quota: 1,604</t>
  </si>
  <si>
    <t>Ballinrobe (3 seats) Total Electorate: 8,507 Total Poll: 5,685 Valid Poll: 5,604 Quota: 1,402</t>
  </si>
  <si>
    <t>Claremorris (4 seats) Total Electorate: 11,222 Total Poll: 7,050 Valid Poll: 6,960 Quota: 1,393</t>
  </si>
  <si>
    <t>Swinford (4 seats) Total Electorate: 11,707 Total Poll: 7,049 Valid Poll: 6,926 Quota: 1,386</t>
  </si>
  <si>
    <t>Belmullet (4 seats) Total Electorate: 11,374 Total Poll: 7,289 Valid Poll: 7,182 Quota: 1,437</t>
  </si>
  <si>
    <t>Westport (4 seats) Total Electorate: 11,248 Total Poll: 7,668 Valid Poll: 7,575 Quota: 1,516</t>
  </si>
  <si>
    <t>Westport (4 seats) Total Electorate: 12,422 Total Poll: 8,440 Valid Poll: 8,310 Quota: 1,663</t>
  </si>
  <si>
    <t xml:space="preserve">2004 (11 June) - Ballina (6 seats) Total Electorate: 19,834 Total Poll: 12,458 Valid Poll: 12,273 Quota: 1,754 </t>
  </si>
  <si>
    <t>Castlebar (6 seats) Total Electorate: 22,245 Total Poll: 13,159 Valid Poll: 12,949 Quota: 1,850</t>
  </si>
  <si>
    <t>Ballinrobe (3 seats) Total Electorate: 9,957 Total Poll: 6,782 Valid Poll: 6,697 Quota: 1,675</t>
  </si>
  <si>
    <t>Claremorris (4 seats) Total Electorate: 12,475 Total Poll: 8,048 Valid Poll: 7,904 Quota: 1,581</t>
  </si>
  <si>
    <t>Swinford (4 seats) Total Electorate: 12,658 Total Poll: 8,229 Valid Poll: 8,073 Quota: 1,615</t>
  </si>
  <si>
    <t>Belmullet (4 seats) Total Electorate: 12,394 Total Poll: 7,690 Valid Poll: 7,589 Quota: 1,518</t>
  </si>
  <si>
    <t>Westport (5 seats) Total Electorate: 13,676 Total Poll: 10,150 Poll: 10,053 Quota: 1,676</t>
  </si>
  <si>
    <t>Swinford (4 seats) Total Electorate: 9,673 Total Poll: 6,568 Valid Poll: 6,460 Quota: 1,293</t>
  </si>
  <si>
    <t>Claremorris (7 seats) Total Electorate: 18,863 Total Poll: 13,804 Valid Poll: 13,669 Quota: 1,709</t>
  </si>
  <si>
    <t>Castlebar (5 seats) Total Electorate: 14,863 Total Poll: 10,643 Valid Poll: 10,548 Quota: 1,759</t>
  </si>
  <si>
    <t>1979 (7 June) - Ballina (6 seats) Total Electorate: 15,527 Total Poll: 10,871 Valid Poll: 10,743 Quota: 1,535</t>
  </si>
  <si>
    <t>Westport (5 seats) Total Electorate: 13,691 Total Poll: 9,899 Valid Poll: 9,791 Quota: 1,632</t>
  </si>
  <si>
    <t>1985 (20 June) - Ballina (6 seats) Total Electorate: 15,882 Total Poll: 10,801 Valid Poll: 10,736 Quota: 1,534</t>
  </si>
  <si>
    <t>Castlebar (5 seats) Total Electorate: 14,250 Total Poll: 10,575 Valid Poll: 10,496 Quota: 1,750</t>
  </si>
  <si>
    <t>Claremorris (7 seats) Total Electorate: 18,829 Total Poll: 13,945 Valid Poll: 13,838 Quota: 1,730</t>
  </si>
  <si>
    <t>Swinford (4 seats) Total Electorate: 10,977 Total Poll: 7,528 Valid Poll: 7,424 Quota: 1,485</t>
  </si>
  <si>
    <t>Killala (4 seats) Total Electorate: 9,434 Total Poll: 6,908 Valid Poll: 6,842 Quota: 1,369</t>
  </si>
  <si>
    <t>Westport (5 seats) Total Electorate: 13,881 Total Poll: 10,866 Valid Poll: 10,761 Quota: 1,794</t>
  </si>
  <si>
    <t>SFWP</t>
  </si>
  <si>
    <t>Killala (4 seats) Total Electorate: 9,397 Total Poll: 6,856 Valid Poll: 6,760 Quota: 1,353</t>
  </si>
  <si>
    <t>Michael J. McGreal</t>
  </si>
  <si>
    <t>Michael J. McGreal*</t>
  </si>
  <si>
    <t>Jimmy Glacken*</t>
  </si>
  <si>
    <t>Sean Calleary</t>
  </si>
  <si>
    <t>Jack Garrett</t>
  </si>
  <si>
    <t>Nellie Robinson</t>
  </si>
  <si>
    <t>Thomas Bourke</t>
  </si>
  <si>
    <t>Patrick Moran</t>
  </si>
  <si>
    <t>Benedict Walkin</t>
  </si>
  <si>
    <t>John Reilly</t>
  </si>
  <si>
    <t>Thomas V. Lowther</t>
  </si>
  <si>
    <t>Michael Browne*</t>
  </si>
  <si>
    <t>Castlebar (5 seats) Total Electorate: Total Poll: Valid Poll: 8,255 Quota: 1,376</t>
  </si>
  <si>
    <t>Padraig Flynn</t>
  </si>
  <si>
    <t>Sean Nestor</t>
  </si>
  <si>
    <t>Joe Mulrooney</t>
  </si>
  <si>
    <t>Patrick Coyle</t>
  </si>
  <si>
    <t>Patrick Hennelly</t>
  </si>
  <si>
    <t>Philip Derrig</t>
  </si>
  <si>
    <t>Charlie Hennelly</t>
  </si>
  <si>
    <t>Claremorris (7 seats) Total Electorate: Total Poll:  Valid Poll: 11,904 Quota: 1,489</t>
  </si>
  <si>
    <t>William Costello</t>
  </si>
  <si>
    <t>P.J. Morley</t>
  </si>
  <si>
    <t>Jack Heneghan</t>
  </si>
  <si>
    <t>Michael Raftery</t>
  </si>
  <si>
    <t>Thomas Thornton</t>
  </si>
  <si>
    <t>May O'Sullivan</t>
  </si>
  <si>
    <t>James Rogers</t>
  </si>
  <si>
    <t>Frank Ruane</t>
  </si>
  <si>
    <t>James Walshe</t>
  </si>
  <si>
    <t>Swinford (5 seats) Total Electorate: Total Poll:  Valid Poll: 6,180 Quota: 1,031</t>
  </si>
  <si>
    <t>Thomas O'Hara*</t>
  </si>
  <si>
    <t>Douglas Kelly*</t>
  </si>
  <si>
    <t>James Grennan</t>
  </si>
  <si>
    <t>James Doherty</t>
  </si>
  <si>
    <t>Kevin McLoughlin</t>
  </si>
  <si>
    <t>Thomas Tarpey</t>
  </si>
  <si>
    <t>Padraic Horan</t>
  </si>
  <si>
    <t>Caoimhin Campbell</t>
  </si>
  <si>
    <t>Killala (4 seats) Total Electorate:  Total Poll:  Valid Poll: 5,770 Quota: 1,155</t>
  </si>
  <si>
    <t>James Browne</t>
  </si>
  <si>
    <t>Patrick Gilvarry</t>
  </si>
  <si>
    <t>Eamon Carey</t>
  </si>
  <si>
    <t>Cathal Kilroy</t>
  </si>
  <si>
    <t>Peter Deavy</t>
  </si>
  <si>
    <t>William Gunnigal</t>
  </si>
  <si>
    <t>Westport (5 seats) Total Electorate:  Total Poll:  Valid Poll: 8,381 Quota: 1,397</t>
  </si>
  <si>
    <t>Myles Staunton</t>
  </si>
  <si>
    <t>Paddy Muldoon</t>
  </si>
  <si>
    <t>Sean O'Malley</t>
  </si>
  <si>
    <t>Oliver Morahan</t>
  </si>
  <si>
    <t>Peadar Kilroy</t>
  </si>
  <si>
    <t>Thomas Giblin</t>
  </si>
  <si>
    <t>Michael Hoban</t>
  </si>
  <si>
    <t>Vote</t>
  </si>
  <si>
    <t>Area</t>
  </si>
  <si>
    <t>Year</t>
  </si>
  <si>
    <t>Quota</t>
  </si>
  <si>
    <t>Quota level</t>
  </si>
  <si>
    <t>CnaT</t>
  </si>
  <si>
    <t>CnaP</t>
  </si>
  <si>
    <t>WP</t>
  </si>
  <si>
    <t>Claremorris</t>
  </si>
  <si>
    <t>Castlebar</t>
  </si>
  <si>
    <t>Joe Leneghan</t>
  </si>
  <si>
    <t>Killala</t>
  </si>
  <si>
    <t>Michael Browne</t>
  </si>
  <si>
    <t>Ballina</t>
  </si>
  <si>
    <t>Martin Finn</t>
  </si>
  <si>
    <t>Westport</t>
  </si>
  <si>
    <t>Frank Devaney</t>
  </si>
  <si>
    <t>Enda Kenny</t>
  </si>
  <si>
    <t>Martin J. O'Toole</t>
  </si>
  <si>
    <t>Padraic Gavin</t>
  </si>
  <si>
    <t>Swinford</t>
  </si>
  <si>
    <t>Cyril Burke</t>
  </si>
  <si>
    <t>Ballinrobe</t>
  </si>
  <si>
    <t>1967 (28 June) - Ballina (5 seats) Total Electorate: Total Poll: Valid Poll: 8,504 Quota: 1,418</t>
  </si>
  <si>
    <t>Gerald Timlin</t>
  </si>
  <si>
    <t>Martin Durcan</t>
  </si>
  <si>
    <t>John Durcan</t>
  </si>
  <si>
    <t>Castlebar (5 seats) Total Electorate: 11,754 Total Poll: 6,804 Valid Poll: 6,723 Quota: 1,121</t>
  </si>
  <si>
    <t>Patrick Quinn</t>
  </si>
  <si>
    <t>Andrew Redmond</t>
  </si>
  <si>
    <t>Peter McGrath</t>
  </si>
  <si>
    <t>Thomas Donohoe</t>
  </si>
  <si>
    <t>Henry Jordan</t>
  </si>
  <si>
    <t>Joseph Blowick</t>
  </si>
  <si>
    <t>Killala (4 seats) Total Electorate: 9,660 Total Poll: 5,335 Valid Poll: 5,335 Quota: 1,068</t>
  </si>
  <si>
    <t>Patrick Garvin</t>
  </si>
  <si>
    <t>George Egan*</t>
  </si>
  <si>
    <t>Michael Kilroy*</t>
  </si>
  <si>
    <t>Beverley Cooper Flynn*</t>
  </si>
  <si>
    <t>Claremorris (7 seats) Total Electorate: 18,462 Total Poll: 8,680 Valid Poll: 8,624 Quota: 1,079</t>
  </si>
  <si>
    <t>Patrick McDonagh</t>
  </si>
  <si>
    <t>Owen Higgins</t>
  </si>
  <si>
    <t>Patrick Walsh</t>
  </si>
  <si>
    <t>Timothy Duffy</t>
  </si>
  <si>
    <t>Michael Snee</t>
  </si>
  <si>
    <t>Christy Byrne</t>
  </si>
  <si>
    <t>Westport (5 seats) Total Electorate: 14,098 Total Poll:  Valid Poll: 6,460 Quota: 1,077</t>
  </si>
  <si>
    <t>Patrick Fadian</t>
  </si>
  <si>
    <t>William O'Malley</t>
  </si>
  <si>
    <t>Michael Lynch</t>
  </si>
  <si>
    <t>Edward Murray</t>
  </si>
  <si>
    <t>Thomas Giblin*</t>
  </si>
  <si>
    <t>Swinford (5 seats) Total Electorate: 11,370 Total Poll: 5,897 Valid Poll: 5,817 Quota: 970</t>
  </si>
  <si>
    <t>Michael Geraghty</t>
  </si>
  <si>
    <t>Dominic Cafferky</t>
  </si>
  <si>
    <t>Michael Howley</t>
  </si>
  <si>
    <t>William Doherty</t>
  </si>
  <si>
    <t>Thomas Durcan*</t>
  </si>
  <si>
    <t>1960 (29 June) - Ballina (5 seats) Total Electorate:12,673 Total Poll: 7,359 Valid Poll: 7,252 Quota: 1,209</t>
  </si>
  <si>
    <t>Dominic Cafferky*</t>
  </si>
  <si>
    <t>Thomas Bourke*</t>
  </si>
  <si>
    <t>Michael Fadden*</t>
  </si>
  <si>
    <t>Peter McGrath*</t>
  </si>
  <si>
    <t>Patrick Quinn*</t>
  </si>
  <si>
    <t>Bernard Commons*</t>
  </si>
  <si>
    <t>Bernard Joyce*</t>
  </si>
  <si>
    <t>Paddy Curran*</t>
  </si>
  <si>
    <t>Charles Gilmartin*</t>
  </si>
  <si>
    <t>John Gilligan*</t>
  </si>
  <si>
    <t>James Gilvarry*</t>
  </si>
  <si>
    <t>Thomas Thornton*</t>
  </si>
  <si>
    <t>Joseph McManamon*</t>
  </si>
  <si>
    <t>John Clarke*</t>
  </si>
  <si>
    <t>Castlebar (5 seats) Total Electorate: 12,737 Total Poll:  Valid Poll: 7,974 Quota: 1,330</t>
  </si>
  <si>
    <t>Micheal O'Morain</t>
  </si>
  <si>
    <t>2009 (5 June) - Ballina (6 seats) Total Electorate: 19,066 Total Poll: 12,258 Valid Poll: 12,112 Quota: 1,731</t>
  </si>
  <si>
    <t>Michelle Mulherin*</t>
  </si>
  <si>
    <t>Jarlath Munnelly*</t>
  </si>
  <si>
    <t>Johnny O'Malley*</t>
  </si>
  <si>
    <t>Michael Loftus</t>
  </si>
  <si>
    <t>David Moffatt</t>
  </si>
  <si>
    <t>Michael McNamara*</t>
  </si>
  <si>
    <t>Michael Holmes*</t>
  </si>
  <si>
    <t>John Corrigan</t>
  </si>
  <si>
    <t>James Padden</t>
  </si>
  <si>
    <t>Belmullet (4 seats) Total Electorate: 13,694 Total Poll: 9,177 Valid Poll: 9,056 Quota: 1,812</t>
  </si>
  <si>
    <t>Eugene Lavin*</t>
  </si>
  <si>
    <t>John Caulfield</t>
  </si>
  <si>
    <t>Michael Smyth</t>
  </si>
  <si>
    <t>Sylvia Spain</t>
  </si>
  <si>
    <t>John Healy</t>
  </si>
  <si>
    <t>Swinford (4 seats) Total Electorate: 13,732 Total Poll: 9,147 Valid Poll: 9,018 Quota: 1,804</t>
  </si>
  <si>
    <t>Patsy O'Brien*</t>
  </si>
  <si>
    <t>Tom Connolly*</t>
  </si>
  <si>
    <t>Harry Walsh*</t>
  </si>
  <si>
    <t>Michael Burke</t>
  </si>
  <si>
    <t>Gerard McHale</t>
  </si>
  <si>
    <t>Westport (4 seats) Total Electorate: 12,420 Total Poll: 8,356 Valid Poll: 8,265 Quota: 1,654</t>
  </si>
  <si>
    <t>John O'Malley*</t>
  </si>
  <si>
    <t>Austin O'Malley*</t>
  </si>
  <si>
    <t>Caroline Navin</t>
  </si>
  <si>
    <t>Keith Martin</t>
  </si>
  <si>
    <t>Dave Keating</t>
  </si>
  <si>
    <t>Andy Wilson</t>
  </si>
  <si>
    <t>Claremorris (6 seats) Total Electorate: 21,780 Total Poll: 14,949 Valid Poll: 14,785 Quota: 2,113</t>
  </si>
  <si>
    <t>Castlebar (7 seats) Total Electorate: 23,279 Total Poll: 15,011 Valid Poll: 14,848 Quota: 1,855</t>
  </si>
  <si>
    <t>Eugene McCormack</t>
  </si>
  <si>
    <t>Blackie Gavin</t>
  </si>
  <si>
    <t>Harry Barrett</t>
  </si>
  <si>
    <t>Kevin Guthrie</t>
  </si>
  <si>
    <t>Michael Feeney</t>
  </si>
  <si>
    <t>Therese Ruane</t>
  </si>
  <si>
    <t>Ind Lab</t>
  </si>
  <si>
    <t>Belmullet</t>
  </si>
  <si>
    <t>Owen Hughes</t>
  </si>
  <si>
    <t>Claremorris (7 seats) Total Electorate: 19,888 Total Poll: 10,376 Valid Poll: 10,268 Quota: 1,284</t>
  </si>
  <si>
    <t>Paddy Curran</t>
  </si>
  <si>
    <t>Douglas Kelly</t>
  </si>
  <si>
    <t>Thomas Durcan</t>
  </si>
  <si>
    <t>Swinford (5 seats) Total Electorate: 12,689 Total Poll: 8,004 Valid Poll: 7,895 Quota: 1,316</t>
  </si>
  <si>
    <t>Killala (4 seats) Total Electorate: 10,671 Total Poll: 6,543 Valid Poll: 6,468 Quota: 1,294</t>
  </si>
  <si>
    <t>James Gilvarry</t>
  </si>
  <si>
    <t>Westport (5 seats) Total Electorate: 15,438 Total Poll: 8,517 Valid Poll: 8,439 Quota: 1,407</t>
  </si>
  <si>
    <t>Joseph McManamon</t>
  </si>
  <si>
    <t>1999 (11 June) - Ballina (6 seats) Total Electorate: 18,303 Total Poll: 11,257 Valid Poll: 11,095 Quota: 1,586</t>
  </si>
  <si>
    <t>Martin J. Cassidy*</t>
  </si>
  <si>
    <t>Sean Doherty</t>
  </si>
  <si>
    <t>Sean T. Ruane*</t>
  </si>
  <si>
    <t>Patrick Doherty</t>
  </si>
  <si>
    <t>Joseph Doherty</t>
  </si>
  <si>
    <t>John J. Gilvarry</t>
  </si>
  <si>
    <t>John J. Leonard</t>
  </si>
  <si>
    <t>Martin J. McGrath*</t>
  </si>
  <si>
    <t>Patrick Burke</t>
  </si>
  <si>
    <t>Thomas Heneghan</t>
  </si>
  <si>
    <t>William Ralph</t>
  </si>
  <si>
    <t>Michael Joyce</t>
  </si>
  <si>
    <t>Martin Carney*</t>
  </si>
  <si>
    <t>Thomas Kilroy</t>
  </si>
  <si>
    <t>Willie Walsh</t>
  </si>
  <si>
    <t>Michael D. Lyons*</t>
  </si>
  <si>
    <t>Patrick Regan</t>
  </si>
  <si>
    <t>John Heneghan</t>
  </si>
  <si>
    <t>Thomas Tarpey*</t>
  </si>
  <si>
    <t>Eamon Regan</t>
  </si>
  <si>
    <t>Thomas Egan</t>
  </si>
  <si>
    <t>Capt. Thomas Egan</t>
  </si>
  <si>
    <t>Frank Turnbull</t>
  </si>
  <si>
    <t>Pat Linney</t>
  </si>
  <si>
    <t>John Farrell</t>
  </si>
  <si>
    <t>Eamon Munnelly</t>
  </si>
  <si>
    <t>Padraig McAndrew</t>
  </si>
  <si>
    <t>Ind Rep</t>
  </si>
  <si>
    <t>Michael J. Tighe</t>
  </si>
  <si>
    <t>Joseph Sweeney*</t>
  </si>
  <si>
    <t>Peter Kilroy*</t>
  </si>
  <si>
    <t>James Ginnelly</t>
  </si>
  <si>
    <t>John T. Morahan</t>
  </si>
  <si>
    <t>Thomas Scott*</t>
  </si>
  <si>
    <t>Henry J. Gill</t>
  </si>
  <si>
    <t>Matthew J. Beckett</t>
  </si>
  <si>
    <t>Matthew Cosgrave*</t>
  </si>
  <si>
    <t>1955 (23 June) - Ballina (5 seats) Total Electorate: 13,844 Total Poll: 9,449 Valid Poll: 9,308 Quota: 1,552</t>
  </si>
  <si>
    <t>1991 (27 June) - Ballina (6 seats) Total Electorate: 15,551 Total Poll: 10,188 Valid Poll: 10,107 Quota: 1,444</t>
  </si>
  <si>
    <t>Castlebar (5 seats) Total Electorate: 14,146 Total Poll: 9,471 Valid Poll: 9,394 Quota: 1,566</t>
  </si>
  <si>
    <t>Claremorris (7 seats) Total Electorate: 18,132 Total Poll: 12,666 Valid Poll: 12,586 Quota: 1,574</t>
  </si>
  <si>
    <t>Swinford (4 seats) Total Electorate: 9,877 Total Poll: 6,505 Valid Poll: 6,443 Quota: 1,289</t>
  </si>
  <si>
    <t>Killala (4 seats) Total Electorate: 9,176 Total Poll: 6,044 Valid Poll: 5,971 Quota: 1,195</t>
  </si>
  <si>
    <t>1974 (18 June) - Ballina (6 seats) Total Electorate: 13,494 Total Poll:  Valid Poll: 9,646 Quota: 1,379</t>
  </si>
  <si>
    <t>Castlebar (5 seats) Total Electorate: 13,183 Total Poll:  Valid Poll: 9,614 Quota: 1,603</t>
  </si>
  <si>
    <t>Claremorris (7 seats) Total Electorate: 18,360 Total Poll:  Valid Poll: 12,466 Quota: 1,559</t>
  </si>
  <si>
    <t>Swinford (4 seats) Total Electorate: 9,507 Total Poll:  Valid Poll: 6,816 Quota: 1,364</t>
  </si>
  <si>
    <t>Killala (4 seats) Total Electorate: 9,109 Total Poll:  Valid Poll: 6,084 Quota: 1,217</t>
  </si>
  <si>
    <t>Westport (5 seats) Total Electorate: 13,178 Total Poll:  Valid Poll: 9,489 Quota: 1,582</t>
  </si>
  <si>
    <t>1950 (20 September) - Ballina (5 seats) Total Electorate: 14,016 Total Poll:  Valid Poll: 9,063 Quota: 1,511</t>
  </si>
  <si>
    <t>James Forde*</t>
  </si>
  <si>
    <t>Martin J. McGrath</t>
  </si>
  <si>
    <t>Emmet Davis</t>
  </si>
  <si>
    <t>Thomas Jordan*</t>
  </si>
  <si>
    <t>Joseph Henry</t>
  </si>
  <si>
    <t>Patrick Lawrence*</t>
  </si>
  <si>
    <t>Patrick Browne*</t>
  </si>
  <si>
    <t>J. Walsh</t>
  </si>
  <si>
    <t>Thomas Ruane</t>
  </si>
  <si>
    <t>M. Mullaney</t>
  </si>
  <si>
    <t>Castlebar (5 seats) Total Electorate: 13,241 Total Poll:  Valid Poll: 7,957 Quota: 1,327</t>
  </si>
  <si>
    <t>Michael Lavelle</t>
  </si>
  <si>
    <t>Austin McNeely</t>
  </si>
  <si>
    <t>Michael Gibbons</t>
  </si>
  <si>
    <t>Joseph Horan</t>
  </si>
  <si>
    <t>Richard Walsh*</t>
  </si>
  <si>
    <t>Patrick Gavin</t>
  </si>
  <si>
    <t>Michael Walsh</t>
  </si>
  <si>
    <t>James Quigley</t>
  </si>
  <si>
    <t>Claremorris (7 seats) Total Electorate: 20,993 Total Poll: 11,493 Valid Poll: 11,370 Quota: 1,423</t>
  </si>
  <si>
    <t>Patrick Egan</t>
  </si>
  <si>
    <t xml:space="preserve">John Gill </t>
  </si>
  <si>
    <t>John Maye</t>
  </si>
  <si>
    <t>William Walsh</t>
  </si>
  <si>
    <t>Michael Murphy</t>
  </si>
  <si>
    <t>J. Bradley</t>
  </si>
  <si>
    <t>John Mullee</t>
  </si>
  <si>
    <t>Patrick Regan*</t>
  </si>
  <si>
    <t>Michael D. Lyons</t>
  </si>
  <si>
    <t>Sean T. Ruane</t>
  </si>
  <si>
    <t>Matthew Cosgrave</t>
  </si>
  <si>
    <t>Martin Walsh*</t>
  </si>
  <si>
    <t>Swinford (5 seats) Total Electorate: 13,873 Total Poll:  Valid Poll: 7,562 Quota: 1,261</t>
  </si>
  <si>
    <t>Joseph Kearns*</t>
  </si>
  <si>
    <t>J. Mahon</t>
  </si>
  <si>
    <t>John McIntyre</t>
  </si>
  <si>
    <t>Coimin MacCathmhaoil</t>
  </si>
  <si>
    <t>James Kilroy*</t>
  </si>
  <si>
    <t>George Egan</t>
  </si>
  <si>
    <t>Padraig McAndrew*</t>
  </si>
  <si>
    <t>Thomas Kearney</t>
  </si>
  <si>
    <t>Patrick Caulfield</t>
  </si>
  <si>
    <t>Patrick J. Lindsay</t>
  </si>
  <si>
    <t>Patrick Healy*</t>
  </si>
  <si>
    <t>Patrick Bourke*</t>
  </si>
  <si>
    <t>Killala (4 seats) Total Electorate: 11,065 Total Poll:  Valid Poll: 6,839 Quota: 1,368</t>
  </si>
  <si>
    <t>Westport (5 seats) Total Electorate: 16,168 Total Poll: 8,834 Valid Poll: 8,692 Quota: 1,449</t>
  </si>
  <si>
    <t>Joseph Sweeney</t>
  </si>
  <si>
    <t>Peter Kilroy</t>
  </si>
  <si>
    <t>Thomas Scott</t>
  </si>
  <si>
    <t>Patrick Golden</t>
  </si>
  <si>
    <t>Patrick Shanley</t>
  </si>
  <si>
    <t>P.J. Gibbons*</t>
  </si>
  <si>
    <t>Patrick Duffy*</t>
  </si>
  <si>
    <t>Michael Gallagher*</t>
  </si>
  <si>
    <t>John T. Morahan*</t>
  </si>
  <si>
    <t>Anthony Peyton</t>
  </si>
  <si>
    <t>Martin D. Kelly*</t>
  </si>
  <si>
    <t>1945 (14 June) - Ballina (5 seats) Total Electorate:  Total Poll: 9,532 Valid Poll: 9,285 Quota: 1,548</t>
  </si>
  <si>
    <t>Patrick Browne</t>
  </si>
  <si>
    <t>Patrick Lawrence</t>
  </si>
  <si>
    <t>Thomas Jordan</t>
  </si>
  <si>
    <t>James Forde</t>
  </si>
  <si>
    <t>Frank Cassidy</t>
  </si>
  <si>
    <t>Martin Commons</t>
  </si>
  <si>
    <t>Thomas Gillespie</t>
  </si>
  <si>
    <t>Tom Hunter</t>
  </si>
  <si>
    <t>Castlebar (5 seats) Total Electorate:  Total Poll: 9,480 Valid Poll: 9,299 Quota: 1,555</t>
  </si>
  <si>
    <t>Martin Carney</t>
  </si>
  <si>
    <t>Michael Fadden</t>
  </si>
  <si>
    <t>Myles Joyce</t>
  </si>
  <si>
    <t>Patrick Burke*</t>
  </si>
  <si>
    <t>William Gibbons</t>
  </si>
  <si>
    <t>Claremorris (7 seats) Total Electorate:  Total Poll: 13,433 Valid Poll: 13,208 Quota: 1,652</t>
  </si>
  <si>
    <t>Bernard Commons</t>
  </si>
  <si>
    <t>Martin Walsh</t>
  </si>
  <si>
    <t>Martin Moran</t>
  </si>
  <si>
    <t>John Concannon</t>
  </si>
  <si>
    <t>Richard Mellett</t>
  </si>
  <si>
    <t>Malachy Forde</t>
  </si>
  <si>
    <t>Swinford (5 seats) Total Electorate:  Total Poll: 9,350 Valid Poll: 9,115 Quota: 1,520</t>
  </si>
  <si>
    <t>Joseph Kearns</t>
  </si>
  <si>
    <t>John Roache</t>
  </si>
  <si>
    <t>Jack Benson</t>
  </si>
  <si>
    <t>John Walsh</t>
  </si>
  <si>
    <t>George Robinson*</t>
  </si>
  <si>
    <t>Thomas Murphy</t>
  </si>
  <si>
    <t>Killala (4 seats) Total Electorate:  Total Poll: 6,172 Valid Poll: 6,022 Quota: 1,205</t>
  </si>
  <si>
    <t>James Kilroy</t>
  </si>
  <si>
    <t>Nial McCormack*</t>
  </si>
  <si>
    <t>Peter J. Davey</t>
  </si>
  <si>
    <t>Westport (5 seats) Total Electorate:  Total Poll: 9,475 Valid Poll: 9,237 Quota: 1,540</t>
  </si>
  <si>
    <t>P.J. Gibbons</t>
  </si>
  <si>
    <t>Patrick Duffy</t>
  </si>
  <si>
    <t>Martin D. Kelly</t>
  </si>
  <si>
    <t>Joseph Carroll</t>
  </si>
  <si>
    <t>Thomas Joyce</t>
  </si>
  <si>
    <t>Austin O'Reilly</t>
  </si>
  <si>
    <t>Sean Lynchehaun</t>
  </si>
  <si>
    <t>Martin O'Donnell</t>
  </si>
  <si>
    <t>Sean Lynchehaun*</t>
  </si>
  <si>
    <t>Thomas Burke</t>
  </si>
  <si>
    <t>Sean Hannon</t>
  </si>
  <si>
    <t>William Barrett</t>
  </si>
  <si>
    <t>P.J. Kilduff</t>
  </si>
  <si>
    <t>Eugene McConn</t>
  </si>
  <si>
    <t>P.J. Walshe</t>
  </si>
  <si>
    <t>F</t>
  </si>
  <si>
    <t>1942 (19 August) - Ballina (5 seats) Total Electorate: 15,564 Total Poll: 8,995 Valid Poll: 8,737 Quota: 1,457</t>
  </si>
  <si>
    <t>Michael F. Corley</t>
  </si>
  <si>
    <t>Thomas Lynch</t>
  </si>
  <si>
    <t>Castlebar (5 seats) Total Electorate: 15,518 Total Poll: 8,447 Valid Poll: 8,277 Quota: 1,380</t>
  </si>
  <si>
    <t>Owen Higgins*</t>
  </si>
  <si>
    <t>John O'Toole</t>
  </si>
  <si>
    <t>Patrick McNieve</t>
  </si>
  <si>
    <t>Claremorris (7 seats) Total Electorate: 23,081 Total Poll: 9,603 Valid Poll: 9,446 Quota: 1,181</t>
  </si>
  <si>
    <t>Swinford (5 seats) Total Electorate: 15,943 Total Poll: 9,030 Valid Poll: 8,849 Quota: 1,475</t>
  </si>
  <si>
    <t>Thomas O'Toole*</t>
  </si>
  <si>
    <t>Martin Nally*</t>
  </si>
  <si>
    <t>Martin J. Cassidy</t>
  </si>
  <si>
    <t>Thomas O'Hara</t>
  </si>
  <si>
    <t>George Robinson</t>
  </si>
  <si>
    <t>William Mellett*</t>
  </si>
  <si>
    <t>William Gallagher*</t>
  </si>
  <si>
    <t>M.J. O'Hara</t>
  </si>
  <si>
    <t>P.J. Honan</t>
  </si>
  <si>
    <t>P.W. Davitt</t>
  </si>
  <si>
    <t>Thomas Horkan</t>
  </si>
  <si>
    <t>Ind F.</t>
  </si>
  <si>
    <t>Ind FF</t>
  </si>
  <si>
    <t>Killala (4 seats) Total Electorate: 12,247 Total Poll: 5,849 Valid Poll: 5,680 Quota: 1,137</t>
  </si>
  <si>
    <t>Nial McCormack</t>
  </si>
  <si>
    <t>Michael Henry</t>
  </si>
  <si>
    <t>Timothy Healy</t>
  </si>
  <si>
    <t>James McGing*</t>
  </si>
  <si>
    <t>Michael Gavin</t>
  </si>
  <si>
    <t>E. Sweeney</t>
  </si>
  <si>
    <t>Westport (5 seats) Total Electorate: 17,360 Total Poll: 7,514 Valid Poll: 7,263 Quota: 1,211</t>
  </si>
  <si>
    <t>Thomas Ruane*</t>
  </si>
  <si>
    <t>Martin Durcan*</t>
  </si>
  <si>
    <t>Patrick S. Daly*</t>
  </si>
  <si>
    <t>Edward Moane*</t>
  </si>
  <si>
    <t>Patrick McNieve*</t>
  </si>
  <si>
    <t>Patrick Carney</t>
  </si>
  <si>
    <t>Daniel Judge</t>
  </si>
  <si>
    <t>Denis Daly</t>
  </si>
  <si>
    <t>1934 (26 June) - Ballina (5 seats) Total Electorate: 7,350 Total Poll: 5,802 Valid Poll: 5,679 Quota: 947</t>
  </si>
  <si>
    <t>Castlebar (5 seats) Total Electorate: 7,786 Total Poll: 5,605 Valid Poll: 5,539 Quota: 924</t>
  </si>
  <si>
    <t>Thomas O'Toole</t>
  </si>
  <si>
    <t>Thomas Moclair</t>
  </si>
  <si>
    <t>James Millar</t>
  </si>
  <si>
    <t>Michael Kelly</t>
  </si>
  <si>
    <t>John Tunny</t>
  </si>
  <si>
    <t>Michael Daly</t>
  </si>
  <si>
    <t>Claremorris (8 seats) Total Electorate: 13,866 Total Poll: 11,061 Valid Poll: 10,867 Quota: 1,208</t>
  </si>
  <si>
    <t>8th</t>
  </si>
  <si>
    <t>Martin Nally</t>
  </si>
  <si>
    <t>Charles Gilmartin</t>
  </si>
  <si>
    <t>Bernard Joyce</t>
  </si>
  <si>
    <t>John Leonard</t>
  </si>
  <si>
    <t>John Jordan</t>
  </si>
  <si>
    <t>Thomas Keane</t>
  </si>
  <si>
    <t>James Mullarkey</t>
  </si>
  <si>
    <t>Patrick Godfrey</t>
  </si>
  <si>
    <t>James Brannick</t>
  </si>
  <si>
    <t>William Gallagher</t>
  </si>
  <si>
    <t>William Mellett</t>
  </si>
  <si>
    <t>Michael Hardy</t>
  </si>
  <si>
    <t>Michael McGloin</t>
  </si>
  <si>
    <t>Thomas Fahey</t>
  </si>
  <si>
    <t>James Rowley</t>
  </si>
  <si>
    <t>Brian Flannery</t>
  </si>
  <si>
    <t>Thomas Mulligan</t>
  </si>
  <si>
    <t>Swinford (8 seats) Total Electorate: 11,584 Total Poll:  Valid Poll: 8,800 Quota: 978</t>
  </si>
  <si>
    <t>Patrick Bourke</t>
  </si>
  <si>
    <t xml:space="preserve">Ind  </t>
  </si>
  <si>
    <t>Thomas Kelly</t>
  </si>
  <si>
    <t>Killala (5 seats) Total Electorate: 6,566 Total Poll:  Valid Poll: 4,629 Quota: 772</t>
  </si>
  <si>
    <t>Westport (7 seats) Total Electorate: 9,427 Total Poll:  Valid Poll: 6,285 Quota: 786</t>
  </si>
  <si>
    <t>James McGing</t>
  </si>
  <si>
    <t>Edward Bourke</t>
  </si>
  <si>
    <t>Pat McNulty</t>
  </si>
  <si>
    <t>Michael Keane</t>
  </si>
  <si>
    <t>John Malone</t>
  </si>
  <si>
    <t>Edward Langan</t>
  </si>
  <si>
    <t>Anthony Lavelle</t>
  </si>
  <si>
    <t>Richard Lyons</t>
  </si>
  <si>
    <t>Anthony McNamara</t>
  </si>
  <si>
    <t>Phelim Henry</t>
  </si>
  <si>
    <t>Michael J. Mulderrig</t>
  </si>
  <si>
    <t>Thomas Lennon</t>
  </si>
  <si>
    <t>John McGeehin</t>
  </si>
  <si>
    <t>Patrick Loftus</t>
  </si>
  <si>
    <t>Patrick Cleary</t>
  </si>
  <si>
    <t>CnaG</t>
  </si>
  <si>
    <t>Daniel Hogan</t>
  </si>
  <si>
    <t>Thomas Lavin</t>
  </si>
  <si>
    <t>Michael Dermody</t>
  </si>
  <si>
    <t>John Coleman</t>
  </si>
  <si>
    <t>Alphonsus Quinn</t>
  </si>
  <si>
    <t>Anthony Waldron</t>
  </si>
  <si>
    <t>Peter Dooley</t>
  </si>
  <si>
    <t>Edward Griffith</t>
  </si>
  <si>
    <t>Far</t>
  </si>
  <si>
    <t>Arthur Morris</t>
  </si>
  <si>
    <t>P.D. Kenney</t>
  </si>
  <si>
    <t>Patrick J. Honan</t>
  </si>
  <si>
    <t>Thomas Carney</t>
  </si>
  <si>
    <t>Giles Barrett</t>
  </si>
  <si>
    <t>Thomas Hunt</t>
  </si>
  <si>
    <t>Dermot Donoghue</t>
  </si>
  <si>
    <t>Martin J. Kearney</t>
  </si>
  <si>
    <t>Michael Gallagher</t>
  </si>
  <si>
    <t>James Lynn</t>
  </si>
  <si>
    <t>Michael Sammon</t>
  </si>
  <si>
    <t>Patrick Tunney</t>
  </si>
  <si>
    <t>Thomas Moran</t>
  </si>
  <si>
    <t>Patrick Corrigan</t>
  </si>
  <si>
    <t>Patrick Malley</t>
  </si>
  <si>
    <t>Killala (5 seats) Total Electorate:  Total Poll: 3,508 Valid Poll: 3,362 Quota: 561</t>
  </si>
  <si>
    <t>1928 (25 June) - Ballina (5 seats) Total Electorate:  Total Poll: 4,775 Valid Poll: 4,535 Quota: 756</t>
  </si>
  <si>
    <t>Castlebar (5 seats) Total Electorate:  Total Poll: 3,887 Valid Poll: 3,779 Quota: 630</t>
  </si>
  <si>
    <t>Patrick Sander</t>
  </si>
  <si>
    <t>Claremorris (8 seats) Total Electorate:  Total Poll: 7,110 Valid Poll: 6,893 Quota: 766</t>
  </si>
  <si>
    <t>Westport (7 seats) Total Electorate:  Total Poll: 4,857 Valid Poll: 4,677 Quota: 585</t>
  </si>
  <si>
    <t>Swinford (8 seats) Total Electorate:  Total Poll:  Valid Poll: 6,454 Quota: 718</t>
  </si>
  <si>
    <t>Patrick O'Hara*</t>
  </si>
  <si>
    <t>James J. Duffy*</t>
  </si>
  <si>
    <t>Joseph Mellett*</t>
  </si>
  <si>
    <t>Mark Henry*</t>
  </si>
  <si>
    <t>Bernard Cunniffe*</t>
  </si>
  <si>
    <t>Thomas Campbell*</t>
  </si>
  <si>
    <t>John Corcoran*</t>
  </si>
  <si>
    <t>John Munnelly*</t>
  </si>
  <si>
    <t>Patrick O'Donnell*</t>
  </si>
  <si>
    <t>Martin O'Donnell*</t>
  </si>
  <si>
    <t>Patrick J. Waldron*</t>
  </si>
  <si>
    <t>Michael Davis*</t>
  </si>
  <si>
    <t>Patrick J. Ruttledge*</t>
  </si>
  <si>
    <t>Robert Scott*</t>
  </si>
  <si>
    <t>Patrick Jordan*</t>
  </si>
  <si>
    <t>Pat Higgins*</t>
  </si>
  <si>
    <t>Thomas Loftus*</t>
  </si>
  <si>
    <t>Denis Daly*</t>
  </si>
  <si>
    <t>Daniel Judge*</t>
  </si>
  <si>
    <t>Thomas Moclair*</t>
  </si>
  <si>
    <t>James Mullarkey*</t>
  </si>
  <si>
    <t>Michael Hardy*</t>
  </si>
  <si>
    <t>John McGeehin*</t>
  </si>
  <si>
    <t>Anthony Lavelle*</t>
  </si>
  <si>
    <t>Michael Davis</t>
  </si>
  <si>
    <t>Robert Scott</t>
  </si>
  <si>
    <t>M.J. Melvin</t>
  </si>
  <si>
    <t>Anthony O'Malley</t>
  </si>
  <si>
    <t>Martin Hegarty</t>
  </si>
  <si>
    <t>Pat Kelly</t>
  </si>
  <si>
    <t>Michael Kevany*</t>
  </si>
  <si>
    <t>1925 (17 June) - Ballina (5 seats) Total Electorate: 7,452 Total Poll: 4,075 Valid Poll: 3,810 Quota: 636</t>
  </si>
  <si>
    <t>Rep</t>
  </si>
  <si>
    <t>Castlebar (5 seats) Total Electorate: 6,764 Total Poll: 4,276 Valid Poll: 4,142 Quota: 691</t>
  </si>
  <si>
    <t>James Armstrong</t>
  </si>
  <si>
    <t>Pat Higgins</t>
  </si>
  <si>
    <t>Thomas Loftus</t>
  </si>
  <si>
    <t>John Staunton</t>
  </si>
  <si>
    <t>Michael Lavelle*</t>
  </si>
  <si>
    <t>P.J. Carney</t>
  </si>
  <si>
    <t>Michael Doherty</t>
  </si>
  <si>
    <t>Patrick Higgins</t>
  </si>
  <si>
    <t>Thomas McDonnell</t>
  </si>
  <si>
    <t>Mark Heneghan*</t>
  </si>
  <si>
    <t>Claremorris (8 seats) Total Electorate: 14,035 Total Poll: 8,001 Valid Poll: 7,718 Quota: 858</t>
  </si>
  <si>
    <t>Patrick J. Waldron</t>
  </si>
  <si>
    <t>James McGarry</t>
  </si>
  <si>
    <t>Michael Bell</t>
  </si>
  <si>
    <t>Martin Costello</t>
  </si>
  <si>
    <t>Luke Malley</t>
  </si>
  <si>
    <t>James Morris*</t>
  </si>
  <si>
    <t>Thomas Maguire*</t>
  </si>
  <si>
    <t>Patrick Gunnigan</t>
  </si>
  <si>
    <t>Peter D. Daly</t>
  </si>
  <si>
    <t>Joseph Mellett</t>
  </si>
  <si>
    <t>Mark Henry</t>
  </si>
  <si>
    <t>Bernard Cunniffe</t>
  </si>
  <si>
    <t>James J. Duffy</t>
  </si>
  <si>
    <t>Peter McGowan</t>
  </si>
  <si>
    <t>John J. Johnston</t>
  </si>
  <si>
    <t>Francis Davey</t>
  </si>
  <si>
    <t>Pat Duffy</t>
  </si>
  <si>
    <t>Michael P. McGloin</t>
  </si>
  <si>
    <t>Bernard Flannery</t>
  </si>
  <si>
    <t>Swinford (8 seats) Total Electorate: 13,139 Total Poll: 6,095 Valid Poll: 5,837 Quota: 649</t>
  </si>
  <si>
    <t>Patrick O'Donnell</t>
  </si>
  <si>
    <t>Michael Kilroy</t>
  </si>
  <si>
    <t>Westport (7 seats) Total Electorate: 9,596 Total Poll: 5,567 Valid Poll: 5,332 Quota: 667</t>
  </si>
  <si>
    <t>William Fergus</t>
  </si>
  <si>
    <t>John Collins</t>
  </si>
  <si>
    <t>John Lineen</t>
  </si>
  <si>
    <t>John O'Boyle*</t>
  </si>
  <si>
    <t>Anthony Walsh</t>
  </si>
  <si>
    <t>Pat Kerrigan</t>
  </si>
  <si>
    <t>Michael O'Donnell</t>
  </si>
  <si>
    <t>Michael Staunton*</t>
  </si>
  <si>
    <t>Edward Doherty</t>
  </si>
  <si>
    <t>John Duffy</t>
  </si>
  <si>
    <t>Anthony Jordan</t>
  </si>
  <si>
    <t>Thady Walsh*</t>
  </si>
  <si>
    <t>Michael Sammon*</t>
  </si>
  <si>
    <t>John Corcoran</t>
  </si>
  <si>
    <t>Michael McLoughlin</t>
  </si>
  <si>
    <t>John P. Deane</t>
  </si>
  <si>
    <t>Pat Coyle</t>
  </si>
  <si>
    <t>Thomas Dooher</t>
  </si>
  <si>
    <t>John Madden</t>
  </si>
  <si>
    <t>Killala (5 seats) Total Electorate: 6,380 Total Poll:  Valid Poll: 3,118 Quota: 520</t>
  </si>
  <si>
    <t>Paddy Naughton</t>
  </si>
  <si>
    <t>Micheal Ó Morain*</t>
  </si>
</sst>
</file>

<file path=xl/styles.xml><?xml version="1.0" encoding="utf-8"?>
<styleSheet xmlns="http://schemas.openxmlformats.org/spreadsheetml/2006/main">
  <fonts count="64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Arial"/>
      <family val="2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1"/>
      <color indexed="17"/>
      <name val="Times New Roman"/>
      <family val="1"/>
    </font>
    <font>
      <b/>
      <sz val="11"/>
      <color indexed="12"/>
      <name val="Times New Roman"/>
      <family val="1"/>
    </font>
    <font>
      <b/>
      <sz val="11"/>
      <name val="Arial"/>
      <family val="2"/>
    </font>
    <font>
      <sz val="11"/>
      <color indexed="17"/>
      <name val="Times New Roman"/>
      <family val="1"/>
    </font>
    <font>
      <sz val="11"/>
      <name val="Arial"/>
      <family val="2"/>
    </font>
    <font>
      <b/>
      <sz val="11"/>
      <color indexed="17"/>
      <name val="Arial"/>
      <family val="2"/>
    </font>
    <font>
      <sz val="11"/>
      <color indexed="12"/>
      <name val="Times New Roman"/>
      <family val="1"/>
    </font>
    <font>
      <b/>
      <sz val="11"/>
      <color indexed="12"/>
      <name val="Arial"/>
      <family val="2"/>
    </font>
    <font>
      <b/>
      <sz val="11"/>
      <color indexed="10"/>
      <name val="Arial"/>
      <family val="2"/>
    </font>
    <font>
      <sz val="11"/>
      <color indexed="10"/>
      <name val="Times New Roman"/>
      <family val="1"/>
    </font>
    <font>
      <b/>
      <sz val="11"/>
      <color indexed="50"/>
      <name val="Arial"/>
      <family val="2"/>
    </font>
    <font>
      <sz val="11"/>
      <color indexed="50"/>
      <name val="Times New Roman"/>
      <family val="1"/>
    </font>
    <font>
      <b/>
      <sz val="11"/>
      <color indexed="10"/>
      <name val="Times New Roman"/>
      <family val="1"/>
    </font>
    <font>
      <b/>
      <sz val="11"/>
      <color indexed="50"/>
      <name val="Times New Roman"/>
      <family val="1"/>
    </font>
    <font>
      <sz val="11"/>
      <color indexed="52"/>
      <name val="Times New Roman"/>
      <family val="1"/>
    </font>
    <font>
      <sz val="11"/>
      <color indexed="8"/>
      <name val="Times New Roman"/>
      <family val="1"/>
    </font>
    <font>
      <b/>
      <sz val="11"/>
      <color indexed="52"/>
      <name val="Arial"/>
      <family val="2"/>
    </font>
    <font>
      <b/>
      <sz val="11"/>
      <color indexed="8"/>
      <name val="Times New Roman"/>
      <family val="1"/>
    </font>
    <font>
      <b/>
      <sz val="11"/>
      <color indexed="19"/>
      <name val="Arial"/>
      <family val="2"/>
    </font>
    <font>
      <sz val="11"/>
      <color indexed="19"/>
      <name val="Times New Roman"/>
      <family val="1"/>
    </font>
    <font>
      <b/>
      <sz val="11"/>
      <color indexed="51"/>
      <name val="Arial"/>
      <family val="2"/>
    </font>
    <font>
      <b/>
      <sz val="11"/>
      <color indexed="8"/>
      <name val="Arial"/>
      <family val="2"/>
    </font>
    <font>
      <i/>
      <sz val="11"/>
      <name val="Times New Roman"/>
      <family val="1"/>
    </font>
    <font>
      <b/>
      <sz val="10"/>
      <name val="Arial"/>
      <family val="2"/>
    </font>
    <font>
      <b/>
      <sz val="11"/>
      <color indexed="60"/>
      <name val="Arial"/>
      <family val="2"/>
    </font>
    <font>
      <sz val="11"/>
      <color indexed="60"/>
      <name val="Times New Roman"/>
      <family val="1"/>
    </font>
    <font>
      <b/>
      <sz val="11"/>
      <color indexed="60"/>
      <name val="Times New Roman"/>
      <family val="1"/>
    </font>
    <font>
      <sz val="8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12"/>
      <name val="Times New Roman"/>
      <family val="1"/>
    </font>
    <font>
      <sz val="12"/>
      <color indexed="8"/>
      <name val="Times New Roman"/>
      <family val="1"/>
    </font>
    <font>
      <sz val="12"/>
      <color indexed="17"/>
      <name val="Times New Roman"/>
      <family val="1"/>
    </font>
    <font>
      <sz val="12"/>
      <color indexed="50"/>
      <name val="Times New Roman"/>
      <family val="1"/>
    </font>
    <font>
      <b/>
      <sz val="10"/>
      <name val="Arial"/>
      <family val="2"/>
    </font>
    <font>
      <b/>
      <sz val="10"/>
      <color indexed="17"/>
      <name val="Arial"/>
      <family val="2"/>
    </font>
    <font>
      <b/>
      <sz val="10"/>
      <color indexed="12"/>
      <name val="Arial"/>
      <family val="2"/>
    </font>
    <font>
      <b/>
      <sz val="10"/>
      <color indexed="10"/>
      <name val="Arial"/>
      <family val="2"/>
    </font>
    <font>
      <b/>
      <sz val="10"/>
      <color indexed="50"/>
      <name val="Arial"/>
      <family val="2"/>
    </font>
    <font>
      <b/>
      <sz val="10"/>
      <color indexed="60"/>
      <name val="Arial"/>
      <family val="2"/>
    </font>
    <font>
      <b/>
      <sz val="10"/>
      <color indexed="40"/>
      <name val="Arial"/>
      <family val="2"/>
    </font>
    <font>
      <b/>
      <sz val="10"/>
      <color indexed="51"/>
      <name val="Arial"/>
      <family val="2"/>
    </font>
    <font>
      <b/>
      <sz val="10"/>
      <color indexed="19"/>
      <name val="Arial"/>
      <family val="2"/>
    </font>
    <font>
      <b/>
      <sz val="11"/>
      <color indexed="49"/>
      <name val="Times New Roman"/>
      <family val="1"/>
    </font>
    <font>
      <b/>
      <sz val="11"/>
      <color indexed="49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b/>
      <sz val="10"/>
      <color indexed="52"/>
      <name val="Arial"/>
      <family val="2"/>
    </font>
    <font>
      <b/>
      <sz val="10"/>
      <color indexed="49"/>
      <name val="Arial"/>
      <family val="2"/>
    </font>
    <font>
      <sz val="11"/>
      <color indexed="49"/>
      <name val="Times New Roman"/>
      <family val="1"/>
    </font>
    <font>
      <sz val="11"/>
      <color rgb="FFFF0000"/>
      <name val="Times New Roman"/>
      <family val="1"/>
    </font>
    <font>
      <b/>
      <sz val="11"/>
      <color rgb="FFFF0000"/>
      <name val="Arial"/>
      <family val="2"/>
    </font>
    <font>
      <b/>
      <sz val="11"/>
      <color indexed="57"/>
      <name val="Times New Roman"/>
      <family val="1"/>
    </font>
    <font>
      <b/>
      <sz val="10"/>
      <color rgb="FFFF0000"/>
      <name val="Arial"/>
      <family val="2"/>
    </font>
    <font>
      <sz val="11"/>
      <color indexed="10"/>
      <name val="Arial"/>
      <family val="2"/>
    </font>
    <font>
      <sz val="11"/>
      <color indexed="17"/>
      <name val="Arial"/>
      <family val="2"/>
    </font>
    <font>
      <b/>
      <sz val="11"/>
      <color rgb="FFFF0000"/>
      <name val="Times New Roman"/>
      <family val="1"/>
    </font>
    <font>
      <sz val="11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1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3" fontId="2" fillId="0" borderId="4" xfId="0" applyNumberFormat="1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3" fontId="4" fillId="0" borderId="4" xfId="0" applyNumberFormat="1" applyFont="1" applyBorder="1" applyAlignment="1">
      <alignment vertical="top" wrapText="1"/>
    </xf>
    <xf numFmtId="0" fontId="8" fillId="0" borderId="0" xfId="0" applyFont="1"/>
    <xf numFmtId="10" fontId="3" fillId="0" borderId="0" xfId="1" applyNumberFormat="1" applyFont="1"/>
    <xf numFmtId="0" fontId="4" fillId="0" borderId="3" xfId="0" applyFont="1" applyBorder="1" applyAlignment="1">
      <alignment vertical="top" wrapText="1"/>
    </xf>
    <xf numFmtId="0" fontId="9" fillId="0" borderId="4" xfId="0" applyFont="1" applyBorder="1" applyAlignment="1">
      <alignment vertical="top" wrapText="1"/>
    </xf>
    <xf numFmtId="0" fontId="10" fillId="0" borderId="0" xfId="0" applyFont="1"/>
    <xf numFmtId="0" fontId="11" fillId="0" borderId="0" xfId="0" applyFont="1"/>
    <xf numFmtId="3" fontId="10" fillId="0" borderId="0" xfId="0" applyNumberFormat="1" applyFont="1"/>
    <xf numFmtId="10" fontId="10" fillId="0" borderId="0" xfId="1" applyNumberFormat="1" applyFont="1"/>
    <xf numFmtId="0" fontId="12" fillId="0" borderId="4" xfId="0" applyFont="1" applyBorder="1" applyAlignment="1">
      <alignment vertical="top" wrapText="1"/>
    </xf>
    <xf numFmtId="0" fontId="13" fillId="0" borderId="0" xfId="0" applyFont="1"/>
    <xf numFmtId="0" fontId="14" fillId="0" borderId="0" xfId="0" applyFont="1"/>
    <xf numFmtId="0" fontId="15" fillId="0" borderId="4" xfId="0" applyFont="1" applyBorder="1" applyAlignment="1">
      <alignment vertical="top" wrapText="1"/>
    </xf>
    <xf numFmtId="0" fontId="16" fillId="0" borderId="0" xfId="0" applyFont="1"/>
    <xf numFmtId="0" fontId="17" fillId="0" borderId="4" xfId="0" applyFont="1" applyBorder="1" applyAlignment="1">
      <alignment vertical="top" wrapText="1"/>
    </xf>
    <xf numFmtId="3" fontId="8" fillId="0" borderId="0" xfId="0" applyNumberFormat="1" applyFont="1"/>
    <xf numFmtId="3" fontId="3" fillId="0" borderId="0" xfId="0" applyNumberFormat="1" applyFont="1"/>
    <xf numFmtId="0" fontId="18" fillId="0" borderId="4" xfId="0" applyFont="1" applyBorder="1" applyAlignment="1">
      <alignment vertical="top" wrapText="1"/>
    </xf>
    <xf numFmtId="0" fontId="19" fillId="0" borderId="4" xfId="0" applyFont="1" applyBorder="1" applyAlignment="1">
      <alignment vertical="top" wrapText="1"/>
    </xf>
    <xf numFmtId="0" fontId="20" fillId="0" borderId="4" xfId="0" applyFont="1" applyBorder="1" applyAlignment="1">
      <alignment vertical="top" wrapText="1"/>
    </xf>
    <xf numFmtId="0" fontId="21" fillId="0" borderId="4" xfId="0" applyFont="1" applyBorder="1" applyAlignment="1">
      <alignment vertical="top" wrapText="1"/>
    </xf>
    <xf numFmtId="0" fontId="22" fillId="0" borderId="0" xfId="0" applyFont="1"/>
    <xf numFmtId="0" fontId="4" fillId="0" borderId="0" xfId="0" applyFont="1" applyBorder="1" applyAlignment="1">
      <alignment vertical="top" wrapText="1"/>
    </xf>
    <xf numFmtId="0" fontId="12" fillId="0" borderId="0" xfId="0" applyFont="1" applyBorder="1" applyAlignment="1">
      <alignment vertical="top" wrapText="1"/>
    </xf>
    <xf numFmtId="0" fontId="23" fillId="0" borderId="4" xfId="0" applyFont="1" applyBorder="1" applyAlignment="1">
      <alignment vertical="top" wrapText="1"/>
    </xf>
    <xf numFmtId="0" fontId="24" fillId="0" borderId="0" xfId="0" applyFont="1"/>
    <xf numFmtId="0" fontId="25" fillId="0" borderId="4" xfId="0" applyFont="1" applyBorder="1" applyAlignment="1">
      <alignment vertical="top" wrapText="1"/>
    </xf>
    <xf numFmtId="3" fontId="4" fillId="0" borderId="0" xfId="0" applyNumberFormat="1" applyFont="1" applyBorder="1" applyAlignment="1">
      <alignment vertical="top" wrapText="1"/>
    </xf>
    <xf numFmtId="3" fontId="0" fillId="0" borderId="0" xfId="0" applyNumberFormat="1"/>
    <xf numFmtId="0" fontId="26" fillId="0" borderId="0" xfId="0" applyFont="1"/>
    <xf numFmtId="0" fontId="27" fillId="0" borderId="0" xfId="0" applyFont="1"/>
    <xf numFmtId="3" fontId="28" fillId="0" borderId="4" xfId="0" applyNumberFormat="1" applyFont="1" applyBorder="1" applyAlignment="1">
      <alignment vertical="top" wrapText="1"/>
    </xf>
    <xf numFmtId="0" fontId="28" fillId="0" borderId="4" xfId="0" applyFont="1" applyBorder="1" applyAlignment="1">
      <alignment vertical="top" wrapText="1"/>
    </xf>
    <xf numFmtId="0" fontId="29" fillId="0" borderId="0" xfId="0" applyFont="1"/>
    <xf numFmtId="3" fontId="2" fillId="0" borderId="0" xfId="0" applyNumberFormat="1" applyFont="1" applyBorder="1" applyAlignment="1">
      <alignment vertical="top" wrapText="1"/>
    </xf>
    <xf numFmtId="3" fontId="2" fillId="0" borderId="0" xfId="0" applyNumberFormat="1" applyFont="1"/>
    <xf numFmtId="3" fontId="4" fillId="0" borderId="0" xfId="0" applyNumberFormat="1" applyFont="1"/>
    <xf numFmtId="10" fontId="3" fillId="0" borderId="0" xfId="0" applyNumberFormat="1" applyFont="1"/>
    <xf numFmtId="0" fontId="30" fillId="0" borderId="0" xfId="0" applyFont="1"/>
    <xf numFmtId="0" fontId="31" fillId="0" borderId="4" xfId="0" applyFont="1" applyBorder="1" applyAlignment="1">
      <alignment vertical="top" wrapText="1"/>
    </xf>
    <xf numFmtId="3" fontId="5" fillId="0" borderId="1" xfId="0" applyNumberFormat="1" applyFont="1" applyBorder="1" applyAlignment="1">
      <alignment vertical="top" wrapText="1"/>
    </xf>
    <xf numFmtId="3" fontId="5" fillId="0" borderId="2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3" fontId="6" fillId="0" borderId="4" xfId="0" applyNumberFormat="1" applyFont="1" applyBorder="1" applyAlignment="1">
      <alignment vertical="top" wrapText="1"/>
    </xf>
    <xf numFmtId="3" fontId="7" fillId="0" borderId="4" xfId="0" applyNumberFormat="1" applyFont="1" applyBorder="1" applyAlignment="1">
      <alignment vertical="top" wrapText="1"/>
    </xf>
    <xf numFmtId="3" fontId="4" fillId="0" borderId="3" xfId="0" applyNumberFormat="1" applyFont="1" applyBorder="1" applyAlignment="1">
      <alignment vertical="top" wrapText="1"/>
    </xf>
    <xf numFmtId="3" fontId="9" fillId="0" borderId="4" xfId="0" applyNumberFormat="1" applyFont="1" applyBorder="1" applyAlignment="1">
      <alignment vertical="top" wrapText="1"/>
    </xf>
    <xf numFmtId="3" fontId="12" fillId="0" borderId="4" xfId="0" applyNumberFormat="1" applyFont="1" applyBorder="1" applyAlignment="1">
      <alignment vertical="top" wrapText="1"/>
    </xf>
    <xf numFmtId="3" fontId="17" fillId="0" borderId="4" xfId="0" applyNumberFormat="1" applyFont="1" applyBorder="1" applyAlignment="1">
      <alignment vertical="top" wrapText="1"/>
    </xf>
    <xf numFmtId="3" fontId="21" fillId="0" borderId="4" xfId="0" applyNumberFormat="1" applyFont="1" applyBorder="1" applyAlignment="1">
      <alignment vertical="top" wrapText="1"/>
    </xf>
    <xf numFmtId="3" fontId="2" fillId="0" borderId="2" xfId="0" applyNumberFormat="1" applyFont="1" applyBorder="1" applyAlignment="1">
      <alignment vertical="top" wrapText="1"/>
    </xf>
    <xf numFmtId="3" fontId="18" fillId="0" borderId="4" xfId="0" applyNumberFormat="1" applyFont="1" applyBorder="1" applyAlignment="1">
      <alignment vertical="top" wrapText="1"/>
    </xf>
    <xf numFmtId="3" fontId="25" fillId="0" borderId="4" xfId="0" applyNumberFormat="1" applyFont="1" applyBorder="1" applyAlignment="1">
      <alignment vertical="top" wrapText="1"/>
    </xf>
    <xf numFmtId="3" fontId="12" fillId="0" borderId="0" xfId="0" applyNumberFormat="1" applyFont="1" applyBorder="1" applyAlignment="1">
      <alignment vertical="top" wrapText="1"/>
    </xf>
    <xf numFmtId="3" fontId="11" fillId="0" borderId="0" xfId="0" applyNumberFormat="1" applyFont="1"/>
    <xf numFmtId="3" fontId="13" fillId="0" borderId="0" xfId="0" applyNumberFormat="1" applyFont="1"/>
    <xf numFmtId="3" fontId="24" fillId="0" borderId="0" xfId="0" applyNumberFormat="1" applyFont="1"/>
    <xf numFmtId="0" fontId="34" fillId="0" borderId="0" xfId="0" applyFont="1"/>
    <xf numFmtId="0" fontId="35" fillId="0" borderId="0" xfId="0" applyFont="1"/>
    <xf numFmtId="0" fontId="34" fillId="0" borderId="2" xfId="0" applyFont="1" applyBorder="1" applyAlignment="1">
      <alignment vertical="top" wrapText="1"/>
    </xf>
    <xf numFmtId="3" fontId="34" fillId="0" borderId="3" xfId="0" applyNumberFormat="1" applyFont="1" applyBorder="1" applyAlignment="1">
      <alignment vertical="top" wrapText="1"/>
    </xf>
    <xf numFmtId="0" fontId="35" fillId="0" borderId="4" xfId="0" applyFont="1" applyBorder="1" applyAlignment="1">
      <alignment vertical="top" wrapText="1"/>
    </xf>
    <xf numFmtId="0" fontId="36" fillId="0" borderId="4" xfId="0" applyFont="1" applyBorder="1" applyAlignment="1">
      <alignment vertical="top" wrapText="1"/>
    </xf>
    <xf numFmtId="0" fontId="34" fillId="0" borderId="4" xfId="0" applyFont="1" applyBorder="1" applyAlignment="1">
      <alignment vertical="top" wrapText="1"/>
    </xf>
    <xf numFmtId="3" fontId="35" fillId="0" borderId="4" xfId="0" applyNumberFormat="1" applyFont="1" applyBorder="1" applyAlignment="1">
      <alignment vertical="top" wrapText="1"/>
    </xf>
    <xf numFmtId="2" fontId="34" fillId="0" borderId="2" xfId="0" applyNumberFormat="1" applyFont="1" applyBorder="1" applyAlignment="1">
      <alignment horizontal="center" vertical="top" wrapText="1"/>
    </xf>
    <xf numFmtId="0" fontId="37" fillId="0" borderId="4" xfId="0" applyFont="1" applyBorder="1" applyAlignment="1">
      <alignment vertical="top" wrapText="1"/>
    </xf>
    <xf numFmtId="0" fontId="38" fillId="0" borderId="4" xfId="0" applyFont="1" applyBorder="1" applyAlignment="1">
      <alignment vertical="top" wrapText="1"/>
    </xf>
    <xf numFmtId="0" fontId="39" fillId="0" borderId="4" xfId="0" applyFont="1" applyBorder="1" applyAlignment="1">
      <alignment vertical="top" wrapText="1"/>
    </xf>
    <xf numFmtId="0" fontId="40" fillId="0" borderId="0" xfId="0" applyFont="1"/>
    <xf numFmtId="0" fontId="41" fillId="0" borderId="0" xfId="0" applyFont="1"/>
    <xf numFmtId="0" fontId="42" fillId="0" borderId="0" xfId="0" applyFont="1"/>
    <xf numFmtId="0" fontId="43" fillId="0" borderId="0" xfId="0" applyFont="1"/>
    <xf numFmtId="0" fontId="44" fillId="0" borderId="0" xfId="0" applyFont="1"/>
    <xf numFmtId="0" fontId="45" fillId="0" borderId="0" xfId="0" applyFont="1"/>
    <xf numFmtId="0" fontId="46" fillId="0" borderId="0" xfId="0" applyFont="1"/>
    <xf numFmtId="0" fontId="47" fillId="0" borderId="0" xfId="0" applyFont="1"/>
    <xf numFmtId="10" fontId="45" fillId="0" borderId="0" xfId="0" applyNumberFormat="1" applyFont="1"/>
    <xf numFmtId="10" fontId="0" fillId="0" borderId="0" xfId="0" applyNumberFormat="1"/>
    <xf numFmtId="10" fontId="1" fillId="0" borderId="0" xfId="1" applyNumberFormat="1"/>
    <xf numFmtId="10" fontId="1" fillId="0" borderId="0" xfId="1" applyNumberFormat="1" applyFont="1"/>
    <xf numFmtId="3" fontId="35" fillId="0" borderId="0" xfId="0" applyNumberFormat="1" applyFont="1"/>
    <xf numFmtId="3" fontId="34" fillId="0" borderId="1" xfId="0" applyNumberFormat="1" applyFont="1" applyBorder="1" applyAlignment="1">
      <alignment vertical="top" wrapText="1"/>
    </xf>
    <xf numFmtId="3" fontId="34" fillId="0" borderId="2" xfId="0" applyNumberFormat="1" applyFont="1" applyBorder="1" applyAlignment="1">
      <alignment vertical="top" wrapText="1"/>
    </xf>
    <xf numFmtId="3" fontId="34" fillId="0" borderId="0" xfId="0" applyNumberFormat="1" applyFont="1"/>
    <xf numFmtId="3" fontId="40" fillId="0" borderId="0" xfId="0" applyNumberFormat="1" applyFont="1"/>
    <xf numFmtId="2" fontId="35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0" fontId="48" fillId="0" borderId="0" xfId="0" applyFont="1"/>
    <xf numFmtId="0" fontId="49" fillId="0" borderId="4" xfId="0" applyFont="1" applyBorder="1" applyAlignment="1">
      <alignment vertical="top" wrapText="1"/>
    </xf>
    <xf numFmtId="0" fontId="32" fillId="0" borderId="4" xfId="0" applyFont="1" applyBorder="1" applyAlignment="1">
      <alignment vertical="top" wrapText="1"/>
    </xf>
    <xf numFmtId="0" fontId="50" fillId="0" borderId="0" xfId="0" applyFont="1"/>
    <xf numFmtId="3" fontId="14" fillId="0" borderId="0" xfId="0" applyNumberFormat="1" applyFont="1"/>
    <xf numFmtId="0" fontId="56" fillId="0" borderId="4" xfId="0" applyFont="1" applyBorder="1" applyAlignment="1">
      <alignment vertical="top" wrapText="1"/>
    </xf>
    <xf numFmtId="10" fontId="29" fillId="0" borderId="0" xfId="1" applyNumberFormat="1" applyFont="1"/>
    <xf numFmtId="0" fontId="51" fillId="0" borderId="0" xfId="0" applyFont="1"/>
    <xf numFmtId="0" fontId="52" fillId="0" borderId="0" xfId="0" applyFont="1"/>
    <xf numFmtId="3" fontId="51" fillId="0" borderId="0" xfId="0" applyNumberFormat="1" applyFont="1"/>
    <xf numFmtId="10" fontId="51" fillId="0" borderId="0" xfId="1" applyNumberFormat="1" applyFont="1"/>
    <xf numFmtId="3" fontId="29" fillId="0" borderId="0" xfId="0" applyNumberFormat="1" applyFont="1"/>
    <xf numFmtId="0" fontId="53" fillId="0" borderId="0" xfId="0" applyFont="1"/>
    <xf numFmtId="10" fontId="51" fillId="0" borderId="0" xfId="0" applyNumberFormat="1" applyFont="1"/>
    <xf numFmtId="9" fontId="29" fillId="0" borderId="0" xfId="1" applyNumberFormat="1" applyFont="1"/>
    <xf numFmtId="0" fontId="54" fillId="0" borderId="0" xfId="0" applyFont="1"/>
    <xf numFmtId="0" fontId="55" fillId="0" borderId="4" xfId="0" applyFont="1" applyBorder="1" applyAlignment="1">
      <alignment vertical="top" wrapText="1"/>
    </xf>
    <xf numFmtId="0" fontId="57" fillId="0" borderId="0" xfId="0" applyFont="1"/>
    <xf numFmtId="3" fontId="3" fillId="0" borderId="0" xfId="1" applyNumberFormat="1" applyFont="1"/>
    <xf numFmtId="0" fontId="58" fillId="0" borderId="4" xfId="0" applyFont="1" applyBorder="1" applyAlignment="1">
      <alignment vertical="top" wrapText="1"/>
    </xf>
    <xf numFmtId="0" fontId="59" fillId="0" borderId="0" xfId="0" applyFont="1"/>
    <xf numFmtId="0" fontId="60" fillId="0" borderId="0" xfId="0" applyFont="1"/>
    <xf numFmtId="3" fontId="61" fillId="0" borderId="0" xfId="0" applyNumberFormat="1" applyFont="1"/>
    <xf numFmtId="0" fontId="1" fillId="0" borderId="0" xfId="0" applyFont="1"/>
    <xf numFmtId="3" fontId="1" fillId="0" borderId="0" xfId="0" applyNumberFormat="1" applyFont="1"/>
    <xf numFmtId="0" fontId="31" fillId="0" borderId="4" xfId="0" applyNumberFormat="1" applyFont="1" applyFill="1" applyBorder="1" applyAlignment="1" applyProtection="1">
      <alignment vertical="top" wrapText="1"/>
    </xf>
    <xf numFmtId="0" fontId="30" fillId="0" borderId="5" xfId="0" applyNumberFormat="1" applyFont="1" applyFill="1" applyBorder="1" applyAlignment="1" applyProtection="1"/>
    <xf numFmtId="0" fontId="62" fillId="0" borderId="4" xfId="0" applyFont="1" applyBorder="1" applyAlignment="1">
      <alignment vertical="top" wrapText="1"/>
    </xf>
    <xf numFmtId="0" fontId="45" fillId="0" borderId="0" xfId="0" applyNumberFormat="1" applyFont="1" applyFill="1" applyBorder="1" applyAlignment="1" applyProtection="1"/>
    <xf numFmtId="0" fontId="63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15"/>
  <sheetViews>
    <sheetView zoomScaleNormal="100" workbookViewId="0">
      <selection activeCell="P1" sqref="P1"/>
    </sheetView>
  </sheetViews>
  <sheetFormatPr defaultRowHeight="12.75"/>
  <cols>
    <col min="1" max="1" width="25.28515625" customWidth="1"/>
    <col min="2" max="2" width="8.28515625" customWidth="1"/>
    <col min="3" max="3" width="9.7109375" customWidth="1"/>
    <col min="4" max="19" width="8.7109375" customWidth="1"/>
  </cols>
  <sheetData>
    <row r="1" spans="1:14" s="2" customFormat="1" ht="16.5" customHeight="1">
      <c r="A1" s="1" t="s">
        <v>773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4" t="s">
        <v>6</v>
      </c>
      <c r="L3" s="15">
        <f>(4075/7452)</f>
        <v>0.54683306494900696</v>
      </c>
    </row>
    <row r="4" spans="1:14" s="2" customFormat="1" ht="16.5" customHeight="1" thickBot="1">
      <c r="A4" s="7" t="s">
        <v>766</v>
      </c>
      <c r="B4" s="12" t="s">
        <v>710</v>
      </c>
      <c r="C4" s="9">
        <v>1377</v>
      </c>
      <c r="D4" s="13"/>
      <c r="E4" s="13"/>
      <c r="F4" s="13"/>
      <c r="G4" s="13"/>
      <c r="H4" s="13"/>
      <c r="I4" s="13"/>
      <c r="J4" s="11" t="s">
        <v>85</v>
      </c>
      <c r="K4" s="18"/>
      <c r="L4" s="14" t="s">
        <v>7</v>
      </c>
      <c r="M4" s="14" t="s">
        <v>8</v>
      </c>
      <c r="N4" s="14" t="s">
        <v>9</v>
      </c>
    </row>
    <row r="5" spans="1:14" s="2" customFormat="1" ht="16.5" customHeight="1" thickBot="1">
      <c r="A5" s="7" t="s">
        <v>754</v>
      </c>
      <c r="B5" s="8" t="s">
        <v>774</v>
      </c>
      <c r="C5" s="9">
        <v>684</v>
      </c>
      <c r="D5" s="13"/>
      <c r="E5" s="13"/>
      <c r="F5" s="13"/>
      <c r="G5" s="13"/>
      <c r="H5" s="13"/>
      <c r="I5" s="13"/>
      <c r="J5" s="11" t="s">
        <v>86</v>
      </c>
      <c r="K5" s="19" t="s">
        <v>774</v>
      </c>
      <c r="L5" s="20">
        <f>(C5+C8+C9+C11)</f>
        <v>1293</v>
      </c>
      <c r="M5" s="21">
        <f>SUM(L5/L8)</f>
        <v>0.33937007874015745</v>
      </c>
      <c r="N5" s="18">
        <v>2</v>
      </c>
    </row>
    <row r="6" spans="1:14" s="2" customFormat="1" ht="16.5" customHeight="1" thickBot="1">
      <c r="A6" s="7" t="s">
        <v>619</v>
      </c>
      <c r="B6" s="12" t="s">
        <v>710</v>
      </c>
      <c r="C6" s="13">
        <v>454</v>
      </c>
      <c r="D6" s="13">
        <v>524</v>
      </c>
      <c r="E6" s="13">
        <v>524</v>
      </c>
      <c r="F6" s="13"/>
      <c r="G6" s="13"/>
      <c r="H6" s="13">
        <v>590</v>
      </c>
      <c r="I6" s="9" t="s">
        <v>199</v>
      </c>
      <c r="J6" s="11" t="s">
        <v>90</v>
      </c>
      <c r="K6" s="23" t="s">
        <v>710</v>
      </c>
      <c r="L6" s="20">
        <f>(C4+C6+C7+C10+C12)</f>
        <v>2405</v>
      </c>
      <c r="M6" s="21">
        <f>SUM(L6/L8)</f>
        <v>0.63123359580052496</v>
      </c>
      <c r="N6" s="18">
        <v>3</v>
      </c>
    </row>
    <row r="7" spans="1:14" s="2" customFormat="1" ht="16.5" customHeight="1" thickBot="1">
      <c r="A7" s="16" t="s">
        <v>366</v>
      </c>
      <c r="B7" s="22" t="s">
        <v>710</v>
      </c>
      <c r="C7" s="13">
        <v>269</v>
      </c>
      <c r="D7" s="13">
        <v>381</v>
      </c>
      <c r="E7" s="13">
        <v>382</v>
      </c>
      <c r="F7" s="13"/>
      <c r="G7" s="13"/>
      <c r="H7" s="13">
        <v>492</v>
      </c>
      <c r="I7" s="13"/>
      <c r="J7" s="11"/>
      <c r="K7" s="14" t="s">
        <v>14</v>
      </c>
      <c r="L7" s="29">
        <v>112</v>
      </c>
      <c r="M7" s="15">
        <f>SUM(L7/L8)</f>
        <v>2.9396325459317585E-2</v>
      </c>
      <c r="N7" s="18"/>
    </row>
    <row r="8" spans="1:14" s="2" customFormat="1" ht="16.5" customHeight="1" thickBot="1">
      <c r="A8" s="7" t="s">
        <v>772</v>
      </c>
      <c r="B8" s="8" t="s">
        <v>774</v>
      </c>
      <c r="C8" s="13">
        <v>239</v>
      </c>
      <c r="D8" s="13">
        <v>268</v>
      </c>
      <c r="E8" s="13">
        <v>297</v>
      </c>
      <c r="F8" s="13"/>
      <c r="G8" s="13"/>
      <c r="H8" s="13">
        <v>453</v>
      </c>
      <c r="I8" s="9" t="s">
        <v>199</v>
      </c>
      <c r="J8" s="11" t="s">
        <v>89</v>
      </c>
      <c r="K8" s="14"/>
      <c r="L8" s="28">
        <v>3810</v>
      </c>
      <c r="M8" s="15"/>
      <c r="N8" s="18"/>
    </row>
    <row r="9" spans="1:14" s="2" customFormat="1" ht="16.5" customHeight="1" thickBot="1">
      <c r="A9" s="16" t="s">
        <v>771</v>
      </c>
      <c r="B9" s="17" t="s">
        <v>774</v>
      </c>
      <c r="C9" s="13">
        <v>220</v>
      </c>
      <c r="D9" s="13">
        <v>225</v>
      </c>
      <c r="E9" s="13">
        <v>232</v>
      </c>
      <c r="F9" s="13"/>
      <c r="G9" s="13"/>
      <c r="H9" s="13">
        <v>270</v>
      </c>
      <c r="I9" s="13" t="s">
        <v>10</v>
      </c>
    </row>
    <row r="10" spans="1:14" s="2" customFormat="1" ht="16.5" customHeight="1" thickBot="1">
      <c r="A10" s="7" t="s">
        <v>767</v>
      </c>
      <c r="B10" s="12" t="s">
        <v>710</v>
      </c>
      <c r="C10" s="13">
        <v>169</v>
      </c>
      <c r="D10" s="13">
        <v>583</v>
      </c>
      <c r="E10" s="13">
        <v>586</v>
      </c>
      <c r="F10" s="9" t="s">
        <v>199</v>
      </c>
      <c r="G10" s="13"/>
      <c r="H10" s="13"/>
      <c r="I10" s="13"/>
      <c r="J10" s="11" t="s">
        <v>87</v>
      </c>
    </row>
    <row r="11" spans="1:14" s="2" customFormat="1" ht="16.5" customHeight="1" thickBot="1">
      <c r="A11" s="16" t="s">
        <v>770</v>
      </c>
      <c r="B11" s="17" t="s">
        <v>774</v>
      </c>
      <c r="C11" s="13">
        <v>150</v>
      </c>
      <c r="D11" s="13">
        <v>162</v>
      </c>
      <c r="E11" s="13">
        <v>166</v>
      </c>
      <c r="F11" s="13"/>
      <c r="G11" s="13" t="s">
        <v>10</v>
      </c>
    </row>
    <row r="12" spans="1:14" s="2" customFormat="1" ht="16.5" customHeight="1" thickBot="1">
      <c r="A12" s="16" t="s">
        <v>768</v>
      </c>
      <c r="B12" s="22" t="s">
        <v>710</v>
      </c>
      <c r="C12" s="13">
        <v>136</v>
      </c>
      <c r="D12" s="13">
        <v>196</v>
      </c>
      <c r="E12" s="13">
        <v>198</v>
      </c>
      <c r="F12" s="13"/>
      <c r="G12" s="13"/>
      <c r="H12" s="13" t="s">
        <v>10</v>
      </c>
    </row>
    <row r="13" spans="1:14" s="2" customFormat="1" ht="16.5" customHeight="1" thickBot="1">
      <c r="A13" s="16" t="s">
        <v>769</v>
      </c>
      <c r="B13" s="10" t="s">
        <v>11</v>
      </c>
      <c r="C13" s="13">
        <v>112</v>
      </c>
      <c r="D13" s="13">
        <v>151</v>
      </c>
      <c r="E13" s="13">
        <v>153</v>
      </c>
      <c r="F13" s="13" t="s">
        <v>10</v>
      </c>
    </row>
    <row r="14" spans="1:14" s="2" customFormat="1" ht="12.75" customHeight="1">
      <c r="A14" s="1"/>
      <c r="C14" s="20"/>
      <c r="D14" s="20"/>
      <c r="E14" s="20"/>
      <c r="F14" s="20"/>
      <c r="G14" s="20"/>
      <c r="H14" s="20"/>
      <c r="I14" s="20"/>
    </row>
    <row r="15" spans="1:14" s="2" customFormat="1" ht="17.45" customHeight="1">
      <c r="A15" s="1" t="s">
        <v>775</v>
      </c>
    </row>
    <row r="16" spans="1:14" s="2" customFormat="1" ht="10.5" customHeight="1" thickBot="1">
      <c r="A16" s="1"/>
    </row>
    <row r="17" spans="1:16" s="2" customFormat="1" ht="16.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>
        <v>5</v>
      </c>
      <c r="H17" s="5">
        <v>6</v>
      </c>
      <c r="I17" s="5">
        <v>7</v>
      </c>
      <c r="J17" s="5">
        <v>8</v>
      </c>
      <c r="K17" s="5">
        <v>9</v>
      </c>
      <c r="L17" s="6"/>
      <c r="M17" s="14" t="s">
        <v>6</v>
      </c>
      <c r="N17" s="15">
        <f>(4276/6764)</f>
        <v>0.63217031342400942</v>
      </c>
    </row>
    <row r="18" spans="1:16" s="2" customFormat="1" ht="16.5" customHeight="1" thickBot="1">
      <c r="A18" s="7" t="s">
        <v>531</v>
      </c>
      <c r="B18" s="8" t="s">
        <v>774</v>
      </c>
      <c r="C18" s="13">
        <v>532</v>
      </c>
      <c r="D18" s="13"/>
      <c r="E18" s="13"/>
      <c r="F18" s="13"/>
      <c r="G18" s="13"/>
      <c r="H18" s="13"/>
      <c r="I18" s="13"/>
      <c r="J18" s="13"/>
      <c r="K18" s="9">
        <v>688</v>
      </c>
      <c r="L18" s="11" t="s">
        <v>87</v>
      </c>
      <c r="M18" s="18"/>
      <c r="N18" s="14" t="s">
        <v>7</v>
      </c>
      <c r="O18" s="14" t="s">
        <v>8</v>
      </c>
      <c r="P18" s="14" t="s">
        <v>9</v>
      </c>
    </row>
    <row r="19" spans="1:16" s="2" customFormat="1" ht="16.5" customHeight="1" thickBot="1">
      <c r="A19" s="7" t="s">
        <v>756</v>
      </c>
      <c r="B19" s="11" t="s">
        <v>11</v>
      </c>
      <c r="C19" s="13">
        <v>468</v>
      </c>
      <c r="D19" s="13"/>
      <c r="E19" s="13"/>
      <c r="F19" s="13"/>
      <c r="G19" s="13"/>
      <c r="H19" s="13"/>
      <c r="I19" s="13"/>
      <c r="J19" s="13"/>
      <c r="K19" s="9">
        <v>694</v>
      </c>
      <c r="L19" s="11" t="s">
        <v>86</v>
      </c>
      <c r="M19" s="19" t="s">
        <v>774</v>
      </c>
      <c r="N19" s="20">
        <f>(C18+C21+C29)</f>
        <v>1123</v>
      </c>
      <c r="O19" s="21">
        <f>SUM(N19/N23)</f>
        <v>0.27112506035731532</v>
      </c>
      <c r="P19" s="18">
        <v>2</v>
      </c>
    </row>
    <row r="20" spans="1:16" s="2" customFormat="1" ht="16.5" customHeight="1" thickBot="1">
      <c r="A20" s="7" t="s">
        <v>777</v>
      </c>
      <c r="B20" s="12" t="s">
        <v>710</v>
      </c>
      <c r="C20" s="13">
        <v>447</v>
      </c>
      <c r="D20" s="13"/>
      <c r="E20" s="13"/>
      <c r="F20" s="13"/>
      <c r="G20" s="13"/>
      <c r="H20" s="13"/>
      <c r="I20" s="9">
        <v>697</v>
      </c>
      <c r="J20" s="13"/>
      <c r="K20" s="13"/>
      <c r="L20" s="11" t="s">
        <v>85</v>
      </c>
      <c r="M20" s="23" t="s">
        <v>710</v>
      </c>
      <c r="N20" s="20">
        <f>(C20+C23+C26+C27+C28)</f>
        <v>1493</v>
      </c>
      <c r="O20" s="21">
        <f>SUM(N20/N23)</f>
        <v>0.36045388701110576</v>
      </c>
      <c r="P20" s="18">
        <v>1</v>
      </c>
    </row>
    <row r="21" spans="1:16" s="2" customFormat="1" ht="16.5" customHeight="1" thickBot="1">
      <c r="A21" s="7" t="s">
        <v>782</v>
      </c>
      <c r="B21" s="8" t="s">
        <v>774</v>
      </c>
      <c r="C21" s="13">
        <v>421</v>
      </c>
      <c r="D21" s="13"/>
      <c r="E21" s="13"/>
      <c r="F21" s="13"/>
      <c r="G21" s="13"/>
      <c r="H21" s="13"/>
      <c r="I21" s="13"/>
      <c r="J21" s="13"/>
      <c r="K21" s="9">
        <v>538</v>
      </c>
      <c r="L21" s="11" t="s">
        <v>89</v>
      </c>
      <c r="M21" s="127" t="s">
        <v>719</v>
      </c>
      <c r="N21" s="29">
        <v>54</v>
      </c>
      <c r="O21" s="15">
        <f>SUM(N21/N23)</f>
        <v>1.3037180106228875E-2</v>
      </c>
    </row>
    <row r="22" spans="1:16" s="2" customFormat="1" ht="16.5" customHeight="1" thickBot="1">
      <c r="A22" s="16" t="s">
        <v>665</v>
      </c>
      <c r="B22" s="10" t="s">
        <v>11</v>
      </c>
      <c r="C22" s="13">
        <v>400</v>
      </c>
      <c r="D22" s="13"/>
      <c r="E22" s="13"/>
      <c r="F22" s="13"/>
      <c r="G22" s="13"/>
      <c r="H22" s="13"/>
      <c r="I22" s="13"/>
      <c r="J22" s="13"/>
      <c r="K22" s="13"/>
      <c r="M22" s="14" t="s">
        <v>14</v>
      </c>
      <c r="N22" s="29">
        <f>(C19+C22+C24+C25)</f>
        <v>1472</v>
      </c>
      <c r="O22" s="15">
        <f>SUM(N22/N23)</f>
        <v>0.35538387252535009</v>
      </c>
      <c r="P22" s="18">
        <v>2</v>
      </c>
    </row>
    <row r="23" spans="1:16" s="2" customFormat="1" ht="16.5" customHeight="1" thickBot="1">
      <c r="A23" s="16" t="s">
        <v>785</v>
      </c>
      <c r="B23" s="22" t="s">
        <v>710</v>
      </c>
      <c r="C23" s="13">
        <v>361</v>
      </c>
      <c r="D23" s="13"/>
      <c r="E23" s="13"/>
      <c r="F23" s="13"/>
      <c r="G23" s="13"/>
      <c r="H23" s="13"/>
      <c r="I23" s="13"/>
      <c r="J23" s="13"/>
      <c r="K23" s="13"/>
      <c r="L23" s="11"/>
      <c r="M23" s="24"/>
      <c r="N23" s="28">
        <v>4142</v>
      </c>
      <c r="O23" s="15"/>
      <c r="P23" s="18"/>
    </row>
    <row r="24" spans="1:16" s="2" customFormat="1" ht="16.5" customHeight="1" thickBot="1">
      <c r="A24" s="7" t="s">
        <v>778</v>
      </c>
      <c r="B24" s="11" t="s">
        <v>11</v>
      </c>
      <c r="C24" s="13">
        <v>334</v>
      </c>
      <c r="D24" s="13"/>
      <c r="E24" s="13"/>
      <c r="F24" s="13"/>
      <c r="G24" s="13"/>
      <c r="H24" s="13"/>
      <c r="I24" s="13"/>
      <c r="J24" s="13"/>
      <c r="K24" s="9">
        <v>554</v>
      </c>
      <c r="L24" s="11" t="s">
        <v>90</v>
      </c>
      <c r="M24" s="29"/>
    </row>
    <row r="25" spans="1:16" s="2" customFormat="1" ht="16.5" customHeight="1" thickBot="1">
      <c r="A25" s="16" t="s">
        <v>784</v>
      </c>
      <c r="B25" s="10" t="s">
        <v>11</v>
      </c>
      <c r="C25" s="13">
        <v>270</v>
      </c>
      <c r="D25" s="13"/>
      <c r="E25" s="13"/>
      <c r="F25" s="13"/>
      <c r="G25" s="13"/>
      <c r="H25" s="13"/>
      <c r="I25" s="13"/>
      <c r="J25" s="23"/>
      <c r="K25" s="20"/>
      <c r="L25" s="21"/>
      <c r="M25" s="18"/>
    </row>
    <row r="26" spans="1:16" s="2" customFormat="1" ht="16.5" customHeight="1" thickBot="1">
      <c r="A26" s="16" t="s">
        <v>776</v>
      </c>
      <c r="B26" s="22" t="s">
        <v>710</v>
      </c>
      <c r="C26" s="13">
        <v>262</v>
      </c>
      <c r="D26" s="13"/>
      <c r="E26" s="13"/>
      <c r="F26" s="13"/>
      <c r="G26" s="13"/>
      <c r="H26" s="13"/>
    </row>
    <row r="27" spans="1:16" s="2" customFormat="1" ht="16.5" customHeight="1" thickBot="1">
      <c r="A27" s="16" t="s">
        <v>779</v>
      </c>
      <c r="B27" s="22" t="s">
        <v>710</v>
      </c>
      <c r="C27" s="13">
        <v>228</v>
      </c>
      <c r="D27" s="13"/>
      <c r="E27" s="13"/>
      <c r="F27" s="13"/>
      <c r="G27" s="13"/>
    </row>
    <row r="28" spans="1:16" s="2" customFormat="1" ht="16.5" customHeight="1" thickBot="1">
      <c r="A28" s="16" t="s">
        <v>780</v>
      </c>
      <c r="B28" s="22" t="s">
        <v>710</v>
      </c>
      <c r="C28" s="13">
        <v>195</v>
      </c>
      <c r="D28" s="13"/>
      <c r="E28" s="13"/>
      <c r="F28" s="13" t="s">
        <v>10</v>
      </c>
      <c r="K28" s="29"/>
    </row>
    <row r="29" spans="1:16" s="2" customFormat="1" ht="16.5" customHeight="1" thickBot="1">
      <c r="A29" s="16" t="s">
        <v>781</v>
      </c>
      <c r="B29" s="17" t="s">
        <v>774</v>
      </c>
      <c r="C29" s="13">
        <v>170</v>
      </c>
      <c r="D29" s="13"/>
      <c r="E29" s="13" t="s">
        <v>10</v>
      </c>
      <c r="K29" s="20"/>
      <c r="L29" s="21"/>
      <c r="M29" s="18"/>
    </row>
    <row r="30" spans="1:16" s="2" customFormat="1" ht="16.5" customHeight="1" thickBot="1">
      <c r="A30" s="16" t="s">
        <v>783</v>
      </c>
      <c r="B30" s="126" t="s">
        <v>719</v>
      </c>
      <c r="C30" s="13">
        <v>54</v>
      </c>
      <c r="D30" s="13" t="s">
        <v>10</v>
      </c>
      <c r="K30" s="20"/>
      <c r="L30" s="21"/>
      <c r="M30" s="18"/>
    </row>
    <row r="31" spans="1:16" s="2" customFormat="1" ht="13.5" customHeight="1">
      <c r="A31" s="35"/>
      <c r="B31" s="36"/>
      <c r="C31" s="40"/>
      <c r="D31" s="40"/>
      <c r="E31" s="40"/>
      <c r="F31" s="40"/>
      <c r="G31" s="40"/>
      <c r="H31" s="40"/>
      <c r="I31" s="40"/>
    </row>
    <row r="32" spans="1:16" s="2" customFormat="1" ht="17.45" customHeight="1">
      <c r="A32" s="1" t="s">
        <v>786</v>
      </c>
    </row>
    <row r="33" spans="1:22" s="2" customFormat="1" ht="8.25" customHeight="1" thickBot="1">
      <c r="A33" s="1"/>
    </row>
    <row r="34" spans="1:22" s="2" customFormat="1" ht="17.45" customHeight="1" thickBot="1">
      <c r="A34" s="4" t="s">
        <v>0</v>
      </c>
      <c r="B34" s="5" t="s">
        <v>1</v>
      </c>
      <c r="C34" s="5" t="s">
        <v>2</v>
      </c>
      <c r="D34" s="5">
        <v>2</v>
      </c>
      <c r="E34" s="5">
        <v>3</v>
      </c>
      <c r="F34" s="5">
        <v>4</v>
      </c>
      <c r="G34" s="5">
        <v>5</v>
      </c>
      <c r="H34" s="5">
        <v>6</v>
      </c>
      <c r="I34" s="5">
        <v>7</v>
      </c>
      <c r="J34" s="5">
        <v>8</v>
      </c>
      <c r="K34" s="5">
        <v>9</v>
      </c>
      <c r="L34" s="5">
        <v>10</v>
      </c>
      <c r="M34" s="5">
        <v>11</v>
      </c>
      <c r="N34" s="5">
        <v>12</v>
      </c>
      <c r="O34" s="5">
        <v>13</v>
      </c>
      <c r="P34" s="5">
        <v>14</v>
      </c>
      <c r="Q34" s="5"/>
      <c r="R34" s="14" t="s">
        <v>6</v>
      </c>
      <c r="S34" s="50">
        <f>(8001/14035)</f>
        <v>0.570074812967581</v>
      </c>
    </row>
    <row r="35" spans="1:22" s="2" customFormat="1" ht="17.45" customHeight="1" thickBot="1">
      <c r="A35" s="7" t="s">
        <v>793</v>
      </c>
      <c r="B35" s="8" t="s">
        <v>774</v>
      </c>
      <c r="C35" s="9">
        <v>1126</v>
      </c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1" t="s">
        <v>85</v>
      </c>
      <c r="R35" s="18"/>
      <c r="S35" s="14" t="s">
        <v>7</v>
      </c>
      <c r="T35" s="14" t="s">
        <v>8</v>
      </c>
      <c r="U35" s="14" t="s">
        <v>9</v>
      </c>
    </row>
    <row r="36" spans="1:22" s="2" customFormat="1" ht="17.45" customHeight="1" thickBot="1">
      <c r="A36" s="7" t="s">
        <v>788</v>
      </c>
      <c r="B36" s="12" t="s">
        <v>710</v>
      </c>
      <c r="C36" s="13">
        <v>772</v>
      </c>
      <c r="D36" s="13"/>
      <c r="E36" s="13"/>
      <c r="F36" s="13"/>
      <c r="G36" s="13"/>
      <c r="H36" s="13"/>
      <c r="I36" s="13"/>
      <c r="J36" s="9">
        <v>875</v>
      </c>
      <c r="K36" s="13"/>
      <c r="L36" s="13"/>
      <c r="M36" s="13"/>
      <c r="N36" s="13"/>
      <c r="O36" s="13"/>
      <c r="P36" s="13"/>
      <c r="Q36" s="11" t="s">
        <v>86</v>
      </c>
      <c r="R36" s="19" t="s">
        <v>774</v>
      </c>
      <c r="S36" s="20">
        <f>(C35+C44+C46)</f>
        <v>1749</v>
      </c>
      <c r="T36" s="21">
        <f>SUM(S36/S40)</f>
        <v>0.22661311220523453</v>
      </c>
      <c r="U36" s="18">
        <v>2</v>
      </c>
    </row>
    <row r="37" spans="1:22" s="2" customFormat="1" ht="17.45" customHeight="1" thickBot="1">
      <c r="A37" s="7" t="s">
        <v>545</v>
      </c>
      <c r="B37" s="12" t="s">
        <v>710</v>
      </c>
      <c r="C37" s="13">
        <v>712</v>
      </c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9" t="s">
        <v>199</v>
      </c>
      <c r="Q37" s="11" t="s">
        <v>89</v>
      </c>
      <c r="R37" s="23" t="s">
        <v>710</v>
      </c>
      <c r="S37" s="20">
        <f>(C36+C37+C38+C39+C40+C43+C47+C51)</f>
        <v>4039</v>
      </c>
      <c r="T37" s="21">
        <f>SUM(S37/S40)</f>
        <v>0.52332210417206526</v>
      </c>
      <c r="U37" s="18">
        <v>5</v>
      </c>
    </row>
    <row r="38" spans="1:22" s="2" customFormat="1" ht="17.45" customHeight="1" thickBot="1">
      <c r="A38" s="7" t="s">
        <v>634</v>
      </c>
      <c r="B38" s="12" t="s">
        <v>710</v>
      </c>
      <c r="C38" s="13">
        <v>628</v>
      </c>
      <c r="D38" s="13"/>
      <c r="E38" s="13"/>
      <c r="F38" s="13"/>
      <c r="G38" s="13"/>
      <c r="H38" s="13"/>
      <c r="I38" s="13"/>
      <c r="J38" s="13"/>
      <c r="K38" s="13"/>
      <c r="L38" s="13"/>
      <c r="M38" s="9">
        <v>871</v>
      </c>
      <c r="N38" s="13"/>
      <c r="O38" s="13"/>
      <c r="P38" s="13"/>
      <c r="Q38" s="11" t="s">
        <v>87</v>
      </c>
      <c r="R38" s="127" t="s">
        <v>719</v>
      </c>
      <c r="S38" s="29">
        <f>(C42+C45+C48+C49+C52)</f>
        <v>1222</v>
      </c>
      <c r="T38" s="15">
        <f>SUM(S38/S40)</f>
        <v>0.15833117387924334</v>
      </c>
    </row>
    <row r="39" spans="1:22" s="2" customFormat="1" ht="17.45" customHeight="1" thickBot="1">
      <c r="A39" s="7" t="s">
        <v>787</v>
      </c>
      <c r="B39" s="12" t="s">
        <v>710</v>
      </c>
      <c r="C39" s="13">
        <v>622</v>
      </c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9" t="s">
        <v>199</v>
      </c>
      <c r="Q39" s="9" t="s">
        <v>88</v>
      </c>
      <c r="R39" s="14" t="s">
        <v>14</v>
      </c>
      <c r="S39" s="29">
        <f>(C41+C50)</f>
        <v>708</v>
      </c>
      <c r="T39" s="15">
        <f>SUM(S39/S40)</f>
        <v>9.1733609743456859E-2</v>
      </c>
      <c r="U39" s="18">
        <v>1</v>
      </c>
    </row>
    <row r="40" spans="1:22" s="2" customFormat="1" ht="17.45" customHeight="1" thickBot="1">
      <c r="A40" s="7" t="s">
        <v>795</v>
      </c>
      <c r="B40" s="12" t="s">
        <v>710</v>
      </c>
      <c r="C40" s="13">
        <v>547</v>
      </c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9" t="s">
        <v>199</v>
      </c>
      <c r="Q40" s="11" t="s">
        <v>671</v>
      </c>
      <c r="R40" s="43"/>
      <c r="S40" s="28">
        <v>7718</v>
      </c>
      <c r="T40" s="15"/>
    </row>
    <row r="41" spans="1:22" s="2" customFormat="1" ht="17.45" customHeight="1" thickBot="1">
      <c r="A41" s="7" t="s">
        <v>692</v>
      </c>
      <c r="B41" s="11" t="s">
        <v>11</v>
      </c>
      <c r="C41" s="13">
        <v>543</v>
      </c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9" t="s">
        <v>199</v>
      </c>
      <c r="Q41" s="11" t="s">
        <v>90</v>
      </c>
      <c r="R41" s="24"/>
      <c r="T41" s="15"/>
    </row>
    <row r="42" spans="1:22" s="2" customFormat="1" ht="17.45" customHeight="1" thickBot="1">
      <c r="A42" s="16" t="s">
        <v>720</v>
      </c>
      <c r="B42" s="126" t="s">
        <v>719</v>
      </c>
      <c r="C42" s="13">
        <v>426</v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>
        <v>579</v>
      </c>
      <c r="P42" s="13" t="s">
        <v>10</v>
      </c>
      <c r="T42" s="14"/>
      <c r="U42" s="14"/>
      <c r="V42" s="14"/>
    </row>
    <row r="43" spans="1:22" s="2" customFormat="1" ht="17.45" customHeight="1" thickBot="1">
      <c r="A43" s="16" t="s">
        <v>792</v>
      </c>
      <c r="B43" s="22" t="s">
        <v>710</v>
      </c>
      <c r="C43" s="13">
        <v>383</v>
      </c>
      <c r="D43" s="13"/>
      <c r="E43" s="13"/>
      <c r="F43" s="13"/>
      <c r="G43" s="13"/>
      <c r="H43" s="13"/>
      <c r="I43" s="13"/>
      <c r="J43" s="13"/>
      <c r="K43" s="13"/>
      <c r="L43" s="13"/>
      <c r="M43" s="13" t="s">
        <v>10</v>
      </c>
      <c r="R43" s="67"/>
      <c r="S43" s="20"/>
      <c r="T43" s="21"/>
      <c r="U43" s="18"/>
    </row>
    <row r="44" spans="1:22" s="2" customFormat="1" ht="17.45" customHeight="1" thickBot="1">
      <c r="A44" s="16" t="s">
        <v>630</v>
      </c>
      <c r="B44" s="17" t="s">
        <v>774</v>
      </c>
      <c r="C44" s="13">
        <v>318</v>
      </c>
      <c r="D44" s="13"/>
      <c r="E44" s="13"/>
      <c r="F44" s="13"/>
      <c r="G44" s="13"/>
      <c r="H44" s="13"/>
      <c r="I44" s="13"/>
      <c r="J44" s="13"/>
      <c r="K44" s="13"/>
      <c r="L44" s="13" t="s">
        <v>10</v>
      </c>
    </row>
    <row r="45" spans="1:22" s="2" customFormat="1" ht="17.45" customHeight="1" thickBot="1">
      <c r="A45" s="16" t="s">
        <v>789</v>
      </c>
      <c r="B45" s="126" t="s">
        <v>719</v>
      </c>
      <c r="C45" s="13">
        <v>307</v>
      </c>
      <c r="D45" s="13"/>
      <c r="E45" s="13"/>
      <c r="F45" s="13"/>
      <c r="G45" s="13"/>
      <c r="H45" s="13"/>
      <c r="I45" s="13">
        <v>334</v>
      </c>
      <c r="J45" s="13" t="s">
        <v>10</v>
      </c>
    </row>
    <row r="46" spans="1:22" s="2" customFormat="1" ht="17.45" customHeight="1" thickBot="1">
      <c r="A46" s="7" t="s">
        <v>794</v>
      </c>
      <c r="B46" s="8" t="s">
        <v>774</v>
      </c>
      <c r="C46" s="13">
        <v>305</v>
      </c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9" t="s">
        <v>199</v>
      </c>
      <c r="Q46" s="11" t="s">
        <v>111</v>
      </c>
    </row>
    <row r="47" spans="1:22" s="2" customFormat="1" ht="17.45" customHeight="1" thickBot="1">
      <c r="A47" s="16" t="s">
        <v>791</v>
      </c>
      <c r="B47" s="22" t="s">
        <v>710</v>
      </c>
      <c r="C47" s="13">
        <v>297</v>
      </c>
      <c r="D47" s="13"/>
      <c r="E47" s="13"/>
      <c r="F47" s="13"/>
      <c r="G47" s="13"/>
      <c r="H47" s="13"/>
      <c r="I47" s="13" t="s">
        <v>10</v>
      </c>
      <c r="N47" s="29"/>
    </row>
    <row r="48" spans="1:22" s="2" customFormat="1" ht="17.45" customHeight="1" thickBot="1">
      <c r="A48" s="16" t="s">
        <v>714</v>
      </c>
      <c r="B48" s="126" t="s">
        <v>719</v>
      </c>
      <c r="C48" s="13">
        <v>266</v>
      </c>
      <c r="D48" s="13"/>
      <c r="E48" s="13"/>
      <c r="F48" s="13"/>
      <c r="G48" s="13"/>
      <c r="H48" s="13" t="s">
        <v>10</v>
      </c>
      <c r="J48" s="123"/>
      <c r="K48" s="29"/>
      <c r="L48" s="15"/>
    </row>
    <row r="49" spans="1:18" s="2" customFormat="1" ht="17.45" customHeight="1" thickBot="1">
      <c r="A49" s="16" t="s">
        <v>679</v>
      </c>
      <c r="B49" s="126" t="s">
        <v>719</v>
      </c>
      <c r="C49" s="13">
        <v>194</v>
      </c>
      <c r="D49" s="13"/>
      <c r="E49" s="13"/>
      <c r="F49" s="13"/>
      <c r="G49" s="13" t="s">
        <v>10</v>
      </c>
      <c r="N49" s="130"/>
      <c r="O49" s="20"/>
      <c r="P49" s="21"/>
    </row>
    <row r="50" spans="1:18" s="2" customFormat="1" ht="17.45" customHeight="1" thickBot="1">
      <c r="A50" s="16" t="s">
        <v>790</v>
      </c>
      <c r="B50" s="10" t="s">
        <v>11</v>
      </c>
      <c r="C50" s="13">
        <v>165</v>
      </c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>
        <v>526</v>
      </c>
      <c r="O50" s="13" t="s">
        <v>10</v>
      </c>
    </row>
    <row r="51" spans="1:18" s="2" customFormat="1" ht="17.45" customHeight="1" thickBot="1">
      <c r="A51" s="16" t="s">
        <v>600</v>
      </c>
      <c r="B51" s="22" t="s">
        <v>710</v>
      </c>
      <c r="C51" s="13">
        <v>78</v>
      </c>
      <c r="D51" s="13"/>
      <c r="E51" s="13"/>
      <c r="F51" s="13" t="s">
        <v>10</v>
      </c>
      <c r="J51" s="123"/>
      <c r="K51" s="29"/>
      <c r="L51" s="15"/>
    </row>
    <row r="52" spans="1:18" s="2" customFormat="1" ht="17.45" customHeight="1" thickBot="1">
      <c r="A52" s="16" t="s">
        <v>591</v>
      </c>
      <c r="B52" s="126" t="s">
        <v>719</v>
      </c>
      <c r="C52" s="13">
        <v>29</v>
      </c>
      <c r="D52" s="13"/>
      <c r="E52" s="13" t="s">
        <v>10</v>
      </c>
      <c r="N52" s="130"/>
      <c r="O52" s="20"/>
      <c r="P52" s="21"/>
      <c r="Q52" s="18"/>
    </row>
    <row r="53" spans="1:18">
      <c r="C53" s="125"/>
      <c r="D53" s="125"/>
      <c r="E53" s="125"/>
      <c r="F53" s="125"/>
      <c r="G53" s="125"/>
      <c r="H53" s="125"/>
      <c r="I53" s="125"/>
      <c r="J53" s="125"/>
      <c r="K53" s="125"/>
      <c r="L53" s="125"/>
      <c r="M53" s="125"/>
      <c r="N53" s="124"/>
    </row>
    <row r="54" spans="1:18" s="2" customFormat="1" ht="17.45" customHeight="1">
      <c r="A54" s="1" t="s">
        <v>806</v>
      </c>
    </row>
    <row r="55" spans="1:18" s="2" customFormat="1" ht="10.5" customHeight="1" thickBot="1">
      <c r="A55" s="1"/>
    </row>
    <row r="56" spans="1:18" s="2" customFormat="1" ht="16.5" customHeight="1" thickBot="1">
      <c r="A56" s="4" t="s">
        <v>0</v>
      </c>
      <c r="B56" s="5" t="s">
        <v>1</v>
      </c>
      <c r="C56" s="5" t="s">
        <v>2</v>
      </c>
      <c r="D56" s="5">
        <v>2</v>
      </c>
      <c r="E56" s="5">
        <v>3</v>
      </c>
      <c r="F56" s="5">
        <v>4</v>
      </c>
      <c r="G56" s="5">
        <v>5</v>
      </c>
      <c r="H56" s="5">
        <v>6</v>
      </c>
      <c r="I56" s="5">
        <v>7</v>
      </c>
      <c r="J56" s="5">
        <v>8</v>
      </c>
      <c r="K56" s="5">
        <v>9</v>
      </c>
      <c r="L56" s="5">
        <v>10</v>
      </c>
      <c r="M56" s="5">
        <v>11</v>
      </c>
      <c r="N56" s="6"/>
      <c r="O56" s="14" t="s">
        <v>6</v>
      </c>
      <c r="P56" s="15">
        <f>(6095/13139)</f>
        <v>0.46388614049775478</v>
      </c>
    </row>
    <row r="57" spans="1:18" s="2" customFormat="1" ht="16.5" customHeight="1" thickBot="1">
      <c r="A57" s="7" t="s">
        <v>742</v>
      </c>
      <c r="B57" s="12" t="s">
        <v>710</v>
      </c>
      <c r="C57" s="9">
        <v>1188</v>
      </c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1" t="s">
        <v>85</v>
      </c>
      <c r="O57" s="18"/>
      <c r="P57" s="14" t="s">
        <v>7</v>
      </c>
      <c r="Q57" s="14" t="s">
        <v>8</v>
      </c>
      <c r="R57" s="14" t="s">
        <v>9</v>
      </c>
    </row>
    <row r="58" spans="1:18" s="2" customFormat="1" ht="16.5" customHeight="1" thickBot="1">
      <c r="A58" s="7" t="s">
        <v>747</v>
      </c>
      <c r="B58" s="8" t="s">
        <v>774</v>
      </c>
      <c r="C58" s="13">
        <v>633</v>
      </c>
      <c r="D58" s="13"/>
      <c r="E58" s="13"/>
      <c r="F58" s="9" t="s">
        <v>199</v>
      </c>
      <c r="G58" s="13"/>
      <c r="H58" s="13"/>
      <c r="I58" s="13"/>
      <c r="J58" s="13"/>
      <c r="K58" s="13"/>
      <c r="L58" s="13"/>
      <c r="M58" s="13"/>
      <c r="N58" s="11" t="s">
        <v>90</v>
      </c>
      <c r="O58" s="19" t="s">
        <v>774</v>
      </c>
      <c r="P58" s="20">
        <f>(C58+C66+C68+C69+C70+C71)</f>
        <v>1336</v>
      </c>
      <c r="Q58" s="21">
        <f>SUM(P58/P61)</f>
        <v>0.2288847010450574</v>
      </c>
      <c r="R58" s="18">
        <v>1</v>
      </c>
    </row>
    <row r="59" spans="1:18" s="2" customFormat="1" ht="16.5" customHeight="1" thickBot="1">
      <c r="A59" s="7" t="s">
        <v>801</v>
      </c>
      <c r="B59" s="12" t="s">
        <v>710</v>
      </c>
      <c r="C59" s="13">
        <v>568</v>
      </c>
      <c r="D59" s="9">
        <v>751</v>
      </c>
      <c r="E59" s="13"/>
      <c r="F59" s="13"/>
      <c r="G59" s="13"/>
      <c r="H59" s="13"/>
      <c r="I59" s="13"/>
      <c r="J59" s="13"/>
      <c r="K59" s="13"/>
      <c r="L59" s="13"/>
      <c r="M59" s="13"/>
      <c r="N59" s="11" t="s">
        <v>86</v>
      </c>
      <c r="O59" s="23" t="s">
        <v>710</v>
      </c>
      <c r="P59" s="20">
        <f>(C57+C59+C60+C61+C62+C63+C64+C67)</f>
        <v>4261</v>
      </c>
      <c r="Q59" s="21">
        <f>SUM(P59/P61)</f>
        <v>0.72999828679115986</v>
      </c>
      <c r="R59" s="18">
        <v>7</v>
      </c>
    </row>
    <row r="60" spans="1:18" s="2" customFormat="1" ht="16.5" customHeight="1" thickBot="1">
      <c r="A60" s="7" t="s">
        <v>799</v>
      </c>
      <c r="B60" s="12" t="s">
        <v>710</v>
      </c>
      <c r="C60" s="13">
        <v>560</v>
      </c>
      <c r="D60" s="13"/>
      <c r="E60" s="13"/>
      <c r="F60" s="13"/>
      <c r="G60" s="13"/>
      <c r="H60" s="13"/>
      <c r="I60" s="13"/>
      <c r="J60" s="13"/>
      <c r="K60" s="13"/>
      <c r="L60" s="13"/>
      <c r="M60" s="9" t="s">
        <v>199</v>
      </c>
      <c r="N60" s="11" t="s">
        <v>88</v>
      </c>
      <c r="O60" s="14" t="s">
        <v>14</v>
      </c>
      <c r="P60" s="29">
        <v>240</v>
      </c>
      <c r="Q60" s="15">
        <f>SUM(P60/P61)</f>
        <v>4.1117012163782767E-2</v>
      </c>
      <c r="R60" s="18"/>
    </row>
    <row r="61" spans="1:18" s="2" customFormat="1" ht="16.5" customHeight="1" thickBot="1">
      <c r="A61" s="7" t="s">
        <v>798</v>
      </c>
      <c r="B61" s="12" t="s">
        <v>710</v>
      </c>
      <c r="C61" s="13">
        <v>501</v>
      </c>
      <c r="D61" s="13"/>
      <c r="E61" s="9">
        <v>691</v>
      </c>
      <c r="F61" s="13"/>
      <c r="G61" s="13"/>
      <c r="H61" s="13"/>
      <c r="I61" s="13"/>
      <c r="J61" s="13"/>
      <c r="K61" s="13"/>
      <c r="L61" s="13"/>
      <c r="M61" s="13"/>
      <c r="N61" s="11" t="s">
        <v>87</v>
      </c>
      <c r="O61" s="51"/>
      <c r="P61" s="28">
        <v>5837</v>
      </c>
      <c r="Q61" s="15"/>
      <c r="R61" s="18"/>
    </row>
    <row r="62" spans="1:18" s="2" customFormat="1" ht="16.5" customHeight="1" thickBot="1">
      <c r="A62" s="7" t="s">
        <v>797</v>
      </c>
      <c r="B62" s="12" t="s">
        <v>710</v>
      </c>
      <c r="C62" s="13">
        <v>481</v>
      </c>
      <c r="D62" s="13"/>
      <c r="E62" s="13"/>
      <c r="F62" s="13"/>
      <c r="G62" s="13"/>
      <c r="H62" s="13"/>
      <c r="I62" s="13"/>
      <c r="J62" s="13"/>
      <c r="K62" s="13"/>
      <c r="L62" s="13"/>
      <c r="M62" s="9" t="s">
        <v>199</v>
      </c>
      <c r="N62" s="11" t="s">
        <v>89</v>
      </c>
      <c r="O62" s="26"/>
      <c r="Q62" s="15"/>
      <c r="R62" s="18"/>
    </row>
    <row r="63" spans="1:18" s="2" customFormat="1" ht="16.5" customHeight="1" thickBot="1">
      <c r="A63" s="7" t="s">
        <v>796</v>
      </c>
      <c r="B63" s="12" t="s">
        <v>710</v>
      </c>
      <c r="C63" s="13">
        <v>407</v>
      </c>
      <c r="D63" s="13"/>
      <c r="E63" s="13"/>
      <c r="F63" s="13"/>
      <c r="G63" s="13"/>
      <c r="H63" s="13"/>
      <c r="I63" s="13"/>
      <c r="J63" s="13"/>
      <c r="K63" s="13"/>
      <c r="L63" s="13"/>
      <c r="M63" s="9" t="s">
        <v>199</v>
      </c>
      <c r="N63" s="11" t="s">
        <v>111</v>
      </c>
    </row>
    <row r="64" spans="1:18" s="2" customFormat="1" ht="16.5" customHeight="1" thickBot="1">
      <c r="A64" s="7" t="s">
        <v>486</v>
      </c>
      <c r="B64" s="12" t="s">
        <v>710</v>
      </c>
      <c r="C64" s="13">
        <v>352</v>
      </c>
      <c r="D64" s="13"/>
      <c r="E64" s="13"/>
      <c r="F64" s="13"/>
      <c r="G64" s="13"/>
      <c r="H64" s="13"/>
      <c r="I64" s="13"/>
      <c r="J64" s="13"/>
      <c r="K64" s="13"/>
      <c r="L64" s="13"/>
      <c r="M64" s="9" t="s">
        <v>199</v>
      </c>
      <c r="N64" s="11" t="s">
        <v>671</v>
      </c>
    </row>
    <row r="65" spans="1:14" s="2" customFormat="1" ht="16.5" customHeight="1" thickBot="1">
      <c r="A65" s="16" t="s">
        <v>802</v>
      </c>
      <c r="B65" s="10" t="s">
        <v>11</v>
      </c>
      <c r="C65" s="13">
        <v>240</v>
      </c>
      <c r="D65" s="13"/>
      <c r="E65" s="13"/>
      <c r="F65" s="13"/>
      <c r="G65" s="13"/>
      <c r="H65" s="13"/>
      <c r="I65" s="13"/>
      <c r="J65" s="13"/>
      <c r="K65" s="13" t="s">
        <v>10</v>
      </c>
    </row>
    <row r="66" spans="1:14" s="2" customFormat="1" ht="16.5" customHeight="1" thickBot="1">
      <c r="A66" s="16" t="s">
        <v>804</v>
      </c>
      <c r="B66" s="17" t="s">
        <v>774</v>
      </c>
      <c r="C66" s="13">
        <v>225</v>
      </c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</row>
    <row r="67" spans="1:14" s="2" customFormat="1" ht="16.5" customHeight="1" thickBot="1">
      <c r="A67" s="16" t="s">
        <v>800</v>
      </c>
      <c r="B67" s="22" t="s">
        <v>710</v>
      </c>
      <c r="C67" s="13">
        <v>204</v>
      </c>
      <c r="D67" s="13"/>
      <c r="E67" s="13"/>
      <c r="F67" s="13"/>
      <c r="G67" s="13"/>
      <c r="H67" s="13"/>
      <c r="I67" s="13"/>
      <c r="J67" s="13"/>
      <c r="K67" s="13"/>
      <c r="L67" s="13" t="s">
        <v>10</v>
      </c>
    </row>
    <row r="68" spans="1:14" s="2" customFormat="1" ht="16.5" customHeight="1" thickBot="1">
      <c r="A68" s="16" t="s">
        <v>805</v>
      </c>
      <c r="B68" s="17" t="s">
        <v>774</v>
      </c>
      <c r="C68" s="13">
        <v>173</v>
      </c>
      <c r="D68" s="13"/>
      <c r="E68" s="13"/>
      <c r="F68" s="13"/>
      <c r="G68" s="13"/>
      <c r="H68" s="13"/>
      <c r="I68" s="13"/>
      <c r="J68" s="13" t="s">
        <v>10</v>
      </c>
    </row>
    <row r="69" spans="1:14" s="2" customFormat="1" ht="16.5" customHeight="1" thickBot="1">
      <c r="A69" s="16" t="s">
        <v>803</v>
      </c>
      <c r="B69" s="17" t="s">
        <v>774</v>
      </c>
      <c r="C69" s="13">
        <v>121</v>
      </c>
      <c r="D69" s="13"/>
      <c r="E69" s="13"/>
      <c r="F69" s="13"/>
      <c r="G69" s="13"/>
      <c r="H69" s="13"/>
      <c r="I69" s="13" t="s">
        <v>10</v>
      </c>
    </row>
    <row r="70" spans="1:14" s="2" customFormat="1" ht="16.5" customHeight="1" thickBot="1">
      <c r="A70" s="16" t="s">
        <v>196</v>
      </c>
      <c r="B70" s="17" t="s">
        <v>774</v>
      </c>
      <c r="C70" s="13">
        <v>93</v>
      </c>
      <c r="D70" s="13"/>
      <c r="E70" s="13"/>
      <c r="F70" s="13"/>
      <c r="G70" s="13"/>
      <c r="H70" s="13" t="s">
        <v>10</v>
      </c>
    </row>
    <row r="71" spans="1:14" s="2" customFormat="1" ht="16.5" customHeight="1" thickBot="1">
      <c r="A71" s="16" t="s">
        <v>221</v>
      </c>
      <c r="B71" s="17" t="s">
        <v>774</v>
      </c>
      <c r="C71" s="13">
        <v>91</v>
      </c>
      <c r="D71" s="13"/>
      <c r="E71" s="13"/>
      <c r="F71" s="13"/>
      <c r="G71" s="13" t="s">
        <v>10</v>
      </c>
    </row>
    <row r="72" spans="1:14">
      <c r="C72" s="41"/>
      <c r="D72" s="41"/>
      <c r="E72" s="41"/>
      <c r="F72" s="41"/>
    </row>
    <row r="73" spans="1:14" s="2" customFormat="1" ht="17.45" customHeight="1">
      <c r="A73" s="1" t="s">
        <v>829</v>
      </c>
    </row>
    <row r="74" spans="1:14" s="2" customFormat="1" ht="10.5" customHeight="1" thickBot="1">
      <c r="A74" s="1"/>
    </row>
    <row r="75" spans="1:14" s="2" customFormat="1" ht="16.5" customHeight="1" thickBot="1">
      <c r="A75" s="4" t="s">
        <v>0</v>
      </c>
      <c r="B75" s="5" t="s">
        <v>1</v>
      </c>
      <c r="C75" s="5" t="s">
        <v>2</v>
      </c>
      <c r="D75" s="5">
        <v>2</v>
      </c>
      <c r="E75" s="5">
        <v>3</v>
      </c>
      <c r="F75" s="5">
        <v>4</v>
      </c>
      <c r="G75" s="5">
        <v>5</v>
      </c>
      <c r="H75" s="5">
        <v>6</v>
      </c>
      <c r="I75" s="5">
        <v>7</v>
      </c>
      <c r="J75" s="6"/>
      <c r="K75" s="14" t="s">
        <v>6</v>
      </c>
      <c r="L75" s="50">
        <f>(3118/6380)</f>
        <v>0.48871473354231976</v>
      </c>
    </row>
    <row r="76" spans="1:14" s="2" customFormat="1" ht="16.5" customHeight="1" thickBot="1">
      <c r="A76" s="7" t="s">
        <v>827</v>
      </c>
      <c r="B76" s="12" t="s">
        <v>710</v>
      </c>
      <c r="C76" s="9">
        <v>646</v>
      </c>
      <c r="D76" s="13"/>
      <c r="E76" s="13"/>
      <c r="F76" s="13"/>
      <c r="G76" s="13"/>
      <c r="H76" s="13"/>
      <c r="I76" s="13"/>
      <c r="J76" s="11" t="s">
        <v>85</v>
      </c>
      <c r="K76" s="18"/>
      <c r="L76" s="14" t="s">
        <v>7</v>
      </c>
      <c r="M76" s="14" t="s">
        <v>8</v>
      </c>
      <c r="N76" s="14" t="s">
        <v>9</v>
      </c>
    </row>
    <row r="77" spans="1:14" s="2" customFormat="1" ht="16.5" customHeight="1" thickBot="1">
      <c r="A77" s="7" t="s">
        <v>823</v>
      </c>
      <c r="B77" s="12" t="s">
        <v>710</v>
      </c>
      <c r="C77" s="13">
        <v>516</v>
      </c>
      <c r="D77" s="13"/>
      <c r="E77" s="9" t="s">
        <v>199</v>
      </c>
      <c r="F77" s="13"/>
      <c r="G77" s="13"/>
      <c r="H77" s="13"/>
      <c r="I77" s="13"/>
      <c r="J77" s="11" t="s">
        <v>86</v>
      </c>
      <c r="K77" s="19" t="s">
        <v>774</v>
      </c>
      <c r="L77" s="20">
        <f>(C78+C79+C80+C82)</f>
        <v>1379</v>
      </c>
      <c r="M77" s="21">
        <f>SUM(L77/L79)</f>
        <v>0.44227068633739575</v>
      </c>
      <c r="N77" s="18">
        <v>2</v>
      </c>
    </row>
    <row r="78" spans="1:14" s="2" customFormat="1" ht="16.5" customHeight="1" thickBot="1">
      <c r="A78" s="7" t="s">
        <v>749</v>
      </c>
      <c r="B78" s="8" t="s">
        <v>774</v>
      </c>
      <c r="C78" s="13">
        <v>390</v>
      </c>
      <c r="D78" s="13"/>
      <c r="E78" s="13"/>
      <c r="F78" s="13"/>
      <c r="G78" s="13"/>
      <c r="H78" s="13"/>
      <c r="I78" s="9" t="s">
        <v>199</v>
      </c>
      <c r="J78" s="11" t="s">
        <v>87</v>
      </c>
      <c r="K78" s="23" t="s">
        <v>710</v>
      </c>
      <c r="L78" s="20">
        <f>(C76+C77+C81+C83+C84)</f>
        <v>1739</v>
      </c>
      <c r="M78" s="21">
        <f>SUM(L78/L79)</f>
        <v>0.55772931366260425</v>
      </c>
      <c r="N78" s="18">
        <v>3</v>
      </c>
    </row>
    <row r="79" spans="1:14" s="2" customFormat="1" ht="16.5" customHeight="1" thickBot="1">
      <c r="A79" s="16" t="s">
        <v>825</v>
      </c>
      <c r="B79" s="17" t="s">
        <v>774</v>
      </c>
      <c r="C79" s="13">
        <v>382</v>
      </c>
      <c r="D79" s="13"/>
      <c r="E79" s="13"/>
      <c r="F79" s="13"/>
      <c r="G79" s="13"/>
      <c r="H79" s="13"/>
      <c r="I79" s="13"/>
      <c r="J79" s="11"/>
      <c r="K79" s="43"/>
      <c r="L79" s="28">
        <v>3118</v>
      </c>
      <c r="M79" s="15"/>
    </row>
    <row r="80" spans="1:14" s="2" customFormat="1" ht="16.5" customHeight="1" thickBot="1">
      <c r="A80" s="7" t="s">
        <v>828</v>
      </c>
      <c r="B80" s="8" t="s">
        <v>774</v>
      </c>
      <c r="C80" s="13">
        <v>354</v>
      </c>
      <c r="D80" s="13"/>
      <c r="E80" s="13"/>
      <c r="F80" s="13"/>
      <c r="G80" s="13"/>
      <c r="H80" s="13"/>
      <c r="I80" s="9" t="s">
        <v>199</v>
      </c>
      <c r="J80" s="9" t="s">
        <v>89</v>
      </c>
      <c r="K80" s="24"/>
      <c r="M80" s="15"/>
    </row>
    <row r="81" spans="1:23" s="2" customFormat="1" ht="16.5" customHeight="1" thickBot="1">
      <c r="A81" s="7" t="s">
        <v>824</v>
      </c>
      <c r="B81" s="12" t="s">
        <v>710</v>
      </c>
      <c r="C81" s="13">
        <v>281</v>
      </c>
      <c r="D81" s="13"/>
      <c r="E81" s="13"/>
      <c r="F81" s="13"/>
      <c r="G81" s="13"/>
      <c r="H81" s="13"/>
      <c r="I81" s="9" t="s">
        <v>199</v>
      </c>
      <c r="J81" s="9" t="s">
        <v>90</v>
      </c>
      <c r="K81" s="29"/>
    </row>
    <row r="82" spans="1:23" s="2" customFormat="1" ht="16.5" customHeight="1" thickBot="1">
      <c r="A82" s="16" t="s">
        <v>604</v>
      </c>
      <c r="B82" s="17" t="s">
        <v>774</v>
      </c>
      <c r="C82" s="13">
        <v>253</v>
      </c>
      <c r="D82" s="13"/>
      <c r="E82" s="13"/>
      <c r="F82" s="13"/>
      <c r="G82" s="13"/>
      <c r="K82" s="18"/>
      <c r="L82" s="14"/>
      <c r="M82" s="14"/>
      <c r="N82" s="14"/>
    </row>
    <row r="83" spans="1:23" s="2" customFormat="1" ht="16.5" customHeight="1" thickBot="1">
      <c r="A83" s="16" t="s">
        <v>66</v>
      </c>
      <c r="B83" s="22" t="s">
        <v>710</v>
      </c>
      <c r="C83" s="13">
        <v>244</v>
      </c>
      <c r="D83" s="13"/>
      <c r="E83" s="13"/>
      <c r="F83" s="13"/>
      <c r="G83" s="13"/>
      <c r="K83" s="19"/>
      <c r="L83" s="20"/>
      <c r="M83" s="21"/>
      <c r="N83" s="18"/>
    </row>
    <row r="84" spans="1:23" s="2" customFormat="1" ht="16.5" customHeight="1" thickBot="1">
      <c r="A84" s="16" t="s">
        <v>826</v>
      </c>
      <c r="B84" s="22" t="s">
        <v>710</v>
      </c>
      <c r="C84" s="13">
        <v>52</v>
      </c>
      <c r="D84" s="13"/>
      <c r="E84" s="13"/>
      <c r="F84" s="13"/>
      <c r="G84" s="13"/>
      <c r="L84" s="68"/>
      <c r="M84" s="20"/>
      <c r="N84" s="21"/>
      <c r="O84" s="18"/>
    </row>
    <row r="85" spans="1:23">
      <c r="A85" s="124"/>
      <c r="B85" s="124"/>
      <c r="C85" s="125"/>
      <c r="D85" s="125"/>
      <c r="E85" s="125"/>
      <c r="F85" s="125"/>
      <c r="G85" s="124"/>
      <c r="H85" s="124"/>
      <c r="I85" s="124"/>
    </row>
    <row r="86" spans="1:23" s="2" customFormat="1" ht="17.45" customHeight="1">
      <c r="A86" s="1" t="s">
        <v>809</v>
      </c>
    </row>
    <row r="87" spans="1:23" s="2" customFormat="1" ht="10.5" customHeight="1" thickBot="1">
      <c r="A87" s="1"/>
    </row>
    <row r="88" spans="1:23" s="2" customFormat="1" ht="16.5" customHeight="1" thickBot="1">
      <c r="A88" s="4" t="s">
        <v>0</v>
      </c>
      <c r="B88" s="5" t="s">
        <v>1</v>
      </c>
      <c r="C88" s="5" t="s">
        <v>2</v>
      </c>
      <c r="D88" s="5">
        <v>2</v>
      </c>
      <c r="E88" s="5">
        <v>3</v>
      </c>
      <c r="F88" s="5">
        <v>4</v>
      </c>
      <c r="G88" s="5">
        <v>5</v>
      </c>
      <c r="H88" s="5">
        <v>6</v>
      </c>
      <c r="I88" s="5">
        <v>7</v>
      </c>
      <c r="J88" s="5">
        <v>8</v>
      </c>
      <c r="K88" s="5">
        <v>9</v>
      </c>
      <c r="L88" s="5">
        <v>10</v>
      </c>
      <c r="M88" s="5">
        <v>11</v>
      </c>
      <c r="N88" s="5">
        <v>12</v>
      </c>
      <c r="O88" s="5">
        <v>13</v>
      </c>
      <c r="P88" s="5">
        <v>14</v>
      </c>
      <c r="Q88" s="5">
        <v>15</v>
      </c>
      <c r="R88" s="5">
        <v>16</v>
      </c>
      <c r="S88" s="6"/>
      <c r="T88" s="14" t="s">
        <v>6</v>
      </c>
      <c r="U88" s="15">
        <f>(5567/9596)</f>
        <v>0.58013755731554817</v>
      </c>
    </row>
    <row r="89" spans="1:23" s="2" customFormat="1" ht="16.5" customHeight="1" thickBot="1">
      <c r="A89" s="7" t="s">
        <v>807</v>
      </c>
      <c r="B89" s="12" t="s">
        <v>710</v>
      </c>
      <c r="C89" s="13">
        <v>606</v>
      </c>
      <c r="D89" s="13"/>
      <c r="E89" s="13"/>
      <c r="F89" s="13"/>
      <c r="G89" s="13"/>
      <c r="H89" s="9">
        <v>682</v>
      </c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1" t="s">
        <v>85</v>
      </c>
      <c r="T89" s="18"/>
      <c r="U89" s="14" t="s">
        <v>7</v>
      </c>
      <c r="V89" s="14" t="s">
        <v>8</v>
      </c>
      <c r="W89" s="14" t="s">
        <v>9</v>
      </c>
    </row>
    <row r="90" spans="1:23" s="2" customFormat="1" ht="16.5" customHeight="1" thickBot="1">
      <c r="A90" s="7" t="s">
        <v>808</v>
      </c>
      <c r="B90" s="8" t="s">
        <v>774</v>
      </c>
      <c r="C90" s="13">
        <v>585</v>
      </c>
      <c r="D90" s="13"/>
      <c r="E90" s="13"/>
      <c r="F90" s="13"/>
      <c r="G90" s="13"/>
      <c r="H90" s="13"/>
      <c r="I90" s="13"/>
      <c r="J90" s="13">
        <v>649</v>
      </c>
      <c r="K90" s="9">
        <v>703</v>
      </c>
      <c r="L90" s="13"/>
      <c r="M90" s="13"/>
      <c r="N90" s="13"/>
      <c r="O90" s="13"/>
      <c r="P90" s="13"/>
      <c r="Q90" s="13"/>
      <c r="R90" s="13"/>
      <c r="S90" s="11" t="s">
        <v>86</v>
      </c>
      <c r="T90" s="19" t="s">
        <v>774</v>
      </c>
      <c r="U90" s="20">
        <f>(C90+C97+C98+C100+C102+C105)</f>
        <v>1567</v>
      </c>
      <c r="V90" s="21">
        <f>SUM(U90/U94)</f>
        <v>0.29388597149287321</v>
      </c>
      <c r="W90" s="18">
        <v>2</v>
      </c>
    </row>
    <row r="91" spans="1:23" s="2" customFormat="1" ht="16.5" customHeight="1" thickBot="1">
      <c r="A91" s="7" t="s">
        <v>821</v>
      </c>
      <c r="B91" s="12" t="s">
        <v>710</v>
      </c>
      <c r="C91" s="13">
        <v>436</v>
      </c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9">
        <v>719</v>
      </c>
      <c r="P91" s="13"/>
      <c r="Q91" s="13"/>
      <c r="R91" s="13"/>
      <c r="S91" s="11" t="s">
        <v>87</v>
      </c>
      <c r="T91" s="23" t="s">
        <v>710</v>
      </c>
      <c r="U91" s="20">
        <f>(C89+C91+C95+C94+C99+C101+C103)</f>
        <v>2272</v>
      </c>
      <c r="V91" s="21">
        <f>SUM(U91/U94)</f>
        <v>0.42610652663165793</v>
      </c>
      <c r="W91" s="18">
        <v>3</v>
      </c>
    </row>
    <row r="92" spans="1:23" s="2" customFormat="1" ht="16.5" customHeight="1" thickBot="1">
      <c r="A92" s="7" t="s">
        <v>218</v>
      </c>
      <c r="B92" s="11" t="s">
        <v>11</v>
      </c>
      <c r="C92" s="13">
        <v>401</v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9" t="s">
        <v>199</v>
      </c>
      <c r="S92" s="11" t="s">
        <v>111</v>
      </c>
      <c r="T92" s="26" t="s">
        <v>13</v>
      </c>
      <c r="U92" s="20">
        <f>(C96+C104+C107+C108)</f>
        <v>616</v>
      </c>
      <c r="V92" s="21">
        <f>SUM(U92/U94)</f>
        <v>0.11552888222055514</v>
      </c>
    </row>
    <row r="93" spans="1:23" s="2" customFormat="1" ht="16.5" customHeight="1" thickBot="1">
      <c r="A93" s="7" t="s">
        <v>615</v>
      </c>
      <c r="B93" s="11" t="s">
        <v>11</v>
      </c>
      <c r="C93" s="13">
        <v>375</v>
      </c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9" t="s">
        <v>199</v>
      </c>
      <c r="S93" s="11" t="s">
        <v>90</v>
      </c>
      <c r="T93" s="43" t="s">
        <v>14</v>
      </c>
      <c r="U93" s="20">
        <f>(C92+C93+C106)</f>
        <v>877</v>
      </c>
      <c r="V93" s="21">
        <f>SUM(U93/U94)</f>
        <v>0.16447861965491373</v>
      </c>
      <c r="W93" s="2">
        <v>2</v>
      </c>
    </row>
    <row r="94" spans="1:23" s="2" customFormat="1" ht="16.5" customHeight="1" thickBot="1">
      <c r="A94" s="16" t="s">
        <v>812</v>
      </c>
      <c r="B94" s="22" t="s">
        <v>710</v>
      </c>
      <c r="C94" s="13">
        <v>367</v>
      </c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>
        <v>431</v>
      </c>
      <c r="S94" s="11"/>
      <c r="T94" s="34"/>
      <c r="U94" s="28">
        <v>5332</v>
      </c>
      <c r="V94" s="15"/>
    </row>
    <row r="95" spans="1:23" s="2" customFormat="1" ht="16.5" customHeight="1" thickBot="1">
      <c r="A95" s="7" t="s">
        <v>810</v>
      </c>
      <c r="B95" s="12" t="s">
        <v>710</v>
      </c>
      <c r="C95" s="13">
        <v>362</v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9" t="s">
        <v>199</v>
      </c>
      <c r="S95" s="11" t="s">
        <v>89</v>
      </c>
    </row>
    <row r="96" spans="1:23" s="2" customFormat="1" ht="16.5" customHeight="1" thickBot="1">
      <c r="A96" s="16" t="s">
        <v>820</v>
      </c>
      <c r="B96" s="61" t="s">
        <v>13</v>
      </c>
      <c r="C96" s="13">
        <v>323</v>
      </c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>
        <v>396</v>
      </c>
      <c r="R96" s="13" t="s">
        <v>10</v>
      </c>
    </row>
    <row r="97" spans="1:21" s="2" customFormat="1" ht="16.5" customHeight="1" thickBot="1">
      <c r="A97" s="7" t="s">
        <v>657</v>
      </c>
      <c r="B97" s="8" t="s">
        <v>774</v>
      </c>
      <c r="C97" s="13">
        <v>295</v>
      </c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9" t="s">
        <v>199</v>
      </c>
      <c r="S97" s="11" t="s">
        <v>88</v>
      </c>
    </row>
    <row r="98" spans="1:21" s="2" customFormat="1" ht="16.5" customHeight="1" thickBot="1">
      <c r="A98" s="16" t="s">
        <v>816</v>
      </c>
      <c r="B98" s="17" t="s">
        <v>774</v>
      </c>
      <c r="C98" s="13">
        <v>227</v>
      </c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>
        <v>357</v>
      </c>
      <c r="Q98" s="13" t="s">
        <v>10</v>
      </c>
    </row>
    <row r="99" spans="1:21" s="2" customFormat="1" ht="16.5" customHeight="1" thickBot="1">
      <c r="A99" s="16" t="s">
        <v>811</v>
      </c>
      <c r="B99" s="22" t="s">
        <v>710</v>
      </c>
      <c r="C99" s="13">
        <v>181</v>
      </c>
      <c r="D99" s="13"/>
      <c r="E99" s="13"/>
      <c r="F99" s="13"/>
      <c r="G99" s="13"/>
      <c r="H99" s="13"/>
      <c r="I99" s="13"/>
      <c r="J99" s="13"/>
      <c r="K99" s="13"/>
      <c r="L99" s="13"/>
      <c r="M99" s="13">
        <v>237</v>
      </c>
      <c r="N99" s="13" t="s">
        <v>10</v>
      </c>
      <c r="R99" s="15"/>
    </row>
    <row r="100" spans="1:21" s="2" customFormat="1" ht="16.5" customHeight="1" thickBot="1">
      <c r="A100" s="16" t="s">
        <v>732</v>
      </c>
      <c r="B100" s="17" t="s">
        <v>774</v>
      </c>
      <c r="C100" s="13">
        <v>177</v>
      </c>
      <c r="D100" s="13"/>
      <c r="E100" s="13"/>
      <c r="F100" s="13"/>
      <c r="G100" s="13"/>
      <c r="H100" s="13"/>
      <c r="I100" s="13"/>
      <c r="J100" s="13">
        <v>179</v>
      </c>
      <c r="K100" s="13" t="s">
        <v>10</v>
      </c>
      <c r="L100" s="29"/>
      <c r="M100" s="29"/>
      <c r="P100" s="18"/>
    </row>
    <row r="101" spans="1:21" s="2" customFormat="1" ht="16.5" customHeight="1" thickBot="1">
      <c r="A101" s="16" t="s">
        <v>814</v>
      </c>
      <c r="B101" s="22" t="s">
        <v>710</v>
      </c>
      <c r="C101" s="13">
        <v>176</v>
      </c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 t="s">
        <v>10</v>
      </c>
      <c r="P101" s="20"/>
      <c r="Q101" s="21"/>
    </row>
    <row r="102" spans="1:21" s="2" customFormat="1" ht="16.5" customHeight="1" thickBot="1">
      <c r="A102" s="16" t="s">
        <v>817</v>
      </c>
      <c r="B102" s="17" t="s">
        <v>774</v>
      </c>
      <c r="C102" s="13">
        <v>167</v>
      </c>
      <c r="D102" s="13"/>
      <c r="E102" s="13"/>
      <c r="F102" s="13"/>
      <c r="G102" s="13"/>
      <c r="H102" s="13"/>
      <c r="I102" s="13"/>
      <c r="J102" s="13" t="s">
        <v>10</v>
      </c>
      <c r="O102" s="34"/>
      <c r="P102" s="28"/>
      <c r="Q102" s="15"/>
    </row>
    <row r="103" spans="1:21" s="2" customFormat="1" ht="16.5" customHeight="1" thickBot="1">
      <c r="A103" s="16" t="s">
        <v>813</v>
      </c>
      <c r="B103" s="22" t="s">
        <v>710</v>
      </c>
      <c r="C103" s="13">
        <v>144</v>
      </c>
      <c r="D103" s="13"/>
      <c r="E103" s="13"/>
      <c r="F103" s="13"/>
      <c r="G103" s="13"/>
      <c r="H103" s="13" t="s">
        <v>10</v>
      </c>
    </row>
    <row r="104" spans="1:21" s="2" customFormat="1" ht="16.5" customHeight="1" thickBot="1">
      <c r="A104" s="16" t="s">
        <v>822</v>
      </c>
      <c r="B104" s="61" t="s">
        <v>13</v>
      </c>
      <c r="C104" s="13">
        <v>131</v>
      </c>
      <c r="D104" s="13"/>
      <c r="E104" s="13"/>
      <c r="F104" s="13"/>
      <c r="G104" s="13"/>
      <c r="H104" s="13"/>
      <c r="I104" s="13"/>
      <c r="J104" s="13"/>
      <c r="K104" s="13"/>
      <c r="L104" s="13"/>
      <c r="M104" s="13" t="s">
        <v>10</v>
      </c>
    </row>
    <row r="105" spans="1:21" s="2" customFormat="1" ht="16.5" customHeight="1" thickBot="1">
      <c r="A105" s="16" t="s">
        <v>731</v>
      </c>
      <c r="B105" s="17" t="s">
        <v>774</v>
      </c>
      <c r="C105" s="13">
        <v>116</v>
      </c>
      <c r="D105" s="13"/>
      <c r="E105" s="13"/>
      <c r="F105" s="13"/>
      <c r="G105" s="13" t="s">
        <v>10</v>
      </c>
    </row>
    <row r="106" spans="1:21" s="2" customFormat="1" ht="16.5" customHeight="1" thickBot="1">
      <c r="A106" s="16" t="s">
        <v>815</v>
      </c>
      <c r="B106" s="10" t="s">
        <v>11</v>
      </c>
      <c r="C106" s="13">
        <v>101</v>
      </c>
      <c r="D106" s="13"/>
      <c r="E106" s="13"/>
      <c r="F106" s="13" t="s">
        <v>10</v>
      </c>
    </row>
    <row r="107" spans="1:21" s="2" customFormat="1" ht="16.5" customHeight="1" thickBot="1">
      <c r="A107" s="16" t="s">
        <v>819</v>
      </c>
      <c r="B107" s="61" t="s">
        <v>13</v>
      </c>
      <c r="C107" s="13">
        <v>87</v>
      </c>
      <c r="D107" s="13"/>
      <c r="E107" s="13" t="s">
        <v>10</v>
      </c>
    </row>
    <row r="108" spans="1:21" s="2" customFormat="1" ht="16.5" customHeight="1" thickBot="1">
      <c r="A108" s="16" t="s">
        <v>818</v>
      </c>
      <c r="B108" s="61" t="s">
        <v>13</v>
      </c>
      <c r="C108" s="13">
        <v>75</v>
      </c>
      <c r="D108" s="13" t="s">
        <v>10</v>
      </c>
      <c r="J108" s="29"/>
      <c r="M108" s="18"/>
    </row>
    <row r="109" spans="1:21" ht="14.25">
      <c r="A109" s="124"/>
      <c r="B109" s="124"/>
      <c r="C109" s="125"/>
      <c r="D109" s="125"/>
      <c r="E109" s="125"/>
      <c r="F109" s="125"/>
      <c r="G109" s="125"/>
      <c r="H109" s="125"/>
      <c r="I109" s="125"/>
      <c r="J109" s="125"/>
      <c r="K109" s="124"/>
      <c r="L109" s="124"/>
      <c r="M109" s="2"/>
      <c r="N109" s="2"/>
      <c r="O109" s="2"/>
      <c r="P109" s="2"/>
      <c r="Q109" s="2"/>
    </row>
    <row r="110" spans="1:21" s="108" customFormat="1" ht="15" customHeight="1">
      <c r="B110" s="46" t="s">
        <v>259</v>
      </c>
      <c r="C110" s="83" t="s">
        <v>774</v>
      </c>
      <c r="D110" s="84" t="s">
        <v>710</v>
      </c>
      <c r="E110" s="86" t="s">
        <v>13</v>
      </c>
      <c r="F110" s="129" t="s">
        <v>719</v>
      </c>
      <c r="G110" s="46" t="s">
        <v>14</v>
      </c>
      <c r="H110" s="85"/>
      <c r="S110" s="109"/>
      <c r="T110" s="110"/>
      <c r="U110" s="111"/>
    </row>
    <row r="111" spans="1:21" s="108" customFormat="1" ht="15" customHeight="1">
      <c r="A111" s="108" t="s">
        <v>7</v>
      </c>
      <c r="B111" s="112">
        <f>SUM(U94+L79+P61+S40+N23+L8)</f>
        <v>29957</v>
      </c>
      <c r="C111" s="110">
        <f>SUM(U90+L77+P58+S36+N19+L5)</f>
        <v>8447</v>
      </c>
      <c r="D111" s="110">
        <f>SUM(U91+L78+S37+N20+L6+P59)</f>
        <v>16209</v>
      </c>
      <c r="E111" s="110">
        <v>616</v>
      </c>
      <c r="F111" s="110">
        <f>(S38+N21)</f>
        <v>1276</v>
      </c>
      <c r="G111" s="110">
        <f>(U93+P60+S39+N22+L7)</f>
        <v>3409</v>
      </c>
      <c r="H111" s="110"/>
      <c r="S111" s="46"/>
      <c r="T111" s="112"/>
      <c r="U111" s="111"/>
    </row>
    <row r="112" spans="1:21" s="108" customFormat="1" ht="15" customHeight="1">
      <c r="A112" s="108" t="s">
        <v>8</v>
      </c>
      <c r="B112" s="115">
        <v>1</v>
      </c>
      <c r="C112" s="111">
        <f>SUM(C111/$B$111)</f>
        <v>0.28197082484895014</v>
      </c>
      <c r="D112" s="111">
        <f>SUM(D111/$B$111)</f>
        <v>0.54107554160964044</v>
      </c>
      <c r="E112" s="111">
        <f>SUM(E111/$B$111)</f>
        <v>2.056280668958841E-2</v>
      </c>
      <c r="F112" s="111">
        <f>SUM(F111/$B$111)</f>
        <v>4.2594385285575992E-2</v>
      </c>
      <c r="G112" s="111">
        <f>SUM(G111/$B$111)</f>
        <v>0.11379644156624495</v>
      </c>
      <c r="H112" s="111"/>
      <c r="K112" s="114"/>
    </row>
    <row r="113" spans="1:16" s="108" customFormat="1" ht="15" customHeight="1">
      <c r="A113" s="108" t="s">
        <v>9</v>
      </c>
      <c r="B113" s="46">
        <v>38</v>
      </c>
      <c r="C113" s="108">
        <v>11</v>
      </c>
      <c r="D113" s="108">
        <v>22</v>
      </c>
      <c r="E113" s="108">
        <v>0</v>
      </c>
      <c r="F113" s="108">
        <v>0</v>
      </c>
      <c r="G113" s="108">
        <v>5</v>
      </c>
    </row>
    <row r="114" spans="1:16" ht="14.25">
      <c r="M114" s="2"/>
      <c r="N114" s="2"/>
      <c r="O114" s="2"/>
      <c r="P114" s="2"/>
    </row>
    <row r="115" spans="1:16" ht="14.25">
      <c r="M115" s="2"/>
      <c r="N115" s="2"/>
      <c r="O115" s="2"/>
      <c r="P115" s="2"/>
    </row>
  </sheetData>
  <sortState ref="A76:C84">
    <sortCondition descending="1" ref="C76:C84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6"/>
  <sheetViews>
    <sheetView zoomScaleNormal="100" workbookViewId="0">
      <selection activeCell="M1" sqref="M1"/>
    </sheetView>
  </sheetViews>
  <sheetFormatPr defaultRowHeight="12.75"/>
  <cols>
    <col min="1" max="1" width="25.28515625" customWidth="1"/>
    <col min="2" max="2" width="8.28515625" customWidth="1"/>
    <col min="3" max="3" width="9.7109375" customWidth="1"/>
    <col min="4" max="19" width="8.7109375" customWidth="1"/>
  </cols>
  <sheetData>
    <row r="1" spans="1:14" s="2" customFormat="1" ht="16.5" customHeight="1">
      <c r="A1" s="1" t="s">
        <v>736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4" t="s">
        <v>6</v>
      </c>
      <c r="L3" s="15"/>
    </row>
    <row r="4" spans="1:14" s="2" customFormat="1" ht="16.5" customHeight="1" thickBot="1">
      <c r="A4" s="7" t="s">
        <v>753</v>
      </c>
      <c r="B4" s="12" t="s">
        <v>710</v>
      </c>
      <c r="C4" s="9">
        <v>1893</v>
      </c>
      <c r="D4" s="13"/>
      <c r="E4" s="13"/>
      <c r="F4" s="13"/>
      <c r="G4" s="13"/>
      <c r="H4" s="13"/>
      <c r="I4" s="13"/>
      <c r="J4" s="11" t="s">
        <v>85</v>
      </c>
      <c r="K4" s="18"/>
      <c r="L4" s="14" t="s">
        <v>7</v>
      </c>
      <c r="M4" s="14" t="s">
        <v>8</v>
      </c>
      <c r="N4" s="14" t="s">
        <v>9</v>
      </c>
    </row>
    <row r="5" spans="1:14" s="2" customFormat="1" ht="16.5" customHeight="1" thickBot="1">
      <c r="A5" s="7" t="s">
        <v>754</v>
      </c>
      <c r="B5" s="8" t="s">
        <v>3</v>
      </c>
      <c r="C5" s="9">
        <v>1014</v>
      </c>
      <c r="D5" s="13"/>
      <c r="E5" s="13"/>
      <c r="F5" s="13"/>
      <c r="G5" s="13"/>
      <c r="H5" s="13"/>
      <c r="I5" s="13"/>
      <c r="J5" s="11" t="s">
        <v>86</v>
      </c>
      <c r="K5" s="19" t="s">
        <v>3</v>
      </c>
      <c r="L5" s="20">
        <f>(C5+C7+C8+C10)</f>
        <v>1829</v>
      </c>
      <c r="M5" s="21">
        <f>SUM(L5/L7)</f>
        <v>0.40330760749724365</v>
      </c>
      <c r="N5" s="18">
        <v>2</v>
      </c>
    </row>
    <row r="6" spans="1:14" s="2" customFormat="1" ht="16.5" customHeight="1" thickBot="1">
      <c r="A6" s="7" t="s">
        <v>366</v>
      </c>
      <c r="B6" s="12" t="s">
        <v>710</v>
      </c>
      <c r="C6" s="13">
        <v>466</v>
      </c>
      <c r="D6" s="9">
        <v>766</v>
      </c>
      <c r="E6" s="13"/>
      <c r="F6" s="13"/>
      <c r="G6" s="13"/>
      <c r="H6" s="13"/>
      <c r="I6" s="13"/>
      <c r="J6" s="11" t="s">
        <v>87</v>
      </c>
      <c r="K6" s="23" t="s">
        <v>710</v>
      </c>
      <c r="L6" s="20">
        <f>(C4+C6+C9+C11)</f>
        <v>2706</v>
      </c>
      <c r="M6" s="21">
        <f>SUM(L6/L7)</f>
        <v>0.5966923925027563</v>
      </c>
      <c r="N6" s="18">
        <v>3</v>
      </c>
    </row>
    <row r="7" spans="1:14" s="2" customFormat="1" ht="16.5" customHeight="1" thickBot="1">
      <c r="A7" s="7" t="s">
        <v>661</v>
      </c>
      <c r="B7" s="8" t="s">
        <v>3</v>
      </c>
      <c r="C7" s="13">
        <v>415</v>
      </c>
      <c r="D7" s="13">
        <v>436</v>
      </c>
      <c r="E7" s="13">
        <v>570</v>
      </c>
      <c r="F7" s="13">
        <v>570</v>
      </c>
      <c r="G7" s="13">
        <v>589</v>
      </c>
      <c r="H7" s="9">
        <v>812</v>
      </c>
      <c r="I7" s="13"/>
      <c r="J7" s="11" t="s">
        <v>90</v>
      </c>
      <c r="K7" s="14"/>
      <c r="L7" s="28">
        <v>4535</v>
      </c>
      <c r="M7" s="15"/>
      <c r="N7" s="18"/>
    </row>
    <row r="8" spans="1:14" s="2" customFormat="1" ht="16.5" customHeight="1" thickBot="1">
      <c r="A8" s="16" t="s">
        <v>472</v>
      </c>
      <c r="B8" s="17" t="s">
        <v>3</v>
      </c>
      <c r="C8" s="13">
        <v>229</v>
      </c>
      <c r="D8" s="13">
        <v>246</v>
      </c>
      <c r="E8" s="13">
        <v>265</v>
      </c>
      <c r="F8" s="13">
        <v>265</v>
      </c>
      <c r="G8" s="13" t="s">
        <v>10</v>
      </c>
    </row>
    <row r="9" spans="1:14" s="2" customFormat="1" ht="16.5" customHeight="1" thickBot="1">
      <c r="A9" s="7" t="s">
        <v>660</v>
      </c>
      <c r="B9" s="12" t="s">
        <v>710</v>
      </c>
      <c r="C9" s="13">
        <v>206</v>
      </c>
      <c r="D9" s="13">
        <v>574</v>
      </c>
      <c r="E9" s="13">
        <v>581</v>
      </c>
      <c r="F9" s="13">
        <v>589</v>
      </c>
      <c r="G9" s="13">
        <v>606</v>
      </c>
      <c r="H9" s="13">
        <v>652</v>
      </c>
      <c r="I9" s="9">
        <v>654</v>
      </c>
      <c r="J9" s="11" t="s">
        <v>89</v>
      </c>
    </row>
    <row r="10" spans="1:14" s="2" customFormat="1" ht="16.5" customHeight="1" thickBot="1">
      <c r="A10" s="16" t="s">
        <v>708</v>
      </c>
      <c r="B10" s="17" t="s">
        <v>3</v>
      </c>
      <c r="C10" s="13">
        <v>171</v>
      </c>
      <c r="D10" s="13">
        <v>212</v>
      </c>
      <c r="E10" s="13">
        <v>288</v>
      </c>
      <c r="F10" s="13">
        <v>288</v>
      </c>
      <c r="G10" s="13">
        <v>466</v>
      </c>
      <c r="H10" s="13" t="s">
        <v>10</v>
      </c>
    </row>
    <row r="11" spans="1:14" s="2" customFormat="1" ht="16.5" customHeight="1" thickBot="1">
      <c r="A11" s="16" t="s">
        <v>755</v>
      </c>
      <c r="B11" s="22" t="s">
        <v>710</v>
      </c>
      <c r="C11" s="13">
        <v>141</v>
      </c>
      <c r="D11" s="13">
        <v>531</v>
      </c>
      <c r="E11" s="13">
        <v>553</v>
      </c>
      <c r="F11" s="13">
        <v>555</v>
      </c>
      <c r="G11" s="13">
        <v>561</v>
      </c>
      <c r="H11" s="13">
        <v>601</v>
      </c>
      <c r="I11" s="13">
        <v>603</v>
      </c>
      <c r="J11" s="11"/>
    </row>
    <row r="12" spans="1:14" s="2" customFormat="1" ht="12.75" customHeight="1">
      <c r="A12" s="1"/>
      <c r="C12" s="20"/>
      <c r="D12" s="20"/>
      <c r="E12" s="20"/>
      <c r="F12" s="20"/>
      <c r="G12" s="20"/>
      <c r="H12" s="20"/>
      <c r="I12" s="20"/>
    </row>
    <row r="13" spans="1:14" s="2" customFormat="1" ht="17.45" customHeight="1">
      <c r="A13" s="1" t="s">
        <v>737</v>
      </c>
    </row>
    <row r="14" spans="1:14" s="2" customFormat="1" ht="10.5" customHeight="1" thickBot="1">
      <c r="A14" s="1"/>
    </row>
    <row r="15" spans="1:14" s="2" customFormat="1" ht="16.5" customHeight="1" thickBot="1">
      <c r="A15" s="4" t="s">
        <v>0</v>
      </c>
      <c r="B15" s="5" t="s">
        <v>1</v>
      </c>
      <c r="C15" s="5" t="s">
        <v>2</v>
      </c>
      <c r="D15" s="5">
        <v>2</v>
      </c>
      <c r="E15" s="5">
        <v>3</v>
      </c>
      <c r="F15" s="5">
        <v>4</v>
      </c>
      <c r="G15" s="5">
        <v>5</v>
      </c>
      <c r="H15" s="5">
        <v>6</v>
      </c>
      <c r="I15" s="5">
        <v>7</v>
      </c>
      <c r="J15" s="6"/>
      <c r="K15" s="14" t="s">
        <v>6</v>
      </c>
      <c r="L15" s="15"/>
    </row>
    <row r="16" spans="1:14" s="2" customFormat="1" ht="16.5" customHeight="1" thickBot="1">
      <c r="A16" s="7" t="s">
        <v>665</v>
      </c>
      <c r="B16" s="11" t="s">
        <v>11</v>
      </c>
      <c r="C16" s="9">
        <v>902</v>
      </c>
      <c r="D16" s="13"/>
      <c r="E16" s="13"/>
      <c r="F16" s="13"/>
      <c r="G16" s="13"/>
      <c r="H16" s="13"/>
      <c r="I16" s="13"/>
      <c r="J16" s="11" t="s">
        <v>85</v>
      </c>
      <c r="K16" s="18"/>
      <c r="L16" s="14" t="s">
        <v>7</v>
      </c>
      <c r="M16" s="14" t="s">
        <v>8</v>
      </c>
      <c r="N16" s="14" t="s">
        <v>9</v>
      </c>
    </row>
    <row r="17" spans="1:19" s="2" customFormat="1" ht="16.5" customHeight="1" thickBot="1">
      <c r="A17" s="7" t="s">
        <v>531</v>
      </c>
      <c r="B17" s="8" t="s">
        <v>3</v>
      </c>
      <c r="C17" s="9">
        <v>632</v>
      </c>
      <c r="D17" s="13"/>
      <c r="E17" s="13"/>
      <c r="F17" s="13"/>
      <c r="G17" s="13"/>
      <c r="H17" s="13"/>
      <c r="I17" s="13"/>
      <c r="J17" s="11" t="s">
        <v>86</v>
      </c>
      <c r="K17" s="19" t="s">
        <v>3</v>
      </c>
      <c r="L17" s="20">
        <f>(C17+C18+C22+C23)</f>
        <v>1655</v>
      </c>
      <c r="M17" s="21">
        <f>SUM(L17/L20)</f>
        <v>0.43794654670547761</v>
      </c>
      <c r="N17" s="18">
        <v>2</v>
      </c>
    </row>
    <row r="18" spans="1:19" s="2" customFormat="1" ht="16.5" customHeight="1" thickBot="1">
      <c r="A18" s="7" t="s">
        <v>756</v>
      </c>
      <c r="B18" s="8" t="s">
        <v>3</v>
      </c>
      <c r="C18" s="13">
        <v>522</v>
      </c>
      <c r="D18" s="9">
        <v>642</v>
      </c>
      <c r="E18" s="13"/>
      <c r="F18" s="13"/>
      <c r="G18" s="13"/>
      <c r="H18" s="13"/>
      <c r="I18" s="13"/>
      <c r="J18" s="11" t="s">
        <v>87</v>
      </c>
      <c r="K18" s="23" t="s">
        <v>710</v>
      </c>
      <c r="L18" s="20">
        <f>(C19+C20+C21)</f>
        <v>1183</v>
      </c>
      <c r="M18" s="21">
        <f>SUM(L18/L20)</f>
        <v>0.31304577930669492</v>
      </c>
      <c r="N18" s="18">
        <v>2</v>
      </c>
    </row>
    <row r="19" spans="1:19" s="2" customFormat="1" ht="16.5" customHeight="1" thickBot="1">
      <c r="A19" s="7" t="s">
        <v>70</v>
      </c>
      <c r="B19" s="12" t="s">
        <v>710</v>
      </c>
      <c r="C19" s="13">
        <v>425</v>
      </c>
      <c r="D19" s="13">
        <v>455</v>
      </c>
      <c r="E19" s="13">
        <v>457</v>
      </c>
      <c r="F19" s="13">
        <v>464</v>
      </c>
      <c r="G19" s="13">
        <v>483</v>
      </c>
      <c r="H19" s="13">
        <v>483</v>
      </c>
      <c r="I19" s="9">
        <v>572</v>
      </c>
      <c r="J19" s="11" t="s">
        <v>89</v>
      </c>
      <c r="K19" s="14" t="s">
        <v>14</v>
      </c>
      <c r="L19" s="29">
        <f>(C16+C24)</f>
        <v>941</v>
      </c>
      <c r="M19" s="15">
        <f>SUM(L19/L20)</f>
        <v>0.24900767398782747</v>
      </c>
      <c r="N19" s="18">
        <v>1</v>
      </c>
    </row>
    <row r="20" spans="1:19" s="2" customFormat="1" ht="16.5" customHeight="1" thickBot="1">
      <c r="A20" s="7" t="s">
        <v>757</v>
      </c>
      <c r="B20" s="12" t="s">
        <v>710</v>
      </c>
      <c r="C20" s="13">
        <v>402</v>
      </c>
      <c r="D20" s="13">
        <v>439</v>
      </c>
      <c r="E20" s="13">
        <v>439</v>
      </c>
      <c r="F20" s="13">
        <v>449</v>
      </c>
      <c r="G20" s="13">
        <v>469</v>
      </c>
      <c r="H20" s="13">
        <v>469</v>
      </c>
      <c r="I20" s="9">
        <v>636</v>
      </c>
      <c r="J20" s="11" t="s">
        <v>90</v>
      </c>
      <c r="K20" s="24"/>
      <c r="L20" s="28">
        <v>3779</v>
      </c>
      <c r="M20" s="15"/>
      <c r="N20" s="18"/>
    </row>
    <row r="21" spans="1:19" s="2" customFormat="1" ht="16.5" customHeight="1" thickBot="1">
      <c r="A21" s="16" t="s">
        <v>758</v>
      </c>
      <c r="B21" s="22" t="s">
        <v>710</v>
      </c>
      <c r="C21" s="13">
        <v>356</v>
      </c>
      <c r="D21" s="13">
        <v>405</v>
      </c>
      <c r="E21" s="13">
        <v>410</v>
      </c>
      <c r="F21" s="13">
        <v>430</v>
      </c>
      <c r="G21" s="13">
        <v>444</v>
      </c>
      <c r="H21" s="13">
        <v>445</v>
      </c>
      <c r="I21" s="13" t="s">
        <v>10</v>
      </c>
    </row>
    <row r="22" spans="1:19" s="2" customFormat="1" ht="16.5" customHeight="1" thickBot="1">
      <c r="A22" s="16" t="s">
        <v>738</v>
      </c>
      <c r="B22" s="17" t="s">
        <v>3</v>
      </c>
      <c r="C22" s="13">
        <v>349</v>
      </c>
      <c r="D22" s="13">
        <v>354</v>
      </c>
      <c r="E22" s="13">
        <v>355</v>
      </c>
      <c r="F22" s="13">
        <v>357</v>
      </c>
      <c r="G22" s="13">
        <v>445</v>
      </c>
      <c r="H22" s="13">
        <v>446</v>
      </c>
      <c r="I22" s="13">
        <v>451</v>
      </c>
      <c r="J22" s="11"/>
      <c r="K22" s="29"/>
    </row>
    <row r="23" spans="1:19" s="2" customFormat="1" ht="16.5" customHeight="1" thickBot="1">
      <c r="A23" s="16" t="s">
        <v>709</v>
      </c>
      <c r="B23" s="17" t="s">
        <v>3</v>
      </c>
      <c r="C23" s="13">
        <v>152</v>
      </c>
      <c r="D23" s="13">
        <v>161</v>
      </c>
      <c r="E23" s="13">
        <v>163</v>
      </c>
      <c r="F23" s="13">
        <v>172</v>
      </c>
      <c r="G23" s="13" t="s">
        <v>10</v>
      </c>
      <c r="J23" s="23"/>
      <c r="K23" s="20"/>
      <c r="L23" s="21"/>
      <c r="M23" s="18"/>
    </row>
    <row r="24" spans="1:19" s="2" customFormat="1" ht="16.5" customHeight="1" thickBot="1">
      <c r="A24" s="16" t="s">
        <v>711</v>
      </c>
      <c r="B24" s="10" t="s">
        <v>11</v>
      </c>
      <c r="C24" s="13">
        <v>39</v>
      </c>
      <c r="D24" s="13">
        <v>61</v>
      </c>
      <c r="E24" s="13">
        <v>63</v>
      </c>
      <c r="F24" s="13" t="s">
        <v>10</v>
      </c>
    </row>
    <row r="25" spans="1:19" s="2" customFormat="1" ht="13.5" customHeight="1">
      <c r="A25" s="35"/>
      <c r="B25" s="36"/>
      <c r="C25" s="40"/>
      <c r="D25" s="40"/>
      <c r="E25" s="40"/>
      <c r="F25" s="40"/>
      <c r="G25" s="40"/>
      <c r="H25" s="40"/>
      <c r="I25" s="40"/>
    </row>
    <row r="26" spans="1:19" s="2" customFormat="1" ht="17.45" customHeight="1">
      <c r="A26" s="1" t="s">
        <v>739</v>
      </c>
    </row>
    <row r="27" spans="1:19" s="2" customFormat="1" ht="8.25" customHeight="1" thickBot="1">
      <c r="A27" s="1"/>
    </row>
    <row r="28" spans="1:19" s="2" customFormat="1" ht="17.45" customHeight="1" thickBot="1">
      <c r="A28" s="4" t="s">
        <v>0</v>
      </c>
      <c r="B28" s="5" t="s">
        <v>1</v>
      </c>
      <c r="C28" s="5" t="s">
        <v>2</v>
      </c>
      <c r="D28" s="5">
        <v>2</v>
      </c>
      <c r="E28" s="5">
        <v>3</v>
      </c>
      <c r="F28" s="5">
        <v>4</v>
      </c>
      <c r="G28" s="5">
        <v>5</v>
      </c>
      <c r="H28" s="5">
        <v>6</v>
      </c>
      <c r="I28" s="5">
        <v>7</v>
      </c>
      <c r="J28" s="5">
        <v>8</v>
      </c>
      <c r="K28" s="5">
        <v>9</v>
      </c>
      <c r="L28" s="5">
        <v>10</v>
      </c>
      <c r="M28" s="5">
        <v>11</v>
      </c>
      <c r="N28" s="5">
        <v>12</v>
      </c>
      <c r="O28" s="5"/>
      <c r="P28" s="14" t="s">
        <v>6</v>
      </c>
      <c r="Q28" s="50"/>
    </row>
    <row r="29" spans="1:19" s="2" customFormat="1" ht="17.45" customHeight="1" thickBot="1">
      <c r="A29" s="7" t="s">
        <v>634</v>
      </c>
      <c r="B29" s="12" t="s">
        <v>710</v>
      </c>
      <c r="C29" s="9">
        <v>1332</v>
      </c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1" t="s">
        <v>85</v>
      </c>
      <c r="P29" s="18"/>
      <c r="Q29" s="14" t="s">
        <v>7</v>
      </c>
      <c r="R29" s="14" t="s">
        <v>8</v>
      </c>
      <c r="S29" s="14" t="s">
        <v>9</v>
      </c>
    </row>
    <row r="30" spans="1:19" s="2" customFormat="1" ht="17.45" customHeight="1" thickBot="1">
      <c r="A30" s="7" t="s">
        <v>468</v>
      </c>
      <c r="B30" s="12" t="s">
        <v>710</v>
      </c>
      <c r="C30" s="13">
        <v>686</v>
      </c>
      <c r="D30" s="9">
        <v>869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1" t="s">
        <v>86</v>
      </c>
      <c r="P30" s="19" t="s">
        <v>3</v>
      </c>
      <c r="Q30" s="20">
        <f>(C31+C32+C34+C35+C36+C40+C41+C43)</f>
        <v>3186</v>
      </c>
      <c r="R30" s="21">
        <f>SUM(Q30/Q34)</f>
        <v>0.46220803713912667</v>
      </c>
      <c r="S30" s="18">
        <v>4</v>
      </c>
    </row>
    <row r="31" spans="1:19" s="2" customFormat="1" ht="17.45" customHeight="1" thickBot="1">
      <c r="A31" s="7" t="s">
        <v>716</v>
      </c>
      <c r="B31" s="8" t="s">
        <v>3</v>
      </c>
      <c r="C31" s="13">
        <v>667</v>
      </c>
      <c r="D31" s="13">
        <v>706</v>
      </c>
      <c r="E31" s="13">
        <v>725</v>
      </c>
      <c r="F31" s="13"/>
      <c r="G31" s="13"/>
      <c r="H31" s="13"/>
      <c r="I31" s="13"/>
      <c r="J31" s="13"/>
      <c r="K31" s="9">
        <v>795</v>
      </c>
      <c r="L31" s="13"/>
      <c r="M31" s="13"/>
      <c r="N31" s="13"/>
      <c r="O31" s="11" t="s">
        <v>90</v>
      </c>
      <c r="P31" s="23" t="s">
        <v>710</v>
      </c>
      <c r="Q31" s="20">
        <f>(C29+C30+C33+C38+C39)</f>
        <v>3201</v>
      </c>
      <c r="R31" s="21">
        <f>SUM(Q31/Q34)</f>
        <v>0.46438415784128828</v>
      </c>
      <c r="S31" s="18">
        <v>4</v>
      </c>
    </row>
    <row r="32" spans="1:19" s="2" customFormat="1" ht="17.45" customHeight="1" thickBot="1">
      <c r="A32" s="7" t="s">
        <v>674</v>
      </c>
      <c r="B32" s="8" t="s">
        <v>3</v>
      </c>
      <c r="C32" s="13">
        <v>633</v>
      </c>
      <c r="D32" s="13">
        <v>643</v>
      </c>
      <c r="E32" s="13">
        <v>644</v>
      </c>
      <c r="F32" s="13"/>
      <c r="G32" s="13"/>
      <c r="H32" s="13"/>
      <c r="I32" s="9">
        <v>784</v>
      </c>
      <c r="J32" s="13"/>
      <c r="K32" s="13"/>
      <c r="L32" s="13"/>
      <c r="M32" s="13"/>
      <c r="N32" s="13"/>
      <c r="O32" s="11" t="s">
        <v>87</v>
      </c>
      <c r="P32" s="127" t="s">
        <v>719</v>
      </c>
      <c r="Q32" s="29">
        <v>401</v>
      </c>
      <c r="R32" s="15">
        <f>SUM(Q32/Q34)</f>
        <v>5.8174960104453791E-2</v>
      </c>
    </row>
    <row r="33" spans="1:20" s="2" customFormat="1" ht="17.45" customHeight="1" thickBot="1">
      <c r="A33" s="7" t="s">
        <v>752</v>
      </c>
      <c r="B33" s="12" t="s">
        <v>710</v>
      </c>
      <c r="C33" s="13">
        <v>566</v>
      </c>
      <c r="D33" s="13">
        <v>611</v>
      </c>
      <c r="E33" s="13">
        <v>655</v>
      </c>
      <c r="F33" s="13"/>
      <c r="G33" s="13"/>
      <c r="H33" s="13"/>
      <c r="I33" s="13"/>
      <c r="J33" s="13"/>
      <c r="K33" s="13"/>
      <c r="L33" s="13"/>
      <c r="M33" s="13"/>
      <c r="N33" s="9">
        <v>739</v>
      </c>
      <c r="O33" s="9" t="s">
        <v>88</v>
      </c>
      <c r="P33" s="14" t="s">
        <v>14</v>
      </c>
      <c r="Q33" s="29">
        <v>105</v>
      </c>
      <c r="R33" s="15">
        <f>SUM(Q33/Q34)</f>
        <v>1.5232844915131293E-2</v>
      </c>
      <c r="S33" s="18"/>
    </row>
    <row r="34" spans="1:20" s="2" customFormat="1" ht="17.45" customHeight="1" thickBot="1">
      <c r="A34" s="7" t="s">
        <v>712</v>
      </c>
      <c r="B34" s="8" t="s">
        <v>3</v>
      </c>
      <c r="C34" s="13">
        <v>546</v>
      </c>
      <c r="D34" s="13">
        <v>554</v>
      </c>
      <c r="E34" s="13">
        <v>556</v>
      </c>
      <c r="F34" s="13"/>
      <c r="G34" s="13"/>
      <c r="H34" s="13"/>
      <c r="I34" s="13"/>
      <c r="J34" s="13"/>
      <c r="K34" s="13"/>
      <c r="L34" s="13"/>
      <c r="M34" s="9">
        <v>816</v>
      </c>
      <c r="N34" s="13"/>
      <c r="O34" s="11" t="s">
        <v>89</v>
      </c>
      <c r="P34" s="43"/>
      <c r="Q34" s="28">
        <v>6893</v>
      </c>
      <c r="R34" s="15"/>
    </row>
    <row r="35" spans="1:20" s="2" customFormat="1" ht="17.45" customHeight="1" thickBot="1">
      <c r="A35" s="7" t="s">
        <v>678</v>
      </c>
      <c r="B35" s="8" t="s">
        <v>3</v>
      </c>
      <c r="C35" s="13">
        <v>458</v>
      </c>
      <c r="D35" s="13">
        <v>477</v>
      </c>
      <c r="E35" s="13">
        <v>477</v>
      </c>
      <c r="F35" s="13"/>
      <c r="G35" s="13"/>
      <c r="H35" s="13"/>
      <c r="I35" s="13"/>
      <c r="J35" s="13"/>
      <c r="K35" s="13"/>
      <c r="L35" s="13"/>
      <c r="M35" s="13"/>
      <c r="N35" s="9">
        <v>691</v>
      </c>
      <c r="O35" s="11" t="s">
        <v>111</v>
      </c>
      <c r="P35" s="24"/>
      <c r="R35" s="15"/>
    </row>
    <row r="36" spans="1:20" s="2" customFormat="1" ht="17.45" customHeight="1" thickBot="1">
      <c r="A36" s="16" t="s">
        <v>714</v>
      </c>
      <c r="B36" s="17" t="s">
        <v>3</v>
      </c>
      <c r="C36" s="13">
        <v>415</v>
      </c>
      <c r="D36" s="13">
        <v>456</v>
      </c>
      <c r="E36" s="13">
        <v>457</v>
      </c>
      <c r="F36" s="13"/>
      <c r="G36" s="13"/>
      <c r="H36" s="13"/>
      <c r="I36" s="13"/>
      <c r="J36" s="13"/>
      <c r="K36" s="13"/>
      <c r="L36" s="13">
        <v>473</v>
      </c>
      <c r="M36" s="13" t="s">
        <v>10</v>
      </c>
      <c r="R36" s="14"/>
      <c r="S36" s="14"/>
      <c r="T36" s="14"/>
    </row>
    <row r="37" spans="1:20" s="2" customFormat="1" ht="17.45" customHeight="1" thickBot="1">
      <c r="A37" s="16" t="s">
        <v>720</v>
      </c>
      <c r="B37" s="126" t="s">
        <v>719</v>
      </c>
      <c r="C37" s="13">
        <v>401</v>
      </c>
      <c r="D37" s="13">
        <v>434</v>
      </c>
      <c r="E37" s="13">
        <v>436</v>
      </c>
      <c r="F37" s="13"/>
      <c r="G37" s="13"/>
      <c r="H37" s="13"/>
      <c r="I37" s="13"/>
      <c r="J37" s="13"/>
      <c r="K37" s="13"/>
      <c r="L37" s="13"/>
      <c r="M37" s="13"/>
      <c r="N37" s="13">
        <v>564</v>
      </c>
      <c r="O37" s="11"/>
      <c r="P37" s="67"/>
      <c r="Q37" s="20"/>
      <c r="R37" s="21"/>
      <c r="S37" s="18"/>
    </row>
    <row r="38" spans="1:20" s="2" customFormat="1" ht="17.45" customHeight="1" thickBot="1">
      <c r="A38" s="7" t="s">
        <v>656</v>
      </c>
      <c r="B38" s="12" t="s">
        <v>710</v>
      </c>
      <c r="C38" s="13">
        <v>391</v>
      </c>
      <c r="D38" s="13">
        <v>437</v>
      </c>
      <c r="E38" s="13">
        <v>447</v>
      </c>
      <c r="F38" s="13"/>
      <c r="G38" s="13"/>
      <c r="H38" s="13"/>
      <c r="I38" s="13"/>
      <c r="J38" s="13"/>
      <c r="K38" s="13"/>
      <c r="L38" s="13"/>
      <c r="M38" s="13"/>
      <c r="N38" s="9">
        <v>565</v>
      </c>
      <c r="O38" s="11" t="s">
        <v>671</v>
      </c>
    </row>
    <row r="39" spans="1:20" s="2" customFormat="1" ht="17.45" customHeight="1" thickBot="1">
      <c r="A39" s="16" t="s">
        <v>718</v>
      </c>
      <c r="B39" s="22" t="s">
        <v>710</v>
      </c>
      <c r="C39" s="13">
        <v>226</v>
      </c>
      <c r="D39" s="13">
        <v>324</v>
      </c>
      <c r="E39" s="13">
        <v>346</v>
      </c>
      <c r="F39" s="13"/>
      <c r="G39" s="13"/>
      <c r="H39" s="13"/>
      <c r="I39" s="13"/>
      <c r="J39" s="13">
        <v>368</v>
      </c>
      <c r="K39" s="13" t="s">
        <v>10</v>
      </c>
    </row>
    <row r="40" spans="1:20" s="2" customFormat="1" ht="17.45" customHeight="1" thickBot="1">
      <c r="A40" s="16" t="s">
        <v>715</v>
      </c>
      <c r="B40" s="17" t="s">
        <v>3</v>
      </c>
      <c r="C40" s="13">
        <v>202</v>
      </c>
      <c r="D40" s="13">
        <v>215</v>
      </c>
      <c r="E40" s="13">
        <v>215</v>
      </c>
      <c r="F40" s="13"/>
      <c r="G40" s="13"/>
      <c r="H40" s="13">
        <v>248</v>
      </c>
      <c r="I40" s="13" t="s">
        <v>10</v>
      </c>
      <c r="J40" s="122"/>
      <c r="L40" s="15"/>
    </row>
    <row r="41" spans="1:20" s="2" customFormat="1" ht="17.45" customHeight="1" thickBot="1">
      <c r="A41" s="16" t="s">
        <v>717</v>
      </c>
      <c r="B41" s="17" t="s">
        <v>3</v>
      </c>
      <c r="C41" s="13">
        <v>185</v>
      </c>
      <c r="D41" s="13">
        <v>189</v>
      </c>
      <c r="E41" s="13">
        <v>189</v>
      </c>
      <c r="F41" s="13"/>
      <c r="G41" s="13">
        <v>202</v>
      </c>
      <c r="H41" s="13" t="s">
        <v>10</v>
      </c>
      <c r="N41" s="28"/>
    </row>
    <row r="42" spans="1:20" s="2" customFormat="1" ht="17.45" customHeight="1" thickBot="1">
      <c r="A42" s="16" t="s">
        <v>721</v>
      </c>
      <c r="B42" s="10" t="s">
        <v>11</v>
      </c>
      <c r="C42" s="13">
        <v>105</v>
      </c>
      <c r="D42" s="13">
        <v>114</v>
      </c>
      <c r="E42" s="13">
        <v>116</v>
      </c>
      <c r="F42" s="13">
        <v>124</v>
      </c>
      <c r="G42" s="13" t="s">
        <v>10</v>
      </c>
      <c r="J42" s="123"/>
      <c r="K42" s="29"/>
      <c r="L42" s="15"/>
    </row>
    <row r="43" spans="1:20" s="2" customFormat="1" ht="17.45" customHeight="1" thickBot="1">
      <c r="A43" s="16" t="s">
        <v>713</v>
      </c>
      <c r="B43" s="17" t="s">
        <v>3</v>
      </c>
      <c r="C43" s="13">
        <v>80</v>
      </c>
      <c r="D43" s="13">
        <v>97</v>
      </c>
      <c r="E43" s="13">
        <v>98</v>
      </c>
      <c r="F43" s="13" t="s">
        <v>10</v>
      </c>
      <c r="N43" s="23"/>
      <c r="O43" s="20"/>
      <c r="P43" s="21"/>
      <c r="Q43" s="18"/>
    </row>
    <row r="44" spans="1:20"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</row>
    <row r="45" spans="1:20" s="2" customFormat="1" ht="17.45" customHeight="1">
      <c r="A45" s="1" t="s">
        <v>741</v>
      </c>
    </row>
    <row r="46" spans="1:20" s="2" customFormat="1" ht="10.5" customHeight="1" thickBot="1">
      <c r="A46" s="1"/>
    </row>
    <row r="47" spans="1:20" s="2" customFormat="1" ht="16.5" customHeight="1" thickBot="1">
      <c r="A47" s="4" t="s">
        <v>0</v>
      </c>
      <c r="B47" s="5" t="s">
        <v>1</v>
      </c>
      <c r="C47" s="5" t="s">
        <v>2</v>
      </c>
      <c r="D47" s="5">
        <v>2</v>
      </c>
      <c r="E47" s="5">
        <v>3</v>
      </c>
      <c r="F47" s="5">
        <v>4</v>
      </c>
      <c r="G47" s="5">
        <v>5</v>
      </c>
      <c r="H47" s="5">
        <v>6</v>
      </c>
      <c r="I47" s="5">
        <v>7</v>
      </c>
      <c r="J47" s="5">
        <v>8</v>
      </c>
      <c r="K47" s="5">
        <v>9</v>
      </c>
      <c r="L47" s="5">
        <v>10</v>
      </c>
      <c r="M47" s="5">
        <v>11</v>
      </c>
      <c r="N47" s="6"/>
      <c r="O47" s="14" t="s">
        <v>6</v>
      </c>
      <c r="P47" s="15"/>
    </row>
    <row r="48" spans="1:20" s="2" customFormat="1" ht="16.5" customHeight="1" thickBot="1">
      <c r="A48" s="7" t="s">
        <v>742</v>
      </c>
      <c r="B48" s="11" t="s">
        <v>11</v>
      </c>
      <c r="C48" s="9">
        <v>819</v>
      </c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1" t="s">
        <v>85</v>
      </c>
      <c r="O48" s="18"/>
      <c r="P48" s="14" t="s">
        <v>7</v>
      </c>
      <c r="Q48" s="14" t="s">
        <v>8</v>
      </c>
      <c r="R48" s="14" t="s">
        <v>9</v>
      </c>
    </row>
    <row r="49" spans="1:18" s="2" customFormat="1" ht="16.5" customHeight="1" thickBot="1">
      <c r="A49" s="7" t="s">
        <v>724</v>
      </c>
      <c r="B49" s="12" t="s">
        <v>710</v>
      </c>
      <c r="C49" s="9">
        <v>807</v>
      </c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1" t="s">
        <v>86</v>
      </c>
      <c r="O49" s="19" t="s">
        <v>3</v>
      </c>
      <c r="P49" s="20">
        <f>(C50+C55+C57+C58+C59+C60)</f>
        <v>2362</v>
      </c>
      <c r="Q49" s="21">
        <f>SUM(P49/P52)</f>
        <v>0.36597458940192129</v>
      </c>
      <c r="R49" s="18">
        <v>3</v>
      </c>
    </row>
    <row r="50" spans="1:18" s="2" customFormat="1" ht="16.5" customHeight="1" thickBot="1">
      <c r="A50" s="7" t="s">
        <v>683</v>
      </c>
      <c r="B50" s="8" t="s">
        <v>3</v>
      </c>
      <c r="C50" s="9">
        <v>780</v>
      </c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1" t="s">
        <v>87</v>
      </c>
      <c r="O50" s="23" t="s">
        <v>710</v>
      </c>
      <c r="P50" s="20">
        <f>(C49+C51+C52+C53+C54+C56)</f>
        <v>3273</v>
      </c>
      <c r="Q50" s="21">
        <f>SUM(P50/P52)</f>
        <v>0.50712736287573601</v>
      </c>
      <c r="R50" s="18">
        <v>4</v>
      </c>
    </row>
    <row r="51" spans="1:18" s="2" customFormat="1" ht="16.5" customHeight="1" thickBot="1">
      <c r="A51" s="7" t="s">
        <v>743</v>
      </c>
      <c r="B51" s="12" t="s">
        <v>710</v>
      </c>
      <c r="C51" s="13">
        <v>539</v>
      </c>
      <c r="D51" s="13">
        <v>541</v>
      </c>
      <c r="E51" s="13"/>
      <c r="F51" s="13"/>
      <c r="G51" s="13"/>
      <c r="H51" s="13"/>
      <c r="I51" s="13">
        <v>566</v>
      </c>
      <c r="J51" s="13">
        <v>566</v>
      </c>
      <c r="K51" s="13">
        <v>610</v>
      </c>
      <c r="L51" s="9">
        <v>774</v>
      </c>
      <c r="M51" s="13"/>
      <c r="N51" s="11" t="s">
        <v>88</v>
      </c>
      <c r="O51" s="14" t="s">
        <v>14</v>
      </c>
      <c r="P51" s="29">
        <v>819</v>
      </c>
      <c r="Q51" s="15">
        <f>SUM(P51/P52)</f>
        <v>0.12689804772234273</v>
      </c>
      <c r="R51" s="18">
        <v>1</v>
      </c>
    </row>
    <row r="52" spans="1:18" s="2" customFormat="1" ht="16.5" customHeight="1" thickBot="1">
      <c r="A52" s="7" t="s">
        <v>744</v>
      </c>
      <c r="B52" s="12" t="s">
        <v>710</v>
      </c>
      <c r="C52" s="13">
        <v>525</v>
      </c>
      <c r="D52" s="13">
        <v>546</v>
      </c>
      <c r="E52" s="13"/>
      <c r="F52" s="13"/>
      <c r="G52" s="13"/>
      <c r="H52" s="13"/>
      <c r="I52" s="13">
        <v>557</v>
      </c>
      <c r="J52" s="13">
        <v>560</v>
      </c>
      <c r="K52" s="13">
        <v>564</v>
      </c>
      <c r="L52" s="13">
        <v>568</v>
      </c>
      <c r="M52" s="9">
        <v>848</v>
      </c>
      <c r="N52" s="11" t="s">
        <v>111</v>
      </c>
      <c r="O52" s="51"/>
      <c r="P52" s="28">
        <v>6454</v>
      </c>
      <c r="Q52" s="15"/>
      <c r="R52" s="18"/>
    </row>
    <row r="53" spans="1:18" s="2" customFormat="1" ht="16.5" customHeight="1" thickBot="1">
      <c r="A53" s="7" t="s">
        <v>745</v>
      </c>
      <c r="B53" s="12" t="s">
        <v>710</v>
      </c>
      <c r="C53" s="13">
        <v>524</v>
      </c>
      <c r="D53" s="13">
        <v>543</v>
      </c>
      <c r="E53" s="13"/>
      <c r="F53" s="13"/>
      <c r="G53" s="13"/>
      <c r="H53" s="13"/>
      <c r="I53" s="13">
        <v>592</v>
      </c>
      <c r="J53" s="13">
        <v>598</v>
      </c>
      <c r="K53" s="9">
        <v>923</v>
      </c>
      <c r="L53" s="13"/>
      <c r="M53" s="13"/>
      <c r="N53" s="11" t="s">
        <v>89</v>
      </c>
      <c r="O53" s="26"/>
      <c r="Q53" s="15"/>
      <c r="R53" s="18"/>
    </row>
    <row r="54" spans="1:18" s="2" customFormat="1" ht="16.5" customHeight="1" thickBot="1">
      <c r="A54" s="16" t="s">
        <v>725</v>
      </c>
      <c r="B54" s="22" t="s">
        <v>710</v>
      </c>
      <c r="C54" s="13">
        <v>473</v>
      </c>
      <c r="D54" s="13">
        <v>474</v>
      </c>
      <c r="E54" s="13"/>
      <c r="F54" s="13"/>
      <c r="G54" s="13"/>
      <c r="H54" s="13"/>
      <c r="I54" s="13">
        <v>485</v>
      </c>
      <c r="J54" s="13">
        <v>485</v>
      </c>
      <c r="K54" s="13" t="s">
        <v>10</v>
      </c>
    </row>
    <row r="55" spans="1:18" s="2" customFormat="1" ht="16.5" customHeight="1" thickBot="1">
      <c r="A55" s="7" t="s">
        <v>722</v>
      </c>
      <c r="B55" s="8" t="s">
        <v>3</v>
      </c>
      <c r="C55" s="13">
        <v>408</v>
      </c>
      <c r="D55" s="13">
        <v>410</v>
      </c>
      <c r="E55" s="13"/>
      <c r="F55" s="13"/>
      <c r="G55" s="13"/>
      <c r="H55" s="13"/>
      <c r="I55" s="13">
        <v>643</v>
      </c>
      <c r="J55" s="13">
        <v>697</v>
      </c>
      <c r="K55" s="13">
        <v>712</v>
      </c>
      <c r="L55" s="13">
        <v>714</v>
      </c>
      <c r="M55" s="9">
        <v>722</v>
      </c>
      <c r="N55" s="11" t="s">
        <v>671</v>
      </c>
    </row>
    <row r="56" spans="1:18" s="2" customFormat="1" ht="16.5" customHeight="1" thickBot="1">
      <c r="A56" s="16" t="s">
        <v>746</v>
      </c>
      <c r="B56" s="22" t="s">
        <v>710</v>
      </c>
      <c r="C56" s="13">
        <v>405</v>
      </c>
      <c r="D56" s="13">
        <v>447</v>
      </c>
      <c r="E56" s="13"/>
      <c r="F56" s="13"/>
      <c r="G56" s="13"/>
      <c r="H56" s="13"/>
      <c r="I56" s="13">
        <v>490</v>
      </c>
      <c r="J56" s="13">
        <v>492</v>
      </c>
      <c r="K56" s="13">
        <v>494</v>
      </c>
      <c r="L56" s="13">
        <v>495</v>
      </c>
      <c r="M56" s="13" t="s">
        <v>10</v>
      </c>
    </row>
    <row r="57" spans="1:18" s="2" customFormat="1" ht="16.5" customHeight="1" thickBot="1">
      <c r="A57" s="7" t="s">
        <v>747</v>
      </c>
      <c r="B57" s="8" t="s">
        <v>3</v>
      </c>
      <c r="C57" s="13">
        <v>382</v>
      </c>
      <c r="D57" s="13">
        <v>393</v>
      </c>
      <c r="E57" s="13"/>
      <c r="F57" s="13"/>
      <c r="G57" s="13"/>
      <c r="H57" s="13"/>
      <c r="I57" s="9">
        <v>783</v>
      </c>
      <c r="J57" s="13"/>
      <c r="K57" s="13"/>
      <c r="L57" s="13"/>
      <c r="M57" s="13"/>
      <c r="N57" s="11" t="s">
        <v>90</v>
      </c>
    </row>
    <row r="58" spans="1:18" s="2" customFormat="1" ht="16.5" customHeight="1" thickBot="1">
      <c r="A58" s="16" t="s">
        <v>723</v>
      </c>
      <c r="B58" s="17" t="s">
        <v>3</v>
      </c>
      <c r="C58" s="13">
        <v>370</v>
      </c>
      <c r="D58" s="13">
        <v>371</v>
      </c>
      <c r="E58" s="13"/>
      <c r="F58" s="13"/>
      <c r="G58" s="13"/>
      <c r="H58" s="13">
        <v>403</v>
      </c>
      <c r="I58" s="13" t="s">
        <v>10</v>
      </c>
    </row>
    <row r="59" spans="1:18" s="2" customFormat="1" ht="16.5" customHeight="1" thickBot="1">
      <c r="A59" s="16" t="s">
        <v>221</v>
      </c>
      <c r="B59" s="17" t="s">
        <v>3</v>
      </c>
      <c r="C59" s="13">
        <v>229</v>
      </c>
      <c r="D59" s="13">
        <v>230</v>
      </c>
      <c r="E59" s="13"/>
      <c r="F59" s="13"/>
      <c r="G59" s="13">
        <v>236</v>
      </c>
      <c r="H59" s="13" t="s">
        <v>10</v>
      </c>
    </row>
    <row r="60" spans="1:18" s="2" customFormat="1" ht="16.5" customHeight="1" thickBot="1">
      <c r="A60" s="16" t="s">
        <v>196</v>
      </c>
      <c r="B60" s="17" t="s">
        <v>3</v>
      </c>
      <c r="C60" s="13">
        <v>193</v>
      </c>
      <c r="D60" s="13">
        <v>194</v>
      </c>
      <c r="E60" s="13"/>
      <c r="F60" s="13">
        <v>195</v>
      </c>
      <c r="G60" s="13" t="s">
        <v>10</v>
      </c>
    </row>
    <row r="61" spans="1:18">
      <c r="C61" s="41"/>
      <c r="D61" s="41"/>
      <c r="E61" s="41"/>
      <c r="F61" s="41"/>
    </row>
    <row r="62" spans="1:18" s="2" customFormat="1" ht="17.45" customHeight="1">
      <c r="A62" s="1" t="s">
        <v>735</v>
      </c>
    </row>
    <row r="63" spans="1:18" s="2" customFormat="1" ht="10.5" customHeight="1" thickBot="1">
      <c r="A63" s="1"/>
    </row>
    <row r="64" spans="1:18" s="2" customFormat="1" ht="16.5" customHeight="1" thickBot="1">
      <c r="A64" s="4" t="s">
        <v>0</v>
      </c>
      <c r="B64" s="5" t="s">
        <v>1</v>
      </c>
      <c r="C64" s="5" t="s">
        <v>2</v>
      </c>
      <c r="D64" s="5">
        <v>2</v>
      </c>
      <c r="E64" s="5">
        <v>3</v>
      </c>
      <c r="F64" s="5">
        <v>4</v>
      </c>
      <c r="G64" s="5">
        <v>5</v>
      </c>
      <c r="H64" s="5">
        <v>6</v>
      </c>
      <c r="I64" s="5">
        <v>7</v>
      </c>
      <c r="J64" s="6"/>
      <c r="K64" s="14" t="s">
        <v>6</v>
      </c>
      <c r="L64" s="50"/>
    </row>
    <row r="65" spans="1:15" s="2" customFormat="1" ht="16.5" customHeight="1" thickBot="1">
      <c r="A65" s="7" t="s">
        <v>748</v>
      </c>
      <c r="B65" s="12" t="s">
        <v>710</v>
      </c>
      <c r="C65" s="13">
        <v>552</v>
      </c>
      <c r="D65" s="9">
        <v>567</v>
      </c>
      <c r="E65" s="13"/>
      <c r="F65" s="13"/>
      <c r="G65" s="13"/>
      <c r="H65" s="13"/>
      <c r="I65" s="13"/>
      <c r="J65" s="11" t="s">
        <v>85</v>
      </c>
      <c r="K65" s="18"/>
      <c r="L65" s="14" t="s">
        <v>7</v>
      </c>
      <c r="M65" s="14" t="s">
        <v>8</v>
      </c>
      <c r="N65" s="14" t="s">
        <v>9</v>
      </c>
    </row>
    <row r="66" spans="1:15" s="2" customFormat="1" ht="16.5" customHeight="1" thickBot="1">
      <c r="A66" s="7" t="s">
        <v>749</v>
      </c>
      <c r="B66" s="8" t="s">
        <v>3</v>
      </c>
      <c r="C66" s="13">
        <v>550</v>
      </c>
      <c r="D66" s="9">
        <v>605</v>
      </c>
      <c r="E66" s="13"/>
      <c r="F66" s="13"/>
      <c r="G66" s="13"/>
      <c r="H66" s="13"/>
      <c r="I66" s="13"/>
      <c r="J66" s="11" t="s">
        <v>86</v>
      </c>
      <c r="K66" s="19" t="s">
        <v>3</v>
      </c>
      <c r="L66" s="20">
        <f>(C66+C68+C70+C72)</f>
        <v>1528</v>
      </c>
      <c r="M66" s="21">
        <f>SUM(L66/L68)</f>
        <v>0.4544913741820345</v>
      </c>
      <c r="N66" s="18">
        <v>2</v>
      </c>
    </row>
    <row r="67" spans="1:15" s="2" customFormat="1" ht="16.5" customHeight="1" thickBot="1">
      <c r="A67" s="7" t="s">
        <v>647</v>
      </c>
      <c r="B67" s="12" t="s">
        <v>710</v>
      </c>
      <c r="C67" s="13">
        <v>471</v>
      </c>
      <c r="D67" s="13">
        <v>473</v>
      </c>
      <c r="E67" s="13"/>
      <c r="F67" s="13">
        <v>474</v>
      </c>
      <c r="G67" s="13">
        <v>483</v>
      </c>
      <c r="H67" s="13"/>
      <c r="I67" s="9" t="s">
        <v>199</v>
      </c>
      <c r="J67" s="11" t="s">
        <v>89</v>
      </c>
      <c r="K67" s="23" t="s">
        <v>710</v>
      </c>
      <c r="L67" s="20">
        <f>(C65+C67+C69+C71+C73)</f>
        <v>1834</v>
      </c>
      <c r="M67" s="21">
        <f>SUM(L67/L68)</f>
        <v>0.54550862581796544</v>
      </c>
      <c r="N67" s="18">
        <v>3</v>
      </c>
    </row>
    <row r="68" spans="1:15" s="2" customFormat="1" ht="16.5" customHeight="1" thickBot="1">
      <c r="A68" s="7" t="s">
        <v>604</v>
      </c>
      <c r="B68" s="8" t="s">
        <v>3</v>
      </c>
      <c r="C68" s="13">
        <v>383</v>
      </c>
      <c r="D68" s="13">
        <v>386</v>
      </c>
      <c r="E68" s="13"/>
      <c r="F68" s="13">
        <v>389</v>
      </c>
      <c r="G68" s="13">
        <v>519</v>
      </c>
      <c r="H68" s="13"/>
      <c r="I68" s="9" t="s">
        <v>199</v>
      </c>
      <c r="J68" s="11" t="s">
        <v>87</v>
      </c>
      <c r="K68" s="43"/>
      <c r="L68" s="28">
        <v>3362</v>
      </c>
      <c r="M68" s="15"/>
    </row>
    <row r="69" spans="1:15" s="2" customFormat="1" ht="16.5" customHeight="1" thickBot="1">
      <c r="A69" s="7" t="s">
        <v>707</v>
      </c>
      <c r="B69" s="12" t="s">
        <v>710</v>
      </c>
      <c r="C69" s="13">
        <v>360</v>
      </c>
      <c r="D69" s="13">
        <v>385</v>
      </c>
      <c r="E69" s="13"/>
      <c r="F69" s="13">
        <v>393</v>
      </c>
      <c r="G69" s="13">
        <v>404</v>
      </c>
      <c r="H69" s="13"/>
      <c r="I69" s="9" t="s">
        <v>199</v>
      </c>
      <c r="J69" s="9" t="s">
        <v>90</v>
      </c>
      <c r="K69" s="24"/>
      <c r="M69" s="15"/>
    </row>
    <row r="70" spans="1:15" s="2" customFormat="1" ht="16.5" customHeight="1" thickBot="1">
      <c r="A70" s="16" t="s">
        <v>727</v>
      </c>
      <c r="B70" s="17" t="s">
        <v>3</v>
      </c>
      <c r="C70" s="13">
        <v>317</v>
      </c>
      <c r="D70" s="13">
        <v>322</v>
      </c>
      <c r="E70" s="13"/>
      <c r="F70" s="13">
        <v>324</v>
      </c>
      <c r="G70" s="13">
        <v>406</v>
      </c>
      <c r="H70" s="13"/>
      <c r="I70" s="13" t="s">
        <v>10</v>
      </c>
      <c r="K70" s="29"/>
    </row>
    <row r="71" spans="1:15" s="2" customFormat="1" ht="16.5" customHeight="1" thickBot="1">
      <c r="A71" s="16" t="s">
        <v>729</v>
      </c>
      <c r="B71" s="22" t="s">
        <v>710</v>
      </c>
      <c r="C71" s="13">
        <v>282</v>
      </c>
      <c r="D71" s="13">
        <v>310</v>
      </c>
      <c r="E71" s="13"/>
      <c r="F71" s="13">
        <v>316</v>
      </c>
      <c r="G71" s="13">
        <v>326</v>
      </c>
      <c r="H71" s="13" t="s">
        <v>10</v>
      </c>
      <c r="K71" s="18"/>
      <c r="L71" s="14"/>
      <c r="M71" s="14"/>
      <c r="N71" s="14"/>
    </row>
    <row r="72" spans="1:15" s="2" customFormat="1" ht="16.5" customHeight="1" thickBot="1">
      <c r="A72" s="16" t="s">
        <v>726</v>
      </c>
      <c r="B72" s="17" t="s">
        <v>3</v>
      </c>
      <c r="C72" s="13">
        <v>278</v>
      </c>
      <c r="D72" s="13">
        <v>290</v>
      </c>
      <c r="E72" s="13"/>
      <c r="F72" s="13">
        <v>307</v>
      </c>
      <c r="G72" s="13" t="s">
        <v>10</v>
      </c>
      <c r="K72" s="19"/>
      <c r="L72" s="20"/>
      <c r="M72" s="21"/>
      <c r="N72" s="18"/>
    </row>
    <row r="73" spans="1:15" s="2" customFormat="1" ht="16.5" customHeight="1" thickBot="1">
      <c r="A73" s="16" t="s">
        <v>728</v>
      </c>
      <c r="B73" s="22" t="s">
        <v>710</v>
      </c>
      <c r="C73" s="13">
        <v>169</v>
      </c>
      <c r="D73" s="13" t="s">
        <v>10</v>
      </c>
      <c r="L73" s="68"/>
      <c r="M73" s="20"/>
      <c r="N73" s="21"/>
      <c r="O73" s="18"/>
    </row>
    <row r="74" spans="1:15">
      <c r="C74" s="41"/>
      <c r="D74" s="41"/>
      <c r="E74" s="41"/>
      <c r="F74" s="41"/>
    </row>
    <row r="75" spans="1:15" s="2" customFormat="1" ht="17.45" customHeight="1">
      <c r="A75" s="1" t="s">
        <v>740</v>
      </c>
    </row>
    <row r="76" spans="1:15" s="2" customFormat="1" ht="10.5" customHeight="1" thickBot="1">
      <c r="A76" s="1"/>
    </row>
    <row r="77" spans="1:15" s="2" customFormat="1" ht="16.5" customHeight="1" thickBot="1">
      <c r="A77" s="4" t="s">
        <v>0</v>
      </c>
      <c r="B77" s="5" t="s">
        <v>1</v>
      </c>
      <c r="C77" s="5" t="s">
        <v>2</v>
      </c>
      <c r="D77" s="5">
        <v>2</v>
      </c>
      <c r="E77" s="5">
        <v>3</v>
      </c>
      <c r="F77" s="5">
        <v>4</v>
      </c>
      <c r="G77" s="5">
        <v>5</v>
      </c>
      <c r="H77" s="5">
        <v>6</v>
      </c>
      <c r="I77" s="5">
        <v>7</v>
      </c>
      <c r="J77" s="5">
        <v>8</v>
      </c>
      <c r="K77" s="6"/>
      <c r="L77" s="14" t="s">
        <v>6</v>
      </c>
      <c r="M77" s="15"/>
    </row>
    <row r="78" spans="1:15" s="2" customFormat="1" ht="16.5" customHeight="1" thickBot="1">
      <c r="A78" s="7" t="s">
        <v>750</v>
      </c>
      <c r="B78" s="12" t="s">
        <v>710</v>
      </c>
      <c r="C78" s="9">
        <v>696</v>
      </c>
      <c r="D78" s="13"/>
      <c r="E78" s="13"/>
      <c r="F78" s="13"/>
      <c r="G78" s="13"/>
      <c r="H78" s="13"/>
      <c r="I78" s="13"/>
      <c r="J78" s="13"/>
      <c r="K78" s="11" t="s">
        <v>85</v>
      </c>
      <c r="L78" s="18"/>
      <c r="M78" s="14" t="s">
        <v>7</v>
      </c>
      <c r="N78" s="14" t="s">
        <v>8</v>
      </c>
      <c r="O78" s="14" t="s">
        <v>9</v>
      </c>
    </row>
    <row r="79" spans="1:15" s="2" customFormat="1" ht="16.5" customHeight="1" thickBot="1">
      <c r="A79" s="7" t="s">
        <v>498</v>
      </c>
      <c r="B79" s="8" t="s">
        <v>3</v>
      </c>
      <c r="C79" s="13">
        <v>553</v>
      </c>
      <c r="D79" s="13"/>
      <c r="E79" s="13">
        <v>559</v>
      </c>
      <c r="F79" s="13">
        <v>560</v>
      </c>
      <c r="G79" s="9">
        <v>603</v>
      </c>
      <c r="H79" s="13"/>
      <c r="I79" s="13"/>
      <c r="J79" s="13"/>
      <c r="K79" s="11" t="s">
        <v>87</v>
      </c>
      <c r="L79" s="19" t="s">
        <v>3</v>
      </c>
      <c r="M79" s="20">
        <f>(C79+C81+C84+C85+C86+C89)</f>
        <v>2173</v>
      </c>
      <c r="N79" s="21">
        <f>SUM(M79/M83)</f>
        <v>0.46461406884755185</v>
      </c>
      <c r="O79" s="18">
        <v>3</v>
      </c>
    </row>
    <row r="80" spans="1:15" s="2" customFormat="1" ht="16.5" customHeight="1" thickBot="1">
      <c r="A80" s="7" t="s">
        <v>701</v>
      </c>
      <c r="B80" s="11" t="s">
        <v>11</v>
      </c>
      <c r="C80" s="13">
        <v>548</v>
      </c>
      <c r="D80" s="13"/>
      <c r="E80" s="13">
        <v>556</v>
      </c>
      <c r="F80" s="13">
        <v>559</v>
      </c>
      <c r="G80" s="13">
        <v>560</v>
      </c>
      <c r="H80" s="13">
        <v>560</v>
      </c>
      <c r="I80" s="13">
        <v>561</v>
      </c>
      <c r="J80" s="9">
        <v>687</v>
      </c>
      <c r="K80" s="11" t="s">
        <v>90</v>
      </c>
      <c r="L80" s="23" t="s">
        <v>710</v>
      </c>
      <c r="M80" s="20">
        <v>696</v>
      </c>
      <c r="N80" s="21">
        <f>SUM(M80/M83)</f>
        <v>0.14881334188582424</v>
      </c>
      <c r="O80" s="18">
        <v>1</v>
      </c>
    </row>
    <row r="81" spans="1:21" s="2" customFormat="1" ht="16.5" customHeight="1" thickBot="1">
      <c r="A81" s="7" t="s">
        <v>378</v>
      </c>
      <c r="B81" s="8" t="s">
        <v>3</v>
      </c>
      <c r="C81" s="13">
        <v>541</v>
      </c>
      <c r="D81" s="13"/>
      <c r="E81" s="9">
        <v>608</v>
      </c>
      <c r="F81" s="13"/>
      <c r="G81" s="13"/>
      <c r="H81" s="13"/>
      <c r="I81" s="13"/>
      <c r="J81" s="13"/>
      <c r="K81" s="11" t="s">
        <v>86</v>
      </c>
      <c r="L81" s="118" t="s">
        <v>12</v>
      </c>
      <c r="M81" s="20">
        <v>449</v>
      </c>
      <c r="N81" s="21">
        <f>SUM(M81/M83)</f>
        <v>9.6001710498182596E-2</v>
      </c>
      <c r="O81" s="2">
        <v>1</v>
      </c>
    </row>
    <row r="82" spans="1:21" s="2" customFormat="1" ht="16.5" customHeight="1" thickBot="1">
      <c r="A82" s="7" t="s">
        <v>72</v>
      </c>
      <c r="B82" s="11" t="s">
        <v>11</v>
      </c>
      <c r="C82" s="13">
        <v>461</v>
      </c>
      <c r="D82" s="13"/>
      <c r="E82" s="13">
        <v>489</v>
      </c>
      <c r="F82" s="13">
        <v>489</v>
      </c>
      <c r="G82" s="13">
        <v>492</v>
      </c>
      <c r="H82" s="13">
        <v>493</v>
      </c>
      <c r="I82" s="13">
        <v>498</v>
      </c>
      <c r="J82" s="9">
        <v>530</v>
      </c>
      <c r="K82" s="11" t="s">
        <v>111</v>
      </c>
      <c r="L82" s="43" t="s">
        <v>14</v>
      </c>
      <c r="M82" s="20">
        <f>(C80+C82+C87+C88)</f>
        <v>1359</v>
      </c>
      <c r="N82" s="21">
        <f>SUM(M82/M83)</f>
        <v>0.29057087876844129</v>
      </c>
      <c r="O82" s="2">
        <v>2</v>
      </c>
    </row>
    <row r="83" spans="1:21" s="2" customFormat="1" ht="16.5" customHeight="1" thickBot="1">
      <c r="A83" s="7" t="s">
        <v>751</v>
      </c>
      <c r="B83" s="128" t="s">
        <v>12</v>
      </c>
      <c r="C83" s="13">
        <v>449</v>
      </c>
      <c r="D83" s="13"/>
      <c r="E83" s="13">
        <v>500</v>
      </c>
      <c r="F83" s="13">
        <v>502</v>
      </c>
      <c r="G83" s="13">
        <v>530</v>
      </c>
      <c r="H83" s="13">
        <v>537</v>
      </c>
      <c r="I83" s="13">
        <v>564</v>
      </c>
      <c r="J83" s="9">
        <v>566</v>
      </c>
      <c r="K83" s="11" t="s">
        <v>88</v>
      </c>
      <c r="L83" s="34"/>
      <c r="M83" s="28">
        <v>4677</v>
      </c>
      <c r="N83" s="15"/>
    </row>
    <row r="84" spans="1:21" s="2" customFormat="1" ht="16.5" customHeight="1" thickBot="1">
      <c r="A84" s="7" t="s">
        <v>657</v>
      </c>
      <c r="B84" s="8" t="s">
        <v>3</v>
      </c>
      <c r="C84" s="13">
        <v>438</v>
      </c>
      <c r="D84" s="13"/>
      <c r="E84" s="13">
        <v>453</v>
      </c>
      <c r="F84" s="13">
        <v>461</v>
      </c>
      <c r="G84" s="13">
        <v>511</v>
      </c>
      <c r="H84" s="13">
        <v>516</v>
      </c>
      <c r="I84" s="13">
        <v>580</v>
      </c>
      <c r="J84" s="9">
        <v>621</v>
      </c>
      <c r="K84" s="11" t="s">
        <v>89</v>
      </c>
    </row>
    <row r="85" spans="1:21" s="2" customFormat="1" ht="16.5" customHeight="1" thickBot="1">
      <c r="A85" s="16" t="s">
        <v>731</v>
      </c>
      <c r="B85" s="17" t="s">
        <v>3</v>
      </c>
      <c r="C85" s="13">
        <v>293</v>
      </c>
      <c r="D85" s="13"/>
      <c r="E85" s="13">
        <v>297</v>
      </c>
      <c r="F85" s="13">
        <v>299</v>
      </c>
      <c r="G85" s="13">
        <v>309</v>
      </c>
      <c r="H85" s="13">
        <v>311</v>
      </c>
      <c r="I85" s="13">
        <v>346</v>
      </c>
      <c r="J85" s="13">
        <v>353</v>
      </c>
      <c r="K85" s="11"/>
    </row>
    <row r="86" spans="1:21" s="2" customFormat="1" ht="16.5" customHeight="1" thickBot="1">
      <c r="A86" s="16" t="s">
        <v>733</v>
      </c>
      <c r="B86" s="17" t="s">
        <v>3</v>
      </c>
      <c r="C86" s="13">
        <v>233</v>
      </c>
      <c r="D86" s="13"/>
      <c r="E86" s="13">
        <v>252</v>
      </c>
      <c r="F86" s="13">
        <v>259</v>
      </c>
      <c r="G86" s="13">
        <v>259</v>
      </c>
      <c r="H86" s="13">
        <v>259</v>
      </c>
      <c r="I86" s="13">
        <v>260</v>
      </c>
      <c r="J86" s="13" t="s">
        <v>10</v>
      </c>
      <c r="K86" s="18"/>
    </row>
    <row r="87" spans="1:21" s="2" customFormat="1" ht="16.5" customHeight="1" thickBot="1">
      <c r="A87" s="16" t="s">
        <v>730</v>
      </c>
      <c r="B87" s="10" t="s">
        <v>11</v>
      </c>
      <c r="C87" s="13">
        <v>183</v>
      </c>
      <c r="D87" s="13"/>
      <c r="E87" s="13">
        <v>191</v>
      </c>
      <c r="F87" s="13">
        <v>191</v>
      </c>
      <c r="G87" s="13">
        <v>201</v>
      </c>
      <c r="H87" s="13">
        <v>204</v>
      </c>
      <c r="I87" s="13" t="s">
        <v>10</v>
      </c>
    </row>
    <row r="88" spans="1:21" s="2" customFormat="1" ht="16.5" customHeight="1" thickBot="1">
      <c r="A88" s="16" t="s">
        <v>734</v>
      </c>
      <c r="B88" s="10" t="s">
        <v>11</v>
      </c>
      <c r="C88" s="13">
        <v>167</v>
      </c>
      <c r="D88" s="13"/>
      <c r="E88" s="13">
        <v>173</v>
      </c>
      <c r="F88" s="13">
        <v>173</v>
      </c>
      <c r="G88" s="13" t="s">
        <v>10</v>
      </c>
      <c r="J88" s="15"/>
    </row>
    <row r="89" spans="1:21" s="2" customFormat="1" ht="16.5" customHeight="1" thickBot="1">
      <c r="A89" s="16" t="s">
        <v>732</v>
      </c>
      <c r="B89" s="17" t="s">
        <v>3</v>
      </c>
      <c r="C89" s="13">
        <v>115</v>
      </c>
      <c r="D89" s="13">
        <v>120</v>
      </c>
      <c r="E89" s="13" t="s">
        <v>10</v>
      </c>
      <c r="J89" s="29"/>
      <c r="M89" s="18"/>
    </row>
    <row r="90" spans="1:21" ht="14.25">
      <c r="A90" s="124"/>
      <c r="B90" s="124"/>
      <c r="C90" s="125"/>
      <c r="D90" s="125"/>
      <c r="E90" s="125"/>
      <c r="F90" s="125"/>
      <c r="G90" s="125"/>
      <c r="H90" s="125"/>
      <c r="I90" s="125"/>
      <c r="J90" s="125"/>
      <c r="K90" s="124"/>
      <c r="L90" s="124"/>
      <c r="M90" s="2"/>
      <c r="N90" s="2"/>
      <c r="O90" s="2"/>
      <c r="P90" s="2"/>
      <c r="Q90" s="2"/>
    </row>
    <row r="91" spans="1:21" s="108" customFormat="1" ht="15" customHeight="1">
      <c r="B91" s="46" t="s">
        <v>259</v>
      </c>
      <c r="C91" s="83" t="s">
        <v>3</v>
      </c>
      <c r="D91" s="84" t="s">
        <v>710</v>
      </c>
      <c r="E91" s="121" t="s">
        <v>12</v>
      </c>
      <c r="F91" s="129" t="s">
        <v>719</v>
      </c>
      <c r="G91" s="46" t="s">
        <v>14</v>
      </c>
      <c r="H91" s="85"/>
      <c r="S91" s="109"/>
      <c r="T91" s="110"/>
      <c r="U91" s="111"/>
    </row>
    <row r="92" spans="1:21" s="108" customFormat="1" ht="15" customHeight="1">
      <c r="A92" s="108" t="s">
        <v>7</v>
      </c>
      <c r="B92" s="112">
        <f>SUM(M83+L68+P52+Q34+L20+L7)</f>
        <v>29700</v>
      </c>
      <c r="C92" s="110">
        <f>SUM(M79+L66+P49+Q30+L17+L5)</f>
        <v>12733</v>
      </c>
      <c r="D92" s="110">
        <f>SUM(M80+L67+Q31+L18+L6+P50)</f>
        <v>12893</v>
      </c>
      <c r="E92" s="110">
        <v>449</v>
      </c>
      <c r="F92" s="110">
        <v>401</v>
      </c>
      <c r="G92" s="110">
        <f>(M82+P51+Q33+L19)</f>
        <v>3224</v>
      </c>
      <c r="H92" s="110"/>
      <c r="S92" s="46"/>
      <c r="T92" s="112"/>
      <c r="U92" s="111"/>
    </row>
    <row r="93" spans="1:21" s="108" customFormat="1" ht="15" customHeight="1">
      <c r="A93" s="108" t="s">
        <v>8</v>
      </c>
      <c r="B93" s="115">
        <v>1</v>
      </c>
      <c r="C93" s="111">
        <f>SUM(C92/$B$92)</f>
        <v>0.42872053872053872</v>
      </c>
      <c r="D93" s="111">
        <f>SUM(D92/$B$92)</f>
        <v>0.43410774410774411</v>
      </c>
      <c r="E93" s="111">
        <f>SUM(E92/$B$92)</f>
        <v>1.5117845117845119E-2</v>
      </c>
      <c r="F93" s="111">
        <f>SUM(F92/$B$92)</f>
        <v>1.3501683501683502E-2</v>
      </c>
      <c r="G93" s="111">
        <f>SUM(G92/$B$92)</f>
        <v>0.10855218855218855</v>
      </c>
      <c r="H93" s="111"/>
      <c r="K93" s="114"/>
    </row>
    <row r="94" spans="1:21" s="108" customFormat="1" ht="15" customHeight="1">
      <c r="A94" s="108" t="s">
        <v>9</v>
      </c>
      <c r="B94" s="46">
        <v>38</v>
      </c>
      <c r="C94" s="108">
        <v>16</v>
      </c>
      <c r="D94" s="108">
        <v>17</v>
      </c>
      <c r="E94" s="108">
        <v>1</v>
      </c>
      <c r="F94" s="108">
        <v>0</v>
      </c>
      <c r="G94" s="108">
        <v>4</v>
      </c>
    </row>
    <row r="95" spans="1:21" ht="14.25">
      <c r="M95" s="2"/>
      <c r="N95" s="2"/>
      <c r="O95" s="2"/>
      <c r="P95" s="2"/>
    </row>
    <row r="96" spans="1:21" ht="14.25">
      <c r="M96" s="2"/>
      <c r="N96" s="2"/>
      <c r="O96" s="2"/>
      <c r="P96" s="2"/>
    </row>
  </sheetData>
  <sortState ref="A48:C60">
    <sortCondition descending="1" ref="C48:C60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T108"/>
  <sheetViews>
    <sheetView zoomScaleNormal="100" workbookViewId="0">
      <selection activeCell="P1" sqref="P1"/>
    </sheetView>
  </sheetViews>
  <sheetFormatPr defaultRowHeight="12.75"/>
  <cols>
    <col min="1" max="1" width="25.28515625" customWidth="1"/>
    <col min="2" max="2" width="8.28515625" customWidth="1"/>
    <col min="3" max="3" width="9.7109375" customWidth="1"/>
    <col min="4" max="19" width="8.7109375" customWidth="1"/>
  </cols>
  <sheetData>
    <row r="1" spans="1:15" s="2" customFormat="1" ht="16.5" customHeight="1">
      <c r="A1" s="1" t="s">
        <v>662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6"/>
      <c r="L3" s="14" t="s">
        <v>6</v>
      </c>
      <c r="M3" s="15">
        <f>(5802/7350)</f>
        <v>0.78938775510204084</v>
      </c>
    </row>
    <row r="4" spans="1:15" s="2" customFormat="1" ht="16.5" customHeight="1" thickBot="1">
      <c r="A4" s="7" t="s">
        <v>753</v>
      </c>
      <c r="B4" s="12" t="s">
        <v>4</v>
      </c>
      <c r="C4" s="9">
        <v>1360</v>
      </c>
      <c r="D4" s="13"/>
      <c r="E4" s="13"/>
      <c r="F4" s="13"/>
      <c r="G4" s="13"/>
      <c r="H4" s="13"/>
      <c r="I4" s="13"/>
      <c r="J4" s="13"/>
      <c r="K4" s="11" t="s">
        <v>85</v>
      </c>
      <c r="L4" s="18"/>
      <c r="M4" s="14" t="s">
        <v>7</v>
      </c>
      <c r="N4" s="14" t="s">
        <v>8</v>
      </c>
      <c r="O4" s="14" t="s">
        <v>9</v>
      </c>
    </row>
    <row r="5" spans="1:15" s="2" customFormat="1" ht="16.5" customHeight="1" thickBot="1">
      <c r="A5" s="7" t="s">
        <v>524</v>
      </c>
      <c r="B5" s="8" t="s">
        <v>3</v>
      </c>
      <c r="C5" s="9">
        <v>1198</v>
      </c>
      <c r="D5" s="13"/>
      <c r="E5" s="13"/>
      <c r="F5" s="13"/>
      <c r="G5" s="13"/>
      <c r="H5" s="13"/>
      <c r="I5" s="13"/>
      <c r="J5" s="13"/>
      <c r="K5" s="11" t="s">
        <v>86</v>
      </c>
      <c r="L5" s="19" t="s">
        <v>3</v>
      </c>
      <c r="M5" s="20">
        <f>(C5+C7+C8+C10+C11)</f>
        <v>2879</v>
      </c>
      <c r="N5" s="21">
        <f>SUM(M5/M7)</f>
        <v>0.506955449903152</v>
      </c>
      <c r="O5" s="18">
        <v>2</v>
      </c>
    </row>
    <row r="6" spans="1:15" s="2" customFormat="1" ht="16.5" customHeight="1" thickBot="1">
      <c r="A6" s="7" t="s">
        <v>575</v>
      </c>
      <c r="B6" s="12" t="s">
        <v>4</v>
      </c>
      <c r="C6" s="13">
        <v>586</v>
      </c>
      <c r="D6" s="13">
        <v>745</v>
      </c>
      <c r="E6" s="13">
        <v>748</v>
      </c>
      <c r="F6" s="13">
        <v>844</v>
      </c>
      <c r="G6" s="13">
        <v>849</v>
      </c>
      <c r="H6" s="9">
        <v>1112</v>
      </c>
      <c r="I6" s="13"/>
      <c r="J6" s="13"/>
      <c r="K6" s="11" t="s">
        <v>87</v>
      </c>
      <c r="L6" s="23" t="s">
        <v>4</v>
      </c>
      <c r="M6" s="20">
        <f>(C4+C6+C9+C12+C13)</f>
        <v>2800</v>
      </c>
      <c r="N6" s="21">
        <f>SUM(M6/M7)</f>
        <v>0.49304455009684806</v>
      </c>
      <c r="O6" s="18">
        <v>3</v>
      </c>
    </row>
    <row r="7" spans="1:15" s="2" customFormat="1" ht="16.5" customHeight="1" thickBot="1">
      <c r="A7" s="7" t="s">
        <v>576</v>
      </c>
      <c r="B7" s="8" t="s">
        <v>3</v>
      </c>
      <c r="C7" s="13">
        <v>579</v>
      </c>
      <c r="D7" s="13">
        <v>581</v>
      </c>
      <c r="E7" s="13">
        <v>647</v>
      </c>
      <c r="F7" s="13">
        <v>649</v>
      </c>
      <c r="G7" s="13">
        <v>692</v>
      </c>
      <c r="H7" s="13">
        <v>694</v>
      </c>
      <c r="I7" s="13">
        <v>697</v>
      </c>
      <c r="J7" s="9">
        <v>946</v>
      </c>
      <c r="K7" s="11" t="s">
        <v>90</v>
      </c>
      <c r="L7" s="14"/>
      <c r="M7" s="28">
        <v>5679</v>
      </c>
      <c r="N7" s="15"/>
      <c r="O7" s="18"/>
    </row>
    <row r="8" spans="1:15" s="2" customFormat="1" ht="16.5" customHeight="1" thickBot="1">
      <c r="A8" s="16" t="s">
        <v>577</v>
      </c>
      <c r="B8" s="17" t="s">
        <v>3</v>
      </c>
      <c r="C8" s="13">
        <v>438</v>
      </c>
      <c r="D8" s="13">
        <v>442</v>
      </c>
      <c r="E8" s="13">
        <v>456</v>
      </c>
      <c r="F8" s="13">
        <v>466</v>
      </c>
      <c r="G8" s="13">
        <v>695</v>
      </c>
      <c r="H8" s="13">
        <v>713</v>
      </c>
      <c r="I8" s="13">
        <v>723</v>
      </c>
      <c r="J8" s="13">
        <v>841</v>
      </c>
      <c r="K8" s="11"/>
    </row>
    <row r="9" spans="1:15" s="2" customFormat="1" ht="16.5" customHeight="1" thickBot="1">
      <c r="A9" s="7" t="s">
        <v>655</v>
      </c>
      <c r="B9" s="12" t="s">
        <v>4</v>
      </c>
      <c r="C9" s="13">
        <v>436</v>
      </c>
      <c r="D9" s="13">
        <v>580</v>
      </c>
      <c r="E9" s="13">
        <v>585</v>
      </c>
      <c r="F9" s="13">
        <v>599</v>
      </c>
      <c r="G9" s="13">
        <v>604</v>
      </c>
      <c r="H9" s="13">
        <v>660</v>
      </c>
      <c r="I9" s="13">
        <v>811</v>
      </c>
      <c r="J9" s="9">
        <v>881</v>
      </c>
      <c r="K9" s="11" t="s">
        <v>89</v>
      </c>
    </row>
    <row r="10" spans="1:15" s="2" customFormat="1" ht="16.5" customHeight="1" thickBot="1">
      <c r="A10" s="16" t="s">
        <v>759</v>
      </c>
      <c r="B10" s="17" t="s">
        <v>3</v>
      </c>
      <c r="C10" s="13">
        <v>357</v>
      </c>
      <c r="D10" s="13">
        <v>364</v>
      </c>
      <c r="E10" s="13">
        <v>502</v>
      </c>
      <c r="F10" s="13">
        <v>506</v>
      </c>
      <c r="G10" s="13">
        <v>522</v>
      </c>
      <c r="H10" s="13">
        <v>537</v>
      </c>
      <c r="I10" s="13">
        <v>538</v>
      </c>
      <c r="J10" s="13" t="s">
        <v>10</v>
      </c>
    </row>
    <row r="11" spans="1:15" s="2" customFormat="1" ht="16.5" customHeight="1" thickBot="1">
      <c r="A11" s="16" t="s">
        <v>472</v>
      </c>
      <c r="B11" s="17" t="s">
        <v>3</v>
      </c>
      <c r="C11" s="13">
        <v>307</v>
      </c>
      <c r="D11" s="13">
        <v>309</v>
      </c>
      <c r="E11" s="13">
        <v>328</v>
      </c>
      <c r="F11" s="13">
        <v>335</v>
      </c>
      <c r="G11" s="13" t="s">
        <v>10</v>
      </c>
    </row>
    <row r="12" spans="1:15" s="2" customFormat="1" ht="16.5" customHeight="1" thickBot="1">
      <c r="A12" s="16" t="s">
        <v>659</v>
      </c>
      <c r="B12" s="22" t="s">
        <v>4</v>
      </c>
      <c r="C12" s="13">
        <v>267</v>
      </c>
      <c r="D12" s="13">
        <v>329</v>
      </c>
      <c r="E12" s="13">
        <v>332</v>
      </c>
      <c r="F12" s="13">
        <v>368</v>
      </c>
      <c r="G12" s="13">
        <v>379</v>
      </c>
      <c r="H12" s="13" t="s">
        <v>10</v>
      </c>
      <c r="K12" s="29"/>
    </row>
    <row r="13" spans="1:15" s="2" customFormat="1" ht="16.5" customHeight="1" thickBot="1">
      <c r="A13" s="16" t="s">
        <v>760</v>
      </c>
      <c r="B13" s="22" t="s">
        <v>4</v>
      </c>
      <c r="C13" s="13">
        <v>151</v>
      </c>
      <c r="D13" s="13">
        <v>184</v>
      </c>
      <c r="E13" s="13">
        <v>187</v>
      </c>
      <c r="F13" s="13" t="s">
        <v>10</v>
      </c>
    </row>
    <row r="14" spans="1:15" s="2" customFormat="1" ht="12.75" customHeight="1">
      <c r="A14" s="1"/>
      <c r="C14" s="20"/>
      <c r="D14" s="20"/>
      <c r="E14" s="20"/>
      <c r="F14" s="20"/>
      <c r="G14" s="20"/>
      <c r="H14" s="20"/>
      <c r="I14" s="20"/>
      <c r="J14" s="20"/>
    </row>
    <row r="15" spans="1:15" s="2" customFormat="1" ht="17.45" customHeight="1">
      <c r="A15" s="1" t="s">
        <v>663</v>
      </c>
    </row>
    <row r="16" spans="1:15" s="2" customFormat="1" ht="10.5" customHeight="1" thickBot="1">
      <c r="A16" s="1"/>
    </row>
    <row r="17" spans="1:17" s="2" customFormat="1" ht="16.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>
        <v>5</v>
      </c>
      <c r="H17" s="5">
        <v>6</v>
      </c>
      <c r="I17" s="5">
        <v>7</v>
      </c>
      <c r="J17" s="5">
        <v>8</v>
      </c>
      <c r="K17" s="5">
        <v>9</v>
      </c>
      <c r="L17" s="5">
        <v>10</v>
      </c>
      <c r="M17" s="6"/>
      <c r="N17" s="14" t="s">
        <v>6</v>
      </c>
      <c r="O17" s="15">
        <f>(5605/7786)</f>
        <v>0.71988183919856152</v>
      </c>
    </row>
    <row r="18" spans="1:17" s="2" customFormat="1" ht="16.5" customHeight="1" thickBot="1">
      <c r="A18" s="7" t="s">
        <v>531</v>
      </c>
      <c r="B18" s="8" t="s">
        <v>3</v>
      </c>
      <c r="C18" s="9">
        <v>1117</v>
      </c>
      <c r="D18" s="13"/>
      <c r="E18" s="13"/>
      <c r="F18" s="13"/>
      <c r="G18" s="13"/>
      <c r="H18" s="13"/>
      <c r="I18" s="13"/>
      <c r="J18" s="13"/>
      <c r="K18" s="13"/>
      <c r="L18" s="13"/>
      <c r="M18" s="11" t="s">
        <v>85</v>
      </c>
      <c r="N18" s="18"/>
      <c r="O18" s="14" t="s">
        <v>7</v>
      </c>
      <c r="P18" s="14" t="s">
        <v>8</v>
      </c>
      <c r="Q18" s="14" t="s">
        <v>9</v>
      </c>
    </row>
    <row r="19" spans="1:17" s="2" customFormat="1" ht="16.5" customHeight="1" thickBot="1">
      <c r="A19" s="7" t="s">
        <v>154</v>
      </c>
      <c r="B19" s="12" t="s">
        <v>4</v>
      </c>
      <c r="C19" s="13">
        <v>887</v>
      </c>
      <c r="D19" s="13">
        <v>891</v>
      </c>
      <c r="E19" s="13">
        <v>904</v>
      </c>
      <c r="F19" s="9">
        <v>942</v>
      </c>
      <c r="G19" s="13"/>
      <c r="H19" s="13"/>
      <c r="I19" s="13"/>
      <c r="J19" s="9"/>
      <c r="K19" s="13"/>
      <c r="L19" s="13"/>
      <c r="M19" s="11" t="s">
        <v>86</v>
      </c>
      <c r="N19" s="19" t="s">
        <v>3</v>
      </c>
      <c r="O19" s="20">
        <f>(C18+C22+C24+C26+C28)</f>
        <v>2481</v>
      </c>
      <c r="P19" s="21">
        <f>SUM(O19/O22)</f>
        <v>0.44791478606246615</v>
      </c>
      <c r="Q19" s="18">
        <v>2</v>
      </c>
    </row>
    <row r="20" spans="1:17" s="2" customFormat="1" ht="16.5" customHeight="1" thickBot="1">
      <c r="A20" s="7" t="s">
        <v>474</v>
      </c>
      <c r="B20" s="12" t="s">
        <v>4</v>
      </c>
      <c r="C20" s="13">
        <v>636</v>
      </c>
      <c r="D20" s="13">
        <v>640</v>
      </c>
      <c r="E20" s="13">
        <v>644</v>
      </c>
      <c r="F20" s="13">
        <v>690</v>
      </c>
      <c r="G20" s="13">
        <v>695</v>
      </c>
      <c r="H20" s="13">
        <v>695</v>
      </c>
      <c r="I20" s="13">
        <v>701</v>
      </c>
      <c r="J20" s="13">
        <v>867</v>
      </c>
      <c r="K20" s="9">
        <v>1256</v>
      </c>
      <c r="L20" s="9"/>
      <c r="M20" s="11" t="s">
        <v>87</v>
      </c>
      <c r="N20" s="23" t="s">
        <v>4</v>
      </c>
      <c r="O20" s="20">
        <f>(C19+C20+C23+C25+C27)</f>
        <v>2412</v>
      </c>
      <c r="P20" s="21">
        <f>SUM(O20/O22)</f>
        <v>0.43545766383823797</v>
      </c>
      <c r="Q20" s="18">
        <v>2</v>
      </c>
    </row>
    <row r="21" spans="1:17" s="2" customFormat="1" ht="16.5" customHeight="1" thickBot="1">
      <c r="A21" s="7" t="s">
        <v>761</v>
      </c>
      <c r="B21" s="11" t="s">
        <v>11</v>
      </c>
      <c r="C21" s="13">
        <v>590</v>
      </c>
      <c r="D21" s="13">
        <v>605</v>
      </c>
      <c r="E21" s="13">
        <v>621</v>
      </c>
      <c r="F21" s="13">
        <v>627</v>
      </c>
      <c r="G21" s="13">
        <v>628</v>
      </c>
      <c r="H21" s="13">
        <v>656</v>
      </c>
      <c r="I21" s="13">
        <v>676</v>
      </c>
      <c r="J21" s="13">
        <v>757</v>
      </c>
      <c r="K21" s="13">
        <v>782</v>
      </c>
      <c r="L21" s="9">
        <v>802</v>
      </c>
      <c r="M21" s="11" t="s">
        <v>90</v>
      </c>
      <c r="N21" s="14" t="s">
        <v>14</v>
      </c>
      <c r="O21" s="29">
        <f>(C21+C29)</f>
        <v>646</v>
      </c>
      <c r="P21" s="15">
        <f>SUM(O21/O22)</f>
        <v>0.1166275500992959</v>
      </c>
      <c r="Q21" s="18">
        <v>1</v>
      </c>
    </row>
    <row r="22" spans="1:17" s="2" customFormat="1" ht="16.5" customHeight="1" thickBot="1">
      <c r="A22" s="7" t="s">
        <v>664</v>
      </c>
      <c r="B22" s="8" t="s">
        <v>3</v>
      </c>
      <c r="C22" s="13">
        <v>553</v>
      </c>
      <c r="D22" s="13">
        <v>561</v>
      </c>
      <c r="E22" s="13">
        <v>561</v>
      </c>
      <c r="F22" s="13">
        <v>567</v>
      </c>
      <c r="G22" s="13">
        <v>567</v>
      </c>
      <c r="H22" s="13">
        <v>594</v>
      </c>
      <c r="I22" s="13">
        <v>726</v>
      </c>
      <c r="J22" s="13">
        <v>729</v>
      </c>
      <c r="K22" s="13">
        <v>746</v>
      </c>
      <c r="L22" s="9">
        <v>746</v>
      </c>
      <c r="M22" s="11" t="s">
        <v>89</v>
      </c>
      <c r="N22" s="24"/>
      <c r="O22" s="28">
        <v>5539</v>
      </c>
      <c r="P22" s="15"/>
      <c r="Q22" s="18"/>
    </row>
    <row r="23" spans="1:17" s="2" customFormat="1" ht="16.5" customHeight="1" thickBot="1">
      <c r="A23" s="16" t="s">
        <v>666</v>
      </c>
      <c r="B23" s="22" t="s">
        <v>4</v>
      </c>
      <c r="C23" s="13">
        <v>373</v>
      </c>
      <c r="D23" s="13">
        <v>375</v>
      </c>
      <c r="E23" s="13">
        <v>376</v>
      </c>
      <c r="F23" s="13">
        <v>445</v>
      </c>
      <c r="G23" s="13">
        <v>448</v>
      </c>
      <c r="H23" s="13">
        <v>451</v>
      </c>
      <c r="I23" s="13">
        <v>458</v>
      </c>
      <c r="J23" s="13">
        <v>507</v>
      </c>
      <c r="K23" s="13" t="s">
        <v>10</v>
      </c>
    </row>
    <row r="24" spans="1:17" s="2" customFormat="1" ht="16.5" customHeight="1" thickBot="1">
      <c r="A24" s="16" t="s">
        <v>756</v>
      </c>
      <c r="B24" s="17" t="s">
        <v>3</v>
      </c>
      <c r="C24" s="13">
        <v>344</v>
      </c>
      <c r="D24" s="13">
        <v>439</v>
      </c>
      <c r="E24" s="13">
        <v>447</v>
      </c>
      <c r="F24" s="13">
        <v>448</v>
      </c>
      <c r="G24" s="13">
        <v>448</v>
      </c>
      <c r="H24" s="13">
        <v>563</v>
      </c>
      <c r="I24" s="13">
        <v>710</v>
      </c>
      <c r="J24" s="13">
        <v>721</v>
      </c>
      <c r="K24" s="13">
        <v>727</v>
      </c>
      <c r="L24" s="13">
        <v>729</v>
      </c>
      <c r="M24" s="11"/>
      <c r="N24" s="29"/>
    </row>
    <row r="25" spans="1:17" s="2" customFormat="1" ht="16.5" customHeight="1" thickBot="1">
      <c r="A25" s="16" t="s">
        <v>581</v>
      </c>
      <c r="B25" s="22" t="s">
        <v>4</v>
      </c>
      <c r="C25" s="13">
        <v>314</v>
      </c>
      <c r="D25" s="13">
        <v>317</v>
      </c>
      <c r="E25" s="13">
        <v>323</v>
      </c>
      <c r="F25" s="13">
        <v>340</v>
      </c>
      <c r="G25" s="13">
        <v>349</v>
      </c>
      <c r="H25" s="13">
        <v>354</v>
      </c>
      <c r="I25" s="13">
        <v>354</v>
      </c>
      <c r="J25" s="13" t="s">
        <v>10</v>
      </c>
      <c r="M25" s="23"/>
      <c r="N25" s="20"/>
      <c r="O25" s="21"/>
      <c r="P25" s="18"/>
    </row>
    <row r="26" spans="1:17" s="2" customFormat="1" ht="16.5" customHeight="1" thickBot="1">
      <c r="A26" s="16" t="s">
        <v>667</v>
      </c>
      <c r="B26" s="17" t="s">
        <v>3</v>
      </c>
      <c r="C26" s="13">
        <v>274</v>
      </c>
      <c r="D26" s="13">
        <v>295</v>
      </c>
      <c r="E26" s="13">
        <v>296</v>
      </c>
      <c r="F26" s="13">
        <v>312</v>
      </c>
      <c r="G26" s="13">
        <v>312</v>
      </c>
      <c r="H26" s="13">
        <v>354</v>
      </c>
      <c r="I26" s="13" t="s">
        <v>10</v>
      </c>
      <c r="M26" s="14"/>
      <c r="N26" s="29"/>
      <c r="O26" s="15"/>
      <c r="P26" s="18"/>
    </row>
    <row r="27" spans="1:17" s="2" customFormat="1" ht="16.5" customHeight="1" thickBot="1">
      <c r="A27" s="16" t="s">
        <v>439</v>
      </c>
      <c r="B27" s="22" t="s">
        <v>4</v>
      </c>
      <c r="C27" s="13">
        <v>202</v>
      </c>
      <c r="D27" s="13">
        <v>203</v>
      </c>
      <c r="E27" s="13">
        <v>203</v>
      </c>
      <c r="F27" s="13" t="s">
        <v>10</v>
      </c>
      <c r="H27" s="29"/>
      <c r="I27" s="29"/>
      <c r="M27" s="24"/>
      <c r="N27" s="28"/>
      <c r="O27" s="15"/>
      <c r="P27" s="18"/>
    </row>
    <row r="28" spans="1:17" s="2" customFormat="1" ht="16.5" customHeight="1" thickBot="1">
      <c r="A28" s="16" t="s">
        <v>668</v>
      </c>
      <c r="B28" s="17" t="s">
        <v>3</v>
      </c>
      <c r="C28" s="13">
        <v>193</v>
      </c>
      <c r="D28" s="13">
        <v>231</v>
      </c>
      <c r="E28" s="13">
        <v>234</v>
      </c>
      <c r="F28" s="13">
        <v>234</v>
      </c>
      <c r="G28" s="13">
        <v>234</v>
      </c>
      <c r="H28" s="13" t="s">
        <v>10</v>
      </c>
    </row>
    <row r="29" spans="1:17" s="2" customFormat="1" ht="16.5" customHeight="1" thickBot="1">
      <c r="A29" s="16" t="s">
        <v>669</v>
      </c>
      <c r="B29" s="10" t="s">
        <v>11</v>
      </c>
      <c r="C29" s="13">
        <v>56</v>
      </c>
      <c r="D29" s="13">
        <v>58</v>
      </c>
      <c r="E29" s="13" t="s">
        <v>10</v>
      </c>
      <c r="G29" s="29"/>
      <c r="H29" s="29"/>
      <c r="I29" s="29"/>
      <c r="J29" s="29"/>
    </row>
    <row r="30" spans="1:17" s="2" customFormat="1" ht="13.5" customHeight="1">
      <c r="A30" s="35"/>
      <c r="B30" s="36"/>
      <c r="C30" s="40"/>
      <c r="D30" s="40"/>
      <c r="E30" s="40"/>
      <c r="F30" s="40"/>
      <c r="G30" s="40"/>
      <c r="H30" s="40"/>
      <c r="I30" s="40"/>
    </row>
    <row r="31" spans="1:17" s="2" customFormat="1" ht="17.45" customHeight="1">
      <c r="A31" s="1" t="s">
        <v>670</v>
      </c>
    </row>
    <row r="32" spans="1:17" s="2" customFormat="1" ht="8.25" customHeight="1" thickBot="1">
      <c r="A32" s="1"/>
    </row>
    <row r="33" spans="1:19" s="2" customFormat="1" ht="17.45" customHeight="1" thickBot="1">
      <c r="A33" s="4" t="s">
        <v>0</v>
      </c>
      <c r="B33" s="5" t="s">
        <v>1</v>
      </c>
      <c r="C33" s="5" t="s">
        <v>2</v>
      </c>
      <c r="D33" s="5">
        <v>2</v>
      </c>
      <c r="E33" s="5">
        <v>3</v>
      </c>
      <c r="F33" s="5">
        <v>4</v>
      </c>
      <c r="G33" s="5">
        <v>5</v>
      </c>
      <c r="H33" s="5">
        <v>6</v>
      </c>
      <c r="I33" s="5">
        <v>7</v>
      </c>
      <c r="J33" s="5">
        <v>8</v>
      </c>
      <c r="K33" s="5">
        <v>9</v>
      </c>
      <c r="L33" s="5">
        <v>10</v>
      </c>
      <c r="M33" s="5">
        <v>11</v>
      </c>
      <c r="N33" s="5"/>
      <c r="O33" s="14" t="s">
        <v>6</v>
      </c>
      <c r="P33" s="50">
        <f>(11061/13866)</f>
        <v>0.79770662051060148</v>
      </c>
    </row>
    <row r="34" spans="1:19" s="2" customFormat="1" ht="17.45" customHeight="1" thickBot="1">
      <c r="A34" s="7" t="s">
        <v>634</v>
      </c>
      <c r="B34" s="12" t="s">
        <v>4</v>
      </c>
      <c r="C34" s="13">
        <v>1133</v>
      </c>
      <c r="D34" s="13">
        <v>1145</v>
      </c>
      <c r="E34" s="13">
        <v>1157</v>
      </c>
      <c r="F34" s="9">
        <v>1274</v>
      </c>
      <c r="G34" s="13"/>
      <c r="H34" s="9"/>
      <c r="I34" s="13"/>
      <c r="J34" s="13"/>
      <c r="K34" s="9"/>
      <c r="L34" s="13"/>
      <c r="M34" s="9"/>
      <c r="N34" s="11" t="s">
        <v>85</v>
      </c>
      <c r="O34" s="18"/>
      <c r="P34" s="14" t="s">
        <v>7</v>
      </c>
      <c r="Q34" s="14" t="s">
        <v>8</v>
      </c>
      <c r="R34" s="14" t="s">
        <v>9</v>
      </c>
    </row>
    <row r="35" spans="1:19" s="2" customFormat="1" ht="17.45" customHeight="1" thickBot="1">
      <c r="A35" s="7" t="s">
        <v>406</v>
      </c>
      <c r="B35" s="8" t="s">
        <v>3</v>
      </c>
      <c r="C35" s="13">
        <v>1047</v>
      </c>
      <c r="D35" s="13">
        <v>1049</v>
      </c>
      <c r="E35" s="13">
        <v>1053</v>
      </c>
      <c r="F35" s="13">
        <v>1055</v>
      </c>
      <c r="G35" s="13">
        <v>1055</v>
      </c>
      <c r="H35" s="13">
        <v>1059</v>
      </c>
      <c r="I35" s="13">
        <v>1072</v>
      </c>
      <c r="J35" s="13">
        <v>1079</v>
      </c>
      <c r="K35" s="13">
        <v>1087</v>
      </c>
      <c r="L35" s="13">
        <v>1090</v>
      </c>
      <c r="M35" s="9">
        <v>1090</v>
      </c>
      <c r="N35" s="11" t="s">
        <v>111</v>
      </c>
      <c r="O35" s="19" t="s">
        <v>3</v>
      </c>
      <c r="P35" s="20">
        <f>(C35+C36+C38+C39+C42+C43+C47)</f>
        <v>5503</v>
      </c>
      <c r="Q35" s="21">
        <f>SUM(P35/P38)</f>
        <v>0.50639550934020428</v>
      </c>
      <c r="R35" s="18">
        <v>4</v>
      </c>
    </row>
    <row r="36" spans="1:19" s="2" customFormat="1" ht="17.45" customHeight="1" thickBot="1">
      <c r="A36" s="7" t="s">
        <v>630</v>
      </c>
      <c r="B36" s="8" t="s">
        <v>3</v>
      </c>
      <c r="C36" s="13">
        <v>934</v>
      </c>
      <c r="D36" s="13">
        <v>941</v>
      </c>
      <c r="E36" s="13">
        <v>1145</v>
      </c>
      <c r="F36" s="13">
        <v>1145</v>
      </c>
      <c r="G36" s="13">
        <v>1145</v>
      </c>
      <c r="H36" s="13">
        <v>1146</v>
      </c>
      <c r="I36" s="9">
        <v>1446</v>
      </c>
      <c r="J36" s="13"/>
      <c r="K36" s="9"/>
      <c r="L36" s="13"/>
      <c r="M36" s="13"/>
      <c r="N36" s="11" t="s">
        <v>86</v>
      </c>
      <c r="O36" s="23" t="s">
        <v>4</v>
      </c>
      <c r="P36" s="20">
        <f>(C34+C37+C40+C41+C44+C45+C46)</f>
        <v>5272</v>
      </c>
      <c r="Q36" s="21">
        <f>SUM(P36/P38)</f>
        <v>0.4851384926842735</v>
      </c>
      <c r="R36" s="18">
        <v>4</v>
      </c>
    </row>
    <row r="37" spans="1:19" s="2" customFormat="1" ht="17.45" customHeight="1" thickBot="1">
      <c r="A37" s="7" t="s">
        <v>656</v>
      </c>
      <c r="B37" s="12" t="s">
        <v>4</v>
      </c>
      <c r="C37" s="13">
        <v>931</v>
      </c>
      <c r="D37" s="13">
        <v>938</v>
      </c>
      <c r="E37" s="13">
        <v>938</v>
      </c>
      <c r="F37" s="13">
        <v>943</v>
      </c>
      <c r="G37" s="13">
        <v>947</v>
      </c>
      <c r="H37" s="13">
        <v>1162</v>
      </c>
      <c r="I37" s="13">
        <v>1166</v>
      </c>
      <c r="J37" s="13">
        <v>1166</v>
      </c>
      <c r="K37" s="9">
        <v>1797</v>
      </c>
      <c r="L37" s="13"/>
      <c r="M37" s="13"/>
      <c r="N37" s="11" t="s">
        <v>87</v>
      </c>
      <c r="O37" s="14" t="s">
        <v>14</v>
      </c>
      <c r="P37" s="29">
        <v>92</v>
      </c>
      <c r="Q37" s="15">
        <f>SUM(P37/P38)</f>
        <v>8.4659979755222232E-3</v>
      </c>
      <c r="R37" s="18"/>
    </row>
    <row r="38" spans="1:19" s="2" customFormat="1" ht="17.45" customHeight="1" thickBot="1">
      <c r="A38" s="7" t="s">
        <v>595</v>
      </c>
      <c r="B38" s="8" t="s">
        <v>3</v>
      </c>
      <c r="C38" s="13">
        <v>911</v>
      </c>
      <c r="D38" s="13">
        <v>912</v>
      </c>
      <c r="E38" s="13">
        <v>945</v>
      </c>
      <c r="F38" s="13">
        <v>945</v>
      </c>
      <c r="G38" s="13">
        <v>945</v>
      </c>
      <c r="H38" s="13">
        <v>966</v>
      </c>
      <c r="I38" s="13">
        <v>976</v>
      </c>
      <c r="J38" s="13">
        <v>984</v>
      </c>
      <c r="K38" s="13">
        <v>994</v>
      </c>
      <c r="L38" s="13">
        <v>998</v>
      </c>
      <c r="M38" s="9">
        <v>1001</v>
      </c>
      <c r="N38" s="9" t="s">
        <v>671</v>
      </c>
      <c r="O38" s="43"/>
      <c r="P38" s="28">
        <v>10867</v>
      </c>
      <c r="Q38" s="15"/>
    </row>
    <row r="39" spans="1:19" s="2" customFormat="1" ht="17.45" customHeight="1" thickBot="1">
      <c r="A39" s="7" t="s">
        <v>673</v>
      </c>
      <c r="B39" s="8" t="s">
        <v>3</v>
      </c>
      <c r="C39" s="13">
        <v>894</v>
      </c>
      <c r="D39" s="13">
        <v>894</v>
      </c>
      <c r="E39" s="13">
        <v>894</v>
      </c>
      <c r="F39" s="13">
        <v>896</v>
      </c>
      <c r="G39" s="13">
        <v>896</v>
      </c>
      <c r="H39" s="13">
        <v>902</v>
      </c>
      <c r="I39" s="13">
        <v>1060</v>
      </c>
      <c r="J39" s="13">
        <v>1130</v>
      </c>
      <c r="K39" s="13">
        <v>1130</v>
      </c>
      <c r="L39" s="13">
        <v>1130</v>
      </c>
      <c r="M39" s="9">
        <v>1131</v>
      </c>
      <c r="N39" s="11" t="s">
        <v>88</v>
      </c>
    </row>
    <row r="40" spans="1:19" s="2" customFormat="1" ht="17.45" customHeight="1" thickBot="1">
      <c r="A40" s="7" t="s">
        <v>468</v>
      </c>
      <c r="B40" s="12" t="s">
        <v>4</v>
      </c>
      <c r="C40" s="13">
        <v>877</v>
      </c>
      <c r="D40" s="13">
        <v>880</v>
      </c>
      <c r="E40" s="13">
        <v>883</v>
      </c>
      <c r="F40" s="13">
        <v>890</v>
      </c>
      <c r="G40" s="13">
        <v>913</v>
      </c>
      <c r="H40" s="13">
        <v>1037</v>
      </c>
      <c r="I40" s="13">
        <v>1056</v>
      </c>
      <c r="J40" s="13">
        <v>1056</v>
      </c>
      <c r="K40" s="13">
        <v>1110</v>
      </c>
      <c r="L40" s="9">
        <v>1535</v>
      </c>
      <c r="M40" s="9"/>
      <c r="N40" s="11" t="s">
        <v>90</v>
      </c>
      <c r="O40" s="24"/>
      <c r="Q40" s="15"/>
    </row>
    <row r="41" spans="1:19" s="2" customFormat="1" ht="17.45" customHeight="1" thickBot="1">
      <c r="A41" s="7" t="s">
        <v>675</v>
      </c>
      <c r="B41" s="12" t="s">
        <v>4</v>
      </c>
      <c r="C41" s="13">
        <v>696</v>
      </c>
      <c r="D41" s="13">
        <v>719</v>
      </c>
      <c r="E41" s="13">
        <v>723</v>
      </c>
      <c r="F41" s="13">
        <v>994</v>
      </c>
      <c r="G41" s="13">
        <v>1006</v>
      </c>
      <c r="H41" s="13">
        <v>1032</v>
      </c>
      <c r="I41" s="13">
        <v>1064</v>
      </c>
      <c r="J41" s="13">
        <v>1065</v>
      </c>
      <c r="K41" s="13">
        <v>1072</v>
      </c>
      <c r="L41" s="13">
        <v>1105</v>
      </c>
      <c r="M41" s="9">
        <v>1304</v>
      </c>
      <c r="N41" s="11" t="s">
        <v>89</v>
      </c>
      <c r="Q41" s="14"/>
      <c r="R41" s="14"/>
      <c r="S41" s="14"/>
    </row>
    <row r="42" spans="1:19" s="2" customFormat="1" ht="17.45" customHeight="1" thickBot="1">
      <c r="A42" s="16" t="s">
        <v>677</v>
      </c>
      <c r="B42" s="17" t="s">
        <v>3</v>
      </c>
      <c r="C42" s="13">
        <v>662</v>
      </c>
      <c r="D42" s="13">
        <v>662</v>
      </c>
      <c r="E42" s="13">
        <v>778</v>
      </c>
      <c r="F42" s="13">
        <v>796</v>
      </c>
      <c r="G42" s="13">
        <v>796</v>
      </c>
      <c r="H42" s="13">
        <v>801</v>
      </c>
      <c r="I42" s="13">
        <v>813</v>
      </c>
      <c r="J42" s="13">
        <v>822</v>
      </c>
      <c r="K42" s="13">
        <v>827</v>
      </c>
      <c r="L42" s="13">
        <v>829</v>
      </c>
      <c r="M42" s="13">
        <v>829</v>
      </c>
      <c r="N42" s="11"/>
      <c r="O42" s="67"/>
      <c r="P42" s="20"/>
      <c r="Q42" s="21"/>
      <c r="R42" s="18"/>
    </row>
    <row r="43" spans="1:19" s="2" customFormat="1" ht="17.45" customHeight="1" thickBot="1">
      <c r="A43" s="16" t="s">
        <v>676</v>
      </c>
      <c r="B43" s="17" t="s">
        <v>3</v>
      </c>
      <c r="C43" s="13">
        <v>639</v>
      </c>
      <c r="D43" s="13">
        <v>652</v>
      </c>
      <c r="E43" s="13">
        <v>657</v>
      </c>
      <c r="F43" s="13">
        <v>666</v>
      </c>
      <c r="G43" s="13">
        <v>666</v>
      </c>
      <c r="H43" s="13">
        <v>668</v>
      </c>
      <c r="I43" s="13" t="s">
        <v>10</v>
      </c>
      <c r="N43" s="20"/>
      <c r="O43" s="21"/>
      <c r="P43" s="18"/>
    </row>
    <row r="44" spans="1:19" s="2" customFormat="1" ht="17.45" customHeight="1" thickBot="1">
      <c r="A44" s="16" t="s">
        <v>591</v>
      </c>
      <c r="B44" s="22" t="s">
        <v>4</v>
      </c>
      <c r="C44" s="13">
        <v>632</v>
      </c>
      <c r="D44" s="13">
        <v>632</v>
      </c>
      <c r="E44" s="13">
        <v>635</v>
      </c>
      <c r="F44" s="13">
        <v>637</v>
      </c>
      <c r="G44" s="13">
        <v>640</v>
      </c>
      <c r="H44" s="13">
        <v>763</v>
      </c>
      <c r="I44" s="13">
        <v>768</v>
      </c>
      <c r="J44" s="13">
        <v>772</v>
      </c>
      <c r="K44" s="13" t="s">
        <v>10</v>
      </c>
    </row>
    <row r="45" spans="1:19" s="2" customFormat="1" ht="17.45" customHeight="1" thickBot="1">
      <c r="A45" s="16" t="s">
        <v>680</v>
      </c>
      <c r="B45" s="22" t="s">
        <v>4</v>
      </c>
      <c r="C45" s="13">
        <v>539</v>
      </c>
      <c r="D45" s="13">
        <v>543</v>
      </c>
      <c r="E45" s="13">
        <v>548</v>
      </c>
      <c r="F45" s="13">
        <v>573</v>
      </c>
      <c r="G45" s="13">
        <v>597</v>
      </c>
      <c r="H45" s="13" t="s">
        <v>10</v>
      </c>
      <c r="J45" s="24"/>
      <c r="L45" s="15"/>
    </row>
    <row r="46" spans="1:19" s="2" customFormat="1" ht="17.45" customHeight="1" thickBot="1">
      <c r="A46" s="16" t="s">
        <v>679</v>
      </c>
      <c r="B46" s="22" t="s">
        <v>4</v>
      </c>
      <c r="C46" s="13">
        <v>464</v>
      </c>
      <c r="D46" s="13">
        <v>472</v>
      </c>
      <c r="E46" s="13">
        <v>476</v>
      </c>
      <c r="F46" s="13" t="s">
        <v>10</v>
      </c>
      <c r="L46" s="14"/>
      <c r="M46" s="14"/>
      <c r="N46" s="28"/>
    </row>
    <row r="47" spans="1:19" s="2" customFormat="1" ht="17.45" customHeight="1" thickBot="1">
      <c r="A47" s="16" t="s">
        <v>762</v>
      </c>
      <c r="B47" s="17" t="s">
        <v>3</v>
      </c>
      <c r="C47" s="13">
        <v>416</v>
      </c>
      <c r="D47" s="13">
        <v>417</v>
      </c>
      <c r="E47" s="13" t="s">
        <v>10</v>
      </c>
      <c r="J47" s="67"/>
      <c r="K47" s="20"/>
      <c r="L47" s="21"/>
      <c r="M47" s="18"/>
    </row>
    <row r="48" spans="1:19" s="2" customFormat="1" ht="17.45" customHeight="1" thickBot="1">
      <c r="A48" s="16" t="s">
        <v>752</v>
      </c>
      <c r="B48" s="10" t="s">
        <v>11</v>
      </c>
      <c r="C48" s="13">
        <v>92</v>
      </c>
      <c r="D48" s="13" t="s">
        <v>10</v>
      </c>
      <c r="N48" s="23"/>
      <c r="O48" s="20"/>
      <c r="P48" s="21"/>
      <c r="Q48" s="18"/>
    </row>
    <row r="49" spans="1:19"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</row>
    <row r="50" spans="1:19" s="2" customFormat="1" ht="17.45" customHeight="1">
      <c r="A50" s="1" t="s">
        <v>689</v>
      </c>
    </row>
    <row r="51" spans="1:19" s="2" customFormat="1" ht="10.5" customHeight="1" thickBot="1">
      <c r="A51" s="1"/>
    </row>
    <row r="52" spans="1:19" s="2" customFormat="1" ht="16.5" customHeight="1" thickBot="1">
      <c r="A52" s="4" t="s">
        <v>0</v>
      </c>
      <c r="B52" s="5" t="s">
        <v>1</v>
      </c>
      <c r="C52" s="5" t="s">
        <v>2</v>
      </c>
      <c r="D52" s="5">
        <v>2</v>
      </c>
      <c r="E52" s="5">
        <v>3</v>
      </c>
      <c r="F52" s="5">
        <v>4</v>
      </c>
      <c r="G52" s="5">
        <v>5</v>
      </c>
      <c r="H52" s="5">
        <v>6</v>
      </c>
      <c r="I52" s="5">
        <v>7</v>
      </c>
      <c r="J52" s="5">
        <v>8</v>
      </c>
      <c r="K52" s="5">
        <v>9</v>
      </c>
      <c r="L52" s="5">
        <v>10</v>
      </c>
      <c r="M52" s="5">
        <v>11</v>
      </c>
      <c r="N52" s="5">
        <v>12</v>
      </c>
      <c r="O52" s="6"/>
      <c r="P52" s="14" t="s">
        <v>6</v>
      </c>
      <c r="Q52" s="15">
        <f>(8800/11584)</f>
        <v>0.75966850828729282</v>
      </c>
    </row>
    <row r="53" spans="1:19" s="2" customFormat="1" ht="16.5" customHeight="1" thickBot="1">
      <c r="A53" s="7" t="s">
        <v>763</v>
      </c>
      <c r="B53" s="8" t="s">
        <v>3</v>
      </c>
      <c r="C53" s="9">
        <v>987</v>
      </c>
      <c r="D53" s="9"/>
      <c r="E53" s="9"/>
      <c r="F53" s="13"/>
      <c r="G53" s="9"/>
      <c r="H53" s="13"/>
      <c r="I53" s="13"/>
      <c r="J53" s="13"/>
      <c r="K53" s="13"/>
      <c r="L53" s="13"/>
      <c r="M53" s="13"/>
      <c r="N53" s="13"/>
      <c r="O53" s="11" t="s">
        <v>85</v>
      </c>
      <c r="P53" s="18"/>
      <c r="Q53" s="14" t="s">
        <v>7</v>
      </c>
      <c r="R53" s="14" t="s">
        <v>8</v>
      </c>
      <c r="S53" s="14" t="s">
        <v>9</v>
      </c>
    </row>
    <row r="54" spans="1:19" s="2" customFormat="1" ht="16.5" customHeight="1" thickBot="1">
      <c r="A54" s="7" t="s">
        <v>742</v>
      </c>
      <c r="B54" s="12" t="s">
        <v>4</v>
      </c>
      <c r="C54" s="13">
        <v>884</v>
      </c>
      <c r="D54" s="13">
        <v>884</v>
      </c>
      <c r="E54" s="13">
        <v>897</v>
      </c>
      <c r="F54" s="13">
        <v>897</v>
      </c>
      <c r="G54" s="13">
        <v>902</v>
      </c>
      <c r="H54" s="13">
        <v>904</v>
      </c>
      <c r="I54" s="13">
        <v>917</v>
      </c>
      <c r="J54" s="13">
        <v>924</v>
      </c>
      <c r="K54" s="13">
        <v>925</v>
      </c>
      <c r="L54" s="9">
        <v>1031</v>
      </c>
      <c r="M54" s="13"/>
      <c r="N54" s="13"/>
      <c r="O54" s="11" t="s">
        <v>89</v>
      </c>
      <c r="P54" s="19" t="s">
        <v>3</v>
      </c>
      <c r="Q54" s="20">
        <f>(C53+C60+C61+C62+C63+C64+C66+C67)</f>
        <v>4084</v>
      </c>
      <c r="R54" s="21">
        <f>SUM(Q54/Q56)</f>
        <v>0.46409090909090911</v>
      </c>
      <c r="S54" s="18">
        <v>4</v>
      </c>
    </row>
    <row r="55" spans="1:19" s="2" customFormat="1" ht="16.5" customHeight="1" thickBot="1">
      <c r="A55" s="7" t="s">
        <v>682</v>
      </c>
      <c r="B55" s="12" t="s">
        <v>4</v>
      </c>
      <c r="C55" s="13">
        <v>750</v>
      </c>
      <c r="D55" s="13">
        <v>750</v>
      </c>
      <c r="E55" s="13">
        <v>758</v>
      </c>
      <c r="F55" s="13">
        <v>760</v>
      </c>
      <c r="G55" s="13">
        <v>760</v>
      </c>
      <c r="H55" s="13">
        <v>760</v>
      </c>
      <c r="I55" s="13">
        <v>764</v>
      </c>
      <c r="J55" s="13">
        <v>769</v>
      </c>
      <c r="K55" s="13">
        <v>769</v>
      </c>
      <c r="L55" s="13">
        <v>787</v>
      </c>
      <c r="M55" s="13">
        <v>958</v>
      </c>
      <c r="N55" s="9">
        <v>1007</v>
      </c>
      <c r="O55" s="11" t="s">
        <v>88</v>
      </c>
      <c r="P55" s="23" t="s">
        <v>4</v>
      </c>
      <c r="Q55" s="20">
        <f>(C54+C55+C56+C57+C58+C59+C65)</f>
        <v>4716</v>
      </c>
      <c r="R55" s="21">
        <f>SUM(Q55/Q56)</f>
        <v>0.53590909090909089</v>
      </c>
      <c r="S55" s="18">
        <v>4</v>
      </c>
    </row>
    <row r="56" spans="1:19" s="2" customFormat="1" ht="16.5" customHeight="1" thickBot="1">
      <c r="A56" s="7" t="s">
        <v>681</v>
      </c>
      <c r="B56" s="12" t="s">
        <v>4</v>
      </c>
      <c r="C56" s="13">
        <v>727</v>
      </c>
      <c r="D56" s="13">
        <v>727</v>
      </c>
      <c r="E56" s="13">
        <v>729</v>
      </c>
      <c r="F56" s="13">
        <v>731</v>
      </c>
      <c r="G56" s="9">
        <v>1019</v>
      </c>
      <c r="H56" s="13"/>
      <c r="I56" s="13"/>
      <c r="J56" s="9"/>
      <c r="K56" s="13"/>
      <c r="L56" s="13"/>
      <c r="M56" s="9"/>
      <c r="N56" s="9"/>
      <c r="O56" s="11" t="s">
        <v>86</v>
      </c>
      <c r="P56" s="51"/>
      <c r="Q56" s="28">
        <v>8800</v>
      </c>
      <c r="R56" s="15"/>
      <c r="S56" s="18"/>
    </row>
    <row r="57" spans="1:19" s="2" customFormat="1" ht="16.5" customHeight="1" thickBot="1">
      <c r="A57" s="7" t="s">
        <v>626</v>
      </c>
      <c r="B57" s="12" t="s">
        <v>4</v>
      </c>
      <c r="C57" s="13">
        <v>688</v>
      </c>
      <c r="D57" s="13">
        <v>688</v>
      </c>
      <c r="E57" s="13">
        <v>688</v>
      </c>
      <c r="F57" s="13">
        <v>693</v>
      </c>
      <c r="G57" s="13">
        <v>696</v>
      </c>
      <c r="H57" s="13">
        <v>696</v>
      </c>
      <c r="I57" s="13">
        <v>710</v>
      </c>
      <c r="J57" s="13">
        <v>712</v>
      </c>
      <c r="K57" s="13">
        <v>713</v>
      </c>
      <c r="L57" s="9">
        <v>1156</v>
      </c>
      <c r="M57" s="13"/>
      <c r="N57" s="13"/>
      <c r="O57" s="11" t="s">
        <v>90</v>
      </c>
      <c r="P57" s="43"/>
      <c r="Q57" s="20"/>
      <c r="R57" s="21"/>
    </row>
    <row r="58" spans="1:19" s="2" customFormat="1" ht="16.5" customHeight="1" thickBot="1">
      <c r="A58" s="16" t="s">
        <v>743</v>
      </c>
      <c r="B58" s="22" t="s">
        <v>4</v>
      </c>
      <c r="C58" s="13">
        <v>676</v>
      </c>
      <c r="D58" s="13">
        <v>676</v>
      </c>
      <c r="E58" s="13">
        <v>676</v>
      </c>
      <c r="F58" s="13">
        <v>677</v>
      </c>
      <c r="G58" s="13">
        <v>719</v>
      </c>
      <c r="H58" s="13">
        <v>758</v>
      </c>
      <c r="I58" s="13">
        <v>759</v>
      </c>
      <c r="J58" s="13">
        <v>759</v>
      </c>
      <c r="K58" s="13">
        <v>759</v>
      </c>
      <c r="L58" s="13">
        <v>772</v>
      </c>
      <c r="M58" s="13">
        <v>778</v>
      </c>
      <c r="N58" s="13">
        <v>781</v>
      </c>
      <c r="O58" s="11"/>
      <c r="P58" s="26"/>
      <c r="R58" s="15"/>
      <c r="S58" s="18"/>
    </row>
    <row r="59" spans="1:19" s="2" customFormat="1" ht="16.5" customHeight="1" thickBot="1">
      <c r="A59" s="16" t="s">
        <v>685</v>
      </c>
      <c r="B59" s="22" t="s">
        <v>4</v>
      </c>
      <c r="C59" s="13">
        <v>631</v>
      </c>
      <c r="D59" s="13">
        <v>631</v>
      </c>
      <c r="E59" s="13">
        <v>632</v>
      </c>
      <c r="F59" s="13">
        <v>632</v>
      </c>
      <c r="G59" s="13">
        <v>634</v>
      </c>
      <c r="H59" s="13">
        <v>634</v>
      </c>
      <c r="I59" s="13">
        <v>639</v>
      </c>
      <c r="J59" s="13">
        <v>639</v>
      </c>
      <c r="K59" s="13">
        <v>639</v>
      </c>
      <c r="L59" s="13" t="s">
        <v>10</v>
      </c>
    </row>
    <row r="60" spans="1:19" s="2" customFormat="1" ht="16.5" customHeight="1" thickBot="1">
      <c r="A60" s="7" t="s">
        <v>686</v>
      </c>
      <c r="B60" s="8" t="s">
        <v>3</v>
      </c>
      <c r="C60" s="13">
        <v>619</v>
      </c>
      <c r="D60" s="13">
        <v>619</v>
      </c>
      <c r="E60" s="13">
        <v>688</v>
      </c>
      <c r="F60" s="13">
        <v>688</v>
      </c>
      <c r="G60" s="13">
        <v>688</v>
      </c>
      <c r="H60" s="13">
        <v>688</v>
      </c>
      <c r="I60" s="13">
        <v>764</v>
      </c>
      <c r="J60" s="13">
        <v>820</v>
      </c>
      <c r="K60" s="13">
        <v>829</v>
      </c>
      <c r="L60" s="13">
        <v>830</v>
      </c>
      <c r="M60" s="13">
        <v>830</v>
      </c>
      <c r="N60" s="9">
        <v>831</v>
      </c>
      <c r="O60" s="11" t="s">
        <v>671</v>
      </c>
    </row>
    <row r="61" spans="1:19" s="2" customFormat="1" ht="16.5" customHeight="1" thickBot="1">
      <c r="A61" s="16" t="s">
        <v>684</v>
      </c>
      <c r="B61" s="17" t="s">
        <v>3</v>
      </c>
      <c r="C61" s="13">
        <v>515</v>
      </c>
      <c r="D61" s="13">
        <v>518</v>
      </c>
      <c r="E61" s="13">
        <v>520</v>
      </c>
      <c r="F61" s="13">
        <v>521</v>
      </c>
      <c r="G61" s="13">
        <v>521</v>
      </c>
      <c r="H61" s="13">
        <v>521</v>
      </c>
      <c r="I61" s="13" t="s">
        <v>10</v>
      </c>
    </row>
    <row r="62" spans="1:19" s="2" customFormat="1" ht="16.5" customHeight="1" thickBot="1">
      <c r="A62" s="7" t="s">
        <v>597</v>
      </c>
      <c r="B62" s="8" t="s">
        <v>3</v>
      </c>
      <c r="C62" s="13">
        <v>512</v>
      </c>
      <c r="D62" s="13">
        <v>512</v>
      </c>
      <c r="E62" s="13">
        <v>513</v>
      </c>
      <c r="F62" s="13">
        <v>674</v>
      </c>
      <c r="G62" s="13">
        <v>674</v>
      </c>
      <c r="H62" s="13">
        <v>674</v>
      </c>
      <c r="I62" s="13">
        <v>686</v>
      </c>
      <c r="J62" s="9">
        <v>1053</v>
      </c>
      <c r="K62" s="13"/>
      <c r="L62" s="13"/>
      <c r="M62" s="13"/>
      <c r="N62" s="13"/>
      <c r="O62" s="11" t="s">
        <v>87</v>
      </c>
    </row>
    <row r="63" spans="1:19" s="2" customFormat="1" ht="16.5" customHeight="1" thickBot="1">
      <c r="A63" s="16" t="s">
        <v>109</v>
      </c>
      <c r="B63" s="17" t="s">
        <v>3</v>
      </c>
      <c r="C63" s="13">
        <v>475</v>
      </c>
      <c r="D63" s="13">
        <v>475</v>
      </c>
      <c r="E63" s="13">
        <v>480</v>
      </c>
      <c r="F63" s="13">
        <v>576</v>
      </c>
      <c r="G63" s="13">
        <v>577</v>
      </c>
      <c r="H63" s="13">
        <v>577</v>
      </c>
      <c r="I63" s="13">
        <v>581</v>
      </c>
      <c r="J63" s="13" t="s">
        <v>10</v>
      </c>
      <c r="K63" s="29"/>
    </row>
    <row r="64" spans="1:19" s="2" customFormat="1" ht="16.5" customHeight="1" thickBot="1">
      <c r="A64" s="7" t="s">
        <v>747</v>
      </c>
      <c r="B64" s="8" t="s">
        <v>3</v>
      </c>
      <c r="C64" s="13">
        <v>397</v>
      </c>
      <c r="D64" s="13">
        <v>397</v>
      </c>
      <c r="E64" s="13">
        <v>548</v>
      </c>
      <c r="F64" s="13">
        <v>557</v>
      </c>
      <c r="G64" s="13">
        <v>557</v>
      </c>
      <c r="H64" s="13">
        <v>557</v>
      </c>
      <c r="I64" s="13">
        <v>814</v>
      </c>
      <c r="J64" s="13">
        <v>869</v>
      </c>
      <c r="K64" s="13">
        <v>933</v>
      </c>
      <c r="L64" s="13">
        <v>937</v>
      </c>
      <c r="M64" s="13">
        <v>938</v>
      </c>
      <c r="N64" s="9">
        <v>938</v>
      </c>
      <c r="O64" s="11" t="s">
        <v>111</v>
      </c>
    </row>
    <row r="65" spans="1:16" s="2" customFormat="1" ht="16.5" customHeight="1" thickBot="1">
      <c r="A65" s="16" t="s">
        <v>687</v>
      </c>
      <c r="B65" s="22" t="s">
        <v>4</v>
      </c>
      <c r="C65" s="13">
        <v>360</v>
      </c>
      <c r="D65" s="13">
        <v>360</v>
      </c>
      <c r="E65" s="13">
        <v>360</v>
      </c>
      <c r="F65" s="13">
        <v>366</v>
      </c>
      <c r="G65" s="13" t="s">
        <v>10</v>
      </c>
    </row>
    <row r="66" spans="1:16" s="2" customFormat="1" ht="16.5" customHeight="1" thickBot="1">
      <c r="A66" s="16" t="s">
        <v>221</v>
      </c>
      <c r="B66" s="17" t="s">
        <v>3</v>
      </c>
      <c r="C66" s="13">
        <v>301</v>
      </c>
      <c r="D66" s="13">
        <v>302</v>
      </c>
      <c r="E66" s="13">
        <v>305</v>
      </c>
      <c r="F66" s="13" t="s">
        <v>10</v>
      </c>
      <c r="K66" s="29"/>
    </row>
    <row r="67" spans="1:16" s="2" customFormat="1" ht="16.5" customHeight="1" thickBot="1">
      <c r="A67" s="16" t="s">
        <v>688</v>
      </c>
      <c r="B67" s="17" t="s">
        <v>3</v>
      </c>
      <c r="C67" s="13">
        <v>278</v>
      </c>
      <c r="D67" s="13">
        <v>283</v>
      </c>
      <c r="E67" s="13" t="s">
        <v>10</v>
      </c>
      <c r="G67" s="29"/>
      <c r="H67" s="29"/>
      <c r="K67" s="29"/>
    </row>
    <row r="68" spans="1:16">
      <c r="C68" s="41"/>
      <c r="D68" s="41"/>
      <c r="E68" s="41"/>
      <c r="F68" s="41"/>
    </row>
    <row r="69" spans="1:16" s="2" customFormat="1" ht="17.45" customHeight="1">
      <c r="A69" s="1" t="s">
        <v>693</v>
      </c>
    </row>
    <row r="70" spans="1:16" s="2" customFormat="1" ht="10.5" customHeight="1" thickBot="1">
      <c r="A70" s="1"/>
    </row>
    <row r="71" spans="1:16" s="2" customFormat="1" ht="16.5" customHeight="1" thickBot="1">
      <c r="A71" s="4" t="s">
        <v>0</v>
      </c>
      <c r="B71" s="5" t="s">
        <v>1</v>
      </c>
      <c r="C71" s="5" t="s">
        <v>2</v>
      </c>
      <c r="D71" s="5">
        <v>2</v>
      </c>
      <c r="E71" s="5">
        <v>3</v>
      </c>
      <c r="F71" s="5">
        <v>4</v>
      </c>
      <c r="G71" s="5">
        <v>5</v>
      </c>
      <c r="H71" s="5">
        <v>6</v>
      </c>
      <c r="I71" s="5">
        <v>7</v>
      </c>
      <c r="J71" s="5">
        <v>8</v>
      </c>
      <c r="K71" s="5">
        <v>9</v>
      </c>
      <c r="L71" s="6"/>
      <c r="M71" s="14" t="s">
        <v>6</v>
      </c>
      <c r="N71" s="50">
        <f>(4629/6566)</f>
        <v>0.70499543100822415</v>
      </c>
    </row>
    <row r="72" spans="1:16" s="2" customFormat="1" ht="16.5" customHeight="1" thickBot="1">
      <c r="A72" s="7" t="s">
        <v>690</v>
      </c>
      <c r="B72" s="8" t="s">
        <v>3</v>
      </c>
      <c r="C72" s="9">
        <v>943</v>
      </c>
      <c r="D72" s="13"/>
      <c r="E72" s="13"/>
      <c r="F72" s="9"/>
      <c r="G72" s="13"/>
      <c r="H72" s="13"/>
      <c r="I72" s="13"/>
      <c r="J72" s="13"/>
      <c r="K72" s="13"/>
      <c r="L72" s="11" t="s">
        <v>85</v>
      </c>
      <c r="M72" s="18"/>
      <c r="N72" s="14" t="s">
        <v>7</v>
      </c>
      <c r="O72" s="14" t="s">
        <v>8</v>
      </c>
      <c r="P72" s="14" t="s">
        <v>9</v>
      </c>
    </row>
    <row r="73" spans="1:16" s="2" customFormat="1" ht="16.5" customHeight="1" thickBot="1">
      <c r="A73" s="7" t="s">
        <v>692</v>
      </c>
      <c r="B73" s="12" t="s">
        <v>4</v>
      </c>
      <c r="C73" s="13">
        <v>763</v>
      </c>
      <c r="D73" s="13">
        <v>764</v>
      </c>
      <c r="E73" s="9">
        <v>772</v>
      </c>
      <c r="F73" s="13"/>
      <c r="G73" s="9"/>
      <c r="H73" s="13"/>
      <c r="I73" s="9"/>
      <c r="J73" s="13"/>
      <c r="K73" s="13"/>
      <c r="L73" s="11" t="s">
        <v>86</v>
      </c>
      <c r="M73" s="19" t="s">
        <v>3</v>
      </c>
      <c r="N73" s="20">
        <f>(C72+C75+C76+C79+C80)</f>
        <v>2283</v>
      </c>
      <c r="O73" s="21">
        <f>SUM(N73/N76)</f>
        <v>0.49319507453013611</v>
      </c>
      <c r="P73" s="18">
        <v>3</v>
      </c>
    </row>
    <row r="74" spans="1:16" s="2" customFormat="1" ht="16.5" customHeight="1" thickBot="1">
      <c r="A74" s="7" t="s">
        <v>748</v>
      </c>
      <c r="B74" s="12" t="s">
        <v>4</v>
      </c>
      <c r="C74" s="13">
        <v>583</v>
      </c>
      <c r="D74" s="13">
        <v>594</v>
      </c>
      <c r="E74" s="13">
        <v>598</v>
      </c>
      <c r="F74" s="13">
        <v>603</v>
      </c>
      <c r="G74" s="13">
        <v>606</v>
      </c>
      <c r="H74" s="13">
        <v>606</v>
      </c>
      <c r="I74" s="9">
        <v>873</v>
      </c>
      <c r="J74" s="13"/>
      <c r="K74" s="13"/>
      <c r="L74" s="11" t="s">
        <v>87</v>
      </c>
      <c r="M74" s="23" t="s">
        <v>4</v>
      </c>
      <c r="N74" s="20">
        <f>(C73+C74+C77+C78+C82)</f>
        <v>2080</v>
      </c>
      <c r="O74" s="21">
        <f>SUM(N74/N76)</f>
        <v>0.44934111039101315</v>
      </c>
      <c r="P74" s="18">
        <v>2</v>
      </c>
    </row>
    <row r="75" spans="1:16" s="2" customFormat="1" ht="16.5" customHeight="1" thickBot="1">
      <c r="A75" s="7" t="s">
        <v>397</v>
      </c>
      <c r="B75" s="8" t="s">
        <v>3</v>
      </c>
      <c r="C75" s="13">
        <v>432</v>
      </c>
      <c r="D75" s="13">
        <v>547</v>
      </c>
      <c r="E75" s="13">
        <v>549</v>
      </c>
      <c r="F75" s="13">
        <v>550</v>
      </c>
      <c r="G75" s="13">
        <v>591</v>
      </c>
      <c r="H75" s="13">
        <v>621</v>
      </c>
      <c r="I75" s="13">
        <v>626</v>
      </c>
      <c r="J75" s="13">
        <v>629</v>
      </c>
      <c r="K75" s="9">
        <v>774</v>
      </c>
      <c r="L75" s="11" t="s">
        <v>90</v>
      </c>
      <c r="M75" s="43" t="s">
        <v>14</v>
      </c>
      <c r="N75" s="29">
        <f>(C81+C83)</f>
        <v>266</v>
      </c>
      <c r="O75" s="15">
        <f>SUM(N75/N76)</f>
        <v>5.7463815078850726E-2</v>
      </c>
    </row>
    <row r="76" spans="1:16" s="2" customFormat="1" ht="16.5" customHeight="1" thickBot="1">
      <c r="A76" s="7" t="s">
        <v>749</v>
      </c>
      <c r="B76" s="8" t="s">
        <v>3</v>
      </c>
      <c r="C76" s="13">
        <v>384</v>
      </c>
      <c r="D76" s="13">
        <v>407</v>
      </c>
      <c r="E76" s="13">
        <v>410</v>
      </c>
      <c r="F76" s="13">
        <v>413</v>
      </c>
      <c r="G76" s="13">
        <v>453</v>
      </c>
      <c r="H76" s="13">
        <v>635</v>
      </c>
      <c r="I76" s="13">
        <v>638</v>
      </c>
      <c r="J76" s="13">
        <v>639</v>
      </c>
      <c r="K76" s="9" t="s">
        <v>199</v>
      </c>
      <c r="L76" s="11" t="s">
        <v>89</v>
      </c>
      <c r="M76" s="24"/>
      <c r="N76" s="28">
        <v>4629</v>
      </c>
      <c r="O76" s="15"/>
    </row>
    <row r="77" spans="1:16" s="2" customFormat="1" ht="16.5" customHeight="1" thickBot="1">
      <c r="A77" s="16" t="s">
        <v>704</v>
      </c>
      <c r="B77" s="22" t="s">
        <v>4</v>
      </c>
      <c r="C77" s="13">
        <v>320</v>
      </c>
      <c r="D77" s="13">
        <v>321</v>
      </c>
      <c r="E77" s="13">
        <v>322</v>
      </c>
      <c r="F77" s="13">
        <v>395</v>
      </c>
      <c r="G77" s="13">
        <v>403</v>
      </c>
      <c r="H77" s="13">
        <v>414</v>
      </c>
      <c r="I77" s="13">
        <v>422</v>
      </c>
      <c r="J77" s="13">
        <v>518</v>
      </c>
      <c r="K77" s="9"/>
      <c r="L77" s="9"/>
      <c r="M77" s="29"/>
    </row>
    <row r="78" spans="1:16" s="2" customFormat="1" ht="16.5" customHeight="1" thickBot="1">
      <c r="A78" s="16" t="s">
        <v>605</v>
      </c>
      <c r="B78" s="22" t="s">
        <v>4</v>
      </c>
      <c r="C78" s="13">
        <v>320</v>
      </c>
      <c r="D78" s="13">
        <v>323</v>
      </c>
      <c r="E78" s="13">
        <v>324</v>
      </c>
      <c r="F78" s="13">
        <v>325</v>
      </c>
      <c r="G78" s="13">
        <v>331</v>
      </c>
      <c r="H78" s="13">
        <v>332</v>
      </c>
      <c r="I78" s="13" t="s">
        <v>10</v>
      </c>
      <c r="M78" s="18"/>
      <c r="N78" s="14"/>
      <c r="O78" s="14"/>
      <c r="P78" s="14"/>
    </row>
    <row r="79" spans="1:16" s="2" customFormat="1" ht="16.5" customHeight="1" thickBot="1">
      <c r="A79" s="16" t="s">
        <v>705</v>
      </c>
      <c r="B79" s="17" t="s">
        <v>3</v>
      </c>
      <c r="C79" s="13">
        <v>270</v>
      </c>
      <c r="D79" s="13">
        <v>272</v>
      </c>
      <c r="E79" s="13">
        <v>279</v>
      </c>
      <c r="F79" s="13">
        <v>279</v>
      </c>
      <c r="G79" s="13">
        <v>348</v>
      </c>
      <c r="H79" s="13">
        <v>369</v>
      </c>
      <c r="I79" s="13">
        <v>372</v>
      </c>
      <c r="J79" s="13">
        <v>373</v>
      </c>
      <c r="K79" s="13" t="s">
        <v>10</v>
      </c>
      <c r="M79" s="19"/>
      <c r="N79" s="20"/>
      <c r="O79" s="21"/>
      <c r="P79" s="18"/>
    </row>
    <row r="80" spans="1:16" s="2" customFormat="1" ht="16.5" customHeight="1" thickBot="1">
      <c r="A80" s="16" t="s">
        <v>553</v>
      </c>
      <c r="B80" s="17" t="s">
        <v>3</v>
      </c>
      <c r="C80" s="13">
        <v>254</v>
      </c>
      <c r="D80" s="13">
        <v>259</v>
      </c>
      <c r="E80" s="13">
        <v>260</v>
      </c>
      <c r="F80" s="13">
        <v>262</v>
      </c>
      <c r="G80" s="13">
        <v>301</v>
      </c>
      <c r="H80" s="13" t="s">
        <v>10</v>
      </c>
      <c r="L80" s="68"/>
      <c r="M80" s="20"/>
      <c r="N80" s="21"/>
      <c r="O80" s="18"/>
    </row>
    <row r="81" spans="1:17" s="2" customFormat="1" ht="16.5" customHeight="1" thickBot="1">
      <c r="A81" s="16" t="s">
        <v>492</v>
      </c>
      <c r="B81" s="10" t="s">
        <v>493</v>
      </c>
      <c r="C81" s="13">
        <v>219</v>
      </c>
      <c r="D81" s="13">
        <v>229</v>
      </c>
      <c r="E81" s="13">
        <v>241</v>
      </c>
      <c r="F81" s="13">
        <v>244</v>
      </c>
      <c r="G81" s="13" t="s">
        <v>10</v>
      </c>
      <c r="L81" s="43"/>
      <c r="M81" s="29"/>
      <c r="N81" s="15"/>
    </row>
    <row r="82" spans="1:17" s="2" customFormat="1" ht="16.5" customHeight="1" thickBot="1">
      <c r="A82" s="16" t="s">
        <v>706</v>
      </c>
      <c r="B82" s="22" t="s">
        <v>4</v>
      </c>
      <c r="C82" s="13">
        <v>94</v>
      </c>
      <c r="D82" s="13">
        <v>94</v>
      </c>
      <c r="E82" s="13">
        <v>95</v>
      </c>
      <c r="F82" s="13" t="s">
        <v>10</v>
      </c>
      <c r="G82" s="24"/>
      <c r="H82" s="28"/>
      <c r="I82" s="15"/>
    </row>
    <row r="83" spans="1:17" s="2" customFormat="1" ht="16.5" customHeight="1" thickBot="1">
      <c r="A83" s="16" t="s">
        <v>764</v>
      </c>
      <c r="B83" s="10" t="s">
        <v>691</v>
      </c>
      <c r="C83" s="13">
        <v>47</v>
      </c>
      <c r="D83" s="13">
        <v>47</v>
      </c>
      <c r="E83" s="13" t="s">
        <v>10</v>
      </c>
      <c r="G83" s="29"/>
    </row>
    <row r="84" spans="1:17">
      <c r="C84" s="41"/>
      <c r="D84" s="41"/>
      <c r="E84" s="41"/>
      <c r="F84" s="41"/>
    </row>
    <row r="85" spans="1:17" s="2" customFormat="1" ht="17.45" customHeight="1">
      <c r="A85" s="1" t="s">
        <v>694</v>
      </c>
    </row>
    <row r="86" spans="1:17" s="2" customFormat="1" ht="10.5" customHeight="1" thickBot="1">
      <c r="A86" s="1"/>
    </row>
    <row r="87" spans="1:17" s="2" customFormat="1" ht="16.5" customHeight="1" thickBot="1">
      <c r="A87" s="4" t="s">
        <v>0</v>
      </c>
      <c r="B87" s="5" t="s">
        <v>1</v>
      </c>
      <c r="C87" s="5" t="s">
        <v>2</v>
      </c>
      <c r="D87" s="5">
        <v>2</v>
      </c>
      <c r="E87" s="5">
        <v>3</v>
      </c>
      <c r="F87" s="5">
        <v>4</v>
      </c>
      <c r="G87" s="5">
        <v>5</v>
      </c>
      <c r="H87" s="5">
        <v>6</v>
      </c>
      <c r="I87" s="5">
        <v>7</v>
      </c>
      <c r="J87" s="5">
        <v>8</v>
      </c>
      <c r="K87" s="5">
        <v>9</v>
      </c>
      <c r="L87" s="5">
        <v>10</v>
      </c>
      <c r="M87" s="6"/>
      <c r="N87" s="14" t="s">
        <v>6</v>
      </c>
      <c r="O87" s="15">
        <f>(6285/9427)</f>
        <v>0.6667020260952583</v>
      </c>
    </row>
    <row r="88" spans="1:17" s="2" customFormat="1" ht="16.5" customHeight="1" thickBot="1">
      <c r="A88" s="7" t="s">
        <v>378</v>
      </c>
      <c r="B88" s="8" t="s">
        <v>3</v>
      </c>
      <c r="C88" s="9">
        <v>973</v>
      </c>
      <c r="D88" s="13"/>
      <c r="E88" s="13"/>
      <c r="F88" s="13"/>
      <c r="G88" s="13"/>
      <c r="H88" s="13"/>
      <c r="I88" s="9"/>
      <c r="J88" s="13"/>
      <c r="K88" s="13"/>
      <c r="L88" s="9"/>
      <c r="M88" s="11" t="s">
        <v>85</v>
      </c>
      <c r="N88" s="18"/>
      <c r="O88" s="14" t="s">
        <v>7</v>
      </c>
      <c r="P88" s="14" t="s">
        <v>8</v>
      </c>
      <c r="Q88" s="14" t="s">
        <v>9</v>
      </c>
    </row>
    <row r="89" spans="1:17" s="2" customFormat="1" ht="16.5" customHeight="1" thickBot="1">
      <c r="A89" s="7" t="s">
        <v>695</v>
      </c>
      <c r="B89" s="12" t="s">
        <v>4</v>
      </c>
      <c r="C89" s="9">
        <v>874</v>
      </c>
      <c r="D89" s="13"/>
      <c r="E89" s="9"/>
      <c r="F89" s="13"/>
      <c r="G89" s="9"/>
      <c r="H89" s="13"/>
      <c r="I89" s="13"/>
      <c r="J89" s="9"/>
      <c r="K89" s="13"/>
      <c r="L89" s="13"/>
      <c r="M89" s="11" t="s">
        <v>86</v>
      </c>
      <c r="N89" s="19" t="s">
        <v>3</v>
      </c>
      <c r="O89" s="20">
        <f>(C88+C90+C91+C95+C98)</f>
        <v>2959</v>
      </c>
      <c r="P89" s="21">
        <f>SUM(O89/O93)</f>
        <v>0.47080350039777247</v>
      </c>
      <c r="Q89" s="18">
        <v>4</v>
      </c>
    </row>
    <row r="90" spans="1:17" s="2" customFormat="1" ht="16.5" customHeight="1" thickBot="1">
      <c r="A90" s="7" t="s">
        <v>657</v>
      </c>
      <c r="B90" s="8" t="s">
        <v>3</v>
      </c>
      <c r="C90" s="9">
        <v>795</v>
      </c>
      <c r="D90" s="13"/>
      <c r="E90" s="13"/>
      <c r="F90" s="13"/>
      <c r="G90" s="13"/>
      <c r="H90" s="13"/>
      <c r="I90" s="13"/>
      <c r="J90" s="13"/>
      <c r="K90" s="13"/>
      <c r="L90" s="13"/>
      <c r="M90" s="11" t="s">
        <v>87</v>
      </c>
      <c r="N90" s="23" t="s">
        <v>4</v>
      </c>
      <c r="O90" s="20">
        <f>(C89+C93+C92+C96+C97+C100)</f>
        <v>2555</v>
      </c>
      <c r="P90" s="21">
        <f>SUM(O90/O93)</f>
        <v>0.40652346857597454</v>
      </c>
      <c r="Q90" s="18">
        <v>3</v>
      </c>
    </row>
    <row r="91" spans="1:17" s="2" customFormat="1" ht="16.5" customHeight="1" thickBot="1">
      <c r="A91" s="7" t="s">
        <v>571</v>
      </c>
      <c r="B91" s="8" t="s">
        <v>3</v>
      </c>
      <c r="C91" s="13">
        <v>571</v>
      </c>
      <c r="D91" s="13">
        <v>625</v>
      </c>
      <c r="E91" s="13">
        <v>628</v>
      </c>
      <c r="F91" s="13">
        <v>634</v>
      </c>
      <c r="G91" s="13">
        <v>636</v>
      </c>
      <c r="H91" s="13">
        <v>637</v>
      </c>
      <c r="I91" s="13">
        <v>668</v>
      </c>
      <c r="J91" s="13">
        <v>681</v>
      </c>
      <c r="K91" s="13">
        <v>702</v>
      </c>
      <c r="L91" s="9">
        <v>771</v>
      </c>
      <c r="M91" s="11" t="s">
        <v>90</v>
      </c>
      <c r="N91" s="118" t="s">
        <v>12</v>
      </c>
      <c r="O91" s="20">
        <v>240</v>
      </c>
      <c r="P91" s="21">
        <f>SUM(O91/O93)</f>
        <v>3.8186157517899763E-2</v>
      </c>
    </row>
    <row r="92" spans="1:17" s="2" customFormat="1" ht="16.5" customHeight="1" thickBot="1">
      <c r="A92" s="7" t="s">
        <v>610</v>
      </c>
      <c r="B92" s="12" t="s">
        <v>4</v>
      </c>
      <c r="C92" s="13">
        <v>499</v>
      </c>
      <c r="D92" s="13">
        <v>507</v>
      </c>
      <c r="E92" s="13">
        <v>510</v>
      </c>
      <c r="F92" s="13">
        <v>510</v>
      </c>
      <c r="G92" s="13">
        <v>511</v>
      </c>
      <c r="H92" s="13">
        <v>519</v>
      </c>
      <c r="I92" s="13">
        <v>526</v>
      </c>
      <c r="J92" s="13">
        <v>535</v>
      </c>
      <c r="K92" s="13">
        <v>701</v>
      </c>
      <c r="L92" s="9">
        <v>749</v>
      </c>
      <c r="M92" s="11" t="s">
        <v>89</v>
      </c>
      <c r="N92" s="43" t="s">
        <v>14</v>
      </c>
      <c r="O92" s="20">
        <f>(C94+C101)</f>
        <v>531</v>
      </c>
      <c r="P92" s="21">
        <f>SUM(O92/O93)</f>
        <v>8.4486873508353225E-2</v>
      </c>
    </row>
    <row r="93" spans="1:17" s="2" customFormat="1" ht="16.5" customHeight="1" thickBot="1">
      <c r="A93" s="7" t="s">
        <v>696</v>
      </c>
      <c r="B93" s="12" t="s">
        <v>4</v>
      </c>
      <c r="C93" s="13">
        <v>389</v>
      </c>
      <c r="D93" s="13">
        <v>390</v>
      </c>
      <c r="E93" s="13">
        <v>407</v>
      </c>
      <c r="F93" s="13">
        <v>407</v>
      </c>
      <c r="G93" s="13">
        <v>409</v>
      </c>
      <c r="H93" s="13">
        <v>567</v>
      </c>
      <c r="I93" s="13">
        <v>570</v>
      </c>
      <c r="J93" s="13">
        <v>571</v>
      </c>
      <c r="K93" s="13">
        <v>644</v>
      </c>
      <c r="L93" s="9">
        <v>731</v>
      </c>
      <c r="M93" s="11" t="s">
        <v>88</v>
      </c>
      <c r="N93" s="34"/>
      <c r="O93" s="28">
        <v>6285</v>
      </c>
      <c r="P93" s="15"/>
    </row>
    <row r="94" spans="1:17" s="2" customFormat="1" ht="16.5" customHeight="1" thickBot="1">
      <c r="A94" s="16" t="s">
        <v>699</v>
      </c>
      <c r="B94" s="10" t="s">
        <v>493</v>
      </c>
      <c r="C94" s="13">
        <v>386</v>
      </c>
      <c r="D94" s="13">
        <v>419</v>
      </c>
      <c r="E94" s="13">
        <v>427</v>
      </c>
      <c r="F94" s="13">
        <v>429</v>
      </c>
      <c r="G94" s="13">
        <v>455</v>
      </c>
      <c r="H94" s="13">
        <v>458</v>
      </c>
      <c r="I94" s="13">
        <v>504</v>
      </c>
      <c r="J94" s="13">
        <v>531</v>
      </c>
      <c r="K94" s="13">
        <v>535</v>
      </c>
      <c r="L94" s="13">
        <v>550</v>
      </c>
      <c r="M94" s="11"/>
    </row>
    <row r="95" spans="1:17" s="2" customFormat="1" ht="16.5" customHeight="1" thickBot="1">
      <c r="A95" s="7" t="s">
        <v>697</v>
      </c>
      <c r="B95" s="8" t="s">
        <v>3</v>
      </c>
      <c r="C95" s="13">
        <v>336</v>
      </c>
      <c r="D95" s="13">
        <v>357</v>
      </c>
      <c r="E95" s="13">
        <v>357</v>
      </c>
      <c r="F95" s="13">
        <v>358</v>
      </c>
      <c r="G95" s="13">
        <v>421</v>
      </c>
      <c r="H95" s="13">
        <v>421</v>
      </c>
      <c r="I95" s="13">
        <v>434</v>
      </c>
      <c r="J95" s="13">
        <v>672</v>
      </c>
      <c r="K95" s="13">
        <v>677</v>
      </c>
      <c r="L95" s="9">
        <v>688</v>
      </c>
      <c r="M95" s="11" t="s">
        <v>111</v>
      </c>
    </row>
    <row r="96" spans="1:17" s="2" customFormat="1" ht="16.5" customHeight="1" thickBot="1">
      <c r="A96" s="16" t="s">
        <v>702</v>
      </c>
      <c r="B96" s="22" t="s">
        <v>4</v>
      </c>
      <c r="C96" s="13">
        <v>316</v>
      </c>
      <c r="D96" s="13">
        <v>317</v>
      </c>
      <c r="E96" s="13">
        <v>339</v>
      </c>
      <c r="F96" s="13">
        <v>339</v>
      </c>
      <c r="G96" s="13">
        <v>340</v>
      </c>
      <c r="H96" s="13">
        <v>354</v>
      </c>
      <c r="I96" s="13">
        <v>361</v>
      </c>
      <c r="J96" s="13">
        <v>363</v>
      </c>
      <c r="K96" s="13">
        <v>379</v>
      </c>
      <c r="L96" s="13" t="s">
        <v>10</v>
      </c>
      <c r="M96" s="18"/>
    </row>
    <row r="97" spans="1:20" s="2" customFormat="1" ht="16.5" customHeight="1" thickBot="1">
      <c r="A97" s="16" t="s">
        <v>698</v>
      </c>
      <c r="B97" s="22" t="s">
        <v>4</v>
      </c>
      <c r="C97" s="13">
        <v>286</v>
      </c>
      <c r="D97" s="13">
        <v>290</v>
      </c>
      <c r="E97" s="13">
        <v>297</v>
      </c>
      <c r="F97" s="13">
        <v>297</v>
      </c>
      <c r="G97" s="13">
        <v>299</v>
      </c>
      <c r="H97" s="13">
        <v>307</v>
      </c>
      <c r="I97" s="13">
        <v>351</v>
      </c>
      <c r="J97" s="13">
        <v>351</v>
      </c>
      <c r="K97" s="13" t="s">
        <v>10</v>
      </c>
      <c r="L97" s="28"/>
      <c r="M97" s="15"/>
    </row>
    <row r="98" spans="1:20" s="2" customFormat="1" ht="16.5" customHeight="1" thickBot="1">
      <c r="A98" s="16" t="s">
        <v>765</v>
      </c>
      <c r="B98" s="17" t="s">
        <v>3</v>
      </c>
      <c r="C98" s="13">
        <v>284</v>
      </c>
      <c r="D98" s="13">
        <v>325</v>
      </c>
      <c r="E98" s="13">
        <v>325</v>
      </c>
      <c r="F98" s="13">
        <v>325</v>
      </c>
      <c r="G98" s="13">
        <v>325</v>
      </c>
      <c r="H98" s="13">
        <v>326</v>
      </c>
      <c r="I98" s="13">
        <v>334</v>
      </c>
      <c r="J98" s="13" t="s">
        <v>10</v>
      </c>
    </row>
    <row r="99" spans="1:20" s="2" customFormat="1" ht="16.5" customHeight="1" thickBot="1">
      <c r="A99" s="16" t="s">
        <v>751</v>
      </c>
      <c r="B99" s="106" t="s">
        <v>12</v>
      </c>
      <c r="C99" s="13">
        <v>240</v>
      </c>
      <c r="D99" s="13">
        <v>256</v>
      </c>
      <c r="E99" s="13">
        <v>258</v>
      </c>
      <c r="F99" s="13">
        <v>258</v>
      </c>
      <c r="G99" s="13">
        <v>260</v>
      </c>
      <c r="H99" s="13">
        <v>263</v>
      </c>
      <c r="I99" s="13" t="s">
        <v>10</v>
      </c>
    </row>
    <row r="100" spans="1:20" s="2" customFormat="1" ht="16.5" customHeight="1" thickBot="1">
      <c r="A100" s="16" t="s">
        <v>700</v>
      </c>
      <c r="B100" s="22" t="s">
        <v>4</v>
      </c>
      <c r="C100" s="13">
        <v>191</v>
      </c>
      <c r="D100" s="13">
        <v>194</v>
      </c>
      <c r="E100" s="13">
        <v>219</v>
      </c>
      <c r="F100" s="13">
        <v>219</v>
      </c>
      <c r="G100" s="13">
        <v>236</v>
      </c>
      <c r="H100" s="13" t="s">
        <v>10</v>
      </c>
      <c r="J100" s="21"/>
    </row>
    <row r="101" spans="1:20" s="2" customFormat="1" ht="16.5" customHeight="1" thickBot="1">
      <c r="A101" s="16" t="s">
        <v>703</v>
      </c>
      <c r="B101" s="10" t="s">
        <v>493</v>
      </c>
      <c r="C101" s="13">
        <v>145</v>
      </c>
      <c r="D101" s="13">
        <v>150</v>
      </c>
      <c r="E101" s="13">
        <v>151</v>
      </c>
      <c r="F101" s="13">
        <v>151</v>
      </c>
      <c r="G101" s="13" t="s">
        <v>10</v>
      </c>
      <c r="J101" s="29"/>
      <c r="M101" s="18"/>
    </row>
    <row r="102" spans="1:20" ht="14.25">
      <c r="C102" s="41"/>
      <c r="D102" s="41"/>
      <c r="E102" s="41"/>
      <c r="F102" s="41"/>
      <c r="G102" s="41"/>
      <c r="H102" s="41"/>
      <c r="I102" s="41"/>
      <c r="J102" s="41"/>
      <c r="M102" s="2"/>
      <c r="N102" s="2"/>
      <c r="O102" s="2"/>
      <c r="P102" s="2"/>
      <c r="Q102" s="2"/>
    </row>
    <row r="103" spans="1:20" s="108" customFormat="1" ht="15" customHeight="1">
      <c r="B103" s="46" t="s">
        <v>259</v>
      </c>
      <c r="C103" s="83" t="s">
        <v>3</v>
      </c>
      <c r="D103" s="84" t="s">
        <v>4</v>
      </c>
      <c r="E103" s="121" t="s">
        <v>12</v>
      </c>
      <c r="F103" s="46" t="s">
        <v>14</v>
      </c>
      <c r="G103" s="85"/>
      <c r="R103" s="109"/>
      <c r="S103" s="110"/>
      <c r="T103" s="111"/>
    </row>
    <row r="104" spans="1:20" s="108" customFormat="1" ht="15" customHeight="1">
      <c r="A104" s="108" t="s">
        <v>7</v>
      </c>
      <c r="B104" s="112">
        <f>SUM(O93+N76+Q56+P38+O22+M7)</f>
        <v>41799</v>
      </c>
      <c r="C104" s="110">
        <f>SUM(O89+N73+Q54+P35+O19+M5)</f>
        <v>20189</v>
      </c>
      <c r="D104" s="110">
        <f>SUM(O90+N74+P36+O20+M6+Q55)</f>
        <v>19835</v>
      </c>
      <c r="E104" s="110">
        <v>240</v>
      </c>
      <c r="F104" s="110">
        <f>(O92+N75+P37+O21)</f>
        <v>1535</v>
      </c>
      <c r="G104" s="110"/>
      <c r="R104" s="46"/>
      <c r="S104" s="112"/>
      <c r="T104" s="111"/>
    </row>
    <row r="105" spans="1:20" s="108" customFormat="1" ht="15" customHeight="1">
      <c r="A105" s="108" t="s">
        <v>8</v>
      </c>
      <c r="B105" s="115">
        <v>1</v>
      </c>
      <c r="C105" s="111">
        <f>SUM(C104/$B$104)</f>
        <v>0.48300198569343766</v>
      </c>
      <c r="D105" s="111">
        <f>SUM(D104/$B$104)</f>
        <v>0.47453288356180767</v>
      </c>
      <c r="E105" s="111">
        <f>SUM(E104/$B$104)</f>
        <v>5.7417641570372494E-3</v>
      </c>
      <c r="F105" s="111">
        <f>SUM(F104/$B$104)</f>
        <v>3.672336658771741E-2</v>
      </c>
      <c r="G105" s="111"/>
      <c r="J105" s="114"/>
    </row>
    <row r="106" spans="1:20" s="108" customFormat="1" ht="15" customHeight="1">
      <c r="A106" s="108" t="s">
        <v>9</v>
      </c>
      <c r="B106" s="46">
        <v>38</v>
      </c>
      <c r="C106" s="108">
        <v>19</v>
      </c>
      <c r="D106" s="108">
        <v>18</v>
      </c>
      <c r="E106" s="108">
        <v>0</v>
      </c>
      <c r="F106" s="108">
        <v>1</v>
      </c>
    </row>
    <row r="107" spans="1:20" ht="14.25">
      <c r="M107" s="2"/>
      <c r="N107" s="2"/>
      <c r="O107" s="2"/>
      <c r="P107" s="2"/>
    </row>
    <row r="108" spans="1:20" ht="14.25">
      <c r="M108" s="2"/>
      <c r="N108" s="2"/>
      <c r="O108" s="2"/>
      <c r="P108" s="2"/>
    </row>
  </sheetData>
  <sortState ref="A88:C101">
    <sortCondition descending="1" ref="C88:C101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S89"/>
  <sheetViews>
    <sheetView zoomScaleNormal="100" workbookViewId="0">
      <selection activeCell="N1" sqref="N1"/>
    </sheetView>
  </sheetViews>
  <sheetFormatPr defaultRowHeight="12.75"/>
  <cols>
    <col min="1" max="1" width="25.28515625" customWidth="1"/>
    <col min="2" max="2" width="8.28515625" customWidth="1"/>
    <col min="3" max="3" width="9.7109375" customWidth="1"/>
    <col min="4" max="19" width="8.7109375" customWidth="1"/>
  </cols>
  <sheetData>
    <row r="1" spans="1:19" s="2" customFormat="1" ht="16.5" customHeight="1">
      <c r="A1" s="1" t="s">
        <v>624</v>
      </c>
    </row>
    <row r="2" spans="1:19" s="2" customFormat="1" ht="9.75" customHeight="1" thickBot="1">
      <c r="A2" s="3"/>
    </row>
    <row r="3" spans="1:19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5">
        <v>12</v>
      </c>
      <c r="O3" s="6"/>
      <c r="P3" s="14" t="s">
        <v>6</v>
      </c>
      <c r="Q3" s="15">
        <f>(8995/15564)</f>
        <v>0.57793626317142122</v>
      </c>
    </row>
    <row r="4" spans="1:19" s="2" customFormat="1" ht="16.5" customHeight="1" thickBot="1">
      <c r="A4" s="7" t="s">
        <v>522</v>
      </c>
      <c r="B4" s="12" t="s">
        <v>4</v>
      </c>
      <c r="C4" s="9">
        <v>1669</v>
      </c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1" t="s">
        <v>85</v>
      </c>
      <c r="P4" s="18"/>
      <c r="Q4" s="14" t="s">
        <v>7</v>
      </c>
      <c r="R4" s="14" t="s">
        <v>8</v>
      </c>
      <c r="S4" s="14" t="s">
        <v>9</v>
      </c>
    </row>
    <row r="5" spans="1:19" s="2" customFormat="1" ht="16.5" customHeight="1" thickBot="1">
      <c r="A5" s="16" t="s">
        <v>619</v>
      </c>
      <c r="B5" s="22" t="s">
        <v>4</v>
      </c>
      <c r="C5" s="13">
        <v>780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>
        <v>1103</v>
      </c>
      <c r="O5" s="11"/>
      <c r="P5" s="19" t="s">
        <v>3</v>
      </c>
      <c r="Q5" s="20">
        <f>(C8+C10+C11+C13+C15)</f>
        <v>2630</v>
      </c>
      <c r="R5" s="21">
        <f>SUM(Q5/Q10)</f>
        <v>0.30101865628934416</v>
      </c>
      <c r="S5" s="18">
        <v>2</v>
      </c>
    </row>
    <row r="6" spans="1:19" s="2" customFormat="1" ht="16.5" customHeight="1" thickBot="1">
      <c r="A6" s="16" t="s">
        <v>520</v>
      </c>
      <c r="B6" s="52" t="s">
        <v>623</v>
      </c>
      <c r="C6" s="13">
        <v>746</v>
      </c>
      <c r="D6" s="13"/>
      <c r="E6" s="13"/>
      <c r="F6" s="13"/>
      <c r="G6" s="13"/>
      <c r="H6" s="13"/>
      <c r="I6" s="13"/>
      <c r="J6" s="13"/>
      <c r="K6" s="13"/>
      <c r="L6" s="13"/>
      <c r="M6" s="13">
        <v>940</v>
      </c>
      <c r="N6" s="9" t="s">
        <v>10</v>
      </c>
      <c r="P6" s="23" t="s">
        <v>4</v>
      </c>
      <c r="Q6" s="20">
        <f>(C4+C5+C7+C16)</f>
        <v>3412</v>
      </c>
      <c r="R6" s="21">
        <f>SUM(Q6/Q10)</f>
        <v>0.3905230628362138</v>
      </c>
      <c r="S6" s="18">
        <v>2</v>
      </c>
    </row>
    <row r="7" spans="1:19" s="2" customFormat="1" ht="16.5" customHeight="1" thickBot="1">
      <c r="A7" s="7" t="s">
        <v>578</v>
      </c>
      <c r="B7" s="12" t="s">
        <v>4</v>
      </c>
      <c r="C7" s="13">
        <v>696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9">
        <v>1199</v>
      </c>
      <c r="O7" s="11" t="s">
        <v>90</v>
      </c>
      <c r="P7" s="51" t="s">
        <v>623</v>
      </c>
      <c r="Q7" s="29">
        <v>746</v>
      </c>
      <c r="R7" s="15">
        <f>SUM(Q7/Q10)</f>
        <v>8.5383999084353901E-2</v>
      </c>
      <c r="S7" s="18"/>
    </row>
    <row r="8" spans="1:19" s="2" customFormat="1" ht="16.5" customHeight="1" thickBot="1">
      <c r="A8" s="7" t="s">
        <v>521</v>
      </c>
      <c r="B8" s="8" t="s">
        <v>3</v>
      </c>
      <c r="C8" s="13">
        <v>654</v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9">
        <v>1183</v>
      </c>
      <c r="O8" s="11" t="s">
        <v>89</v>
      </c>
      <c r="P8" s="118" t="s">
        <v>12</v>
      </c>
      <c r="Q8" s="29">
        <v>503</v>
      </c>
      <c r="R8" s="15">
        <f>SUM(Q8/Q10)</f>
        <v>5.7571248712372666E-2</v>
      </c>
      <c r="S8" s="18"/>
    </row>
    <row r="9" spans="1:19" s="2" customFormat="1" ht="16.5" customHeight="1" thickBot="1">
      <c r="A9" s="7" t="s">
        <v>197</v>
      </c>
      <c r="B9" s="37" t="s">
        <v>11</v>
      </c>
      <c r="C9" s="13">
        <v>648</v>
      </c>
      <c r="D9" s="13"/>
      <c r="E9" s="13"/>
      <c r="F9" s="13"/>
      <c r="G9" s="13"/>
      <c r="H9" s="13"/>
      <c r="I9" s="13"/>
      <c r="J9" s="13"/>
      <c r="K9" s="13"/>
      <c r="L9" s="13"/>
      <c r="M9" s="13"/>
      <c r="N9" s="9">
        <v>1286</v>
      </c>
      <c r="O9" s="11" t="s">
        <v>86</v>
      </c>
      <c r="P9" s="14" t="s">
        <v>14</v>
      </c>
      <c r="Q9" s="29">
        <f>(C9+C14+C17+C18+C19)</f>
        <v>1446</v>
      </c>
      <c r="R9" s="15">
        <f>SUM(Q9/Q10)</f>
        <v>0.16550303307771547</v>
      </c>
      <c r="S9" s="18">
        <v>1</v>
      </c>
    </row>
    <row r="10" spans="1:19" s="2" customFormat="1" ht="16.5" customHeight="1" thickBot="1">
      <c r="A10" s="7" t="s">
        <v>577</v>
      </c>
      <c r="B10" s="8" t="s">
        <v>3</v>
      </c>
      <c r="C10" s="13">
        <v>610</v>
      </c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9">
        <v>1220</v>
      </c>
      <c r="O10" s="11" t="s">
        <v>87</v>
      </c>
      <c r="Q10" s="28">
        <v>8737</v>
      </c>
    </row>
    <row r="11" spans="1:19" s="2" customFormat="1" ht="16.5" customHeight="1" thickBot="1">
      <c r="A11" s="16" t="s">
        <v>617</v>
      </c>
      <c r="B11" s="17" t="s">
        <v>3</v>
      </c>
      <c r="C11" s="13">
        <v>572</v>
      </c>
      <c r="D11" s="13"/>
      <c r="E11" s="13"/>
      <c r="F11" s="13"/>
      <c r="G11" s="13"/>
      <c r="H11" s="13"/>
      <c r="I11" s="13"/>
      <c r="J11" s="13"/>
      <c r="K11" s="13"/>
      <c r="L11" s="13">
        <v>754</v>
      </c>
      <c r="M11" s="13" t="s">
        <v>10</v>
      </c>
    </row>
    <row r="12" spans="1:19" s="2" customFormat="1" ht="16.5" customHeight="1" thickBot="1">
      <c r="A12" s="16" t="s">
        <v>618</v>
      </c>
      <c r="B12" s="106" t="s">
        <v>12</v>
      </c>
      <c r="C12" s="13">
        <v>503</v>
      </c>
      <c r="D12" s="13"/>
      <c r="E12" s="13"/>
      <c r="F12" s="13"/>
      <c r="G12" s="13"/>
      <c r="H12" s="13"/>
      <c r="I12" s="13"/>
      <c r="J12" s="13"/>
      <c r="K12" s="13" t="s">
        <v>10</v>
      </c>
      <c r="L12" s="29"/>
    </row>
    <row r="13" spans="1:19" s="2" customFormat="1" ht="16.5" customHeight="1" thickBot="1">
      <c r="A13" s="16" t="s">
        <v>654</v>
      </c>
      <c r="B13" s="17" t="s">
        <v>3</v>
      </c>
      <c r="C13" s="13">
        <v>485</v>
      </c>
      <c r="D13" s="13"/>
      <c r="E13" s="13"/>
      <c r="F13" s="13"/>
      <c r="G13" s="13"/>
      <c r="H13" s="13"/>
      <c r="I13" s="13"/>
      <c r="J13" s="13"/>
      <c r="K13" s="13">
        <v>649</v>
      </c>
      <c r="L13" s="13" t="s">
        <v>10</v>
      </c>
    </row>
    <row r="14" spans="1:19" s="2" customFormat="1" ht="16.5" customHeight="1" thickBot="1">
      <c r="A14" s="16" t="s">
        <v>517</v>
      </c>
      <c r="B14" s="33" t="s">
        <v>493</v>
      </c>
      <c r="C14" s="13">
        <v>320</v>
      </c>
      <c r="D14" s="13"/>
      <c r="E14" s="13"/>
      <c r="F14" s="13"/>
      <c r="G14" s="13"/>
      <c r="H14" s="13"/>
      <c r="I14" s="13"/>
      <c r="J14" s="13" t="s">
        <v>10</v>
      </c>
      <c r="K14" s="29"/>
      <c r="L14" s="29"/>
      <c r="N14" s="29"/>
    </row>
    <row r="15" spans="1:19" s="2" customFormat="1" ht="16.5" customHeight="1" thickBot="1">
      <c r="A15" s="16" t="s">
        <v>472</v>
      </c>
      <c r="B15" s="17" t="s">
        <v>3</v>
      </c>
      <c r="C15" s="13">
        <v>309</v>
      </c>
      <c r="D15" s="13"/>
      <c r="E15" s="13"/>
      <c r="F15" s="13"/>
      <c r="G15" s="13"/>
      <c r="H15" s="13"/>
      <c r="I15" s="13" t="s">
        <v>10</v>
      </c>
    </row>
    <row r="16" spans="1:19" s="2" customFormat="1" ht="16.5" customHeight="1" thickBot="1">
      <c r="A16" s="16" t="s">
        <v>655</v>
      </c>
      <c r="B16" s="22" t="s">
        <v>4</v>
      </c>
      <c r="C16" s="13">
        <v>267</v>
      </c>
      <c r="D16" s="13"/>
      <c r="E16" s="13"/>
      <c r="F16" s="13"/>
      <c r="G16" s="13"/>
      <c r="H16" s="13" t="s">
        <v>10</v>
      </c>
    </row>
    <row r="17" spans="1:14" s="2" customFormat="1" ht="16.5" customHeight="1" thickBot="1">
      <c r="A17" s="16" t="s">
        <v>622</v>
      </c>
      <c r="B17" s="33" t="s">
        <v>11</v>
      </c>
      <c r="C17" s="13">
        <v>220</v>
      </c>
      <c r="D17" s="13"/>
      <c r="E17" s="13"/>
      <c r="F17" s="13"/>
      <c r="G17" s="13" t="s">
        <v>10</v>
      </c>
    </row>
    <row r="18" spans="1:14" s="2" customFormat="1" ht="16.5" customHeight="1" thickBot="1">
      <c r="A18" s="16" t="s">
        <v>621</v>
      </c>
      <c r="B18" s="33" t="s">
        <v>11</v>
      </c>
      <c r="C18" s="13">
        <v>141</v>
      </c>
      <c r="D18" s="13"/>
      <c r="E18" s="13"/>
      <c r="F18" s="13" t="s">
        <v>10</v>
      </c>
    </row>
    <row r="19" spans="1:14" s="2" customFormat="1" ht="16.5" customHeight="1" thickBot="1">
      <c r="A19" s="16" t="s">
        <v>620</v>
      </c>
      <c r="B19" s="33" t="s">
        <v>11</v>
      </c>
      <c r="C19" s="13">
        <v>117</v>
      </c>
      <c r="D19" s="13"/>
      <c r="E19" s="13" t="s">
        <v>10</v>
      </c>
      <c r="I19" s="29"/>
      <c r="J19" s="28"/>
      <c r="K19" s="29"/>
      <c r="L19" s="29"/>
      <c r="N19" s="29"/>
    </row>
    <row r="20" spans="1:14" s="2" customFormat="1" ht="12.75" customHeight="1">
      <c r="A20" s="1"/>
      <c r="C20" s="20"/>
      <c r="D20" s="29"/>
      <c r="E20" s="29"/>
      <c r="F20" s="29"/>
      <c r="G20" s="29"/>
      <c r="H20" s="29"/>
    </row>
    <row r="21" spans="1:14" s="2" customFormat="1" ht="17.45" customHeight="1">
      <c r="A21" s="1" t="s">
        <v>627</v>
      </c>
    </row>
    <row r="22" spans="1:14" s="2" customFormat="1" ht="10.5" customHeight="1" thickBot="1">
      <c r="A22" s="1"/>
    </row>
    <row r="23" spans="1:14" s="2" customFormat="1" ht="16.5" customHeight="1" thickBot="1">
      <c r="A23" s="4" t="s">
        <v>0</v>
      </c>
      <c r="B23" s="5" t="s">
        <v>1</v>
      </c>
      <c r="C23" s="5" t="s">
        <v>2</v>
      </c>
      <c r="D23" s="5">
        <v>2</v>
      </c>
      <c r="E23" s="5">
        <v>3</v>
      </c>
      <c r="F23" s="5">
        <v>4</v>
      </c>
      <c r="G23" s="5">
        <v>5</v>
      </c>
      <c r="H23" s="6"/>
      <c r="I23" s="14" t="s">
        <v>6</v>
      </c>
      <c r="J23" s="15">
        <f>(8447/15518)</f>
        <v>0.54433561025905397</v>
      </c>
    </row>
    <row r="24" spans="1:14" s="2" customFormat="1" ht="16.5" customHeight="1" thickBot="1">
      <c r="A24" s="7" t="s">
        <v>831</v>
      </c>
      <c r="B24" s="8" t="s">
        <v>3</v>
      </c>
      <c r="C24" s="9">
        <v>1817</v>
      </c>
      <c r="D24" s="13"/>
      <c r="E24" s="13"/>
      <c r="F24" s="13"/>
      <c r="G24" s="13"/>
      <c r="H24" s="11" t="s">
        <v>85</v>
      </c>
      <c r="I24" s="18"/>
      <c r="J24" s="14" t="s">
        <v>7</v>
      </c>
      <c r="K24" s="14" t="s">
        <v>8</v>
      </c>
      <c r="L24" s="14" t="s">
        <v>9</v>
      </c>
    </row>
    <row r="25" spans="1:14" s="2" customFormat="1" ht="16.5" customHeight="1" thickBot="1">
      <c r="A25" s="7" t="s">
        <v>531</v>
      </c>
      <c r="B25" s="8" t="s">
        <v>3</v>
      </c>
      <c r="C25" s="9">
        <v>1410</v>
      </c>
      <c r="D25" s="13"/>
      <c r="E25" s="13"/>
      <c r="F25" s="9"/>
      <c r="G25" s="13"/>
      <c r="H25" s="11" t="s">
        <v>86</v>
      </c>
      <c r="I25" s="19" t="s">
        <v>3</v>
      </c>
      <c r="J25" s="20">
        <f>(C24+C25+C28)</f>
        <v>4190</v>
      </c>
      <c r="K25" s="21">
        <f>SUM(J25/J29)</f>
        <v>0.50622206113326085</v>
      </c>
      <c r="L25" s="18">
        <v>3</v>
      </c>
    </row>
    <row r="26" spans="1:14" s="2" customFormat="1" ht="16.5" customHeight="1" thickBot="1">
      <c r="A26" s="7" t="s">
        <v>587</v>
      </c>
      <c r="B26" s="12" t="s">
        <v>4</v>
      </c>
      <c r="C26" s="13">
        <v>1347</v>
      </c>
      <c r="D26" s="13">
        <v>1378</v>
      </c>
      <c r="E26" s="9">
        <v>1382</v>
      </c>
      <c r="F26" s="13"/>
      <c r="G26" s="13"/>
      <c r="H26" s="11" t="s">
        <v>87</v>
      </c>
      <c r="I26" s="23" t="s">
        <v>4</v>
      </c>
      <c r="J26" s="20">
        <f>(C26+C30)</f>
        <v>1948</v>
      </c>
      <c r="K26" s="21">
        <f>SUM(J26/J29)</f>
        <v>0.23535097257460433</v>
      </c>
      <c r="L26" s="18">
        <v>1</v>
      </c>
    </row>
    <row r="27" spans="1:14" s="2" customFormat="1" ht="16.5" customHeight="1" thickBot="1">
      <c r="A27" s="7" t="s">
        <v>625</v>
      </c>
      <c r="B27" s="103" t="s">
        <v>623</v>
      </c>
      <c r="C27" s="13">
        <v>1256</v>
      </c>
      <c r="D27" s="13">
        <v>1339</v>
      </c>
      <c r="E27" s="13">
        <v>1344</v>
      </c>
      <c r="F27" s="9">
        <v>1621</v>
      </c>
      <c r="G27" s="13"/>
      <c r="H27" s="11" t="s">
        <v>90</v>
      </c>
      <c r="I27" s="51" t="s">
        <v>623</v>
      </c>
      <c r="J27" s="29">
        <v>1256</v>
      </c>
      <c r="K27" s="15">
        <f>SUM(J27/J29)</f>
        <v>0.15174580161894405</v>
      </c>
      <c r="L27" s="18">
        <v>1</v>
      </c>
    </row>
    <row r="28" spans="1:14" s="2" customFormat="1" ht="16.5" customHeight="1" thickBot="1">
      <c r="A28" s="7" t="s">
        <v>633</v>
      </c>
      <c r="B28" s="8" t="s">
        <v>3</v>
      </c>
      <c r="C28" s="13">
        <v>963</v>
      </c>
      <c r="D28" s="13">
        <v>1123</v>
      </c>
      <c r="E28" s="13">
        <v>1139</v>
      </c>
      <c r="F28" s="13">
        <v>1162</v>
      </c>
      <c r="G28" s="9">
        <v>1178</v>
      </c>
      <c r="H28" s="11" t="s">
        <v>89</v>
      </c>
      <c r="I28" s="118" t="s">
        <v>12</v>
      </c>
      <c r="J28" s="29">
        <v>883</v>
      </c>
      <c r="K28" s="15">
        <f>SUM(J28/J29)</f>
        <v>0.10668116467319078</v>
      </c>
      <c r="L28" s="18"/>
    </row>
    <row r="29" spans="1:14" s="2" customFormat="1" ht="16.5" customHeight="1" thickBot="1">
      <c r="A29" s="16" t="s">
        <v>534</v>
      </c>
      <c r="B29" s="106" t="s">
        <v>12</v>
      </c>
      <c r="C29" s="13">
        <v>883</v>
      </c>
      <c r="D29" s="13">
        <v>1026</v>
      </c>
      <c r="E29" s="13">
        <v>1031</v>
      </c>
      <c r="F29" s="13">
        <v>1090</v>
      </c>
      <c r="G29" s="13">
        <v>1136</v>
      </c>
      <c r="H29" s="11"/>
      <c r="I29" s="24"/>
      <c r="J29" s="28">
        <v>8277</v>
      </c>
      <c r="K29" s="15"/>
      <c r="L29" s="18"/>
    </row>
    <row r="30" spans="1:14" s="2" customFormat="1" ht="16.5" customHeight="1" thickBot="1">
      <c r="A30" s="16" t="s">
        <v>626</v>
      </c>
      <c r="B30" s="22" t="s">
        <v>4</v>
      </c>
      <c r="C30" s="13">
        <v>601</v>
      </c>
      <c r="D30" s="13">
        <v>621</v>
      </c>
      <c r="E30" s="13">
        <v>621</v>
      </c>
      <c r="F30" s="13" t="s">
        <v>10</v>
      </c>
      <c r="I30" s="29"/>
    </row>
    <row r="31" spans="1:14" s="2" customFormat="1" ht="13.5" customHeight="1">
      <c r="A31" s="35"/>
      <c r="B31" s="36"/>
      <c r="C31" s="40"/>
      <c r="D31" s="40"/>
      <c r="E31" s="40"/>
      <c r="F31" s="40"/>
      <c r="G31" s="40"/>
      <c r="H31" s="40"/>
      <c r="I31" s="40"/>
    </row>
    <row r="32" spans="1:14" s="2" customFormat="1" ht="17.45" customHeight="1">
      <c r="A32" s="1" t="s">
        <v>631</v>
      </c>
    </row>
    <row r="33" spans="1:17" s="2" customFormat="1" ht="8.25" customHeight="1" thickBot="1">
      <c r="A33" s="1"/>
    </row>
    <row r="34" spans="1:17" s="2" customFormat="1" ht="17.45" customHeight="1" thickBot="1">
      <c r="A34" s="4" t="s">
        <v>0</v>
      </c>
      <c r="B34" s="5" t="s">
        <v>1</v>
      </c>
      <c r="C34" s="5" t="s">
        <v>2</v>
      </c>
      <c r="D34" s="5">
        <v>2</v>
      </c>
      <c r="E34" s="5">
        <v>3</v>
      </c>
      <c r="F34" s="5">
        <v>4</v>
      </c>
      <c r="G34" s="5">
        <v>5</v>
      </c>
      <c r="H34" s="5">
        <v>6</v>
      </c>
      <c r="I34" s="5"/>
      <c r="J34" s="14" t="s">
        <v>6</v>
      </c>
      <c r="K34" s="50">
        <f>(9603/23081)</f>
        <v>0.41605649668558553</v>
      </c>
    </row>
    <row r="35" spans="1:17" s="2" customFormat="1" ht="17.45" customHeight="1" thickBot="1">
      <c r="A35" s="7" t="s">
        <v>634</v>
      </c>
      <c r="B35" s="12" t="s">
        <v>4</v>
      </c>
      <c r="C35" s="9">
        <v>1936</v>
      </c>
      <c r="D35" s="13"/>
      <c r="E35" s="13"/>
      <c r="F35" s="9"/>
      <c r="G35" s="13"/>
      <c r="H35" s="9"/>
      <c r="I35" s="11" t="s">
        <v>85</v>
      </c>
      <c r="J35" s="18"/>
      <c r="K35" s="14" t="s">
        <v>7</v>
      </c>
      <c r="L35" s="14" t="s">
        <v>8</v>
      </c>
      <c r="M35" s="14" t="s">
        <v>9</v>
      </c>
    </row>
    <row r="36" spans="1:17" s="2" customFormat="1" ht="17.45" customHeight="1" thickBot="1">
      <c r="A36" s="7" t="s">
        <v>408</v>
      </c>
      <c r="B36" s="8" t="s">
        <v>3</v>
      </c>
      <c r="C36" s="9">
        <v>1195</v>
      </c>
      <c r="D36" s="13"/>
      <c r="E36" s="13"/>
      <c r="F36" s="13"/>
      <c r="G36" s="13"/>
      <c r="H36" s="13"/>
      <c r="I36" s="11" t="s">
        <v>86</v>
      </c>
      <c r="J36" s="19" t="s">
        <v>3</v>
      </c>
      <c r="K36" s="20">
        <f>(C36+C39+C40+C41+C42)</f>
        <v>4373</v>
      </c>
      <c r="L36" s="21">
        <f>SUM(K36/K39)</f>
        <v>0.46294727927164936</v>
      </c>
      <c r="M36" s="18">
        <v>4</v>
      </c>
    </row>
    <row r="37" spans="1:17" s="2" customFormat="1" ht="17.45" customHeight="1" thickBot="1">
      <c r="A37" s="7" t="s">
        <v>591</v>
      </c>
      <c r="B37" s="12" t="s">
        <v>4</v>
      </c>
      <c r="C37" s="13">
        <v>1001</v>
      </c>
      <c r="D37" s="13">
        <v>1068</v>
      </c>
      <c r="E37" s="13">
        <v>1165</v>
      </c>
      <c r="F37" s="9">
        <v>1191</v>
      </c>
      <c r="G37" s="13"/>
      <c r="H37" s="13"/>
      <c r="I37" s="11" t="s">
        <v>90</v>
      </c>
      <c r="J37" s="23" t="s">
        <v>4</v>
      </c>
      <c r="K37" s="20">
        <f>(C35+C37+C38+C43)</f>
        <v>4479</v>
      </c>
      <c r="L37" s="21">
        <f>SUM(K37/K39)</f>
        <v>0.47416896040652129</v>
      </c>
      <c r="M37" s="18">
        <v>3</v>
      </c>
    </row>
    <row r="38" spans="1:17" s="2" customFormat="1" ht="17.45" customHeight="1" thickBot="1">
      <c r="A38" s="7" t="s">
        <v>468</v>
      </c>
      <c r="B38" s="12" t="s">
        <v>4</v>
      </c>
      <c r="C38" s="13">
        <v>935</v>
      </c>
      <c r="D38" s="9">
        <v>1322</v>
      </c>
      <c r="E38" s="13"/>
      <c r="F38" s="13"/>
      <c r="G38" s="13"/>
      <c r="H38" s="13"/>
      <c r="I38" s="11" t="s">
        <v>87</v>
      </c>
      <c r="J38" s="118" t="s">
        <v>12</v>
      </c>
      <c r="K38" s="29">
        <v>594</v>
      </c>
      <c r="L38" s="15">
        <f>SUM(K38/K39)</f>
        <v>6.2883760321829352E-2</v>
      </c>
      <c r="M38" s="18"/>
    </row>
    <row r="39" spans="1:17" s="2" customFormat="1" ht="17.45" customHeight="1" thickBot="1">
      <c r="A39" s="7" t="s">
        <v>382</v>
      </c>
      <c r="B39" s="8" t="s">
        <v>3</v>
      </c>
      <c r="C39" s="13">
        <v>841</v>
      </c>
      <c r="D39" s="13">
        <v>882</v>
      </c>
      <c r="E39" s="13">
        <v>883</v>
      </c>
      <c r="F39" s="13">
        <v>900</v>
      </c>
      <c r="G39" s="13">
        <v>919</v>
      </c>
      <c r="H39" s="9">
        <v>1107</v>
      </c>
      <c r="I39" s="9" t="s">
        <v>88</v>
      </c>
      <c r="J39" s="43"/>
      <c r="K39" s="28">
        <v>9446</v>
      </c>
      <c r="L39" s="15"/>
    </row>
    <row r="40" spans="1:17" s="2" customFormat="1" ht="17.45" customHeight="1" thickBot="1">
      <c r="A40" s="7" t="s">
        <v>409</v>
      </c>
      <c r="B40" s="8" t="s">
        <v>3</v>
      </c>
      <c r="C40" s="13">
        <v>831</v>
      </c>
      <c r="D40" s="13">
        <v>922</v>
      </c>
      <c r="E40" s="13">
        <v>926</v>
      </c>
      <c r="F40" s="13">
        <v>1087</v>
      </c>
      <c r="G40" s="13">
        <v>1128</v>
      </c>
      <c r="H40" s="9">
        <v>1401</v>
      </c>
      <c r="I40" s="11" t="s">
        <v>89</v>
      </c>
    </row>
    <row r="41" spans="1:17" s="2" customFormat="1" ht="17.45" customHeight="1" thickBot="1">
      <c r="A41" s="16" t="s">
        <v>658</v>
      </c>
      <c r="B41" s="17" t="s">
        <v>3</v>
      </c>
      <c r="C41" s="13">
        <v>758</v>
      </c>
      <c r="D41" s="13">
        <v>793</v>
      </c>
      <c r="E41" s="13">
        <v>795</v>
      </c>
      <c r="F41" s="13">
        <v>845</v>
      </c>
      <c r="G41" s="13">
        <v>880</v>
      </c>
      <c r="H41" s="13" t="s">
        <v>10</v>
      </c>
      <c r="J41" s="24"/>
      <c r="L41" s="15"/>
    </row>
    <row r="42" spans="1:17" s="2" customFormat="1" ht="17.45" customHeight="1" thickBot="1">
      <c r="A42" s="7" t="s">
        <v>406</v>
      </c>
      <c r="B42" s="8" t="s">
        <v>3</v>
      </c>
      <c r="C42" s="13">
        <v>748</v>
      </c>
      <c r="D42" s="13">
        <v>755</v>
      </c>
      <c r="E42" s="13">
        <v>756</v>
      </c>
      <c r="F42" s="13">
        <v>812</v>
      </c>
      <c r="G42" s="13">
        <v>946</v>
      </c>
      <c r="H42" s="9">
        <v>1035</v>
      </c>
      <c r="I42" s="11" t="s">
        <v>111</v>
      </c>
      <c r="L42" s="14"/>
      <c r="M42" s="14"/>
      <c r="N42" s="14"/>
    </row>
    <row r="43" spans="1:17" s="2" customFormat="1" ht="17.45" customHeight="1" thickBot="1">
      <c r="A43" s="16" t="s">
        <v>656</v>
      </c>
      <c r="B43" s="22" t="s">
        <v>4</v>
      </c>
      <c r="C43" s="13">
        <v>607</v>
      </c>
      <c r="D43" s="13">
        <v>668</v>
      </c>
      <c r="E43" s="13">
        <v>701</v>
      </c>
      <c r="F43" s="13">
        <v>701</v>
      </c>
      <c r="G43" s="13" t="s">
        <v>10</v>
      </c>
      <c r="J43" s="67"/>
      <c r="K43" s="20"/>
      <c r="L43" s="21"/>
      <c r="M43" s="18"/>
    </row>
    <row r="44" spans="1:17" s="2" customFormat="1" ht="17.45" customHeight="1" thickBot="1">
      <c r="A44" s="16" t="s">
        <v>629</v>
      </c>
      <c r="B44" s="106" t="s">
        <v>12</v>
      </c>
      <c r="C44" s="13">
        <v>594</v>
      </c>
      <c r="D44" s="13">
        <v>660</v>
      </c>
      <c r="E44" s="13">
        <v>663</v>
      </c>
      <c r="F44" s="13" t="s">
        <v>10</v>
      </c>
      <c r="N44" s="23"/>
      <c r="O44" s="20"/>
      <c r="P44" s="21"/>
      <c r="Q44" s="18"/>
    </row>
    <row r="45" spans="1:17"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</row>
    <row r="46" spans="1:17" s="2" customFormat="1" ht="17.45" customHeight="1">
      <c r="A46" s="1" t="s">
        <v>632</v>
      </c>
    </row>
    <row r="47" spans="1:17" s="2" customFormat="1" ht="10.5" customHeight="1" thickBot="1">
      <c r="A47" s="1"/>
    </row>
    <row r="48" spans="1:17" s="2" customFormat="1" ht="16.5" customHeight="1" thickBot="1">
      <c r="A48" s="4" t="s">
        <v>0</v>
      </c>
      <c r="B48" s="5" t="s">
        <v>1</v>
      </c>
      <c r="C48" s="5" t="s">
        <v>2</v>
      </c>
      <c r="D48" s="5">
        <v>2</v>
      </c>
      <c r="E48" s="5">
        <v>3</v>
      </c>
      <c r="F48" s="5">
        <v>4</v>
      </c>
      <c r="G48" s="5">
        <v>5</v>
      </c>
      <c r="H48" s="5">
        <v>6</v>
      </c>
      <c r="I48" s="5">
        <v>7</v>
      </c>
      <c r="J48" s="5">
        <v>8</v>
      </c>
      <c r="K48" s="6"/>
      <c r="L48" s="14" t="s">
        <v>6</v>
      </c>
      <c r="M48" s="15">
        <f>(9030/15943)</f>
        <v>0.56639277425829515</v>
      </c>
    </row>
    <row r="49" spans="1:15" s="2" customFormat="1" ht="16.5" customHeight="1" thickBot="1">
      <c r="A49" s="7" t="s">
        <v>636</v>
      </c>
      <c r="B49" s="103" t="s">
        <v>623</v>
      </c>
      <c r="C49" s="9">
        <v>1688</v>
      </c>
      <c r="D49" s="9"/>
      <c r="E49" s="9"/>
      <c r="F49" s="13"/>
      <c r="G49" s="9"/>
      <c r="H49" s="13"/>
      <c r="I49" s="13"/>
      <c r="J49" s="13"/>
      <c r="K49" s="11" t="s">
        <v>85</v>
      </c>
      <c r="L49" s="18"/>
      <c r="M49" s="14" t="s">
        <v>7</v>
      </c>
      <c r="N49" s="14" t="s">
        <v>8</v>
      </c>
      <c r="O49" s="14" t="s">
        <v>9</v>
      </c>
    </row>
    <row r="50" spans="1:15" s="2" customFormat="1" ht="16.5" customHeight="1" thickBot="1">
      <c r="A50" s="7" t="s">
        <v>637</v>
      </c>
      <c r="B50" s="9" t="s">
        <v>644</v>
      </c>
      <c r="C50" s="13">
        <v>1305</v>
      </c>
      <c r="D50" s="13">
        <v>1440</v>
      </c>
      <c r="E50" s="13">
        <v>1446</v>
      </c>
      <c r="F50" s="13">
        <v>1457</v>
      </c>
      <c r="G50" s="13">
        <v>1474</v>
      </c>
      <c r="H50" s="9">
        <v>1494</v>
      </c>
      <c r="I50" s="13"/>
      <c r="J50" s="13"/>
      <c r="K50" s="11" t="s">
        <v>86</v>
      </c>
      <c r="L50" s="19" t="s">
        <v>3</v>
      </c>
      <c r="M50" s="20">
        <f>(C54+C57+C58+C59)</f>
        <v>1541</v>
      </c>
      <c r="N50" s="21">
        <f>SUM(M50/M54)</f>
        <v>0.17414397107017743</v>
      </c>
      <c r="O50" s="18"/>
    </row>
    <row r="51" spans="1:15" s="2" customFormat="1" ht="16.5" customHeight="1" thickBot="1">
      <c r="A51" s="7" t="s">
        <v>639</v>
      </c>
      <c r="B51" s="12" t="s">
        <v>4</v>
      </c>
      <c r="C51" s="13">
        <v>1057</v>
      </c>
      <c r="D51" s="13">
        <v>1059</v>
      </c>
      <c r="E51" s="13">
        <v>1074</v>
      </c>
      <c r="F51" s="13">
        <v>1077</v>
      </c>
      <c r="G51" s="13">
        <v>1084</v>
      </c>
      <c r="H51" s="13">
        <v>1141</v>
      </c>
      <c r="I51" s="13">
        <v>1144</v>
      </c>
      <c r="J51" s="9">
        <v>1193</v>
      </c>
      <c r="K51" s="11" t="s">
        <v>89</v>
      </c>
      <c r="L51" s="23" t="s">
        <v>4</v>
      </c>
      <c r="M51" s="20">
        <f>(C51+C53+C55+C56)</f>
        <v>3322</v>
      </c>
      <c r="N51" s="21">
        <f>SUM(M51/M54)</f>
        <v>0.37540965080800093</v>
      </c>
      <c r="O51" s="18">
        <v>2</v>
      </c>
    </row>
    <row r="52" spans="1:15" s="2" customFormat="1" ht="16.5" customHeight="1" thickBot="1">
      <c r="A52" s="7" t="s">
        <v>635</v>
      </c>
      <c r="B52" s="120" t="s">
        <v>645</v>
      </c>
      <c r="C52" s="13">
        <v>993</v>
      </c>
      <c r="D52" s="13">
        <v>1002</v>
      </c>
      <c r="E52" s="13">
        <v>1005</v>
      </c>
      <c r="F52" s="13">
        <v>1041</v>
      </c>
      <c r="G52" s="13">
        <v>1112</v>
      </c>
      <c r="H52" s="13">
        <v>1184</v>
      </c>
      <c r="I52" s="13">
        <v>1185</v>
      </c>
      <c r="J52" s="9">
        <v>1294</v>
      </c>
      <c r="K52" s="11" t="s">
        <v>90</v>
      </c>
      <c r="L52" s="51" t="s">
        <v>623</v>
      </c>
      <c r="M52" s="29">
        <v>1688</v>
      </c>
      <c r="N52" s="15">
        <f>SUM(M52/M54)</f>
        <v>0.19075601762911062</v>
      </c>
      <c r="O52" s="18">
        <v>1</v>
      </c>
    </row>
    <row r="53" spans="1:15" s="2" customFormat="1" ht="16.5" customHeight="1" thickBot="1">
      <c r="A53" s="16" t="s">
        <v>640</v>
      </c>
      <c r="B53" s="22" t="s">
        <v>4</v>
      </c>
      <c r="C53" s="13">
        <v>905</v>
      </c>
      <c r="D53" s="13">
        <v>950</v>
      </c>
      <c r="E53" s="13">
        <v>954</v>
      </c>
      <c r="F53" s="13">
        <v>961</v>
      </c>
      <c r="G53" s="13">
        <v>974</v>
      </c>
      <c r="H53" s="13">
        <v>1001</v>
      </c>
      <c r="I53" s="13">
        <v>1002</v>
      </c>
      <c r="J53" s="13" t="s">
        <v>10</v>
      </c>
      <c r="L53" s="43" t="s">
        <v>14</v>
      </c>
      <c r="M53" s="20">
        <f>(C50+C52)</f>
        <v>2298</v>
      </c>
      <c r="N53" s="21">
        <f>SUM(M53/M54)</f>
        <v>0.25969036049271105</v>
      </c>
      <c r="O53" s="2">
        <v>2</v>
      </c>
    </row>
    <row r="54" spans="1:15" s="2" customFormat="1" ht="16.5" customHeight="1" thickBot="1">
      <c r="A54" s="16" t="s">
        <v>641</v>
      </c>
      <c r="B54" s="17" t="s">
        <v>3</v>
      </c>
      <c r="C54" s="13">
        <v>805</v>
      </c>
      <c r="D54" s="13">
        <v>806</v>
      </c>
      <c r="E54" s="13">
        <v>978</v>
      </c>
      <c r="F54" s="13">
        <v>1031</v>
      </c>
      <c r="G54" s="13">
        <v>1156</v>
      </c>
      <c r="H54" s="13">
        <v>1179</v>
      </c>
      <c r="I54" s="13">
        <v>1182</v>
      </c>
      <c r="J54" s="13">
        <v>1190</v>
      </c>
      <c r="K54" s="11"/>
      <c r="L54" s="26"/>
      <c r="M54" s="28">
        <v>8849</v>
      </c>
      <c r="N54" s="15"/>
      <c r="O54" s="18"/>
    </row>
    <row r="55" spans="1:15" s="2" customFormat="1" ht="16.5" customHeight="1" thickBot="1">
      <c r="A55" s="7" t="s">
        <v>638</v>
      </c>
      <c r="B55" s="12" t="s">
        <v>4</v>
      </c>
      <c r="C55" s="13">
        <v>735</v>
      </c>
      <c r="D55" s="13">
        <v>743</v>
      </c>
      <c r="E55" s="13">
        <v>750</v>
      </c>
      <c r="F55" s="13">
        <v>768</v>
      </c>
      <c r="G55" s="13">
        <v>796</v>
      </c>
      <c r="H55" s="13">
        <v>1230</v>
      </c>
      <c r="I55" s="13">
        <v>1231</v>
      </c>
      <c r="J55" s="9">
        <v>1441</v>
      </c>
      <c r="K55" s="11" t="s">
        <v>87</v>
      </c>
    </row>
    <row r="56" spans="1:15" s="2" customFormat="1" ht="16.5" customHeight="1" thickBot="1">
      <c r="A56" s="16" t="s">
        <v>458</v>
      </c>
      <c r="B56" s="22" t="s">
        <v>4</v>
      </c>
      <c r="C56" s="13">
        <v>625</v>
      </c>
      <c r="D56" s="13">
        <v>636</v>
      </c>
      <c r="E56" s="13">
        <v>637</v>
      </c>
      <c r="F56" s="13">
        <v>648</v>
      </c>
      <c r="G56" s="13">
        <v>668</v>
      </c>
      <c r="H56" s="13" t="s">
        <v>10</v>
      </c>
    </row>
    <row r="57" spans="1:15" s="2" customFormat="1" ht="16.5" customHeight="1" thickBot="1">
      <c r="A57" s="16" t="s">
        <v>643</v>
      </c>
      <c r="B57" s="17" t="s">
        <v>3</v>
      </c>
      <c r="C57" s="13">
        <v>252</v>
      </c>
      <c r="D57" s="13">
        <v>255</v>
      </c>
      <c r="E57" s="13">
        <v>269</v>
      </c>
      <c r="F57" s="13">
        <v>364</v>
      </c>
      <c r="G57" s="13" t="s">
        <v>10</v>
      </c>
    </row>
    <row r="58" spans="1:15" s="2" customFormat="1" ht="16.5" customHeight="1" thickBot="1">
      <c r="A58" s="16" t="s">
        <v>642</v>
      </c>
      <c r="B58" s="17" t="s">
        <v>3</v>
      </c>
      <c r="C58" s="13">
        <v>245</v>
      </c>
      <c r="D58" s="13">
        <v>248</v>
      </c>
      <c r="E58" s="13">
        <v>251</v>
      </c>
      <c r="F58" s="13" t="s">
        <v>10</v>
      </c>
      <c r="K58" s="29"/>
    </row>
    <row r="59" spans="1:15" s="2" customFormat="1" ht="16.5" customHeight="1" thickBot="1">
      <c r="A59" s="16" t="s">
        <v>221</v>
      </c>
      <c r="B59" s="17" t="s">
        <v>3</v>
      </c>
      <c r="C59" s="13">
        <v>239</v>
      </c>
      <c r="D59" s="13">
        <v>239</v>
      </c>
      <c r="E59" s="13" t="s">
        <v>10</v>
      </c>
      <c r="G59" s="29"/>
      <c r="H59" s="29"/>
      <c r="K59" s="29"/>
    </row>
    <row r="60" spans="1:15">
      <c r="C60" s="41"/>
      <c r="D60" s="41"/>
      <c r="E60" s="41"/>
      <c r="F60" s="41"/>
    </row>
    <row r="61" spans="1:15" s="2" customFormat="1" ht="17.45" customHeight="1">
      <c r="A61" s="1" t="s">
        <v>646</v>
      </c>
    </row>
    <row r="62" spans="1:15" s="2" customFormat="1" ht="10.5" customHeight="1" thickBot="1">
      <c r="A62" s="1"/>
    </row>
    <row r="63" spans="1:15" s="2" customFormat="1" ht="16.5" customHeight="1" thickBot="1">
      <c r="A63" s="4" t="s">
        <v>0</v>
      </c>
      <c r="B63" s="5" t="s">
        <v>1</v>
      </c>
      <c r="C63" s="5" t="s">
        <v>2</v>
      </c>
      <c r="D63" s="5">
        <v>2</v>
      </c>
      <c r="E63" s="5">
        <v>3</v>
      </c>
      <c r="F63" s="6"/>
      <c r="G63" s="14" t="s">
        <v>6</v>
      </c>
      <c r="H63" s="50">
        <f>(5849/12247)</f>
        <v>0.4775863476769821</v>
      </c>
    </row>
    <row r="64" spans="1:15" s="2" customFormat="1" ht="16.5" customHeight="1" thickBot="1">
      <c r="A64" s="7" t="s">
        <v>492</v>
      </c>
      <c r="B64" s="11" t="s">
        <v>493</v>
      </c>
      <c r="C64" s="9">
        <v>1921</v>
      </c>
      <c r="D64" s="13"/>
      <c r="E64" s="13"/>
      <c r="F64" s="11" t="s">
        <v>85</v>
      </c>
      <c r="G64" s="18"/>
      <c r="H64" s="14" t="s">
        <v>7</v>
      </c>
      <c r="I64" s="14" t="s">
        <v>8</v>
      </c>
      <c r="J64" s="14" t="s">
        <v>9</v>
      </c>
    </row>
    <row r="65" spans="1:14" s="2" customFormat="1" ht="16.5" customHeight="1" thickBot="1">
      <c r="A65" s="7" t="s">
        <v>647</v>
      </c>
      <c r="B65" s="12" t="s">
        <v>4</v>
      </c>
      <c r="C65" s="13">
        <v>1017</v>
      </c>
      <c r="D65" s="9">
        <v>1145</v>
      </c>
      <c r="E65" s="13"/>
      <c r="F65" s="11" t="s">
        <v>87</v>
      </c>
      <c r="G65" s="19" t="s">
        <v>3</v>
      </c>
      <c r="H65" s="20">
        <f>(C66+C67+C69)</f>
        <v>2149</v>
      </c>
      <c r="I65" s="21">
        <f>SUM(H65/H68)</f>
        <v>0.37834507042253523</v>
      </c>
      <c r="J65" s="18">
        <v>2</v>
      </c>
    </row>
    <row r="66" spans="1:14" s="2" customFormat="1" ht="16.5" customHeight="1" thickBot="1">
      <c r="A66" s="7" t="s">
        <v>559</v>
      </c>
      <c r="B66" s="8" t="s">
        <v>3</v>
      </c>
      <c r="C66" s="13">
        <v>968</v>
      </c>
      <c r="D66" s="9">
        <v>1209</v>
      </c>
      <c r="E66" s="13"/>
      <c r="F66" s="11" t="s">
        <v>86</v>
      </c>
      <c r="G66" s="23" t="s">
        <v>4</v>
      </c>
      <c r="H66" s="20">
        <f>(C65+C68)</f>
        <v>1610</v>
      </c>
      <c r="I66" s="21">
        <f>SUM(H66/H68)</f>
        <v>0.28345070422535212</v>
      </c>
      <c r="J66" s="18">
        <v>1</v>
      </c>
    </row>
    <row r="67" spans="1:14" s="2" customFormat="1" ht="16.5" customHeight="1" thickBot="1">
      <c r="A67" s="7" t="s">
        <v>560</v>
      </c>
      <c r="B67" s="8" t="s">
        <v>3</v>
      </c>
      <c r="C67" s="13">
        <v>889</v>
      </c>
      <c r="D67" s="13">
        <v>935</v>
      </c>
      <c r="E67" s="9">
        <v>1035</v>
      </c>
      <c r="F67" s="9" t="s">
        <v>90</v>
      </c>
      <c r="G67" s="43" t="s">
        <v>14</v>
      </c>
      <c r="H67" s="29">
        <v>1921</v>
      </c>
      <c r="I67" s="15">
        <f>SUM(H67/H68)</f>
        <v>0.3382042253521127</v>
      </c>
      <c r="J67" s="2">
        <v>1</v>
      </c>
    </row>
    <row r="68" spans="1:14" s="2" customFormat="1" ht="16.5" customHeight="1" thickBot="1">
      <c r="A68" s="16" t="s">
        <v>649</v>
      </c>
      <c r="B68" s="22" t="s">
        <v>4</v>
      </c>
      <c r="C68" s="13">
        <v>593</v>
      </c>
      <c r="D68" s="13">
        <v>768</v>
      </c>
      <c r="E68" s="13">
        <v>829</v>
      </c>
      <c r="F68" s="9"/>
      <c r="G68" s="24"/>
      <c r="H68" s="28">
        <v>5680</v>
      </c>
      <c r="I68" s="15"/>
    </row>
    <row r="69" spans="1:14" s="2" customFormat="1" ht="16.5" customHeight="1" thickBot="1">
      <c r="A69" s="16" t="s">
        <v>648</v>
      </c>
      <c r="B69" s="17" t="s">
        <v>3</v>
      </c>
      <c r="C69" s="13">
        <v>292</v>
      </c>
      <c r="D69" s="13">
        <v>486</v>
      </c>
      <c r="E69" s="13" t="s">
        <v>10</v>
      </c>
      <c r="G69" s="29"/>
    </row>
    <row r="70" spans="1:14">
      <c r="C70" s="41"/>
      <c r="D70" s="41"/>
      <c r="E70" s="41"/>
      <c r="F70" s="41"/>
    </row>
    <row r="71" spans="1:14" s="2" customFormat="1" ht="17.45" customHeight="1">
      <c r="A71" s="1" t="s">
        <v>653</v>
      </c>
    </row>
    <row r="72" spans="1:14" s="2" customFormat="1" ht="10.5" customHeight="1" thickBot="1">
      <c r="A72" s="1"/>
    </row>
    <row r="73" spans="1:14" s="2" customFormat="1" ht="16.5" customHeight="1" thickBot="1">
      <c r="A73" s="4" t="s">
        <v>0</v>
      </c>
      <c r="B73" s="5" t="s">
        <v>1</v>
      </c>
      <c r="C73" s="5" t="s">
        <v>2</v>
      </c>
      <c r="D73" s="5">
        <v>2</v>
      </c>
      <c r="E73" s="5">
        <v>3</v>
      </c>
      <c r="F73" s="5">
        <v>4</v>
      </c>
      <c r="G73" s="5">
        <v>5</v>
      </c>
      <c r="H73" s="5">
        <v>6</v>
      </c>
      <c r="I73" s="5">
        <v>7</v>
      </c>
      <c r="J73" s="6"/>
      <c r="K73" s="14" t="s">
        <v>6</v>
      </c>
      <c r="L73" s="15">
        <f>(7514/17360)</f>
        <v>0.43283410138248846</v>
      </c>
    </row>
    <row r="74" spans="1:14" s="2" customFormat="1" ht="16.5" customHeight="1" thickBot="1">
      <c r="A74" s="7" t="s">
        <v>571</v>
      </c>
      <c r="B74" s="8" t="s">
        <v>3</v>
      </c>
      <c r="C74" s="9">
        <v>1440</v>
      </c>
      <c r="D74" s="13"/>
      <c r="E74" s="13"/>
      <c r="F74" s="13"/>
      <c r="G74" s="13"/>
      <c r="H74" s="13"/>
      <c r="I74" s="9"/>
      <c r="J74" s="11" t="s">
        <v>85</v>
      </c>
      <c r="K74" s="18"/>
      <c r="L74" s="14" t="s">
        <v>7</v>
      </c>
      <c r="M74" s="14" t="s">
        <v>8</v>
      </c>
      <c r="N74" s="14" t="s">
        <v>9</v>
      </c>
    </row>
    <row r="75" spans="1:14" s="2" customFormat="1" ht="16.5" customHeight="1" thickBot="1">
      <c r="A75" s="7" t="s">
        <v>650</v>
      </c>
      <c r="B75" s="12" t="s">
        <v>4</v>
      </c>
      <c r="C75" s="13">
        <v>1135</v>
      </c>
      <c r="D75" s="13">
        <v>1136</v>
      </c>
      <c r="E75" s="9">
        <v>1266</v>
      </c>
      <c r="F75" s="13"/>
      <c r="G75" s="9"/>
      <c r="H75" s="13"/>
      <c r="I75" s="13"/>
      <c r="J75" s="11" t="s">
        <v>86</v>
      </c>
      <c r="K75" s="19" t="s">
        <v>3</v>
      </c>
      <c r="L75" s="20">
        <f>(C74+C77+C79+C80)</f>
        <v>3595</v>
      </c>
      <c r="M75" s="21">
        <f>SUM(L75/L79)</f>
        <v>0.49497452843177753</v>
      </c>
      <c r="N75" s="18">
        <v>3</v>
      </c>
    </row>
    <row r="76" spans="1:14" s="2" customFormat="1" ht="16.5" customHeight="1" thickBot="1">
      <c r="A76" s="16" t="s">
        <v>573</v>
      </c>
      <c r="B76" s="22" t="s">
        <v>4</v>
      </c>
      <c r="C76" s="13">
        <v>870</v>
      </c>
      <c r="D76" s="13">
        <v>872</v>
      </c>
      <c r="E76" s="13">
        <v>915</v>
      </c>
      <c r="F76" s="13">
        <v>922</v>
      </c>
      <c r="G76" s="13">
        <v>970</v>
      </c>
      <c r="H76" s="13">
        <v>984</v>
      </c>
      <c r="I76" s="13">
        <v>996</v>
      </c>
      <c r="J76" s="11"/>
      <c r="K76" s="23" t="s">
        <v>4</v>
      </c>
      <c r="L76" s="20">
        <f>(C75+C76)</f>
        <v>2005</v>
      </c>
      <c r="M76" s="21">
        <f>SUM(L76/L79)</f>
        <v>0.27605672587085228</v>
      </c>
      <c r="N76" s="18">
        <v>1</v>
      </c>
    </row>
    <row r="77" spans="1:14" s="2" customFormat="1" ht="16.5" customHeight="1" thickBot="1">
      <c r="A77" s="7" t="s">
        <v>378</v>
      </c>
      <c r="B77" s="8" t="s">
        <v>3</v>
      </c>
      <c r="C77" s="13">
        <v>772</v>
      </c>
      <c r="D77" s="13">
        <v>798</v>
      </c>
      <c r="E77" s="13">
        <v>850</v>
      </c>
      <c r="F77" s="13">
        <v>865</v>
      </c>
      <c r="G77" s="13">
        <v>917</v>
      </c>
      <c r="H77" s="9">
        <v>1373</v>
      </c>
      <c r="I77" s="13"/>
      <c r="J77" s="11" t="s">
        <v>87</v>
      </c>
      <c r="K77" s="51" t="s">
        <v>623</v>
      </c>
      <c r="L77" s="20">
        <v>747</v>
      </c>
      <c r="M77" s="21">
        <f>SUM(L77/L79)</f>
        <v>0.10285006195786865</v>
      </c>
      <c r="N77" s="2">
        <v>1</v>
      </c>
    </row>
    <row r="78" spans="1:14" s="2" customFormat="1" ht="16.5" customHeight="1" thickBot="1">
      <c r="A78" s="7" t="s">
        <v>651</v>
      </c>
      <c r="B78" s="103" t="s">
        <v>623</v>
      </c>
      <c r="C78" s="13">
        <v>747</v>
      </c>
      <c r="D78" s="13">
        <v>764</v>
      </c>
      <c r="E78" s="13">
        <v>859</v>
      </c>
      <c r="F78" s="13">
        <v>871</v>
      </c>
      <c r="G78" s="13">
        <v>900</v>
      </c>
      <c r="H78" s="13">
        <v>1063</v>
      </c>
      <c r="I78" s="9">
        <v>1128</v>
      </c>
      <c r="J78" s="11" t="s">
        <v>90</v>
      </c>
      <c r="K78" s="43" t="s">
        <v>14</v>
      </c>
      <c r="L78" s="20">
        <f>(C81+C82)</f>
        <v>916</v>
      </c>
      <c r="M78" s="21">
        <f>SUM(L78/L79)</f>
        <v>0.12611868373950158</v>
      </c>
    </row>
    <row r="79" spans="1:14" s="2" customFormat="1" ht="16.5" customHeight="1" thickBot="1">
      <c r="A79" s="16" t="s">
        <v>657</v>
      </c>
      <c r="B79" s="17" t="s">
        <v>3</v>
      </c>
      <c r="C79" s="13">
        <v>708</v>
      </c>
      <c r="D79" s="13">
        <v>817</v>
      </c>
      <c r="E79" s="13">
        <v>864</v>
      </c>
      <c r="F79" s="13">
        <v>875</v>
      </c>
      <c r="G79" s="13">
        <v>886</v>
      </c>
      <c r="H79" s="13" t="s">
        <v>10</v>
      </c>
      <c r="K79" s="34"/>
      <c r="L79" s="28">
        <v>7263</v>
      </c>
      <c r="M79" s="15"/>
    </row>
    <row r="80" spans="1:14" s="2" customFormat="1" ht="16.5" customHeight="1" thickBot="1">
      <c r="A80" s="7" t="s">
        <v>614</v>
      </c>
      <c r="B80" s="8" t="s">
        <v>3</v>
      </c>
      <c r="C80" s="13">
        <v>675</v>
      </c>
      <c r="D80" s="13">
        <v>678</v>
      </c>
      <c r="E80" s="13">
        <v>690</v>
      </c>
      <c r="F80" s="13">
        <v>693</v>
      </c>
      <c r="G80" s="13">
        <v>961</v>
      </c>
      <c r="H80" s="13">
        <v>996</v>
      </c>
      <c r="I80" s="9">
        <v>1083</v>
      </c>
      <c r="J80" s="9" t="s">
        <v>89</v>
      </c>
    </row>
    <row r="81" spans="1:19" s="2" customFormat="1" ht="16.5" customHeight="1" thickBot="1">
      <c r="A81" s="16" t="s">
        <v>652</v>
      </c>
      <c r="B81" s="10" t="s">
        <v>11</v>
      </c>
      <c r="C81" s="13">
        <v>536</v>
      </c>
      <c r="D81" s="13">
        <v>539</v>
      </c>
      <c r="E81" s="13">
        <v>558</v>
      </c>
      <c r="F81" s="13">
        <v>564</v>
      </c>
      <c r="G81" s="13" t="s">
        <v>10</v>
      </c>
      <c r="J81" s="21"/>
    </row>
    <row r="82" spans="1:19" s="2" customFormat="1" ht="16.5" customHeight="1" thickBot="1">
      <c r="A82" s="16" t="s">
        <v>615</v>
      </c>
      <c r="B82" s="10" t="s">
        <v>11</v>
      </c>
      <c r="C82" s="13">
        <v>380</v>
      </c>
      <c r="D82" s="13">
        <v>407</v>
      </c>
      <c r="E82" s="13" t="s">
        <v>10</v>
      </c>
      <c r="J82" s="29"/>
      <c r="M82" s="18"/>
    </row>
    <row r="83" spans="1:19" ht="14.25">
      <c r="C83" s="41"/>
      <c r="D83" s="41"/>
      <c r="E83" s="41"/>
      <c r="F83" s="41"/>
      <c r="G83" s="41"/>
      <c r="H83" s="41"/>
      <c r="I83" s="41"/>
      <c r="J83" s="41"/>
      <c r="M83" s="2"/>
      <c r="N83" s="2"/>
      <c r="O83" s="2"/>
      <c r="P83" s="2"/>
      <c r="Q83" s="2"/>
    </row>
    <row r="84" spans="1:19" s="108" customFormat="1" ht="15" customHeight="1">
      <c r="B84" s="46" t="s">
        <v>259</v>
      </c>
      <c r="C84" s="83" t="s">
        <v>3</v>
      </c>
      <c r="D84" s="84" t="s">
        <v>4</v>
      </c>
      <c r="E84" s="87" t="s">
        <v>623</v>
      </c>
      <c r="F84" s="85" t="s">
        <v>12</v>
      </c>
      <c r="G84" s="46" t="s">
        <v>14</v>
      </c>
      <c r="Q84" s="109"/>
      <c r="R84" s="110"/>
      <c r="S84" s="111"/>
    </row>
    <row r="85" spans="1:19" s="108" customFormat="1" ht="15" customHeight="1">
      <c r="A85" s="108" t="s">
        <v>7</v>
      </c>
      <c r="B85" s="112">
        <f>SUM(L79+H68+M54+K39+J29+Q10)</f>
        <v>48252</v>
      </c>
      <c r="C85" s="110">
        <f>SUM(L75+H65+M50+K36+J25+Q5)</f>
        <v>18478</v>
      </c>
      <c r="D85" s="110">
        <f>SUM(L76+H66+K37+J26+Q6+M51)</f>
        <v>16776</v>
      </c>
      <c r="E85" s="110">
        <f>(L77+M52+J27+Q7)</f>
        <v>4437</v>
      </c>
      <c r="F85" s="110">
        <f>(K38+J28+Q8)</f>
        <v>1980</v>
      </c>
      <c r="G85" s="110">
        <f>(L78+H67+M53+Q9)</f>
        <v>6581</v>
      </c>
      <c r="Q85" s="46"/>
      <c r="R85" s="112"/>
      <c r="S85" s="111"/>
    </row>
    <row r="86" spans="1:19" s="108" customFormat="1" ht="15" customHeight="1">
      <c r="A86" s="108" t="s">
        <v>8</v>
      </c>
      <c r="B86" s="115">
        <v>1</v>
      </c>
      <c r="C86" s="111">
        <f>SUM(C85/$B$85)</f>
        <v>0.38294785708364421</v>
      </c>
      <c r="D86" s="111">
        <f>SUM(D85/$B$85)</f>
        <v>0.34767470778413329</v>
      </c>
      <c r="E86" s="111">
        <f>SUM(E85/$B$85)</f>
        <v>9.195473762745586E-2</v>
      </c>
      <c r="F86" s="111">
        <f>SUM(F85/$B$85)</f>
        <v>4.1034568515294703E-2</v>
      </c>
      <c r="G86" s="111">
        <f>SUM(G85/$B$85)</f>
        <v>0.13638812898947195</v>
      </c>
      <c r="I86" s="114"/>
    </row>
    <row r="87" spans="1:19" s="108" customFormat="1" ht="15" customHeight="1">
      <c r="A87" s="108" t="s">
        <v>9</v>
      </c>
      <c r="B87" s="46">
        <v>31</v>
      </c>
      <c r="C87" s="108">
        <v>14</v>
      </c>
      <c r="D87" s="108">
        <v>10</v>
      </c>
      <c r="E87" s="108">
        <v>3</v>
      </c>
      <c r="F87" s="108">
        <v>0</v>
      </c>
      <c r="G87" s="108">
        <v>4</v>
      </c>
    </row>
    <row r="88" spans="1:19" ht="14.25">
      <c r="M88" s="2"/>
      <c r="N88" s="2"/>
      <c r="O88" s="2"/>
      <c r="P88" s="2"/>
    </row>
    <row r="89" spans="1:19" ht="14.25">
      <c r="M89" s="2"/>
      <c r="N89" s="2"/>
      <c r="O89" s="2"/>
      <c r="P89" s="2"/>
    </row>
  </sheetData>
  <sortState ref="A74:C82">
    <sortCondition descending="1" ref="C74:C82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U94"/>
  <sheetViews>
    <sheetView zoomScaleNormal="100" workbookViewId="0">
      <selection activeCell="M1" sqref="M1"/>
    </sheetView>
  </sheetViews>
  <sheetFormatPr defaultRowHeight="12.75"/>
  <cols>
    <col min="1" max="1" width="25.28515625" customWidth="1"/>
    <col min="2" max="2" width="8.5703125" customWidth="1"/>
    <col min="3" max="3" width="9.7109375" customWidth="1"/>
    <col min="4" max="19" width="8.7109375" customWidth="1"/>
  </cols>
  <sheetData>
    <row r="1" spans="1:14" s="2" customFormat="1" ht="16.5" customHeight="1">
      <c r="A1" s="1" t="s">
        <v>574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4" t="s">
        <v>6</v>
      </c>
      <c r="L3" s="15"/>
    </row>
    <row r="4" spans="1:14" s="2" customFormat="1" ht="16.5" customHeight="1" thickBot="1">
      <c r="A4" s="7" t="s">
        <v>522</v>
      </c>
      <c r="B4" s="12" t="s">
        <v>4</v>
      </c>
      <c r="C4" s="9">
        <v>2483</v>
      </c>
      <c r="D4" s="13"/>
      <c r="E4" s="13"/>
      <c r="F4" s="13"/>
      <c r="G4" s="9"/>
      <c r="H4" s="13"/>
      <c r="I4" s="13"/>
      <c r="J4" s="11" t="s">
        <v>85</v>
      </c>
      <c r="K4" s="18"/>
      <c r="L4" s="14" t="s">
        <v>7</v>
      </c>
      <c r="M4" s="14" t="s">
        <v>8</v>
      </c>
      <c r="N4" s="14" t="s">
        <v>9</v>
      </c>
    </row>
    <row r="5" spans="1:14" s="2" customFormat="1" ht="16.5" customHeight="1" thickBot="1">
      <c r="A5" s="7" t="s">
        <v>521</v>
      </c>
      <c r="B5" s="8" t="s">
        <v>3</v>
      </c>
      <c r="C5" s="13">
        <v>1279</v>
      </c>
      <c r="D5" s="13">
        <v>1290</v>
      </c>
      <c r="E5" s="13">
        <v>1294</v>
      </c>
      <c r="F5" s="13">
        <v>1297</v>
      </c>
      <c r="G5" s="13">
        <v>1337</v>
      </c>
      <c r="H5" s="13">
        <v>1363</v>
      </c>
      <c r="I5" s="9">
        <v>1373</v>
      </c>
      <c r="J5" s="11" t="s">
        <v>87</v>
      </c>
      <c r="K5" s="19" t="s">
        <v>3</v>
      </c>
      <c r="L5" s="20">
        <f>(C5+C7+C8+C10)</f>
        <v>3582</v>
      </c>
      <c r="M5" s="21">
        <f>SUM(L5/L9)</f>
        <v>0.38578352180936998</v>
      </c>
      <c r="N5" s="18">
        <v>2</v>
      </c>
    </row>
    <row r="6" spans="1:14" s="2" customFormat="1" ht="16.5" customHeight="1" thickBot="1">
      <c r="A6" s="7" t="s">
        <v>413</v>
      </c>
      <c r="B6" s="37" t="s">
        <v>11</v>
      </c>
      <c r="C6" s="13">
        <v>1145</v>
      </c>
      <c r="D6" s="13">
        <v>1318</v>
      </c>
      <c r="E6" s="13">
        <v>1337</v>
      </c>
      <c r="F6" s="13">
        <v>1342</v>
      </c>
      <c r="G6" s="13">
        <v>1385</v>
      </c>
      <c r="H6" s="13">
        <v>1405</v>
      </c>
      <c r="I6" s="9">
        <v>1515</v>
      </c>
      <c r="J6" s="11" t="s">
        <v>86</v>
      </c>
      <c r="K6" s="23" t="s">
        <v>4</v>
      </c>
      <c r="L6" s="20">
        <f>(C4+C9+C14)</f>
        <v>3303</v>
      </c>
      <c r="M6" s="21">
        <f>SUM(L6/L9)</f>
        <v>0.35573505654281101</v>
      </c>
      <c r="N6" s="18">
        <v>2</v>
      </c>
    </row>
    <row r="7" spans="1:14" s="2" customFormat="1" ht="16.5" customHeight="1" thickBot="1">
      <c r="A7" s="16" t="s">
        <v>524</v>
      </c>
      <c r="B7" s="17" t="s">
        <v>3</v>
      </c>
      <c r="C7" s="13">
        <v>1032</v>
      </c>
      <c r="D7" s="13">
        <v>1066</v>
      </c>
      <c r="E7" s="13">
        <v>1075</v>
      </c>
      <c r="F7" s="13">
        <v>1076</v>
      </c>
      <c r="G7" s="13">
        <v>1092</v>
      </c>
      <c r="H7" s="13">
        <v>1153</v>
      </c>
      <c r="I7" s="13">
        <v>1164</v>
      </c>
      <c r="J7" s="11"/>
      <c r="K7" s="51" t="s">
        <v>346</v>
      </c>
      <c r="L7" s="29">
        <f>(C11+C12+C13)</f>
        <v>1255</v>
      </c>
      <c r="M7" s="15">
        <f>SUM(L7/L9)</f>
        <v>0.13516424340333871</v>
      </c>
      <c r="N7" s="18"/>
    </row>
    <row r="8" spans="1:14" s="2" customFormat="1" ht="16.5" customHeight="1" thickBot="1">
      <c r="A8" s="7" t="s">
        <v>519</v>
      </c>
      <c r="B8" s="8" t="s">
        <v>3</v>
      </c>
      <c r="C8" s="13">
        <v>692</v>
      </c>
      <c r="D8" s="13">
        <v>832</v>
      </c>
      <c r="E8" s="13">
        <v>842</v>
      </c>
      <c r="F8" s="13">
        <v>890</v>
      </c>
      <c r="G8" s="13">
        <v>916</v>
      </c>
      <c r="H8" s="13">
        <v>1295</v>
      </c>
      <c r="I8" s="9">
        <v>1331</v>
      </c>
      <c r="J8" s="11" t="s">
        <v>90</v>
      </c>
      <c r="K8" s="14" t="s">
        <v>14</v>
      </c>
      <c r="L8" s="29">
        <v>1145</v>
      </c>
      <c r="M8" s="15">
        <f>SUM(L8/L9)</f>
        <v>0.12331717824448034</v>
      </c>
      <c r="N8" s="18">
        <v>1</v>
      </c>
    </row>
    <row r="9" spans="1:14" s="2" customFormat="1" ht="16.5" customHeight="1" thickBot="1">
      <c r="A9" s="7" t="s">
        <v>516</v>
      </c>
      <c r="B9" s="12" t="s">
        <v>4</v>
      </c>
      <c r="C9" s="13">
        <v>596</v>
      </c>
      <c r="D9" s="13">
        <v>845</v>
      </c>
      <c r="E9" s="13">
        <v>921</v>
      </c>
      <c r="F9" s="13">
        <v>1105</v>
      </c>
      <c r="G9" s="13">
        <v>1142</v>
      </c>
      <c r="H9" s="13">
        <v>1160</v>
      </c>
      <c r="I9" s="9">
        <v>1279</v>
      </c>
      <c r="J9" s="11" t="s">
        <v>89</v>
      </c>
      <c r="L9" s="28">
        <v>9285</v>
      </c>
    </row>
    <row r="10" spans="1:14" s="2" customFormat="1" ht="16.5" customHeight="1" thickBot="1">
      <c r="A10" s="16" t="s">
        <v>472</v>
      </c>
      <c r="B10" s="17" t="s">
        <v>3</v>
      </c>
      <c r="C10" s="13">
        <v>579</v>
      </c>
      <c r="D10" s="13">
        <v>600</v>
      </c>
      <c r="E10" s="13">
        <v>607</v>
      </c>
      <c r="F10" s="13">
        <v>666</v>
      </c>
      <c r="G10" s="13">
        <v>674</v>
      </c>
      <c r="H10" s="13" t="s">
        <v>10</v>
      </c>
    </row>
    <row r="11" spans="1:14" s="2" customFormat="1" ht="16.5" customHeight="1" thickBot="1">
      <c r="A11" s="16" t="s">
        <v>579</v>
      </c>
      <c r="B11" s="52" t="s">
        <v>346</v>
      </c>
      <c r="C11" s="13">
        <v>490</v>
      </c>
      <c r="D11" s="13">
        <v>574</v>
      </c>
      <c r="E11" s="13">
        <v>677</v>
      </c>
      <c r="F11" s="13">
        <v>692</v>
      </c>
      <c r="G11" s="13">
        <v>937</v>
      </c>
      <c r="H11" s="13">
        <v>951</v>
      </c>
      <c r="I11" s="13" t="s">
        <v>10</v>
      </c>
    </row>
    <row r="12" spans="1:14" s="2" customFormat="1" ht="16.5" customHeight="1" thickBot="1">
      <c r="A12" s="16" t="s">
        <v>581</v>
      </c>
      <c r="B12" s="52" t="s">
        <v>346</v>
      </c>
      <c r="C12" s="13">
        <v>385</v>
      </c>
      <c r="D12" s="13">
        <v>400</v>
      </c>
      <c r="E12" s="13" t="s">
        <v>10</v>
      </c>
    </row>
    <row r="13" spans="1:14" s="2" customFormat="1" ht="16.5" customHeight="1" thickBot="1">
      <c r="A13" s="16" t="s">
        <v>582</v>
      </c>
      <c r="B13" s="52" t="s">
        <v>346</v>
      </c>
      <c r="C13" s="13">
        <v>380</v>
      </c>
      <c r="D13" s="13">
        <v>410</v>
      </c>
      <c r="E13" s="13">
        <v>519</v>
      </c>
      <c r="F13" s="13">
        <v>531</v>
      </c>
      <c r="G13" s="13" t="s">
        <v>10</v>
      </c>
    </row>
    <row r="14" spans="1:14" s="2" customFormat="1" ht="16.5" customHeight="1" thickBot="1">
      <c r="A14" s="16" t="s">
        <v>580</v>
      </c>
      <c r="B14" s="22" t="s">
        <v>4</v>
      </c>
      <c r="C14" s="13">
        <v>224</v>
      </c>
      <c r="D14" s="13">
        <v>402</v>
      </c>
      <c r="E14" s="13">
        <v>406</v>
      </c>
      <c r="F14" s="13" t="s">
        <v>10</v>
      </c>
      <c r="I14" s="29"/>
      <c r="J14" s="28"/>
      <c r="K14" s="29"/>
      <c r="L14" s="29"/>
      <c r="N14" s="29"/>
    </row>
    <row r="15" spans="1:14" s="2" customFormat="1" ht="12.75" customHeight="1">
      <c r="A15" s="1"/>
      <c r="C15" s="20"/>
      <c r="D15" s="29"/>
      <c r="E15" s="29"/>
      <c r="F15" s="29"/>
      <c r="G15" s="29"/>
      <c r="H15" s="29"/>
    </row>
    <row r="16" spans="1:14" s="2" customFormat="1" ht="17.45" customHeight="1">
      <c r="A16" s="1" t="s">
        <v>583</v>
      </c>
    </row>
    <row r="17" spans="1:17" s="2" customFormat="1" ht="10.5" customHeight="1" thickBot="1">
      <c r="A17" s="1"/>
    </row>
    <row r="18" spans="1:17" s="2" customFormat="1" ht="16.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>
        <v>7</v>
      </c>
      <c r="J18" s="6"/>
      <c r="K18" s="14" t="s">
        <v>6</v>
      </c>
      <c r="L18" s="15"/>
    </row>
    <row r="19" spans="1:17" s="2" customFormat="1" ht="16.5" customHeight="1" thickBot="1">
      <c r="A19" s="7" t="s">
        <v>374</v>
      </c>
      <c r="B19" s="103" t="s">
        <v>346</v>
      </c>
      <c r="C19" s="9">
        <v>2543</v>
      </c>
      <c r="D19" s="13"/>
      <c r="E19" s="13"/>
      <c r="F19" s="13"/>
      <c r="G19" s="13"/>
      <c r="H19" s="13"/>
      <c r="I19" s="13"/>
      <c r="J19" s="11" t="s">
        <v>85</v>
      </c>
      <c r="K19" s="18"/>
      <c r="L19" s="14" t="s">
        <v>7</v>
      </c>
      <c r="M19" s="14" t="s">
        <v>8</v>
      </c>
      <c r="N19" s="14" t="s">
        <v>9</v>
      </c>
    </row>
    <row r="20" spans="1:17" s="2" customFormat="1" ht="16.5" customHeight="1" thickBot="1">
      <c r="A20" s="7" t="s">
        <v>831</v>
      </c>
      <c r="B20" s="8" t="s">
        <v>3</v>
      </c>
      <c r="C20" s="9">
        <v>2151</v>
      </c>
      <c r="D20" s="13"/>
      <c r="E20" s="13"/>
      <c r="F20" s="9"/>
      <c r="G20" s="13"/>
      <c r="H20" s="9"/>
      <c r="I20" s="13"/>
      <c r="J20" s="11" t="s">
        <v>86</v>
      </c>
      <c r="K20" s="19" t="s">
        <v>3</v>
      </c>
      <c r="L20" s="20">
        <f>(C20+C21+C23)</f>
        <v>4278</v>
      </c>
      <c r="M20" s="21">
        <f>SUM(L20/L23)</f>
        <v>0.46004946768469729</v>
      </c>
      <c r="N20" s="18">
        <v>2</v>
      </c>
    </row>
    <row r="21" spans="1:17" s="2" customFormat="1" ht="16.5" customHeight="1" thickBot="1">
      <c r="A21" s="7" t="s">
        <v>531</v>
      </c>
      <c r="B21" s="8" t="s">
        <v>3</v>
      </c>
      <c r="C21" s="13">
        <v>1400</v>
      </c>
      <c r="D21" s="13">
        <v>1481</v>
      </c>
      <c r="E21" s="9">
        <v>1847</v>
      </c>
      <c r="F21" s="13"/>
      <c r="G21" s="13"/>
      <c r="H21" s="9"/>
      <c r="I21" s="9"/>
      <c r="J21" s="11" t="s">
        <v>87</v>
      </c>
      <c r="K21" s="23" t="s">
        <v>4</v>
      </c>
      <c r="L21" s="20">
        <f>(C25+C26)</f>
        <v>786</v>
      </c>
      <c r="M21" s="21">
        <f>SUM(L21/L23)</f>
        <v>8.4525217765351116E-2</v>
      </c>
      <c r="N21" s="18"/>
    </row>
    <row r="22" spans="1:17" s="2" customFormat="1" ht="16.5" customHeight="1" thickBot="1">
      <c r="A22" s="7" t="s">
        <v>585</v>
      </c>
      <c r="B22" s="103" t="s">
        <v>346</v>
      </c>
      <c r="C22" s="13">
        <v>883</v>
      </c>
      <c r="D22" s="13">
        <v>1226</v>
      </c>
      <c r="E22" s="13">
        <v>1279</v>
      </c>
      <c r="F22" s="13">
        <v>1303</v>
      </c>
      <c r="G22" s="13">
        <v>1457</v>
      </c>
      <c r="H22" s="9">
        <v>1555</v>
      </c>
      <c r="I22" s="13"/>
      <c r="J22" s="11" t="s">
        <v>90</v>
      </c>
      <c r="K22" s="51" t="s">
        <v>346</v>
      </c>
      <c r="L22" s="29">
        <f>(C19+C22+C24+C27)</f>
        <v>4235</v>
      </c>
      <c r="M22" s="15">
        <f>SUM(L22/L23)</f>
        <v>0.45542531454995161</v>
      </c>
      <c r="N22" s="18">
        <v>3</v>
      </c>
    </row>
    <row r="23" spans="1:17" s="2" customFormat="1" ht="16.5" customHeight="1" thickBot="1">
      <c r="A23" s="16" t="s">
        <v>529</v>
      </c>
      <c r="B23" s="17" t="s">
        <v>3</v>
      </c>
      <c r="C23" s="13">
        <v>727</v>
      </c>
      <c r="D23" s="13">
        <v>744</v>
      </c>
      <c r="E23" s="13">
        <v>875</v>
      </c>
      <c r="F23" s="13">
        <v>996</v>
      </c>
      <c r="G23" s="13">
        <v>1036</v>
      </c>
      <c r="H23" s="13">
        <v>1063</v>
      </c>
      <c r="I23" s="13">
        <v>1107</v>
      </c>
      <c r="J23" s="11"/>
      <c r="K23" s="24"/>
      <c r="L23" s="28">
        <v>9299</v>
      </c>
      <c r="M23" s="15"/>
      <c r="N23" s="18"/>
    </row>
    <row r="24" spans="1:17" s="2" customFormat="1" ht="16.5" customHeight="1" thickBot="1">
      <c r="A24" s="7" t="s">
        <v>584</v>
      </c>
      <c r="B24" s="103" t="s">
        <v>346</v>
      </c>
      <c r="C24" s="13">
        <v>520</v>
      </c>
      <c r="D24" s="13">
        <v>808</v>
      </c>
      <c r="E24" s="13">
        <v>818</v>
      </c>
      <c r="F24" s="13">
        <v>827</v>
      </c>
      <c r="G24" s="13">
        <v>891</v>
      </c>
      <c r="H24" s="13">
        <v>894</v>
      </c>
      <c r="I24" s="9">
        <v>1169</v>
      </c>
      <c r="J24" s="11" t="s">
        <v>89</v>
      </c>
      <c r="K24" s="14"/>
      <c r="M24" s="15"/>
      <c r="N24" s="18"/>
    </row>
    <row r="25" spans="1:17" s="2" customFormat="1" ht="16.5" customHeight="1" thickBot="1">
      <c r="A25" s="16" t="s">
        <v>587</v>
      </c>
      <c r="B25" s="22" t="s">
        <v>4</v>
      </c>
      <c r="C25" s="13">
        <v>431</v>
      </c>
      <c r="D25" s="13">
        <v>625</v>
      </c>
      <c r="E25" s="13">
        <v>640</v>
      </c>
      <c r="F25" s="13">
        <v>657</v>
      </c>
      <c r="G25" s="13">
        <v>674</v>
      </c>
      <c r="H25" s="13">
        <v>857</v>
      </c>
      <c r="I25" s="13" t="s">
        <v>10</v>
      </c>
    </row>
    <row r="26" spans="1:17" s="2" customFormat="1" ht="16.5" customHeight="1" thickBot="1">
      <c r="A26" s="16" t="s">
        <v>588</v>
      </c>
      <c r="B26" s="22" t="s">
        <v>4</v>
      </c>
      <c r="C26" s="13">
        <v>355</v>
      </c>
      <c r="D26" s="13">
        <v>370</v>
      </c>
      <c r="E26" s="13">
        <v>388</v>
      </c>
      <c r="F26" s="13">
        <v>407</v>
      </c>
      <c r="G26" s="13">
        <v>420</v>
      </c>
      <c r="H26" s="13" t="s">
        <v>10</v>
      </c>
      <c r="I26" s="29"/>
    </row>
    <row r="27" spans="1:17" s="2" customFormat="1" ht="16.5" customHeight="1" thickBot="1">
      <c r="A27" s="16" t="s">
        <v>586</v>
      </c>
      <c r="B27" s="52" t="s">
        <v>346</v>
      </c>
      <c r="C27" s="13">
        <v>289</v>
      </c>
      <c r="D27" s="13">
        <v>344</v>
      </c>
      <c r="E27" s="13">
        <v>352</v>
      </c>
      <c r="F27" s="13">
        <v>367</v>
      </c>
      <c r="G27" s="13" t="s">
        <v>10</v>
      </c>
      <c r="H27" s="29"/>
      <c r="I27" s="29"/>
    </row>
    <row r="28" spans="1:17" s="2" customFormat="1" ht="13.5" customHeight="1">
      <c r="A28" s="35"/>
      <c r="B28" s="36"/>
      <c r="C28" s="40"/>
      <c r="D28" s="40"/>
      <c r="E28" s="40"/>
      <c r="F28" s="40"/>
      <c r="G28" s="40"/>
      <c r="H28" s="40"/>
      <c r="I28" s="40"/>
    </row>
    <row r="29" spans="1:17" s="2" customFormat="1" ht="17.45" customHeight="1">
      <c r="A29" s="1" t="s">
        <v>589</v>
      </c>
    </row>
    <row r="30" spans="1:17" s="2" customFormat="1" ht="8.25" customHeight="1" thickBot="1">
      <c r="A30" s="1"/>
    </row>
    <row r="31" spans="1:17" s="2" customFormat="1" ht="17.45" customHeight="1" thickBot="1">
      <c r="A31" s="4" t="s">
        <v>0</v>
      </c>
      <c r="B31" s="5" t="s">
        <v>1</v>
      </c>
      <c r="C31" s="5" t="s">
        <v>2</v>
      </c>
      <c r="D31" s="5">
        <v>2</v>
      </c>
      <c r="E31" s="5">
        <v>3</v>
      </c>
      <c r="F31" s="5">
        <v>4</v>
      </c>
      <c r="G31" s="5">
        <v>5</v>
      </c>
      <c r="H31" s="5">
        <v>6</v>
      </c>
      <c r="I31" s="5">
        <v>7</v>
      </c>
      <c r="J31" s="5">
        <v>8</v>
      </c>
      <c r="K31" s="5">
        <v>9</v>
      </c>
      <c r="L31" s="5">
        <v>10</v>
      </c>
      <c r="M31" s="5"/>
      <c r="N31" s="14" t="s">
        <v>6</v>
      </c>
      <c r="O31" s="50"/>
    </row>
    <row r="32" spans="1:17" s="2" customFormat="1" ht="17.45" customHeight="1" thickBot="1">
      <c r="A32" s="7" t="s">
        <v>590</v>
      </c>
      <c r="B32" s="103" t="s">
        <v>346</v>
      </c>
      <c r="C32" s="13">
        <v>1558</v>
      </c>
      <c r="D32" s="13">
        <v>1582</v>
      </c>
      <c r="E32" s="13">
        <v>1620</v>
      </c>
      <c r="F32" s="9">
        <v>1705</v>
      </c>
      <c r="G32" s="13"/>
      <c r="H32" s="9"/>
      <c r="I32" s="13"/>
      <c r="J32" s="13"/>
      <c r="K32" s="13"/>
      <c r="L32" s="13"/>
      <c r="M32" s="11" t="s">
        <v>85</v>
      </c>
      <c r="N32" s="18"/>
      <c r="O32" s="14" t="s">
        <v>7</v>
      </c>
      <c r="P32" s="14" t="s">
        <v>8</v>
      </c>
      <c r="Q32" s="14" t="s">
        <v>9</v>
      </c>
    </row>
    <row r="33" spans="1:21" s="2" customFormat="1" ht="17.45" customHeight="1" thickBot="1">
      <c r="A33" s="7" t="s">
        <v>482</v>
      </c>
      <c r="B33" s="8" t="s">
        <v>3</v>
      </c>
      <c r="C33" s="13">
        <v>1289</v>
      </c>
      <c r="D33" s="13">
        <v>1292</v>
      </c>
      <c r="E33" s="13">
        <v>1296</v>
      </c>
      <c r="F33" s="13">
        <v>1298</v>
      </c>
      <c r="G33" s="13">
        <v>1299</v>
      </c>
      <c r="H33" s="13">
        <v>1303</v>
      </c>
      <c r="I33" s="13">
        <v>1329</v>
      </c>
      <c r="J33" s="13">
        <v>1334</v>
      </c>
      <c r="K33" s="13">
        <v>1559</v>
      </c>
      <c r="L33" s="9">
        <v>1665</v>
      </c>
      <c r="M33" s="11" t="s">
        <v>90</v>
      </c>
      <c r="N33" s="19" t="s">
        <v>3</v>
      </c>
      <c r="O33" s="20">
        <f>(C33+C34+C35+C36+C38)</f>
        <v>5967</v>
      </c>
      <c r="P33" s="21">
        <f>SUM(O33/O38)</f>
        <v>0.45177165354330706</v>
      </c>
      <c r="Q33" s="18">
        <v>4</v>
      </c>
    </row>
    <row r="34" spans="1:21" s="2" customFormat="1" ht="17.45" customHeight="1" thickBot="1">
      <c r="A34" s="7" t="s">
        <v>409</v>
      </c>
      <c r="B34" s="8" t="s">
        <v>3</v>
      </c>
      <c r="C34" s="13">
        <v>1280</v>
      </c>
      <c r="D34" s="13">
        <v>1293</v>
      </c>
      <c r="E34" s="13">
        <v>1302</v>
      </c>
      <c r="F34" s="13">
        <v>1312</v>
      </c>
      <c r="G34" s="13">
        <v>1313</v>
      </c>
      <c r="H34" s="13">
        <v>1407</v>
      </c>
      <c r="I34" s="13">
        <v>1431</v>
      </c>
      <c r="J34" s="13">
        <v>1455</v>
      </c>
      <c r="K34" s="9">
        <v>1854</v>
      </c>
      <c r="L34" s="13"/>
      <c r="M34" s="11" t="s">
        <v>86</v>
      </c>
      <c r="N34" s="23" t="s">
        <v>4</v>
      </c>
      <c r="O34" s="20">
        <f>(C39+C41+C45)</f>
        <v>2025</v>
      </c>
      <c r="P34" s="21">
        <f>SUM(O34/O38)</f>
        <v>0.15331617201695941</v>
      </c>
      <c r="Q34" s="18">
        <v>1</v>
      </c>
    </row>
    <row r="35" spans="1:21" s="2" customFormat="1" ht="17.45" customHeight="1" thickBot="1">
      <c r="A35" s="7" t="s">
        <v>406</v>
      </c>
      <c r="B35" s="8" t="s">
        <v>3</v>
      </c>
      <c r="C35" s="13">
        <v>1265</v>
      </c>
      <c r="D35" s="13">
        <v>1285</v>
      </c>
      <c r="E35" s="13">
        <v>1289</v>
      </c>
      <c r="F35" s="13">
        <v>1320</v>
      </c>
      <c r="G35" s="13">
        <v>1322</v>
      </c>
      <c r="H35" s="13">
        <v>1342</v>
      </c>
      <c r="I35" s="13">
        <v>1346</v>
      </c>
      <c r="J35" s="13">
        <v>1606</v>
      </c>
      <c r="K35" s="9">
        <v>1698</v>
      </c>
      <c r="L35" s="13"/>
      <c r="M35" s="11" t="s">
        <v>87</v>
      </c>
      <c r="N35" s="51" t="s">
        <v>346</v>
      </c>
      <c r="O35" s="29">
        <f>(C32+C37+C42+C44+C43)</f>
        <v>4169</v>
      </c>
      <c r="P35" s="15">
        <f>SUM(O35/O38)</f>
        <v>0.3156420351302241</v>
      </c>
      <c r="Q35" s="2">
        <v>2</v>
      </c>
    </row>
    <row r="36" spans="1:21" s="2" customFormat="1" ht="17.45" customHeight="1" thickBot="1">
      <c r="A36" s="7" t="s">
        <v>408</v>
      </c>
      <c r="B36" s="8" t="s">
        <v>3</v>
      </c>
      <c r="C36" s="13">
        <v>1141</v>
      </c>
      <c r="D36" s="13">
        <v>1156</v>
      </c>
      <c r="E36" s="13">
        <v>1160</v>
      </c>
      <c r="F36" s="13">
        <v>1167</v>
      </c>
      <c r="G36" s="13">
        <v>1168</v>
      </c>
      <c r="H36" s="13">
        <v>1183</v>
      </c>
      <c r="I36" s="13">
        <v>1209</v>
      </c>
      <c r="J36" s="13">
        <v>1220</v>
      </c>
      <c r="K36" s="13">
        <v>1266</v>
      </c>
      <c r="L36" s="9">
        <v>1351</v>
      </c>
      <c r="M36" s="9" t="s">
        <v>88</v>
      </c>
      <c r="N36" s="118" t="s">
        <v>12</v>
      </c>
      <c r="O36" s="29">
        <v>187</v>
      </c>
      <c r="P36" s="15">
        <f>SUM(O36/O38)</f>
        <v>1.4158086008479709E-2</v>
      </c>
      <c r="Q36" s="18"/>
    </row>
    <row r="37" spans="1:21" s="2" customFormat="1" ht="17.45" customHeight="1" thickBot="1">
      <c r="A37" s="7" t="s">
        <v>323</v>
      </c>
      <c r="B37" s="103" t="s">
        <v>346</v>
      </c>
      <c r="C37" s="13">
        <v>1041</v>
      </c>
      <c r="D37" s="13">
        <v>1051</v>
      </c>
      <c r="E37" s="13">
        <v>1068</v>
      </c>
      <c r="F37" s="13">
        <v>1084</v>
      </c>
      <c r="G37" s="13">
        <v>1088</v>
      </c>
      <c r="H37" s="13">
        <v>1133</v>
      </c>
      <c r="I37" s="13">
        <v>1580</v>
      </c>
      <c r="J37" s="13">
        <v>1590</v>
      </c>
      <c r="K37" s="13">
        <v>1606</v>
      </c>
      <c r="L37" s="9">
        <v>1609</v>
      </c>
      <c r="M37" s="11" t="s">
        <v>89</v>
      </c>
      <c r="N37" s="43" t="s">
        <v>14</v>
      </c>
      <c r="O37" s="29">
        <v>860</v>
      </c>
      <c r="P37" s="15">
        <f>SUM(O37/O38)</f>
        <v>6.5112053301029676E-2</v>
      </c>
    </row>
    <row r="38" spans="1:21" s="2" customFormat="1" ht="17.45" customHeight="1" thickBot="1">
      <c r="A38" s="16" t="s">
        <v>628</v>
      </c>
      <c r="B38" s="17" t="s">
        <v>3</v>
      </c>
      <c r="C38" s="13">
        <v>992</v>
      </c>
      <c r="D38" s="13">
        <v>995</v>
      </c>
      <c r="E38" s="13">
        <v>1032</v>
      </c>
      <c r="F38" s="13">
        <v>1042</v>
      </c>
      <c r="G38" s="13">
        <v>1043</v>
      </c>
      <c r="H38" s="13">
        <v>1056</v>
      </c>
      <c r="I38" s="13">
        <v>1059</v>
      </c>
      <c r="J38" s="13">
        <v>1068</v>
      </c>
      <c r="K38" s="13" t="s">
        <v>10</v>
      </c>
      <c r="N38" s="24"/>
      <c r="O38" s="28">
        <v>13208</v>
      </c>
      <c r="P38" s="15"/>
    </row>
    <row r="39" spans="1:21" s="2" customFormat="1" ht="17.45" customHeight="1" thickBot="1">
      <c r="A39" s="7" t="s">
        <v>547</v>
      </c>
      <c r="B39" s="12" t="s">
        <v>4</v>
      </c>
      <c r="C39" s="13">
        <v>883</v>
      </c>
      <c r="D39" s="13">
        <v>894</v>
      </c>
      <c r="E39" s="13">
        <v>932</v>
      </c>
      <c r="F39" s="13">
        <v>1009</v>
      </c>
      <c r="G39" s="13">
        <v>1012</v>
      </c>
      <c r="H39" s="13">
        <v>1048</v>
      </c>
      <c r="I39" s="13">
        <v>1058</v>
      </c>
      <c r="J39" s="13">
        <v>1308</v>
      </c>
      <c r="K39" s="13">
        <v>1321</v>
      </c>
      <c r="L39" s="9">
        <v>1323</v>
      </c>
      <c r="M39" s="11" t="s">
        <v>111</v>
      </c>
      <c r="O39" s="18"/>
      <c r="P39" s="14"/>
      <c r="Q39" s="14"/>
      <c r="R39" s="14"/>
    </row>
    <row r="40" spans="1:21" s="2" customFormat="1" ht="17.45" customHeight="1" thickBot="1">
      <c r="A40" s="16" t="s">
        <v>594</v>
      </c>
      <c r="B40" s="33" t="s">
        <v>11</v>
      </c>
      <c r="C40" s="13">
        <v>860</v>
      </c>
      <c r="D40" s="13">
        <v>865</v>
      </c>
      <c r="E40" s="13">
        <v>866</v>
      </c>
      <c r="F40" s="13">
        <v>911</v>
      </c>
      <c r="G40" s="13">
        <v>913</v>
      </c>
      <c r="H40" s="13">
        <v>952</v>
      </c>
      <c r="I40" s="13">
        <v>957</v>
      </c>
      <c r="J40" s="13" t="s">
        <v>10</v>
      </c>
      <c r="K40" s="29"/>
      <c r="N40" s="19"/>
      <c r="O40" s="20"/>
      <c r="P40" s="21"/>
      <c r="Q40" s="18"/>
    </row>
    <row r="41" spans="1:21" s="2" customFormat="1" ht="17.45" customHeight="1" thickBot="1">
      <c r="A41" s="16" t="s">
        <v>468</v>
      </c>
      <c r="B41" s="22" t="s">
        <v>4</v>
      </c>
      <c r="C41" s="13">
        <v>819</v>
      </c>
      <c r="D41" s="13">
        <v>859</v>
      </c>
      <c r="E41" s="13">
        <v>978</v>
      </c>
      <c r="F41" s="13">
        <v>991</v>
      </c>
      <c r="G41" s="13">
        <v>992</v>
      </c>
      <c r="H41" s="13">
        <v>1009</v>
      </c>
      <c r="I41" s="13">
        <v>1054</v>
      </c>
      <c r="J41" s="13">
        <v>1151</v>
      </c>
      <c r="K41" s="13">
        <v>1183</v>
      </c>
      <c r="L41" s="13">
        <v>1189</v>
      </c>
      <c r="M41" s="9"/>
      <c r="R41" s="23"/>
      <c r="S41" s="20"/>
      <c r="T41" s="21"/>
      <c r="U41" s="18"/>
    </row>
    <row r="42" spans="1:21" s="2" customFormat="1" ht="17.45" customHeight="1" thickBot="1">
      <c r="A42" s="16" t="s">
        <v>386</v>
      </c>
      <c r="B42" s="52" t="s">
        <v>346</v>
      </c>
      <c r="C42" s="13">
        <v>756</v>
      </c>
      <c r="D42" s="13">
        <v>759</v>
      </c>
      <c r="E42" s="13">
        <v>760</v>
      </c>
      <c r="F42" s="13">
        <v>767</v>
      </c>
      <c r="G42" s="13">
        <v>775</v>
      </c>
      <c r="H42" s="13">
        <v>852</v>
      </c>
      <c r="I42" s="13" t="s">
        <v>10</v>
      </c>
      <c r="L42" s="119"/>
      <c r="M42" s="20"/>
      <c r="N42" s="29"/>
      <c r="O42" s="29"/>
      <c r="P42" s="29"/>
    </row>
    <row r="43" spans="1:21" s="2" customFormat="1" ht="17.45" customHeight="1" thickBot="1">
      <c r="A43" s="16" t="s">
        <v>595</v>
      </c>
      <c r="B43" s="52" t="s">
        <v>346</v>
      </c>
      <c r="C43" s="13">
        <v>409</v>
      </c>
      <c r="D43" s="13">
        <v>414</v>
      </c>
      <c r="E43" s="13">
        <v>432</v>
      </c>
      <c r="F43" s="13">
        <v>501</v>
      </c>
      <c r="G43" s="13">
        <v>530</v>
      </c>
      <c r="H43" s="13" t="s">
        <v>10</v>
      </c>
      <c r="P43" s="105"/>
      <c r="Q43" s="15"/>
    </row>
    <row r="44" spans="1:21" s="2" customFormat="1" ht="17.45" customHeight="1" thickBot="1">
      <c r="A44" s="16" t="s">
        <v>593</v>
      </c>
      <c r="B44" s="52" t="s">
        <v>346</v>
      </c>
      <c r="C44" s="13">
        <v>405</v>
      </c>
      <c r="D44" s="13">
        <v>410</v>
      </c>
      <c r="E44" s="13">
        <v>416</v>
      </c>
      <c r="F44" s="13" t="s">
        <v>10</v>
      </c>
      <c r="J44" s="29"/>
      <c r="K44" s="29"/>
      <c r="L44" s="29"/>
      <c r="M44" s="29"/>
      <c r="N44" s="29"/>
      <c r="O44" s="67"/>
      <c r="P44" s="20"/>
      <c r="Q44" s="18"/>
    </row>
    <row r="45" spans="1:21" s="2" customFormat="1" ht="17.45" customHeight="1" thickBot="1">
      <c r="A45" s="16" t="s">
        <v>592</v>
      </c>
      <c r="B45" s="22" t="s">
        <v>4</v>
      </c>
      <c r="C45" s="13">
        <v>323</v>
      </c>
      <c r="D45" s="13">
        <v>326</v>
      </c>
      <c r="E45" s="13" t="s">
        <v>10</v>
      </c>
      <c r="I45" s="29"/>
      <c r="J45" s="29"/>
      <c r="K45" s="29"/>
      <c r="L45" s="29"/>
      <c r="M45" s="29"/>
      <c r="N45" s="29"/>
      <c r="O45" s="68"/>
      <c r="P45" s="20"/>
      <c r="Q45" s="18"/>
    </row>
    <row r="46" spans="1:21" s="2" customFormat="1" ht="17.45" customHeight="1" thickBot="1">
      <c r="A46" s="16" t="s">
        <v>539</v>
      </c>
      <c r="B46" s="106" t="s">
        <v>12</v>
      </c>
      <c r="C46" s="13">
        <v>187</v>
      </c>
      <c r="D46" s="13" t="s">
        <v>10</v>
      </c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14"/>
      <c r="R46" s="15"/>
    </row>
    <row r="47" spans="1:21"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</row>
    <row r="48" spans="1:21" s="2" customFormat="1" ht="17.45" customHeight="1">
      <c r="A48" s="1" t="s">
        <v>596</v>
      </c>
    </row>
    <row r="49" spans="1:16" s="2" customFormat="1" ht="10.5" customHeight="1" thickBot="1">
      <c r="A49" s="1"/>
    </row>
    <row r="50" spans="1:16" s="2" customFormat="1" ht="16.5" customHeight="1" thickBot="1">
      <c r="A50" s="4" t="s">
        <v>0</v>
      </c>
      <c r="B50" s="5" t="s">
        <v>1</v>
      </c>
      <c r="C50" s="5" t="s">
        <v>2</v>
      </c>
      <c r="D50" s="5">
        <v>2</v>
      </c>
      <c r="E50" s="5">
        <v>3</v>
      </c>
      <c r="F50" s="5">
        <v>4</v>
      </c>
      <c r="G50" s="5">
        <v>5</v>
      </c>
      <c r="H50" s="5">
        <v>6</v>
      </c>
      <c r="I50" s="5">
        <v>7</v>
      </c>
      <c r="J50" s="5">
        <v>8</v>
      </c>
      <c r="K50" s="5">
        <v>9</v>
      </c>
      <c r="L50" s="6"/>
      <c r="M50" s="14" t="s">
        <v>6</v>
      </c>
      <c r="N50" s="15"/>
    </row>
    <row r="51" spans="1:16" s="2" customFormat="1" ht="16.5" customHeight="1" thickBot="1">
      <c r="A51" s="7" t="s">
        <v>466</v>
      </c>
      <c r="B51" s="8" t="s">
        <v>3</v>
      </c>
      <c r="C51" s="9">
        <v>1879</v>
      </c>
      <c r="D51" s="9"/>
      <c r="E51" s="9"/>
      <c r="F51" s="13"/>
      <c r="G51" s="9"/>
      <c r="H51" s="13"/>
      <c r="I51" s="13"/>
      <c r="J51" s="13"/>
      <c r="K51" s="13"/>
      <c r="L51" s="11" t="s">
        <v>85</v>
      </c>
      <c r="M51" s="18"/>
      <c r="N51" s="14" t="s">
        <v>7</v>
      </c>
      <c r="O51" s="14" t="s">
        <v>8</v>
      </c>
      <c r="P51" s="14" t="s">
        <v>9</v>
      </c>
    </row>
    <row r="52" spans="1:16" s="2" customFormat="1" ht="16.5" customHeight="1" thickBot="1">
      <c r="A52" s="7" t="s">
        <v>318</v>
      </c>
      <c r="B52" s="103" t="s">
        <v>346</v>
      </c>
      <c r="C52" s="9">
        <v>1549</v>
      </c>
      <c r="D52" s="13"/>
      <c r="E52" s="9"/>
      <c r="F52" s="13"/>
      <c r="G52" s="13"/>
      <c r="H52" s="13"/>
      <c r="I52" s="13"/>
      <c r="J52" s="13"/>
      <c r="K52" s="13"/>
      <c r="L52" s="11" t="s">
        <v>86</v>
      </c>
      <c r="M52" s="19" t="s">
        <v>3</v>
      </c>
      <c r="N52" s="20">
        <f>(C51+C55+C57+C59)</f>
        <v>3914</v>
      </c>
      <c r="O52" s="21">
        <f>SUM(N52/N55)</f>
        <v>0.42940208447613826</v>
      </c>
      <c r="P52" s="18">
        <v>2</v>
      </c>
    </row>
    <row r="53" spans="1:16" s="2" customFormat="1" ht="16.5" customHeight="1" thickBot="1">
      <c r="A53" s="7" t="s">
        <v>395</v>
      </c>
      <c r="B53" s="103" t="s">
        <v>346</v>
      </c>
      <c r="C53" s="13">
        <v>1211</v>
      </c>
      <c r="D53" s="13">
        <v>1251</v>
      </c>
      <c r="E53" s="13">
        <v>1283</v>
      </c>
      <c r="F53" s="9">
        <v>1693</v>
      </c>
      <c r="G53" s="13"/>
      <c r="H53" s="13"/>
      <c r="I53" s="13"/>
      <c r="J53" s="13"/>
      <c r="K53" s="13"/>
      <c r="L53" s="11" t="s">
        <v>87</v>
      </c>
      <c r="M53" s="51" t="s">
        <v>346</v>
      </c>
      <c r="N53" s="29">
        <f>(C52+C53+C54+C56+C58)</f>
        <v>5128</v>
      </c>
      <c r="O53" s="15">
        <f>SUM(N53/N55)</f>
        <v>0.56258913878222705</v>
      </c>
      <c r="P53" s="18">
        <v>3</v>
      </c>
    </row>
    <row r="54" spans="1:16" s="2" customFormat="1" ht="16.5" customHeight="1" thickBot="1">
      <c r="A54" s="7" t="s">
        <v>458</v>
      </c>
      <c r="B54" s="103" t="s">
        <v>346</v>
      </c>
      <c r="C54" s="13">
        <v>996</v>
      </c>
      <c r="D54" s="13">
        <v>1067</v>
      </c>
      <c r="E54" s="13">
        <v>1071</v>
      </c>
      <c r="F54" s="13">
        <v>1156</v>
      </c>
      <c r="G54" s="13">
        <v>1285</v>
      </c>
      <c r="H54" s="13">
        <v>1318</v>
      </c>
      <c r="I54" s="9">
        <v>1673</v>
      </c>
      <c r="J54" s="9"/>
      <c r="K54" s="9"/>
      <c r="L54" s="11" t="s">
        <v>90</v>
      </c>
      <c r="M54" s="43" t="s">
        <v>14</v>
      </c>
      <c r="N54" s="18">
        <v>73</v>
      </c>
      <c r="O54" s="21">
        <f>SUM(N54/N55)</f>
        <v>8.0087767416346673E-3</v>
      </c>
    </row>
    <row r="55" spans="1:16" s="2" customFormat="1" ht="16.5" customHeight="1" thickBot="1">
      <c r="A55" s="16" t="s">
        <v>602</v>
      </c>
      <c r="B55" s="17" t="s">
        <v>3</v>
      </c>
      <c r="C55" s="13">
        <v>789</v>
      </c>
      <c r="D55" s="13">
        <v>846</v>
      </c>
      <c r="E55" s="13">
        <v>849</v>
      </c>
      <c r="F55" s="13">
        <v>859</v>
      </c>
      <c r="G55" s="13">
        <v>863</v>
      </c>
      <c r="H55" s="13">
        <v>984</v>
      </c>
      <c r="I55" s="13">
        <v>1035</v>
      </c>
      <c r="J55" s="13">
        <v>1046</v>
      </c>
      <c r="K55" s="13">
        <v>1059</v>
      </c>
      <c r="L55" s="11"/>
      <c r="M55" s="26"/>
      <c r="N55" s="28">
        <v>9115</v>
      </c>
      <c r="O55" s="15"/>
      <c r="P55" s="18"/>
    </row>
    <row r="56" spans="1:16" s="2" customFormat="1" ht="16.5" customHeight="1" thickBot="1">
      <c r="A56" s="16" t="s">
        <v>599</v>
      </c>
      <c r="B56" s="52" t="s">
        <v>346</v>
      </c>
      <c r="C56" s="13">
        <v>748</v>
      </c>
      <c r="D56" s="13">
        <v>749</v>
      </c>
      <c r="E56" s="13">
        <v>750</v>
      </c>
      <c r="F56" s="13">
        <v>755</v>
      </c>
      <c r="G56" s="13">
        <v>783</v>
      </c>
      <c r="H56" s="13">
        <v>789</v>
      </c>
      <c r="I56" s="13" t="s">
        <v>10</v>
      </c>
    </row>
    <row r="57" spans="1:16" s="2" customFormat="1" ht="16.5" customHeight="1" thickBot="1">
      <c r="A57" s="7" t="s">
        <v>597</v>
      </c>
      <c r="B57" s="8" t="s">
        <v>3</v>
      </c>
      <c r="C57" s="13">
        <v>712</v>
      </c>
      <c r="D57" s="13">
        <v>758</v>
      </c>
      <c r="E57" s="13">
        <v>779</v>
      </c>
      <c r="F57" s="13">
        <v>781</v>
      </c>
      <c r="G57" s="13">
        <v>782</v>
      </c>
      <c r="H57" s="13">
        <v>1011</v>
      </c>
      <c r="I57" s="13">
        <v>1053</v>
      </c>
      <c r="J57" s="13">
        <v>1071</v>
      </c>
      <c r="K57" s="9">
        <v>1074</v>
      </c>
      <c r="L57" s="11" t="s">
        <v>89</v>
      </c>
    </row>
    <row r="58" spans="1:16" s="2" customFormat="1" ht="16.5" customHeight="1" thickBot="1">
      <c r="A58" s="16" t="s">
        <v>598</v>
      </c>
      <c r="B58" s="52" t="s">
        <v>346</v>
      </c>
      <c r="C58" s="13">
        <v>624</v>
      </c>
      <c r="D58" s="13">
        <v>633</v>
      </c>
      <c r="E58" s="13">
        <v>633</v>
      </c>
      <c r="F58" s="13" t="s">
        <v>10</v>
      </c>
    </row>
    <row r="59" spans="1:16" s="2" customFormat="1" ht="16.5" customHeight="1" thickBot="1">
      <c r="A59" s="16" t="s">
        <v>600</v>
      </c>
      <c r="B59" s="17" t="s">
        <v>3</v>
      </c>
      <c r="C59" s="13">
        <v>534</v>
      </c>
      <c r="D59" s="13">
        <v>664</v>
      </c>
      <c r="E59" s="13">
        <v>665</v>
      </c>
      <c r="F59" s="13">
        <v>724</v>
      </c>
      <c r="G59" s="13">
        <v>735</v>
      </c>
      <c r="H59" s="13" t="s">
        <v>10</v>
      </c>
      <c r="K59" s="29"/>
    </row>
    <row r="60" spans="1:16" s="2" customFormat="1" ht="16.5" customHeight="1" thickBot="1">
      <c r="A60" s="16" t="s">
        <v>601</v>
      </c>
      <c r="B60" s="13" t="s">
        <v>11</v>
      </c>
      <c r="C60" s="13">
        <v>73</v>
      </c>
      <c r="D60" s="13">
        <v>78</v>
      </c>
      <c r="E60" s="13" t="s">
        <v>10</v>
      </c>
      <c r="K60" s="29"/>
    </row>
    <row r="61" spans="1:16">
      <c r="C61" s="41"/>
      <c r="D61" s="41"/>
      <c r="E61" s="41"/>
      <c r="F61" s="41"/>
    </row>
    <row r="62" spans="1:16" s="2" customFormat="1" ht="17.45" customHeight="1">
      <c r="A62" s="1" t="s">
        <v>603</v>
      </c>
    </row>
    <row r="63" spans="1:16" s="2" customFormat="1" ht="10.5" customHeight="1" thickBot="1">
      <c r="A63" s="1"/>
    </row>
    <row r="64" spans="1:16" s="2" customFormat="1" ht="16.5" customHeight="1" thickBot="1">
      <c r="A64" s="4" t="s">
        <v>0</v>
      </c>
      <c r="B64" s="5" t="s">
        <v>1</v>
      </c>
      <c r="C64" s="5" t="s">
        <v>2</v>
      </c>
      <c r="D64" s="5">
        <v>2</v>
      </c>
      <c r="E64" s="5">
        <v>3</v>
      </c>
      <c r="F64" s="5">
        <v>4</v>
      </c>
      <c r="G64" s="5">
        <v>5</v>
      </c>
      <c r="H64" s="6"/>
      <c r="I64" s="14" t="s">
        <v>6</v>
      </c>
      <c r="J64" s="50"/>
    </row>
    <row r="65" spans="1:15" s="2" customFormat="1" ht="16.5" customHeight="1" thickBot="1">
      <c r="A65" s="7" t="s">
        <v>559</v>
      </c>
      <c r="B65" s="8" t="s">
        <v>3</v>
      </c>
      <c r="C65" s="9">
        <v>1349</v>
      </c>
      <c r="D65" s="13"/>
      <c r="E65" s="13"/>
      <c r="F65" s="9"/>
      <c r="G65" s="13"/>
      <c r="H65" s="11" t="s">
        <v>85</v>
      </c>
      <c r="I65" s="18"/>
      <c r="J65" s="14" t="s">
        <v>7</v>
      </c>
      <c r="K65" s="14" t="s">
        <v>8</v>
      </c>
      <c r="L65" s="14" t="s">
        <v>9</v>
      </c>
    </row>
    <row r="66" spans="1:15" s="2" customFormat="1" ht="16.5" customHeight="1" thickBot="1">
      <c r="A66" s="7" t="s">
        <v>604</v>
      </c>
      <c r="B66" s="8" t="s">
        <v>3</v>
      </c>
      <c r="C66" s="13">
        <v>1162</v>
      </c>
      <c r="D66" s="9">
        <v>1287</v>
      </c>
      <c r="E66" s="13"/>
      <c r="F66" s="13"/>
      <c r="G66" s="13"/>
      <c r="H66" s="11" t="s">
        <v>86</v>
      </c>
      <c r="I66" s="19" t="s">
        <v>3</v>
      </c>
      <c r="J66" s="20">
        <f>(C66+C65+C67)</f>
        <v>3576</v>
      </c>
      <c r="K66" s="21">
        <f>SUM(J66/J70)</f>
        <v>0.59382265028229819</v>
      </c>
      <c r="L66" s="18">
        <v>3</v>
      </c>
    </row>
    <row r="67" spans="1:15" s="2" customFormat="1" ht="16.5" customHeight="1" thickBot="1">
      <c r="A67" s="7" t="s">
        <v>560</v>
      </c>
      <c r="B67" s="8" t="s">
        <v>3</v>
      </c>
      <c r="C67" s="13">
        <v>1065</v>
      </c>
      <c r="D67" s="13">
        <v>1068</v>
      </c>
      <c r="E67" s="13">
        <v>1128</v>
      </c>
      <c r="F67" s="13">
        <v>1136</v>
      </c>
      <c r="G67" s="13">
        <v>1180</v>
      </c>
      <c r="H67" s="11" t="s">
        <v>90</v>
      </c>
      <c r="I67" s="23" t="s">
        <v>4</v>
      </c>
      <c r="J67" s="20">
        <f>(C69+C71)</f>
        <v>1048</v>
      </c>
      <c r="K67" s="21">
        <f>SUM(J67/J70)</f>
        <v>0.17402856193955496</v>
      </c>
      <c r="L67" s="18"/>
    </row>
    <row r="68" spans="1:15" s="2" customFormat="1" ht="16.5" customHeight="1" thickBot="1">
      <c r="A68" s="7" t="s">
        <v>555</v>
      </c>
      <c r="B68" s="11" t="s">
        <v>493</v>
      </c>
      <c r="C68" s="13">
        <v>899</v>
      </c>
      <c r="D68" s="13">
        <v>912</v>
      </c>
      <c r="E68" s="13">
        <v>932</v>
      </c>
      <c r="F68" s="13">
        <v>1137</v>
      </c>
      <c r="G68" s="13">
        <v>1196</v>
      </c>
      <c r="H68" s="9" t="s">
        <v>87</v>
      </c>
      <c r="I68" s="51" t="s">
        <v>346</v>
      </c>
      <c r="J68" s="29">
        <v>499</v>
      </c>
      <c r="K68" s="15">
        <f>SUM(J68/J70)</f>
        <v>8.2862836267020928E-2</v>
      </c>
    </row>
    <row r="69" spans="1:15" s="2" customFormat="1" ht="16.5" customHeight="1" thickBot="1">
      <c r="A69" s="16" t="s">
        <v>554</v>
      </c>
      <c r="B69" s="22" t="s">
        <v>4</v>
      </c>
      <c r="C69" s="13">
        <v>642</v>
      </c>
      <c r="D69" s="13">
        <v>643</v>
      </c>
      <c r="E69" s="13">
        <v>643</v>
      </c>
      <c r="F69" s="13">
        <v>708</v>
      </c>
      <c r="G69" s="13">
        <v>959</v>
      </c>
      <c r="H69" s="9"/>
      <c r="I69" s="43" t="s">
        <v>14</v>
      </c>
      <c r="J69" s="29">
        <v>899</v>
      </c>
      <c r="K69" s="15">
        <f>SUM(J69/J70)</f>
        <v>0.14928595151112586</v>
      </c>
      <c r="L69" s="2">
        <v>1</v>
      </c>
    </row>
    <row r="70" spans="1:15" s="2" customFormat="1" ht="16.5" customHeight="1" thickBot="1">
      <c r="A70" s="16" t="s">
        <v>605</v>
      </c>
      <c r="B70" s="52" t="s">
        <v>346</v>
      </c>
      <c r="C70" s="13">
        <v>499</v>
      </c>
      <c r="D70" s="13">
        <v>499</v>
      </c>
      <c r="E70" s="13">
        <v>501</v>
      </c>
      <c r="F70" s="13">
        <v>524</v>
      </c>
      <c r="G70" s="13" t="s">
        <v>10</v>
      </c>
      <c r="I70" s="24"/>
      <c r="J70" s="28">
        <v>6022</v>
      </c>
      <c r="K70" s="15"/>
    </row>
    <row r="71" spans="1:15" s="2" customFormat="1" ht="16.5" customHeight="1" thickBot="1">
      <c r="A71" s="16" t="s">
        <v>606</v>
      </c>
      <c r="B71" s="22" t="s">
        <v>4</v>
      </c>
      <c r="C71" s="13">
        <v>406</v>
      </c>
      <c r="D71" s="13">
        <v>408</v>
      </c>
      <c r="E71" s="13">
        <v>408</v>
      </c>
      <c r="F71" s="13" t="s">
        <v>10</v>
      </c>
    </row>
    <row r="72" spans="1:15">
      <c r="C72" s="41"/>
      <c r="D72" s="41"/>
      <c r="E72" s="41"/>
      <c r="F72" s="41"/>
    </row>
    <row r="73" spans="1:15" s="2" customFormat="1" ht="17.45" customHeight="1">
      <c r="A73" s="1" t="s">
        <v>607</v>
      </c>
    </row>
    <row r="74" spans="1:15" s="2" customFormat="1" ht="10.5" customHeight="1" thickBot="1">
      <c r="A74" s="1"/>
    </row>
    <row r="75" spans="1:15" s="2" customFormat="1" ht="16.5" customHeight="1" thickBot="1">
      <c r="A75" s="4" t="s">
        <v>0</v>
      </c>
      <c r="B75" s="5" t="s">
        <v>1</v>
      </c>
      <c r="C75" s="5" t="s">
        <v>2</v>
      </c>
      <c r="D75" s="5">
        <v>2</v>
      </c>
      <c r="E75" s="5">
        <v>3</v>
      </c>
      <c r="F75" s="5">
        <v>4</v>
      </c>
      <c r="G75" s="5">
        <v>5</v>
      </c>
      <c r="H75" s="5">
        <v>6</v>
      </c>
      <c r="I75" s="5">
        <v>7</v>
      </c>
      <c r="J75" s="5">
        <v>8</v>
      </c>
      <c r="K75" s="6"/>
      <c r="L75" s="14" t="s">
        <v>6</v>
      </c>
      <c r="M75" s="15"/>
    </row>
    <row r="76" spans="1:15" s="2" customFormat="1" ht="16.5" customHeight="1" thickBot="1">
      <c r="A76" s="7" t="s">
        <v>609</v>
      </c>
      <c r="B76" s="8" t="s">
        <v>3</v>
      </c>
      <c r="C76" s="13">
        <v>1409</v>
      </c>
      <c r="D76" s="13">
        <v>1455</v>
      </c>
      <c r="E76" s="13">
        <v>1473</v>
      </c>
      <c r="F76" s="13">
        <v>1479</v>
      </c>
      <c r="G76" s="13">
        <v>1487</v>
      </c>
      <c r="H76" s="13">
        <v>1491</v>
      </c>
      <c r="I76" s="9">
        <v>1584</v>
      </c>
      <c r="J76" s="13"/>
      <c r="K76" s="11" t="s">
        <v>86</v>
      </c>
      <c r="L76" s="18"/>
      <c r="M76" s="14" t="s">
        <v>7</v>
      </c>
      <c r="N76" s="14" t="s">
        <v>8</v>
      </c>
      <c r="O76" s="14" t="s">
        <v>9</v>
      </c>
    </row>
    <row r="77" spans="1:15" s="2" customFormat="1" ht="16.5" customHeight="1" thickBot="1">
      <c r="A77" s="7" t="s">
        <v>616</v>
      </c>
      <c r="B77" s="8" t="s">
        <v>3</v>
      </c>
      <c r="C77" s="13">
        <v>1347</v>
      </c>
      <c r="D77" s="13">
        <v>1354</v>
      </c>
      <c r="E77" s="13">
        <v>1362</v>
      </c>
      <c r="F77" s="13">
        <v>1368</v>
      </c>
      <c r="G77" s="9">
        <v>1662</v>
      </c>
      <c r="H77" s="13"/>
      <c r="I77" s="13"/>
      <c r="J77" s="9"/>
      <c r="K77" s="11" t="s">
        <v>85</v>
      </c>
      <c r="L77" s="19" t="s">
        <v>3</v>
      </c>
      <c r="M77" s="20">
        <f>(C76+C77+C79+C80)</f>
        <v>4652</v>
      </c>
      <c r="N77" s="21">
        <f>SUM(M77/M81)</f>
        <v>0.50362671863159036</v>
      </c>
      <c r="O77" s="18">
        <v>3</v>
      </c>
    </row>
    <row r="78" spans="1:15" s="2" customFormat="1" ht="16.5" customHeight="1" thickBot="1">
      <c r="A78" s="7" t="s">
        <v>571</v>
      </c>
      <c r="B78" s="11" t="s">
        <v>11</v>
      </c>
      <c r="C78" s="13">
        <v>977</v>
      </c>
      <c r="D78" s="13">
        <v>1029</v>
      </c>
      <c r="E78" s="13">
        <v>1051</v>
      </c>
      <c r="F78" s="13">
        <v>1173</v>
      </c>
      <c r="G78" s="13">
        <v>1185</v>
      </c>
      <c r="H78" s="13">
        <v>1194</v>
      </c>
      <c r="I78" s="13">
        <v>1253</v>
      </c>
      <c r="J78" s="9">
        <v>1433</v>
      </c>
      <c r="K78" s="11" t="s">
        <v>87</v>
      </c>
      <c r="L78" s="23" t="s">
        <v>4</v>
      </c>
      <c r="M78" s="20">
        <f>(C81+C82)</f>
        <v>1499</v>
      </c>
      <c r="N78" s="21">
        <f>SUM(M78/M81)</f>
        <v>0.16228212623146043</v>
      </c>
      <c r="O78" s="18">
        <v>1</v>
      </c>
    </row>
    <row r="79" spans="1:15" s="2" customFormat="1" ht="16.5" customHeight="1" thickBot="1">
      <c r="A79" s="7" t="s">
        <v>608</v>
      </c>
      <c r="B79" s="8" t="s">
        <v>3</v>
      </c>
      <c r="C79" s="13">
        <v>967</v>
      </c>
      <c r="D79" s="13">
        <v>1019</v>
      </c>
      <c r="E79" s="13">
        <v>1024</v>
      </c>
      <c r="F79" s="13">
        <v>1117</v>
      </c>
      <c r="G79" s="13">
        <v>1133</v>
      </c>
      <c r="H79" s="13">
        <v>1136</v>
      </c>
      <c r="I79" s="13">
        <v>1163</v>
      </c>
      <c r="J79" s="9">
        <v>1245</v>
      </c>
      <c r="K79" s="11" t="s">
        <v>90</v>
      </c>
      <c r="L79" s="51" t="s">
        <v>346</v>
      </c>
      <c r="M79" s="20">
        <f>(C83+C84+C85+C86)</f>
        <v>1829</v>
      </c>
      <c r="N79" s="21">
        <f>SUM(M79/M81)</f>
        <v>0.19800801125906681</v>
      </c>
    </row>
    <row r="80" spans="1:15" s="2" customFormat="1" ht="16.5" customHeight="1" thickBot="1">
      <c r="A80" s="16" t="s">
        <v>378</v>
      </c>
      <c r="B80" s="17" t="s">
        <v>3</v>
      </c>
      <c r="C80" s="13">
        <v>929</v>
      </c>
      <c r="D80" s="13">
        <v>945</v>
      </c>
      <c r="E80" s="13">
        <v>982</v>
      </c>
      <c r="F80" s="13">
        <v>987</v>
      </c>
      <c r="G80" s="13">
        <v>1031</v>
      </c>
      <c r="H80" s="13">
        <v>1073</v>
      </c>
      <c r="I80" s="13">
        <v>1087</v>
      </c>
      <c r="J80" s="13">
        <v>1138</v>
      </c>
      <c r="K80" s="11"/>
      <c r="L80" s="43" t="s">
        <v>14</v>
      </c>
      <c r="M80" s="20">
        <f>(C78+C87)</f>
        <v>1257</v>
      </c>
      <c r="N80" s="21">
        <f>SUM(M80/M81)</f>
        <v>0.13608314387788242</v>
      </c>
      <c r="O80" s="2">
        <v>1</v>
      </c>
    </row>
    <row r="81" spans="1:19" s="2" customFormat="1" ht="16.5" customHeight="1" thickBot="1">
      <c r="A81" s="7" t="s">
        <v>610</v>
      </c>
      <c r="B81" s="12" t="s">
        <v>4</v>
      </c>
      <c r="C81" s="13">
        <v>828</v>
      </c>
      <c r="D81" s="13">
        <v>832</v>
      </c>
      <c r="E81" s="13">
        <v>899</v>
      </c>
      <c r="F81" s="13">
        <v>902</v>
      </c>
      <c r="G81" s="13">
        <v>948</v>
      </c>
      <c r="H81" s="13">
        <v>954</v>
      </c>
      <c r="I81" s="13">
        <v>990</v>
      </c>
      <c r="J81" s="9">
        <v>1216</v>
      </c>
      <c r="K81" s="9" t="s">
        <v>89</v>
      </c>
      <c r="L81" s="34"/>
      <c r="M81" s="28">
        <v>9237</v>
      </c>
      <c r="N81" s="15"/>
    </row>
    <row r="82" spans="1:19" s="2" customFormat="1" ht="16.5" customHeight="1" thickBot="1">
      <c r="A82" s="16" t="s">
        <v>650</v>
      </c>
      <c r="B82" s="22" t="s">
        <v>4</v>
      </c>
      <c r="C82" s="13">
        <v>671</v>
      </c>
      <c r="D82" s="13">
        <v>707</v>
      </c>
      <c r="E82" s="13">
        <v>734</v>
      </c>
      <c r="F82" s="13">
        <v>763</v>
      </c>
      <c r="G82" s="13">
        <v>784</v>
      </c>
      <c r="H82" s="13">
        <v>793</v>
      </c>
      <c r="I82" s="13">
        <v>921</v>
      </c>
      <c r="J82" s="13" t="s">
        <v>10</v>
      </c>
    </row>
    <row r="83" spans="1:19" s="2" customFormat="1" ht="16.5" customHeight="1" thickBot="1">
      <c r="A83" s="16" t="s">
        <v>612</v>
      </c>
      <c r="B83" s="52" t="s">
        <v>346</v>
      </c>
      <c r="C83" s="13">
        <v>605</v>
      </c>
      <c r="D83" s="13">
        <v>618</v>
      </c>
      <c r="E83" s="13">
        <v>635</v>
      </c>
      <c r="F83" s="13">
        <v>646</v>
      </c>
      <c r="G83" s="13" t="s">
        <v>10</v>
      </c>
      <c r="K83" s="21"/>
    </row>
    <row r="84" spans="1:19" s="2" customFormat="1" ht="16.5" customHeight="1" thickBot="1">
      <c r="A84" s="16" t="s">
        <v>565</v>
      </c>
      <c r="B84" s="52" t="s">
        <v>346</v>
      </c>
      <c r="C84" s="13">
        <v>438</v>
      </c>
      <c r="D84" s="13">
        <v>449</v>
      </c>
      <c r="E84" s="13">
        <v>528</v>
      </c>
      <c r="F84" s="13">
        <v>701</v>
      </c>
      <c r="G84" s="13">
        <v>737</v>
      </c>
      <c r="H84" s="13">
        <v>740</v>
      </c>
      <c r="I84" s="13" t="s">
        <v>10</v>
      </c>
      <c r="N84" s="18"/>
    </row>
    <row r="85" spans="1:19" s="2" customFormat="1" ht="16.5" customHeight="1" thickBot="1">
      <c r="A85" s="16" t="s">
        <v>613</v>
      </c>
      <c r="B85" s="52" t="s">
        <v>346</v>
      </c>
      <c r="C85" s="13">
        <v>407</v>
      </c>
      <c r="D85" s="13">
        <v>425</v>
      </c>
      <c r="E85" s="13">
        <v>492</v>
      </c>
      <c r="F85" s="13" t="s">
        <v>10</v>
      </c>
    </row>
    <row r="86" spans="1:19" s="2" customFormat="1" ht="16.5" customHeight="1" thickBot="1">
      <c r="A86" s="16" t="s">
        <v>615</v>
      </c>
      <c r="B86" s="52" t="s">
        <v>346</v>
      </c>
      <c r="C86" s="13">
        <v>379</v>
      </c>
      <c r="D86" s="13">
        <v>384</v>
      </c>
      <c r="E86" s="13" t="s">
        <v>10</v>
      </c>
    </row>
    <row r="87" spans="1:19" s="2" customFormat="1" ht="16.5" customHeight="1" thickBot="1">
      <c r="A87" s="16" t="s">
        <v>611</v>
      </c>
      <c r="B87" s="10" t="s">
        <v>11</v>
      </c>
      <c r="C87" s="13">
        <v>280</v>
      </c>
      <c r="D87" s="13" t="s">
        <v>10</v>
      </c>
    </row>
    <row r="88" spans="1:19" ht="14.25">
      <c r="C88" s="41"/>
      <c r="D88" s="41"/>
      <c r="E88" s="41"/>
      <c r="F88" s="41"/>
      <c r="G88" s="41"/>
      <c r="H88" s="41"/>
      <c r="I88" s="41"/>
      <c r="J88" s="41"/>
      <c r="M88" s="2"/>
      <c r="N88" s="2"/>
      <c r="O88" s="2"/>
      <c r="P88" s="2"/>
      <c r="Q88" s="2"/>
    </row>
    <row r="89" spans="1:19" s="108" customFormat="1" ht="15" customHeight="1">
      <c r="B89" s="46" t="s">
        <v>259</v>
      </c>
      <c r="C89" s="83" t="s">
        <v>3</v>
      </c>
      <c r="D89" s="84" t="s">
        <v>4</v>
      </c>
      <c r="E89" s="87" t="s">
        <v>346</v>
      </c>
      <c r="F89" s="85" t="s">
        <v>12</v>
      </c>
      <c r="G89" s="46" t="s">
        <v>14</v>
      </c>
      <c r="Q89" s="109"/>
      <c r="R89" s="110"/>
      <c r="S89" s="111"/>
    </row>
    <row r="90" spans="1:19" s="108" customFormat="1" ht="15" customHeight="1">
      <c r="A90" s="108" t="s">
        <v>7</v>
      </c>
      <c r="B90" s="112">
        <f>SUM(M81+J70+N55+O38+L23+L9)</f>
        <v>56166</v>
      </c>
      <c r="C90" s="110">
        <f>SUM(M77+J66+N52+O33+L20+L5)</f>
        <v>25969</v>
      </c>
      <c r="D90" s="110">
        <f>SUM(M78+J67+O34+L21+L6)</f>
        <v>8661</v>
      </c>
      <c r="E90" s="110">
        <f>SUM(M79+J68+N53+O35+L22+L7)</f>
        <v>17115</v>
      </c>
      <c r="F90" s="110">
        <v>187</v>
      </c>
      <c r="G90" s="110">
        <f>(M80+J69+O37+L8+N54)</f>
        <v>4234</v>
      </c>
      <c r="Q90" s="46"/>
      <c r="R90" s="112"/>
      <c r="S90" s="111"/>
    </row>
    <row r="91" spans="1:19" s="108" customFormat="1" ht="15" customHeight="1">
      <c r="A91" s="108" t="s">
        <v>8</v>
      </c>
      <c r="B91" s="115">
        <v>1</v>
      </c>
      <c r="C91" s="111">
        <f>SUM(C90/$B$90)</f>
        <v>0.46236157105722325</v>
      </c>
      <c r="D91" s="111">
        <f>SUM(D90/$B$90)</f>
        <v>0.15420361072534985</v>
      </c>
      <c r="E91" s="111">
        <f>SUM(E90/$B$90)</f>
        <v>0.30472171776519602</v>
      </c>
      <c r="F91" s="111">
        <f>SUM(F90/$B$90)</f>
        <v>3.329416372894634E-3</v>
      </c>
      <c r="G91" s="111">
        <f>SUM(G90/$B$90)</f>
        <v>7.5383684079336252E-2</v>
      </c>
      <c r="I91" s="114"/>
    </row>
    <row r="92" spans="1:19" s="108" customFormat="1" ht="15" customHeight="1">
      <c r="A92" s="108" t="s">
        <v>9</v>
      </c>
      <c r="B92" s="46">
        <v>31</v>
      </c>
      <c r="C92" s="108">
        <v>16</v>
      </c>
      <c r="D92" s="108">
        <v>4</v>
      </c>
      <c r="E92" s="108">
        <v>8</v>
      </c>
      <c r="F92" s="108">
        <v>0</v>
      </c>
      <c r="G92" s="108">
        <v>3</v>
      </c>
    </row>
    <row r="93" spans="1:19" ht="14.25">
      <c r="M93" s="2"/>
      <c r="N93" s="2"/>
      <c r="O93" s="2"/>
      <c r="P93" s="2"/>
    </row>
    <row r="94" spans="1:19" ht="14.25">
      <c r="M94" s="2"/>
      <c r="N94" s="2"/>
      <c r="O94" s="2"/>
      <c r="P94" s="2"/>
    </row>
  </sheetData>
  <sortState ref="A76:C87">
    <sortCondition descending="1" ref="C76:C87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13"/>
  <dimension ref="A1:V106"/>
  <sheetViews>
    <sheetView zoomScaleNormal="100" workbookViewId="0">
      <selection activeCell="O1" sqref="O1"/>
    </sheetView>
  </sheetViews>
  <sheetFormatPr defaultRowHeight="12.75"/>
  <cols>
    <col min="1" max="1" width="25.28515625" customWidth="1"/>
    <col min="2" max="2" width="8.28515625" customWidth="1"/>
    <col min="3" max="3" width="9.7109375" customWidth="1"/>
    <col min="4" max="19" width="8.7109375" customWidth="1"/>
  </cols>
  <sheetData>
    <row r="1" spans="1:19" s="2" customFormat="1" ht="16.5" customHeight="1">
      <c r="A1" s="1" t="s">
        <v>515</v>
      </c>
    </row>
    <row r="2" spans="1:19" s="2" customFormat="1" ht="9.75" customHeight="1" thickBot="1">
      <c r="A2" s="3"/>
    </row>
    <row r="3" spans="1:19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5">
        <v>12</v>
      </c>
      <c r="O3" s="6"/>
      <c r="P3" s="14" t="s">
        <v>6</v>
      </c>
      <c r="Q3" s="15">
        <f>(9063/14016)</f>
        <v>0.64661815068493156</v>
      </c>
    </row>
    <row r="4" spans="1:19" s="2" customFormat="1" ht="16.5" customHeight="1" thickBot="1">
      <c r="A4" s="7" t="s">
        <v>522</v>
      </c>
      <c r="B4" s="12" t="s">
        <v>4</v>
      </c>
      <c r="C4" s="9">
        <v>1763</v>
      </c>
      <c r="D4" s="13"/>
      <c r="E4" s="13"/>
      <c r="F4" s="13"/>
      <c r="G4" s="9"/>
      <c r="H4" s="13"/>
      <c r="I4" s="13"/>
      <c r="J4" s="13"/>
      <c r="K4" s="13"/>
      <c r="L4" s="13"/>
      <c r="M4" s="13"/>
      <c r="N4" s="13"/>
      <c r="O4" s="11" t="s">
        <v>85</v>
      </c>
      <c r="P4" s="18"/>
      <c r="Q4" s="14" t="s">
        <v>7</v>
      </c>
      <c r="R4" s="14" t="s">
        <v>8</v>
      </c>
      <c r="S4" s="14" t="s">
        <v>9</v>
      </c>
    </row>
    <row r="5" spans="1:19" s="2" customFormat="1" ht="16.5" customHeight="1" thickBot="1">
      <c r="A5" s="7" t="s">
        <v>517</v>
      </c>
      <c r="B5" s="102" t="s">
        <v>347</v>
      </c>
      <c r="C5" s="13">
        <v>1296</v>
      </c>
      <c r="D5" s="13"/>
      <c r="E5" s="13"/>
      <c r="F5" s="13"/>
      <c r="G5" s="9"/>
      <c r="H5" s="13"/>
      <c r="I5" s="9">
        <v>1545</v>
      </c>
      <c r="J5" s="13"/>
      <c r="K5" s="13"/>
      <c r="L5" s="13"/>
      <c r="M5" s="13"/>
      <c r="N5" s="13"/>
      <c r="O5" s="11" t="s">
        <v>86</v>
      </c>
      <c r="P5" s="19" t="s">
        <v>3</v>
      </c>
      <c r="Q5" s="20">
        <f>(C6+C8+C9+C11+C18)</f>
        <v>2968</v>
      </c>
      <c r="R5" s="21">
        <f>SUM(Q5/Q10)</f>
        <v>0.32748538011695905</v>
      </c>
      <c r="S5" s="18">
        <v>2</v>
      </c>
    </row>
    <row r="6" spans="1:19" s="2" customFormat="1" ht="16.5" customHeight="1" thickBot="1">
      <c r="A6" s="7" t="s">
        <v>521</v>
      </c>
      <c r="B6" s="8" t="s">
        <v>3</v>
      </c>
      <c r="C6" s="13">
        <v>907</v>
      </c>
      <c r="D6" s="13"/>
      <c r="E6" s="13"/>
      <c r="F6" s="13"/>
      <c r="G6" s="13"/>
      <c r="H6" s="13"/>
      <c r="I6" s="13"/>
      <c r="J6" s="13"/>
      <c r="K6" s="9"/>
      <c r="L6" s="9"/>
      <c r="M6" s="9">
        <v>1576</v>
      </c>
      <c r="N6" s="9"/>
      <c r="O6" s="11" t="s">
        <v>87</v>
      </c>
      <c r="P6" s="23" t="s">
        <v>4</v>
      </c>
      <c r="Q6" s="20">
        <f>(C4+C16+C17)</f>
        <v>2126</v>
      </c>
      <c r="R6" s="21">
        <f>SUM(Q6/Q10)</f>
        <v>0.23458016109456031</v>
      </c>
      <c r="S6" s="18">
        <v>1</v>
      </c>
    </row>
    <row r="7" spans="1:19" s="2" customFormat="1" ht="16.5" customHeight="1" thickBot="1">
      <c r="A7" s="16" t="s">
        <v>357</v>
      </c>
      <c r="B7" s="52" t="s">
        <v>346</v>
      </c>
      <c r="C7" s="13">
        <v>702</v>
      </c>
      <c r="D7" s="13"/>
      <c r="E7" s="13"/>
      <c r="F7" s="13"/>
      <c r="G7" s="13"/>
      <c r="H7" s="13"/>
      <c r="I7" s="13"/>
      <c r="J7" s="13"/>
      <c r="K7" s="13"/>
      <c r="L7" s="9"/>
      <c r="M7" s="13"/>
      <c r="N7" s="13">
        <v>1052</v>
      </c>
      <c r="O7" s="11"/>
      <c r="P7" s="104" t="s">
        <v>347</v>
      </c>
      <c r="Q7" s="29">
        <f>(C5+C15)</f>
        <v>1526</v>
      </c>
      <c r="R7" s="15">
        <f>SUM(Q7/Q10)</f>
        <v>0.16837691713560632</v>
      </c>
      <c r="S7" s="18">
        <v>1</v>
      </c>
    </row>
    <row r="8" spans="1:19" s="2" customFormat="1" ht="16.5" customHeight="1" thickBot="1">
      <c r="A8" s="16" t="s">
        <v>293</v>
      </c>
      <c r="B8" s="17" t="s">
        <v>3</v>
      </c>
      <c r="C8" s="13">
        <v>702</v>
      </c>
      <c r="D8" s="13"/>
      <c r="E8" s="13"/>
      <c r="F8" s="13"/>
      <c r="G8" s="13"/>
      <c r="H8" s="13"/>
      <c r="I8" s="13"/>
      <c r="J8" s="13"/>
      <c r="K8" s="13"/>
      <c r="L8" s="9"/>
      <c r="M8" s="13" t="s">
        <v>10</v>
      </c>
      <c r="P8" s="51" t="s">
        <v>346</v>
      </c>
      <c r="Q8" s="29">
        <f>(C7+C13)</f>
        <v>1133</v>
      </c>
      <c r="R8" s="15">
        <f>SUM(Q8/Q10)</f>
        <v>0.12501379234249144</v>
      </c>
      <c r="S8" s="18"/>
    </row>
    <row r="9" spans="1:19" s="2" customFormat="1" ht="16.5" customHeight="1" thickBot="1">
      <c r="A9" s="7" t="s">
        <v>291</v>
      </c>
      <c r="B9" s="8" t="s">
        <v>3</v>
      </c>
      <c r="C9" s="13">
        <v>663</v>
      </c>
      <c r="D9" s="13"/>
      <c r="E9" s="13"/>
      <c r="F9" s="13"/>
      <c r="G9" s="13"/>
      <c r="H9" s="13"/>
      <c r="I9" s="13"/>
      <c r="J9" s="13"/>
      <c r="K9" s="13"/>
      <c r="L9" s="13"/>
      <c r="M9" s="13"/>
      <c r="N9" s="9">
        <v>1116</v>
      </c>
      <c r="O9" s="11" t="s">
        <v>89</v>
      </c>
      <c r="P9" s="14" t="s">
        <v>14</v>
      </c>
      <c r="Q9" s="29">
        <f>(C10+C12+C14)</f>
        <v>1290</v>
      </c>
      <c r="R9" s="15">
        <f>SUM(Q9/Q10)</f>
        <v>0.14233697451175106</v>
      </c>
      <c r="S9" s="18">
        <v>1</v>
      </c>
    </row>
    <row r="10" spans="1:19" s="2" customFormat="1" ht="16.5" customHeight="1" thickBot="1">
      <c r="A10" s="7" t="s">
        <v>413</v>
      </c>
      <c r="B10" s="37" t="s">
        <v>11</v>
      </c>
      <c r="C10" s="13">
        <v>594</v>
      </c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9">
        <v>1172</v>
      </c>
      <c r="O10" s="11" t="s">
        <v>90</v>
      </c>
      <c r="Q10" s="28">
        <v>9063</v>
      </c>
    </row>
    <row r="11" spans="1:19" s="2" customFormat="1" ht="16.5" customHeight="1" thickBot="1">
      <c r="A11" s="16" t="s">
        <v>524</v>
      </c>
      <c r="B11" s="17" t="s">
        <v>3</v>
      </c>
      <c r="C11" s="13">
        <v>576</v>
      </c>
      <c r="D11" s="13"/>
      <c r="E11" s="13"/>
      <c r="F11" s="13"/>
      <c r="G11" s="13"/>
      <c r="H11" s="13"/>
      <c r="I11" s="13"/>
      <c r="J11" s="13"/>
      <c r="K11" s="13" t="s">
        <v>10</v>
      </c>
      <c r="L11" s="29"/>
      <c r="N11" s="29"/>
    </row>
    <row r="12" spans="1:19" s="2" customFormat="1" ht="16.5" customHeight="1" thickBot="1">
      <c r="A12" s="16" t="s">
        <v>518</v>
      </c>
      <c r="B12" s="33" t="s">
        <v>11</v>
      </c>
      <c r="C12" s="13">
        <v>457</v>
      </c>
      <c r="D12" s="13"/>
      <c r="E12" s="13"/>
      <c r="F12" s="13"/>
      <c r="G12" s="13"/>
      <c r="H12" s="13"/>
      <c r="I12" s="13"/>
      <c r="J12" s="13" t="s">
        <v>10</v>
      </c>
      <c r="K12" s="29"/>
      <c r="L12" s="29"/>
    </row>
    <row r="13" spans="1:19" s="2" customFormat="1" ht="16.5" customHeight="1" thickBot="1">
      <c r="A13" s="16" t="s">
        <v>516</v>
      </c>
      <c r="B13" s="52" t="s">
        <v>346</v>
      </c>
      <c r="C13" s="13">
        <v>431</v>
      </c>
      <c r="D13" s="13"/>
      <c r="E13" s="13"/>
      <c r="F13" s="13"/>
      <c r="G13" s="13"/>
      <c r="H13" s="13"/>
      <c r="I13" s="13"/>
      <c r="J13" s="13"/>
      <c r="K13" s="13"/>
      <c r="L13" s="13" t="s">
        <v>10</v>
      </c>
      <c r="M13" s="26"/>
      <c r="N13" s="29"/>
    </row>
    <row r="14" spans="1:19" s="2" customFormat="1" ht="16.5" customHeight="1" thickBot="1">
      <c r="A14" s="16" t="s">
        <v>519</v>
      </c>
      <c r="B14" s="33" t="s">
        <v>11</v>
      </c>
      <c r="C14" s="13">
        <v>239</v>
      </c>
      <c r="D14" s="13"/>
      <c r="E14" s="13"/>
      <c r="F14" s="13"/>
      <c r="G14" s="13"/>
      <c r="H14" s="13" t="s">
        <v>10</v>
      </c>
      <c r="I14" s="29"/>
      <c r="J14" s="28"/>
      <c r="K14" s="29"/>
      <c r="L14" s="29"/>
    </row>
    <row r="15" spans="1:19" s="2" customFormat="1" ht="16.5" customHeight="1" thickBot="1">
      <c r="A15" s="16" t="s">
        <v>520</v>
      </c>
      <c r="B15" s="117" t="s">
        <v>347</v>
      </c>
      <c r="C15" s="13">
        <v>230</v>
      </c>
      <c r="D15" s="13"/>
      <c r="E15" s="13"/>
      <c r="F15" s="13"/>
      <c r="G15" s="13" t="s">
        <v>10</v>
      </c>
      <c r="H15" s="29"/>
      <c r="I15" s="29"/>
      <c r="J15" s="28"/>
      <c r="K15" s="29"/>
      <c r="L15" s="29"/>
    </row>
    <row r="16" spans="1:19" s="2" customFormat="1" ht="16.5" customHeight="1" thickBot="1">
      <c r="A16" s="16" t="s">
        <v>366</v>
      </c>
      <c r="B16" s="22" t="s">
        <v>4</v>
      </c>
      <c r="C16" s="13">
        <v>205</v>
      </c>
      <c r="D16" s="13"/>
      <c r="E16" s="13"/>
      <c r="F16" s="13"/>
      <c r="G16" s="13"/>
      <c r="H16" s="13"/>
      <c r="I16" s="13" t="s">
        <v>10</v>
      </c>
      <c r="J16" s="29"/>
      <c r="K16" s="29"/>
      <c r="L16" s="29"/>
    </row>
    <row r="17" spans="1:15" s="2" customFormat="1" ht="16.5" customHeight="1" thickBot="1">
      <c r="A17" s="16" t="s">
        <v>523</v>
      </c>
      <c r="B17" s="22" t="s">
        <v>4</v>
      </c>
      <c r="C17" s="13">
        <v>158</v>
      </c>
      <c r="D17" s="13"/>
      <c r="E17" s="13"/>
      <c r="F17" s="13" t="s">
        <v>10</v>
      </c>
      <c r="G17" s="29"/>
      <c r="H17" s="29"/>
      <c r="I17" s="29"/>
      <c r="J17" s="29"/>
      <c r="K17" s="29"/>
      <c r="L17" s="29"/>
    </row>
    <row r="18" spans="1:15" s="2" customFormat="1" ht="16.5" customHeight="1" thickBot="1">
      <c r="A18" s="16" t="s">
        <v>525</v>
      </c>
      <c r="B18" s="17" t="s">
        <v>3</v>
      </c>
      <c r="C18" s="13">
        <v>120</v>
      </c>
      <c r="D18" s="13"/>
      <c r="E18" s="13" t="s">
        <v>10</v>
      </c>
      <c r="F18" s="29"/>
      <c r="G18" s="29"/>
      <c r="H18" s="29"/>
      <c r="I18" s="29"/>
      <c r="J18" s="29"/>
      <c r="K18" s="29"/>
      <c r="L18" s="29"/>
    </row>
    <row r="19" spans="1:15" s="2" customFormat="1" ht="12.75" customHeight="1">
      <c r="A19" s="1"/>
      <c r="C19" s="20"/>
      <c r="D19" s="29"/>
      <c r="E19" s="29"/>
      <c r="F19" s="29"/>
      <c r="G19" s="29"/>
      <c r="H19" s="29"/>
    </row>
    <row r="20" spans="1:15" s="2" customFormat="1" ht="17.45" customHeight="1">
      <c r="A20" s="1" t="s">
        <v>526</v>
      </c>
    </row>
    <row r="21" spans="1:15" s="2" customFormat="1" ht="10.5" customHeight="1" thickBot="1">
      <c r="A21" s="1"/>
    </row>
    <row r="22" spans="1:15" s="2" customFormat="1" ht="16.5" customHeight="1" thickBot="1">
      <c r="A22" s="4" t="s">
        <v>0</v>
      </c>
      <c r="B22" s="5" t="s">
        <v>1</v>
      </c>
      <c r="C22" s="5" t="s">
        <v>2</v>
      </c>
      <c r="D22" s="5">
        <v>2</v>
      </c>
      <c r="E22" s="5">
        <v>3</v>
      </c>
      <c r="F22" s="5">
        <v>4</v>
      </c>
      <c r="G22" s="5">
        <v>5</v>
      </c>
      <c r="H22" s="5">
        <v>6</v>
      </c>
      <c r="I22" s="5">
        <v>7</v>
      </c>
      <c r="J22" s="5">
        <v>8</v>
      </c>
      <c r="K22" s="6"/>
      <c r="L22" s="14" t="s">
        <v>6</v>
      </c>
      <c r="M22" s="15">
        <f>(7957/13241)</f>
        <v>0.60093648515973119</v>
      </c>
    </row>
    <row r="23" spans="1:15" s="2" customFormat="1" ht="16.5" customHeight="1" thickBot="1">
      <c r="A23" s="7" t="s">
        <v>831</v>
      </c>
      <c r="B23" s="8" t="s">
        <v>3</v>
      </c>
      <c r="C23" s="9">
        <v>1556</v>
      </c>
      <c r="D23" s="13"/>
      <c r="E23" s="13"/>
      <c r="F23" s="13"/>
      <c r="G23" s="13"/>
      <c r="H23" s="13"/>
      <c r="I23" s="13"/>
      <c r="J23" s="13"/>
      <c r="K23" s="11" t="s">
        <v>85</v>
      </c>
      <c r="L23" s="18"/>
      <c r="M23" s="14" t="s">
        <v>7</v>
      </c>
      <c r="N23" s="14" t="s">
        <v>8</v>
      </c>
      <c r="O23" s="14" t="s">
        <v>9</v>
      </c>
    </row>
    <row r="24" spans="1:15" s="2" customFormat="1" ht="16.5" customHeight="1" thickBot="1">
      <c r="A24" s="7" t="s">
        <v>478</v>
      </c>
      <c r="B24" s="103" t="s">
        <v>346</v>
      </c>
      <c r="C24" s="13">
        <v>1209</v>
      </c>
      <c r="D24" s="13"/>
      <c r="E24" s="13"/>
      <c r="F24" s="9"/>
      <c r="G24" s="13"/>
      <c r="H24" s="9"/>
      <c r="I24" s="13"/>
      <c r="J24" s="9" t="s">
        <v>199</v>
      </c>
      <c r="K24" s="11" t="s">
        <v>90</v>
      </c>
      <c r="L24" s="19" t="s">
        <v>3</v>
      </c>
      <c r="M24" s="20">
        <f>(C23+C27+C29+C30)</f>
        <v>3233</v>
      </c>
      <c r="N24" s="21">
        <f>SUM(M24/M28)</f>
        <v>0.40630891039336431</v>
      </c>
      <c r="O24" s="18">
        <v>2</v>
      </c>
    </row>
    <row r="25" spans="1:15" s="2" customFormat="1" ht="16.5" customHeight="1" thickBot="1">
      <c r="A25" s="7" t="s">
        <v>402</v>
      </c>
      <c r="B25" s="103" t="s">
        <v>346</v>
      </c>
      <c r="C25" s="13">
        <v>1008</v>
      </c>
      <c r="D25" s="13"/>
      <c r="E25" s="13"/>
      <c r="F25" s="13"/>
      <c r="G25" s="13"/>
      <c r="H25" s="9">
        <v>1364</v>
      </c>
      <c r="I25" s="9"/>
      <c r="J25" s="13"/>
      <c r="K25" s="11" t="s">
        <v>86</v>
      </c>
      <c r="L25" s="23" t="s">
        <v>4</v>
      </c>
      <c r="M25" s="20">
        <f>(C26+C33)</f>
        <v>1160</v>
      </c>
      <c r="N25" s="21">
        <f>SUM(M25/M28)</f>
        <v>0.1457835867789368</v>
      </c>
      <c r="O25" s="18">
        <v>1</v>
      </c>
    </row>
    <row r="26" spans="1:15" s="2" customFormat="1" ht="16.5" customHeight="1" thickBot="1">
      <c r="A26" s="7" t="s">
        <v>532</v>
      </c>
      <c r="B26" s="12" t="s">
        <v>4</v>
      </c>
      <c r="C26" s="13">
        <v>922</v>
      </c>
      <c r="D26" s="13"/>
      <c r="E26" s="13"/>
      <c r="F26" s="13"/>
      <c r="G26" s="13"/>
      <c r="H26" s="13"/>
      <c r="I26" s="13"/>
      <c r="J26" s="9" t="s">
        <v>199</v>
      </c>
      <c r="K26" s="11" t="s">
        <v>89</v>
      </c>
      <c r="L26" s="51" t="s">
        <v>346</v>
      </c>
      <c r="M26" s="29">
        <f>(C24+C25+C28+C32)</f>
        <v>3212</v>
      </c>
      <c r="N26" s="15">
        <f>SUM(M26/M28)</f>
        <v>0.40366972477064222</v>
      </c>
      <c r="O26" s="18">
        <v>2</v>
      </c>
    </row>
    <row r="27" spans="1:15" s="2" customFormat="1" ht="16.5" customHeight="1" thickBot="1">
      <c r="A27" s="7" t="s">
        <v>531</v>
      </c>
      <c r="B27" s="8" t="s">
        <v>3</v>
      </c>
      <c r="C27" s="13">
        <v>788</v>
      </c>
      <c r="D27" s="13"/>
      <c r="E27" s="13"/>
      <c r="F27" s="13"/>
      <c r="G27" s="13"/>
      <c r="H27" s="13"/>
      <c r="I27" s="13"/>
      <c r="J27" s="9" t="s">
        <v>199</v>
      </c>
      <c r="K27" s="11" t="s">
        <v>87</v>
      </c>
      <c r="L27" s="24" t="s">
        <v>12</v>
      </c>
      <c r="M27" s="29">
        <v>352</v>
      </c>
      <c r="N27" s="15">
        <f>SUM(M27/M28)</f>
        <v>4.4237778057056677E-2</v>
      </c>
      <c r="O27" s="18"/>
    </row>
    <row r="28" spans="1:15" s="2" customFormat="1" ht="16.5" customHeight="1" thickBot="1">
      <c r="A28" s="16" t="s">
        <v>527</v>
      </c>
      <c r="B28" s="52" t="s">
        <v>346</v>
      </c>
      <c r="C28" s="13">
        <v>691</v>
      </c>
      <c r="D28" s="13"/>
      <c r="E28" s="13"/>
      <c r="F28" s="13"/>
      <c r="G28" s="13"/>
      <c r="H28" s="13"/>
      <c r="I28" s="13"/>
      <c r="J28" s="9"/>
      <c r="K28" s="11"/>
      <c r="L28" s="14"/>
      <c r="M28" s="28">
        <v>7957</v>
      </c>
      <c r="N28" s="15"/>
      <c r="O28" s="18"/>
    </row>
    <row r="29" spans="1:15" s="2" customFormat="1" ht="16.5" customHeight="1" thickBot="1">
      <c r="A29" s="16" t="s">
        <v>529</v>
      </c>
      <c r="B29" s="17" t="s">
        <v>3</v>
      </c>
      <c r="C29" s="13">
        <v>508</v>
      </c>
      <c r="D29" s="13"/>
      <c r="E29" s="13"/>
      <c r="F29" s="13"/>
      <c r="G29" s="13"/>
      <c r="H29" s="13"/>
      <c r="I29" s="13"/>
      <c r="J29" s="13" t="s">
        <v>10</v>
      </c>
    </row>
    <row r="30" spans="1:15" s="2" customFormat="1" ht="16.5" customHeight="1" thickBot="1">
      <c r="A30" s="16" t="s">
        <v>530</v>
      </c>
      <c r="B30" s="17" t="s">
        <v>3</v>
      </c>
      <c r="C30" s="13">
        <v>381</v>
      </c>
      <c r="D30" s="13"/>
      <c r="E30" s="13"/>
      <c r="F30" s="13"/>
      <c r="G30" s="13"/>
      <c r="H30" s="13" t="s">
        <v>10</v>
      </c>
      <c r="I30" s="29"/>
    </row>
    <row r="31" spans="1:15" s="2" customFormat="1" ht="16.5" customHeight="1" thickBot="1">
      <c r="A31" s="16" t="s">
        <v>534</v>
      </c>
      <c r="B31" s="106" t="s">
        <v>12</v>
      </c>
      <c r="C31" s="13">
        <v>352</v>
      </c>
      <c r="D31" s="13"/>
      <c r="E31" s="13"/>
      <c r="F31" s="13"/>
      <c r="G31" s="13" t="s">
        <v>10</v>
      </c>
      <c r="H31" s="29"/>
      <c r="I31" s="29"/>
    </row>
    <row r="32" spans="1:15" s="2" customFormat="1" ht="16.5" customHeight="1" thickBot="1">
      <c r="A32" s="16" t="s">
        <v>528</v>
      </c>
      <c r="B32" s="52" t="s">
        <v>346</v>
      </c>
      <c r="C32" s="13">
        <v>304</v>
      </c>
      <c r="D32" s="13"/>
      <c r="E32" s="13"/>
      <c r="F32" s="13" t="s">
        <v>10</v>
      </c>
      <c r="G32" s="29"/>
      <c r="H32" s="29"/>
      <c r="I32" s="29"/>
      <c r="J32" s="29"/>
    </row>
    <row r="33" spans="1:22" s="2" customFormat="1" ht="16.5" customHeight="1" thickBot="1">
      <c r="A33" s="16" t="s">
        <v>533</v>
      </c>
      <c r="B33" s="22" t="s">
        <v>4</v>
      </c>
      <c r="C33" s="13">
        <v>238</v>
      </c>
      <c r="D33" s="13"/>
      <c r="E33" s="13" t="s">
        <v>10</v>
      </c>
      <c r="G33" s="29"/>
      <c r="H33" s="29"/>
      <c r="I33" s="29"/>
      <c r="J33" s="29"/>
      <c r="K33" s="29"/>
    </row>
    <row r="34" spans="1:22" s="2" customFormat="1" ht="13.5" customHeight="1">
      <c r="A34" s="35"/>
      <c r="B34" s="36"/>
      <c r="C34" s="40"/>
      <c r="D34" s="40"/>
      <c r="E34" s="40"/>
      <c r="F34" s="40"/>
      <c r="G34" s="40"/>
      <c r="H34" s="40"/>
      <c r="I34" s="40"/>
    </row>
    <row r="35" spans="1:22" s="2" customFormat="1" ht="17.45" customHeight="1">
      <c r="A35" s="1" t="s">
        <v>535</v>
      </c>
    </row>
    <row r="36" spans="1:22" s="2" customFormat="1" ht="8.25" customHeight="1" thickBot="1">
      <c r="A36" s="1"/>
    </row>
    <row r="37" spans="1:22" s="2" customFormat="1" ht="17.45" customHeight="1" thickBot="1">
      <c r="A37" s="4" t="s">
        <v>0</v>
      </c>
      <c r="B37" s="5" t="s">
        <v>1</v>
      </c>
      <c r="C37" s="5" t="s">
        <v>2</v>
      </c>
      <c r="D37" s="5">
        <v>2</v>
      </c>
      <c r="E37" s="5">
        <v>3</v>
      </c>
      <c r="F37" s="5">
        <v>4</v>
      </c>
      <c r="G37" s="5">
        <v>5</v>
      </c>
      <c r="H37" s="5">
        <v>6</v>
      </c>
      <c r="I37" s="5">
        <v>7</v>
      </c>
      <c r="J37" s="5">
        <v>8</v>
      </c>
      <c r="K37" s="5">
        <v>9</v>
      </c>
      <c r="L37" s="5">
        <v>10</v>
      </c>
      <c r="M37" s="5">
        <v>11</v>
      </c>
      <c r="N37" s="5">
        <v>12</v>
      </c>
      <c r="O37" s="5">
        <v>13</v>
      </c>
      <c r="P37" s="5">
        <v>14</v>
      </c>
      <c r="Q37" s="5"/>
      <c r="R37" s="14" t="s">
        <v>6</v>
      </c>
      <c r="S37" s="50">
        <f>(11493/20993)</f>
        <v>0.54746820368694327</v>
      </c>
    </row>
    <row r="38" spans="1:22" s="2" customFormat="1" ht="17.45" customHeight="1" thickBot="1">
      <c r="A38" s="7" t="s">
        <v>405</v>
      </c>
      <c r="B38" s="103" t="s">
        <v>346</v>
      </c>
      <c r="C38" s="13">
        <v>1356</v>
      </c>
      <c r="D38" s="13"/>
      <c r="E38" s="13"/>
      <c r="F38" s="9">
        <v>1439</v>
      </c>
      <c r="G38" s="13"/>
      <c r="H38" s="9"/>
      <c r="I38" s="13"/>
      <c r="J38" s="13"/>
      <c r="K38" s="13"/>
      <c r="L38" s="13"/>
      <c r="M38" s="13"/>
      <c r="N38" s="13"/>
      <c r="O38" s="13"/>
      <c r="P38" s="13"/>
      <c r="Q38" s="11" t="s">
        <v>85</v>
      </c>
      <c r="R38" s="18"/>
      <c r="S38" s="14" t="s">
        <v>7</v>
      </c>
      <c r="T38" s="14" t="s">
        <v>8</v>
      </c>
      <c r="U38" s="14" t="s">
        <v>9</v>
      </c>
    </row>
    <row r="39" spans="1:22" s="2" customFormat="1" ht="17.45" customHeight="1" thickBot="1">
      <c r="A39" s="7" t="s">
        <v>406</v>
      </c>
      <c r="B39" s="8" t="s">
        <v>3</v>
      </c>
      <c r="C39" s="13">
        <v>1110</v>
      </c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9" t="s">
        <v>199</v>
      </c>
      <c r="P39" s="13"/>
      <c r="Q39" s="11" t="s">
        <v>90</v>
      </c>
      <c r="R39" s="19" t="s">
        <v>3</v>
      </c>
      <c r="S39" s="20">
        <f>(C39+C43+C44+C46+C48)</f>
        <v>3972</v>
      </c>
      <c r="T39" s="21">
        <f>SUM(S39/S44)</f>
        <v>0.34934036939313984</v>
      </c>
      <c r="U39" s="18">
        <v>3</v>
      </c>
    </row>
    <row r="40" spans="1:22" s="2" customFormat="1" ht="17.45" customHeight="1" thickBot="1">
      <c r="A40" s="7" t="s">
        <v>545</v>
      </c>
      <c r="B40" s="12" t="s">
        <v>4</v>
      </c>
      <c r="C40" s="13">
        <v>986</v>
      </c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9" t="s">
        <v>199</v>
      </c>
      <c r="P40" s="9"/>
      <c r="Q40" s="11" t="s">
        <v>87</v>
      </c>
      <c r="R40" s="23" t="s">
        <v>4</v>
      </c>
      <c r="S40" s="20">
        <f>(C40+C41+C45+C50)</f>
        <v>3175</v>
      </c>
      <c r="T40" s="21">
        <f>SUM(S40/S44)</f>
        <v>0.27924362357080035</v>
      </c>
      <c r="U40" s="18">
        <v>3</v>
      </c>
    </row>
    <row r="41" spans="1:22" s="2" customFormat="1" ht="17.45" customHeight="1" thickBot="1">
      <c r="A41" s="7" t="s">
        <v>544</v>
      </c>
      <c r="B41" s="12" t="s">
        <v>4</v>
      </c>
      <c r="C41" s="13">
        <v>961</v>
      </c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9" t="s">
        <v>199</v>
      </c>
      <c r="Q41" s="11" t="s">
        <v>89</v>
      </c>
      <c r="R41" s="51" t="s">
        <v>346</v>
      </c>
      <c r="S41" s="29">
        <f>(C38+C42+C47+C49+C52+C53)</f>
        <v>3823</v>
      </c>
      <c r="T41" s="15">
        <f>SUM(S41/S44)</f>
        <v>0.33623570800351804</v>
      </c>
      <c r="U41" s="2">
        <v>1</v>
      </c>
    </row>
    <row r="42" spans="1:22" s="2" customFormat="1" ht="17.45" customHeight="1" thickBot="1">
      <c r="A42" s="16" t="s">
        <v>536</v>
      </c>
      <c r="B42" s="52" t="s">
        <v>346</v>
      </c>
      <c r="C42" s="13">
        <v>891</v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1"/>
      <c r="R42" s="118" t="s">
        <v>12</v>
      </c>
      <c r="S42" s="29">
        <v>107</v>
      </c>
      <c r="T42" s="15">
        <f>SUM(S42/S44)</f>
        <v>9.4107299912049251E-3</v>
      </c>
      <c r="U42" s="18"/>
    </row>
    <row r="43" spans="1:22" s="2" customFormat="1" ht="17.45" customHeight="1" thickBot="1">
      <c r="A43" s="7" t="s">
        <v>408</v>
      </c>
      <c r="B43" s="8" t="s">
        <v>3</v>
      </c>
      <c r="C43" s="13">
        <v>822</v>
      </c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9" t="s">
        <v>199</v>
      </c>
      <c r="Q43" s="11" t="s">
        <v>88</v>
      </c>
      <c r="R43" s="43" t="s">
        <v>14</v>
      </c>
      <c r="S43" s="29">
        <f>(C51+C54)</f>
        <v>493</v>
      </c>
      <c r="T43" s="15">
        <f>SUM(S43/S44)</f>
        <v>4.3359718557607736E-2</v>
      </c>
    </row>
    <row r="44" spans="1:22" s="2" customFormat="1" ht="17.45" customHeight="1" thickBot="1">
      <c r="A44" s="7" t="s">
        <v>409</v>
      </c>
      <c r="B44" s="8" t="s">
        <v>3</v>
      </c>
      <c r="C44" s="13">
        <v>797</v>
      </c>
      <c r="D44" s="13"/>
      <c r="E44" s="13"/>
      <c r="F44" s="13"/>
      <c r="G44" s="13"/>
      <c r="H44" s="13"/>
      <c r="I44" s="13"/>
      <c r="J44" s="13"/>
      <c r="K44" s="13"/>
      <c r="L44" s="13"/>
      <c r="M44" s="9">
        <v>1495</v>
      </c>
      <c r="N44" s="13"/>
      <c r="O44" s="13"/>
      <c r="P44" s="13"/>
      <c r="Q44" s="9" t="s">
        <v>86</v>
      </c>
      <c r="R44" s="24"/>
      <c r="S44" s="28">
        <v>11370</v>
      </c>
      <c r="T44" s="15"/>
    </row>
    <row r="45" spans="1:22" s="2" customFormat="1" ht="17.45" customHeight="1" thickBot="1">
      <c r="A45" s="7" t="s">
        <v>546</v>
      </c>
      <c r="B45" s="12" t="s">
        <v>4</v>
      </c>
      <c r="C45" s="13">
        <v>789</v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9" t="s">
        <v>199</v>
      </c>
      <c r="Q45" s="11" t="s">
        <v>111</v>
      </c>
      <c r="S45" s="18"/>
      <c r="T45" s="14"/>
      <c r="U45" s="14"/>
      <c r="V45" s="14"/>
    </row>
    <row r="46" spans="1:22" s="2" customFormat="1" ht="17.45" customHeight="1" thickBot="1">
      <c r="A46" s="16" t="s">
        <v>543</v>
      </c>
      <c r="B46" s="17" t="s">
        <v>3</v>
      </c>
      <c r="C46" s="13">
        <v>764</v>
      </c>
      <c r="D46" s="13"/>
      <c r="E46" s="13"/>
      <c r="F46" s="13"/>
      <c r="G46" s="13"/>
      <c r="H46" s="13"/>
      <c r="I46" s="13"/>
      <c r="J46" s="13"/>
      <c r="K46" s="13"/>
      <c r="L46" s="13"/>
      <c r="M46" s="13" t="s">
        <v>10</v>
      </c>
      <c r="N46" s="29"/>
      <c r="O46" s="29"/>
      <c r="P46" s="29"/>
      <c r="R46" s="19"/>
      <c r="S46" s="20"/>
      <c r="T46" s="21"/>
      <c r="U46" s="18"/>
    </row>
    <row r="47" spans="1:22" s="2" customFormat="1" ht="17.45" customHeight="1" thickBot="1">
      <c r="A47" s="16" t="s">
        <v>537</v>
      </c>
      <c r="B47" s="52" t="s">
        <v>346</v>
      </c>
      <c r="C47" s="13">
        <v>499</v>
      </c>
      <c r="D47" s="13"/>
      <c r="E47" s="13"/>
      <c r="F47" s="13"/>
      <c r="G47" s="13"/>
      <c r="H47" s="13"/>
      <c r="I47" s="13"/>
      <c r="J47" s="13"/>
      <c r="K47" s="13"/>
      <c r="L47" s="13" t="s">
        <v>10</v>
      </c>
      <c r="R47" s="23"/>
      <c r="S47" s="20"/>
      <c r="T47" s="21"/>
      <c r="U47" s="18"/>
    </row>
    <row r="48" spans="1:22" s="2" customFormat="1" ht="17.45" customHeight="1" thickBot="1">
      <c r="A48" s="16" t="s">
        <v>382</v>
      </c>
      <c r="B48" s="17" t="s">
        <v>3</v>
      </c>
      <c r="C48" s="13">
        <v>479</v>
      </c>
      <c r="D48" s="13"/>
      <c r="E48" s="13"/>
      <c r="F48" s="13"/>
      <c r="G48" s="13"/>
      <c r="H48" s="13"/>
      <c r="I48" s="13"/>
      <c r="J48" s="13" t="s">
        <v>10</v>
      </c>
      <c r="K48" s="29"/>
      <c r="L48" s="119"/>
      <c r="M48" s="20"/>
      <c r="N48" s="29"/>
      <c r="O48" s="29"/>
      <c r="P48" s="29"/>
    </row>
    <row r="49" spans="1:18" s="2" customFormat="1" ht="17.45" customHeight="1" thickBot="1">
      <c r="A49" s="16" t="s">
        <v>312</v>
      </c>
      <c r="B49" s="52" t="s">
        <v>346</v>
      </c>
      <c r="C49" s="13">
        <v>466</v>
      </c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 t="s">
        <v>10</v>
      </c>
      <c r="P49" s="105"/>
      <c r="Q49" s="15"/>
    </row>
    <row r="50" spans="1:18" s="2" customFormat="1" ht="17.45" customHeight="1" thickBot="1">
      <c r="A50" s="16" t="s">
        <v>547</v>
      </c>
      <c r="B50" s="22" t="s">
        <v>4</v>
      </c>
      <c r="C50" s="13">
        <v>439</v>
      </c>
      <c r="D50" s="13"/>
      <c r="E50" s="13"/>
      <c r="F50" s="13"/>
      <c r="G50" s="13"/>
      <c r="H50" s="13"/>
      <c r="I50" s="13"/>
      <c r="J50" s="13"/>
      <c r="K50" s="13" t="s">
        <v>10</v>
      </c>
      <c r="L50" s="29"/>
      <c r="M50" s="29"/>
      <c r="N50" s="29"/>
      <c r="O50" s="29"/>
      <c r="P50" s="29"/>
      <c r="R50" s="15"/>
    </row>
    <row r="51" spans="1:18" s="2" customFormat="1" ht="17.45" customHeight="1" thickBot="1">
      <c r="A51" s="16" t="s">
        <v>541</v>
      </c>
      <c r="B51" s="33" t="s">
        <v>11</v>
      </c>
      <c r="C51" s="13">
        <v>365</v>
      </c>
      <c r="D51" s="13"/>
      <c r="E51" s="13"/>
      <c r="F51" s="13"/>
      <c r="G51" s="9"/>
      <c r="H51" s="13"/>
      <c r="I51" s="13" t="s">
        <v>10</v>
      </c>
      <c r="J51" s="29"/>
      <c r="K51" s="29"/>
      <c r="L51" s="29"/>
      <c r="M51" s="29"/>
      <c r="N51" s="29"/>
      <c r="O51" s="67"/>
      <c r="P51" s="20"/>
      <c r="Q51" s="18"/>
    </row>
    <row r="52" spans="1:18" s="2" customFormat="1" ht="17.45" customHeight="1" thickBot="1">
      <c r="A52" s="16" t="s">
        <v>540</v>
      </c>
      <c r="B52" s="52" t="s">
        <v>346</v>
      </c>
      <c r="C52" s="13">
        <v>341</v>
      </c>
      <c r="D52" s="13"/>
      <c r="E52" s="13"/>
      <c r="F52" s="13"/>
      <c r="G52" s="9"/>
      <c r="H52" s="13" t="s">
        <v>10</v>
      </c>
      <c r="I52" s="29"/>
      <c r="J52" s="29"/>
      <c r="K52" s="29"/>
      <c r="L52" s="29"/>
      <c r="M52" s="29"/>
      <c r="N52" s="29"/>
      <c r="O52" s="68"/>
      <c r="P52" s="20"/>
      <c r="Q52" s="18"/>
    </row>
    <row r="53" spans="1:18" s="2" customFormat="1" ht="17.45" customHeight="1" thickBot="1">
      <c r="A53" s="16" t="s">
        <v>538</v>
      </c>
      <c r="B53" s="52" t="s">
        <v>346</v>
      </c>
      <c r="C53" s="13">
        <v>270</v>
      </c>
      <c r="D53" s="13"/>
      <c r="E53" s="13"/>
      <c r="F53" s="13" t="s">
        <v>10</v>
      </c>
      <c r="G53" s="29"/>
      <c r="H53" s="29"/>
      <c r="I53" s="29"/>
      <c r="J53" s="29"/>
      <c r="K53" s="29"/>
      <c r="L53" s="29"/>
      <c r="M53" s="29"/>
      <c r="N53" s="29"/>
      <c r="O53" s="29"/>
    </row>
    <row r="54" spans="1:18" s="2" customFormat="1" ht="17.45" customHeight="1" thickBot="1">
      <c r="A54" s="16" t="s">
        <v>542</v>
      </c>
      <c r="B54" s="33" t="s">
        <v>11</v>
      </c>
      <c r="C54" s="13">
        <v>128</v>
      </c>
      <c r="D54" s="13"/>
      <c r="E54" s="13" t="s">
        <v>10</v>
      </c>
      <c r="F54" s="29"/>
      <c r="G54" s="29"/>
      <c r="H54" s="29"/>
      <c r="I54" s="29"/>
      <c r="J54" s="29"/>
      <c r="K54" s="29"/>
      <c r="L54" s="29"/>
      <c r="M54" s="29"/>
      <c r="N54" s="29"/>
      <c r="O54" s="105"/>
      <c r="P54" s="29"/>
      <c r="Q54" s="15"/>
    </row>
    <row r="55" spans="1:18" s="2" customFormat="1" ht="17.45" customHeight="1" thickBot="1">
      <c r="A55" s="16" t="s">
        <v>539</v>
      </c>
      <c r="B55" s="106" t="s">
        <v>12</v>
      </c>
      <c r="C55" s="13">
        <v>107</v>
      </c>
      <c r="D55" s="13" t="s">
        <v>10</v>
      </c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14"/>
      <c r="R55" s="15"/>
    </row>
    <row r="56" spans="1:18"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</row>
    <row r="57" spans="1:18" s="2" customFormat="1" ht="17.45" customHeight="1">
      <c r="A57" s="1" t="s">
        <v>548</v>
      </c>
    </row>
    <row r="58" spans="1:18" s="2" customFormat="1" ht="10.5" customHeight="1" thickBot="1">
      <c r="A58" s="1"/>
    </row>
    <row r="59" spans="1:18" s="2" customFormat="1" ht="16.5" customHeight="1" thickBot="1">
      <c r="A59" s="4" t="s">
        <v>0</v>
      </c>
      <c r="B59" s="5" t="s">
        <v>1</v>
      </c>
      <c r="C59" s="5" t="s">
        <v>2</v>
      </c>
      <c r="D59" s="5">
        <v>2</v>
      </c>
      <c r="E59" s="5">
        <v>3</v>
      </c>
      <c r="F59" s="5">
        <v>4</v>
      </c>
      <c r="G59" s="5">
        <v>5</v>
      </c>
      <c r="H59" s="5">
        <v>6</v>
      </c>
      <c r="I59" s="5">
        <v>7</v>
      </c>
      <c r="J59" s="6"/>
      <c r="K59" s="14" t="s">
        <v>6</v>
      </c>
      <c r="L59" s="15">
        <f>(7562/13873)</f>
        <v>0.54508758019173931</v>
      </c>
    </row>
    <row r="60" spans="1:18" s="2" customFormat="1" ht="16.5" customHeight="1" thickBot="1">
      <c r="A60" s="7" t="s">
        <v>466</v>
      </c>
      <c r="B60" s="8" t="s">
        <v>3</v>
      </c>
      <c r="C60" s="9">
        <v>1288</v>
      </c>
      <c r="D60" s="9"/>
      <c r="E60" s="9"/>
      <c r="F60" s="13"/>
      <c r="G60" s="9"/>
      <c r="H60" s="13"/>
      <c r="I60" s="13"/>
      <c r="J60" s="11" t="s">
        <v>85</v>
      </c>
      <c r="K60" s="18"/>
      <c r="L60" s="14" t="s">
        <v>7</v>
      </c>
      <c r="M60" s="14" t="s">
        <v>8</v>
      </c>
      <c r="N60" s="14" t="s">
        <v>9</v>
      </c>
    </row>
    <row r="61" spans="1:18" s="2" customFormat="1" ht="16.5" customHeight="1" thickBot="1">
      <c r="A61" s="7" t="s">
        <v>400</v>
      </c>
      <c r="B61" s="103" t="s">
        <v>346</v>
      </c>
      <c r="C61" s="9">
        <v>1285</v>
      </c>
      <c r="D61" s="13"/>
      <c r="E61" s="9"/>
      <c r="F61" s="13"/>
      <c r="G61" s="13"/>
      <c r="H61" s="13"/>
      <c r="I61" s="13"/>
      <c r="J61" s="11" t="s">
        <v>86</v>
      </c>
      <c r="K61" s="19" t="s">
        <v>3</v>
      </c>
      <c r="L61" s="20">
        <f>(C60+C66+C68)</f>
        <v>2265</v>
      </c>
      <c r="M61" s="21">
        <f>SUM(L61/L65)</f>
        <v>0.29952393546680772</v>
      </c>
      <c r="N61" s="18">
        <v>1</v>
      </c>
    </row>
    <row r="62" spans="1:18" s="2" customFormat="1" ht="16.5" customHeight="1" thickBot="1">
      <c r="A62" s="7" t="s">
        <v>318</v>
      </c>
      <c r="B62" s="103" t="s">
        <v>346</v>
      </c>
      <c r="C62" s="13">
        <v>1245</v>
      </c>
      <c r="D62" s="13"/>
      <c r="E62" s="9" t="s">
        <v>199</v>
      </c>
      <c r="F62" s="13"/>
      <c r="G62" s="13"/>
      <c r="H62" s="13"/>
      <c r="I62" s="13"/>
      <c r="J62" s="11" t="s">
        <v>87</v>
      </c>
      <c r="K62" s="23" t="s">
        <v>4</v>
      </c>
      <c r="L62" s="20">
        <f>(C63+C67)</f>
        <v>1127</v>
      </c>
      <c r="M62" s="21">
        <f>SUM(L62/L65)</f>
        <v>0.14903464691880455</v>
      </c>
      <c r="N62" s="18">
        <v>1</v>
      </c>
    </row>
    <row r="63" spans="1:18" s="2" customFormat="1" ht="16.5" customHeight="1" thickBot="1">
      <c r="A63" s="7" t="s">
        <v>572</v>
      </c>
      <c r="B63" s="12" t="s">
        <v>4</v>
      </c>
      <c r="C63" s="13">
        <v>715</v>
      </c>
      <c r="D63" s="13"/>
      <c r="E63" s="13"/>
      <c r="F63" s="13"/>
      <c r="G63" s="13"/>
      <c r="H63" s="13"/>
      <c r="I63" s="9" t="s">
        <v>199</v>
      </c>
      <c r="J63" s="11" t="s">
        <v>90</v>
      </c>
      <c r="K63" s="51" t="s">
        <v>346</v>
      </c>
      <c r="L63" s="29">
        <f>(C61+C62+C64+C65)</f>
        <v>3824</v>
      </c>
      <c r="M63" s="15">
        <f>SUM(L63/L65)</f>
        <v>0.50568632636868549</v>
      </c>
      <c r="N63" s="18">
        <v>3</v>
      </c>
    </row>
    <row r="64" spans="1:18" s="2" customFormat="1" ht="16.5" customHeight="1" thickBot="1">
      <c r="A64" s="7" t="s">
        <v>323</v>
      </c>
      <c r="B64" s="103" t="s">
        <v>346</v>
      </c>
      <c r="C64" s="13">
        <v>698</v>
      </c>
      <c r="D64" s="13"/>
      <c r="E64" s="13"/>
      <c r="F64" s="13"/>
      <c r="G64" s="13"/>
      <c r="H64" s="13"/>
      <c r="I64" s="9" t="s">
        <v>199</v>
      </c>
      <c r="J64" s="11" t="s">
        <v>89</v>
      </c>
      <c r="K64" s="26" t="s">
        <v>13</v>
      </c>
      <c r="L64" s="18">
        <v>346</v>
      </c>
      <c r="M64" s="21">
        <f>SUM(L64/L65)</f>
        <v>4.5755091245702192E-2</v>
      </c>
    </row>
    <row r="65" spans="1:16" s="2" customFormat="1" ht="16.5" customHeight="1" thickBot="1">
      <c r="A65" s="16" t="s">
        <v>319</v>
      </c>
      <c r="B65" s="52" t="s">
        <v>346</v>
      </c>
      <c r="C65" s="13">
        <v>596</v>
      </c>
      <c r="D65" s="13"/>
      <c r="E65" s="13"/>
      <c r="F65" s="13"/>
      <c r="G65" s="13"/>
      <c r="H65" s="13"/>
      <c r="I65" s="13" t="s">
        <v>10</v>
      </c>
      <c r="K65" s="26"/>
      <c r="L65" s="28">
        <v>7562</v>
      </c>
      <c r="M65" s="15"/>
      <c r="N65" s="18"/>
    </row>
    <row r="66" spans="1:16" s="2" customFormat="1" ht="16.5" customHeight="1" thickBot="1">
      <c r="A66" s="16" t="s">
        <v>551</v>
      </c>
      <c r="B66" s="17" t="s">
        <v>3</v>
      </c>
      <c r="C66" s="13">
        <v>584</v>
      </c>
      <c r="D66" s="13"/>
      <c r="E66" s="13"/>
      <c r="F66" s="13"/>
      <c r="G66" s="13"/>
      <c r="H66" s="13"/>
      <c r="I66" s="13"/>
      <c r="J66" s="11"/>
    </row>
    <row r="67" spans="1:16" s="2" customFormat="1" ht="16.5" customHeight="1" thickBot="1">
      <c r="A67" s="16" t="s">
        <v>550</v>
      </c>
      <c r="B67" s="22" t="s">
        <v>4</v>
      </c>
      <c r="C67" s="13">
        <v>412</v>
      </c>
      <c r="D67" s="13"/>
      <c r="E67" s="13"/>
      <c r="F67" s="13"/>
      <c r="G67" s="13"/>
      <c r="H67" s="13" t="s">
        <v>10</v>
      </c>
    </row>
    <row r="68" spans="1:16" s="2" customFormat="1" ht="16.5" customHeight="1" thickBot="1">
      <c r="A68" s="16" t="s">
        <v>549</v>
      </c>
      <c r="B68" s="17" t="s">
        <v>3</v>
      </c>
      <c r="C68" s="13">
        <v>393</v>
      </c>
      <c r="D68" s="13"/>
      <c r="E68" s="13"/>
      <c r="F68" s="13"/>
      <c r="G68" s="13" t="s">
        <v>10</v>
      </c>
    </row>
    <row r="69" spans="1:16" s="2" customFormat="1" ht="16.5" customHeight="1" thickBot="1">
      <c r="A69" s="16" t="s">
        <v>552</v>
      </c>
      <c r="B69" s="61" t="s">
        <v>13</v>
      </c>
      <c r="C69" s="13">
        <v>346</v>
      </c>
      <c r="D69" s="13"/>
      <c r="E69" s="13"/>
      <c r="F69" s="13" t="s">
        <v>10</v>
      </c>
      <c r="K69" s="29"/>
    </row>
    <row r="70" spans="1:16">
      <c r="C70" s="41"/>
      <c r="D70" s="41"/>
      <c r="E70" s="41"/>
      <c r="F70" s="41"/>
    </row>
    <row r="71" spans="1:16" s="2" customFormat="1" ht="17.45" customHeight="1">
      <c r="A71" s="1" t="s">
        <v>561</v>
      </c>
    </row>
    <row r="72" spans="1:16" s="2" customFormat="1" ht="10.5" customHeight="1" thickBot="1">
      <c r="A72" s="1"/>
    </row>
    <row r="73" spans="1:16" s="2" customFormat="1" ht="16.5" customHeight="1" thickBot="1">
      <c r="A73" s="4" t="s">
        <v>0</v>
      </c>
      <c r="B73" s="5" t="s">
        <v>1</v>
      </c>
      <c r="C73" s="5" t="s">
        <v>2</v>
      </c>
      <c r="D73" s="5">
        <v>2</v>
      </c>
      <c r="E73" s="5">
        <v>3</v>
      </c>
      <c r="F73" s="5">
        <v>4</v>
      </c>
      <c r="G73" s="5">
        <v>5</v>
      </c>
      <c r="H73" s="5">
        <v>6</v>
      </c>
      <c r="I73" s="5">
        <v>7</v>
      </c>
      <c r="J73" s="5">
        <v>8</v>
      </c>
      <c r="K73" s="5">
        <v>9</v>
      </c>
      <c r="L73" s="6"/>
      <c r="M73" s="14" t="s">
        <v>6</v>
      </c>
      <c r="N73" s="50">
        <f>(6839/11065)</f>
        <v>0.61807501129688203</v>
      </c>
    </row>
    <row r="74" spans="1:16" s="2" customFormat="1" ht="16.5" customHeight="1" thickBot="1">
      <c r="A74" s="7" t="s">
        <v>351</v>
      </c>
      <c r="B74" s="12" t="s">
        <v>4</v>
      </c>
      <c r="C74" s="13">
        <v>1278</v>
      </c>
      <c r="D74" s="13"/>
      <c r="E74" s="13"/>
      <c r="F74" s="9" t="s">
        <v>199</v>
      </c>
      <c r="G74" s="13"/>
      <c r="H74" s="13"/>
      <c r="I74" s="13"/>
      <c r="J74" s="13"/>
      <c r="K74" s="13"/>
      <c r="L74" s="11" t="s">
        <v>85</v>
      </c>
      <c r="M74" s="18"/>
      <c r="N74" s="14" t="s">
        <v>7</v>
      </c>
      <c r="O74" s="14" t="s">
        <v>8</v>
      </c>
      <c r="P74" s="14" t="s">
        <v>9</v>
      </c>
    </row>
    <row r="75" spans="1:16" s="2" customFormat="1" ht="16.5" customHeight="1" thickBot="1">
      <c r="A75" s="7" t="s">
        <v>560</v>
      </c>
      <c r="B75" s="8" t="s">
        <v>3</v>
      </c>
      <c r="C75" s="13">
        <v>1053</v>
      </c>
      <c r="D75" s="13"/>
      <c r="E75" s="13"/>
      <c r="F75" s="13"/>
      <c r="G75" s="13"/>
      <c r="H75" s="13"/>
      <c r="I75" s="9"/>
      <c r="J75" s="13"/>
      <c r="K75" s="9" t="s">
        <v>199</v>
      </c>
      <c r="L75" s="11" t="s">
        <v>87</v>
      </c>
      <c r="M75" s="19" t="s">
        <v>3</v>
      </c>
      <c r="N75" s="20">
        <f>(C75+C76+C77)</f>
        <v>2859</v>
      </c>
      <c r="O75" s="21">
        <f>SUM(N75/N80)</f>
        <v>0.41804357362187455</v>
      </c>
      <c r="P75" s="18">
        <v>2</v>
      </c>
    </row>
    <row r="76" spans="1:16" s="2" customFormat="1" ht="16.5" customHeight="1" thickBot="1">
      <c r="A76" s="16" t="s">
        <v>559</v>
      </c>
      <c r="B76" s="17" t="s">
        <v>3</v>
      </c>
      <c r="C76" s="13">
        <v>925</v>
      </c>
      <c r="D76" s="13"/>
      <c r="E76" s="13"/>
      <c r="F76" s="13"/>
      <c r="G76" s="13"/>
      <c r="H76" s="13"/>
      <c r="I76" s="13"/>
      <c r="J76" s="13"/>
      <c r="K76" s="13"/>
      <c r="L76" s="11"/>
      <c r="M76" s="23" t="s">
        <v>4</v>
      </c>
      <c r="N76" s="20">
        <f>(C74+C78+C79)</f>
        <v>2590</v>
      </c>
      <c r="O76" s="21">
        <f>SUM(N76/N80)</f>
        <v>0.37871033776867963</v>
      </c>
      <c r="P76" s="18">
        <v>2</v>
      </c>
    </row>
    <row r="77" spans="1:16" s="2" customFormat="1" ht="16.5" customHeight="1" thickBot="1">
      <c r="A77" s="7" t="s">
        <v>553</v>
      </c>
      <c r="B77" s="8" t="s">
        <v>3</v>
      </c>
      <c r="C77" s="13">
        <v>881</v>
      </c>
      <c r="D77" s="13"/>
      <c r="E77" s="13"/>
      <c r="F77" s="13"/>
      <c r="G77" s="13"/>
      <c r="H77" s="13"/>
      <c r="I77" s="13"/>
      <c r="J77" s="13"/>
      <c r="K77" s="9" t="s">
        <v>199</v>
      </c>
      <c r="L77" s="9" t="s">
        <v>90</v>
      </c>
      <c r="M77" s="51" t="s">
        <v>346</v>
      </c>
      <c r="N77" s="29">
        <v>444</v>
      </c>
      <c r="O77" s="15">
        <f>SUM(N77/N80)</f>
        <v>6.492177218891651E-2</v>
      </c>
    </row>
    <row r="78" spans="1:16" s="2" customFormat="1" ht="16.5" customHeight="1" thickBot="1">
      <c r="A78" s="16" t="s">
        <v>558</v>
      </c>
      <c r="B78" s="22" t="s">
        <v>4</v>
      </c>
      <c r="C78" s="13">
        <v>686</v>
      </c>
      <c r="D78" s="13"/>
      <c r="E78" s="13"/>
      <c r="F78" s="13"/>
      <c r="G78" s="13"/>
      <c r="H78" s="13"/>
      <c r="I78" s="9" t="s">
        <v>10</v>
      </c>
      <c r="M78" s="104" t="s">
        <v>347</v>
      </c>
      <c r="N78" s="20">
        <f>(C81+C83)</f>
        <v>643</v>
      </c>
      <c r="O78" s="21">
        <f>SUM(N78/N94)</f>
        <v>7.3976069949378734E-2</v>
      </c>
    </row>
    <row r="79" spans="1:16" s="2" customFormat="1" ht="16.5" customHeight="1" thickBot="1">
      <c r="A79" s="7" t="s">
        <v>554</v>
      </c>
      <c r="B79" s="12" t="s">
        <v>4</v>
      </c>
      <c r="C79" s="13">
        <v>626</v>
      </c>
      <c r="D79" s="13"/>
      <c r="E79" s="13"/>
      <c r="F79" s="13"/>
      <c r="G79" s="13"/>
      <c r="H79" s="13"/>
      <c r="I79" s="9" t="s">
        <v>199</v>
      </c>
      <c r="J79" s="13"/>
      <c r="K79" s="9"/>
      <c r="L79" s="9" t="s">
        <v>86</v>
      </c>
      <c r="M79" s="43" t="s">
        <v>14</v>
      </c>
      <c r="N79" s="29">
        <v>303</v>
      </c>
      <c r="O79" s="15">
        <f>SUM(N79/N80)</f>
        <v>4.4304722912706533E-2</v>
      </c>
    </row>
    <row r="80" spans="1:16" s="2" customFormat="1" ht="16.5" customHeight="1" thickBot="1">
      <c r="A80" s="16" t="s">
        <v>490</v>
      </c>
      <c r="B80" s="52" t="s">
        <v>346</v>
      </c>
      <c r="C80" s="13">
        <v>444</v>
      </c>
      <c r="D80" s="13"/>
      <c r="E80" s="13"/>
      <c r="F80" s="13"/>
      <c r="G80" s="13"/>
      <c r="H80" s="13" t="s">
        <v>10</v>
      </c>
      <c r="K80" s="18"/>
      <c r="M80" s="24"/>
      <c r="N80" s="28">
        <v>6839</v>
      </c>
      <c r="O80" s="15"/>
    </row>
    <row r="81" spans="1:16" s="2" customFormat="1" ht="16.5" customHeight="1" thickBot="1">
      <c r="A81" s="16" t="s">
        <v>557</v>
      </c>
      <c r="B81" s="117" t="s">
        <v>347</v>
      </c>
      <c r="C81" s="13">
        <v>387</v>
      </c>
      <c r="D81" s="13"/>
      <c r="E81" s="13"/>
      <c r="F81" s="13" t="s">
        <v>10</v>
      </c>
      <c r="K81" s="18"/>
    </row>
    <row r="82" spans="1:16" s="2" customFormat="1" ht="16.5" customHeight="1" thickBot="1">
      <c r="A82" s="16" t="s">
        <v>555</v>
      </c>
      <c r="B82" s="10" t="s">
        <v>493</v>
      </c>
      <c r="C82" s="13">
        <v>303</v>
      </c>
      <c r="D82" s="13"/>
      <c r="E82" s="13" t="s">
        <v>10</v>
      </c>
    </row>
    <row r="83" spans="1:16" s="2" customFormat="1" ht="16.5" customHeight="1" thickBot="1">
      <c r="A83" s="16" t="s">
        <v>556</v>
      </c>
      <c r="B83" s="117" t="s">
        <v>347</v>
      </c>
      <c r="C83" s="13">
        <v>256</v>
      </c>
      <c r="D83" s="13" t="s">
        <v>10</v>
      </c>
      <c r="I83" s="18"/>
    </row>
    <row r="84" spans="1:16">
      <c r="C84" s="41"/>
      <c r="D84" s="41"/>
      <c r="E84" s="41"/>
      <c r="F84" s="41"/>
    </row>
    <row r="85" spans="1:16" s="2" customFormat="1" ht="17.45" customHeight="1">
      <c r="A85" s="1" t="s">
        <v>562</v>
      </c>
    </row>
    <row r="86" spans="1:16" s="2" customFormat="1" ht="10.5" customHeight="1" thickBot="1">
      <c r="A86" s="1"/>
    </row>
    <row r="87" spans="1:16" s="2" customFormat="1" ht="16.5" customHeight="1" thickBot="1">
      <c r="A87" s="4" t="s">
        <v>0</v>
      </c>
      <c r="B87" s="5" t="s">
        <v>1</v>
      </c>
      <c r="C87" s="5" t="s">
        <v>2</v>
      </c>
      <c r="D87" s="5">
        <v>2</v>
      </c>
      <c r="E87" s="5">
        <v>3</v>
      </c>
      <c r="F87" s="5">
        <v>4</v>
      </c>
      <c r="G87" s="5">
        <v>5</v>
      </c>
      <c r="H87" s="5">
        <v>6</v>
      </c>
      <c r="I87" s="5">
        <v>7</v>
      </c>
      <c r="J87" s="5">
        <v>8</v>
      </c>
      <c r="K87" s="5">
        <v>9</v>
      </c>
      <c r="L87" s="6"/>
      <c r="M87" s="14" t="s">
        <v>6</v>
      </c>
      <c r="N87" s="15">
        <f>(8834/16168)</f>
        <v>0.54638792676892622</v>
      </c>
    </row>
    <row r="88" spans="1:16" s="2" customFormat="1" ht="16.5" customHeight="1" thickBot="1">
      <c r="A88" s="7" t="s">
        <v>563</v>
      </c>
      <c r="B88" s="11" t="s">
        <v>11</v>
      </c>
      <c r="C88" s="9">
        <v>1530</v>
      </c>
      <c r="D88" s="13"/>
      <c r="E88" s="13"/>
      <c r="F88" s="13"/>
      <c r="G88" s="13"/>
      <c r="H88" s="13"/>
      <c r="I88" s="9"/>
      <c r="J88" s="13"/>
      <c r="K88" s="13"/>
      <c r="L88" s="11" t="s">
        <v>85</v>
      </c>
      <c r="M88" s="18"/>
      <c r="N88" s="14" t="s">
        <v>7</v>
      </c>
      <c r="O88" s="14" t="s">
        <v>8</v>
      </c>
      <c r="P88" s="14" t="s">
        <v>9</v>
      </c>
    </row>
    <row r="89" spans="1:16" s="2" customFormat="1" ht="16.5" customHeight="1" thickBot="1">
      <c r="A89" s="7" t="s">
        <v>568</v>
      </c>
      <c r="B89" s="8" t="s">
        <v>3</v>
      </c>
      <c r="C89" s="9">
        <v>1525</v>
      </c>
      <c r="D89" s="13"/>
      <c r="E89" s="13"/>
      <c r="F89" s="13"/>
      <c r="G89" s="9"/>
      <c r="H89" s="13"/>
      <c r="I89" s="13"/>
      <c r="J89" s="9"/>
      <c r="K89" s="13"/>
      <c r="L89" s="11" t="s">
        <v>86</v>
      </c>
      <c r="M89" s="19" t="s">
        <v>3</v>
      </c>
      <c r="N89" s="20">
        <f>(C89+C92+C94+C99)</f>
        <v>3152</v>
      </c>
      <c r="O89" s="21">
        <f>SUM(N89/N94)</f>
        <v>0.3626323055683387</v>
      </c>
      <c r="P89" s="18">
        <v>2</v>
      </c>
    </row>
    <row r="90" spans="1:16" s="2" customFormat="1" ht="16.5" customHeight="1" thickBot="1">
      <c r="A90" s="7" t="s">
        <v>455</v>
      </c>
      <c r="B90" s="102" t="s">
        <v>347</v>
      </c>
      <c r="C90" s="13">
        <v>866</v>
      </c>
      <c r="D90" s="13"/>
      <c r="E90" s="13"/>
      <c r="F90" s="13"/>
      <c r="G90" s="13"/>
      <c r="H90" s="13"/>
      <c r="I90" s="9"/>
      <c r="J90" s="13"/>
      <c r="K90" s="9">
        <v>1512</v>
      </c>
      <c r="L90" s="11" t="s">
        <v>87</v>
      </c>
      <c r="M90" s="23" t="s">
        <v>4</v>
      </c>
      <c r="N90" s="20">
        <f>(C95+C97)</f>
        <v>924</v>
      </c>
      <c r="O90" s="21">
        <f>SUM(N90/N94)</f>
        <v>0.1063046479521399</v>
      </c>
      <c r="P90" s="18"/>
    </row>
    <row r="91" spans="1:16" s="2" customFormat="1" ht="16.5" customHeight="1" thickBot="1">
      <c r="A91" s="16" t="s">
        <v>127</v>
      </c>
      <c r="B91" s="117" t="s">
        <v>347</v>
      </c>
      <c r="C91" s="13">
        <v>736</v>
      </c>
      <c r="D91" s="13"/>
      <c r="E91" s="13"/>
      <c r="F91" s="13"/>
      <c r="G91" s="13"/>
      <c r="H91" s="13"/>
      <c r="I91" s="13"/>
      <c r="J91" s="13"/>
      <c r="K91" s="13"/>
      <c r="L91" s="11"/>
      <c r="M91" s="51" t="s">
        <v>346</v>
      </c>
      <c r="N91" s="20">
        <f>(C96+C98)</f>
        <v>841</v>
      </c>
      <c r="O91" s="21">
        <f>SUM(N91/N94)</f>
        <v>9.6755637367694436E-2</v>
      </c>
      <c r="P91" s="2">
        <v>1</v>
      </c>
    </row>
    <row r="92" spans="1:16" s="2" customFormat="1" ht="16.5" customHeight="1" thickBot="1">
      <c r="A92" s="7" t="s">
        <v>564</v>
      </c>
      <c r="B92" s="8" t="s">
        <v>3</v>
      </c>
      <c r="C92" s="13">
        <v>694</v>
      </c>
      <c r="D92" s="13"/>
      <c r="E92" s="13"/>
      <c r="F92" s="13"/>
      <c r="G92" s="13"/>
      <c r="H92" s="13"/>
      <c r="I92" s="13"/>
      <c r="J92" s="13"/>
      <c r="K92" s="9">
        <v>1481</v>
      </c>
      <c r="L92" s="11" t="s">
        <v>90</v>
      </c>
      <c r="M92" s="104" t="s">
        <v>347</v>
      </c>
      <c r="N92" s="20">
        <f>(C90+C91+C93)</f>
        <v>2245</v>
      </c>
      <c r="O92" s="21">
        <f>SUM(N92/N94)</f>
        <v>0.25828347906120569</v>
      </c>
      <c r="P92" s="2">
        <v>1</v>
      </c>
    </row>
    <row r="93" spans="1:16" s="2" customFormat="1" ht="16.5" customHeight="1" thickBot="1">
      <c r="A93" s="16" t="s">
        <v>571</v>
      </c>
      <c r="B93" s="117" t="s">
        <v>347</v>
      </c>
      <c r="C93" s="13">
        <v>643</v>
      </c>
      <c r="D93" s="13"/>
      <c r="E93" s="13"/>
      <c r="F93" s="13"/>
      <c r="G93" s="13"/>
      <c r="H93" s="13"/>
      <c r="I93" s="9"/>
      <c r="J93" s="13">
        <v>830</v>
      </c>
      <c r="K93" s="13" t="s">
        <v>10</v>
      </c>
      <c r="M93" s="43" t="s">
        <v>14</v>
      </c>
      <c r="N93" s="20">
        <v>1530</v>
      </c>
      <c r="O93" s="21">
        <f>SUM(N93/N94)</f>
        <v>0.17602393005062125</v>
      </c>
      <c r="P93" s="2">
        <v>1</v>
      </c>
    </row>
    <row r="94" spans="1:16" s="2" customFormat="1" ht="16.5" customHeight="1" thickBot="1">
      <c r="A94" s="16" t="s">
        <v>569</v>
      </c>
      <c r="B94" s="17" t="s">
        <v>3</v>
      </c>
      <c r="C94" s="13">
        <v>635</v>
      </c>
      <c r="D94" s="13"/>
      <c r="E94" s="13"/>
      <c r="F94" s="13"/>
      <c r="G94" s="13"/>
      <c r="H94" s="13"/>
      <c r="I94" s="13">
        <v>743</v>
      </c>
      <c r="J94" s="13" t="s">
        <v>10</v>
      </c>
      <c r="M94" s="34"/>
      <c r="N94" s="28">
        <v>8692</v>
      </c>
      <c r="O94" s="15"/>
    </row>
    <row r="95" spans="1:16" s="2" customFormat="1" ht="16.5" customHeight="1" thickBot="1">
      <c r="A95" s="16" t="s">
        <v>573</v>
      </c>
      <c r="B95" s="22" t="s">
        <v>4</v>
      </c>
      <c r="C95" s="13">
        <v>516</v>
      </c>
      <c r="D95" s="13"/>
      <c r="E95" s="13"/>
      <c r="F95" s="13"/>
      <c r="G95" s="13"/>
      <c r="H95" s="13">
        <v>697</v>
      </c>
      <c r="I95" s="13" t="s">
        <v>10</v>
      </c>
      <c r="K95" s="24"/>
      <c r="L95" s="21"/>
    </row>
    <row r="96" spans="1:16" s="2" customFormat="1" ht="16.5" customHeight="1" thickBot="1">
      <c r="A96" s="7" t="s">
        <v>565</v>
      </c>
      <c r="B96" s="103" t="s">
        <v>346</v>
      </c>
      <c r="C96" s="13">
        <v>438</v>
      </c>
      <c r="D96" s="13"/>
      <c r="E96" s="13"/>
      <c r="F96" s="13"/>
      <c r="G96" s="13"/>
      <c r="H96" s="13"/>
      <c r="I96" s="13"/>
      <c r="J96" s="13"/>
      <c r="K96" s="9">
        <v>1075</v>
      </c>
      <c r="L96" s="9" t="s">
        <v>89</v>
      </c>
      <c r="O96" s="18"/>
    </row>
    <row r="97" spans="1:21" s="2" customFormat="1" ht="16.5" customHeight="1" thickBot="1">
      <c r="A97" s="16" t="s">
        <v>567</v>
      </c>
      <c r="B97" s="22" t="s">
        <v>4</v>
      </c>
      <c r="C97" s="13">
        <v>408</v>
      </c>
      <c r="D97" s="13"/>
      <c r="E97" s="13"/>
      <c r="F97" s="13"/>
      <c r="G97" s="13">
        <v>441</v>
      </c>
      <c r="H97" s="13" t="s">
        <v>10</v>
      </c>
    </row>
    <row r="98" spans="1:21" s="2" customFormat="1" ht="16.5" customHeight="1" thickBot="1">
      <c r="A98" s="16" t="s">
        <v>566</v>
      </c>
      <c r="B98" s="52" t="s">
        <v>346</v>
      </c>
      <c r="C98" s="13">
        <v>403</v>
      </c>
      <c r="D98" s="13"/>
      <c r="E98" s="13"/>
      <c r="F98" s="13">
        <v>412</v>
      </c>
      <c r="G98" s="13" t="s">
        <v>10</v>
      </c>
    </row>
    <row r="99" spans="1:21" s="2" customFormat="1" ht="16.5" customHeight="1" thickBot="1">
      <c r="A99" s="16" t="s">
        <v>570</v>
      </c>
      <c r="B99" s="17" t="s">
        <v>3</v>
      </c>
      <c r="C99" s="13">
        <v>298</v>
      </c>
      <c r="D99" s="13"/>
      <c r="E99" s="13">
        <v>321</v>
      </c>
      <c r="F99" s="13" t="s">
        <v>10</v>
      </c>
    </row>
    <row r="100" spans="1:21" ht="14.25">
      <c r="C100" s="41"/>
      <c r="D100" s="41"/>
      <c r="E100" s="41"/>
      <c r="F100" s="41"/>
      <c r="G100" s="41"/>
      <c r="H100" s="41"/>
      <c r="I100" s="41"/>
      <c r="J100" s="41"/>
      <c r="M100" s="2"/>
      <c r="N100" s="2"/>
      <c r="O100" s="2"/>
      <c r="P100" s="2"/>
      <c r="Q100" s="2"/>
    </row>
    <row r="101" spans="1:21" s="108" customFormat="1" ht="15" customHeight="1">
      <c r="B101" s="46" t="s">
        <v>259</v>
      </c>
      <c r="C101" s="83" t="s">
        <v>3</v>
      </c>
      <c r="D101" s="84" t="s">
        <v>4</v>
      </c>
      <c r="E101" s="87" t="s">
        <v>346</v>
      </c>
      <c r="F101" s="116" t="s">
        <v>347</v>
      </c>
      <c r="G101" s="85" t="s">
        <v>12</v>
      </c>
      <c r="H101" s="86" t="s">
        <v>13</v>
      </c>
      <c r="I101" s="46" t="s">
        <v>14</v>
      </c>
      <c r="S101" s="109"/>
      <c r="T101" s="110"/>
      <c r="U101" s="111"/>
    </row>
    <row r="102" spans="1:21" s="108" customFormat="1" ht="15" customHeight="1">
      <c r="A102" s="108" t="s">
        <v>7</v>
      </c>
      <c r="B102" s="112">
        <f>SUM(N94+N80+L65+S44+M28+Q10)</f>
        <v>51483</v>
      </c>
      <c r="C102" s="110">
        <f>SUM(N89+N75+L61+S39+M24+Q5)</f>
        <v>18449</v>
      </c>
      <c r="D102" s="110">
        <f>SUM(N90+N76+L62+S40+M25+Q6)</f>
        <v>11102</v>
      </c>
      <c r="E102" s="110">
        <f>SUM(N91+N77+L63+S41+M26+Q8)</f>
        <v>13277</v>
      </c>
      <c r="F102" s="110">
        <f>(N92+N78+Q7)</f>
        <v>4414</v>
      </c>
      <c r="G102" s="110">
        <f>(S42+M27)</f>
        <v>459</v>
      </c>
      <c r="H102" s="110">
        <v>346</v>
      </c>
      <c r="I102" s="110">
        <f>(N93+N79+S43+Q9)</f>
        <v>3616</v>
      </c>
      <c r="S102" s="46"/>
      <c r="T102" s="112"/>
      <c r="U102" s="111"/>
    </row>
    <row r="103" spans="1:21" s="108" customFormat="1" ht="15" customHeight="1">
      <c r="A103" s="108" t="s">
        <v>8</v>
      </c>
      <c r="B103" s="115">
        <v>1</v>
      </c>
      <c r="C103" s="111">
        <f t="shared" ref="C103:I103" si="0">SUM(C102/$B$102)</f>
        <v>0.35835130042926794</v>
      </c>
      <c r="D103" s="111">
        <f t="shared" si="0"/>
        <v>0.21564399898995784</v>
      </c>
      <c r="E103" s="111">
        <f t="shared" si="0"/>
        <v>0.25789095429559272</v>
      </c>
      <c r="F103" s="111">
        <f t="shared" si="0"/>
        <v>8.5737039411067736E-2</v>
      </c>
      <c r="G103" s="111">
        <f t="shared" si="0"/>
        <v>8.915564361051221E-3</v>
      </c>
      <c r="H103" s="111">
        <f t="shared" ref="H103" si="1">SUM(H102/$B$102)</f>
        <v>6.7206650739078918E-3</v>
      </c>
      <c r="I103" s="111">
        <f t="shared" si="0"/>
        <v>7.0236777188586522E-2</v>
      </c>
      <c r="K103" s="114"/>
    </row>
    <row r="104" spans="1:21" s="108" customFormat="1" ht="15" customHeight="1">
      <c r="A104" s="108" t="s">
        <v>9</v>
      </c>
      <c r="B104" s="46">
        <v>31</v>
      </c>
      <c r="C104" s="108">
        <v>12</v>
      </c>
      <c r="D104" s="108">
        <v>8</v>
      </c>
      <c r="E104" s="108">
        <v>7</v>
      </c>
      <c r="F104" s="108">
        <v>2</v>
      </c>
      <c r="G104" s="108">
        <v>0</v>
      </c>
      <c r="H104" s="108">
        <v>0</v>
      </c>
      <c r="I104" s="108">
        <v>2</v>
      </c>
    </row>
    <row r="105" spans="1:21" ht="14.25">
      <c r="M105" s="2"/>
      <c r="N105" s="2"/>
      <c r="O105" s="2"/>
      <c r="P105" s="2"/>
    </row>
    <row r="106" spans="1:21" ht="14.25">
      <c r="M106" s="2"/>
      <c r="N106" s="2"/>
      <c r="O106" s="2"/>
      <c r="P106" s="2"/>
    </row>
  </sheetData>
  <sortState ref="A88:C99">
    <sortCondition descending="1" ref="C88:C99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1"/>
  <dimension ref="A1:T100"/>
  <sheetViews>
    <sheetView zoomScaleNormal="100" workbookViewId="0">
      <selection activeCell="N1" sqref="N1"/>
    </sheetView>
  </sheetViews>
  <sheetFormatPr defaultRowHeight="12.75"/>
  <cols>
    <col min="1" max="1" width="25.28515625" customWidth="1"/>
    <col min="2" max="2" width="7.7109375" customWidth="1"/>
    <col min="3" max="3" width="9.7109375" customWidth="1"/>
    <col min="4" max="18" width="8.7109375" customWidth="1"/>
  </cols>
  <sheetData>
    <row r="1" spans="1:17" s="2" customFormat="1" ht="16.5" customHeight="1">
      <c r="A1" s="1" t="s">
        <v>503</v>
      </c>
    </row>
    <row r="2" spans="1:17" s="2" customFormat="1" ht="9.75" customHeight="1" thickBot="1">
      <c r="A2" s="3"/>
    </row>
    <row r="3" spans="1:17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6"/>
      <c r="N3" s="14" t="s">
        <v>6</v>
      </c>
      <c r="O3" s="15">
        <f>SUM(9449/13844)</f>
        <v>0.68253394972551285</v>
      </c>
    </row>
    <row r="4" spans="1:17" s="2" customFormat="1" ht="16.5" customHeight="1" thickBot="1">
      <c r="A4" s="7" t="s">
        <v>353</v>
      </c>
      <c r="B4" s="12" t="s">
        <v>4</v>
      </c>
      <c r="C4" s="13">
        <v>1367</v>
      </c>
      <c r="D4" s="13">
        <v>1402</v>
      </c>
      <c r="E4" s="13">
        <v>1408</v>
      </c>
      <c r="F4" s="13">
        <v>1523</v>
      </c>
      <c r="G4" s="9">
        <v>1584</v>
      </c>
      <c r="H4" s="13"/>
      <c r="I4" s="13"/>
      <c r="J4" s="13"/>
      <c r="K4" s="13"/>
      <c r="L4" s="13"/>
      <c r="M4" s="11" t="s">
        <v>85</v>
      </c>
      <c r="N4" s="18"/>
      <c r="O4" s="14" t="s">
        <v>7</v>
      </c>
      <c r="P4" s="14" t="s">
        <v>8</v>
      </c>
      <c r="Q4" s="14" t="s">
        <v>9</v>
      </c>
    </row>
    <row r="5" spans="1:17" s="2" customFormat="1" ht="16.5" customHeight="1" thickBot="1">
      <c r="A5" s="7" t="s">
        <v>357</v>
      </c>
      <c r="B5" s="103" t="s">
        <v>346</v>
      </c>
      <c r="C5" s="13">
        <v>1256</v>
      </c>
      <c r="D5" s="13">
        <v>1260</v>
      </c>
      <c r="E5" s="13">
        <v>1287</v>
      </c>
      <c r="F5" s="13">
        <v>1318</v>
      </c>
      <c r="G5" s="9">
        <v>1557</v>
      </c>
      <c r="H5" s="13"/>
      <c r="I5" s="9"/>
      <c r="J5" s="13"/>
      <c r="K5" s="13"/>
      <c r="L5" s="13"/>
      <c r="M5" s="11" t="s">
        <v>86</v>
      </c>
      <c r="N5" s="19" t="s">
        <v>3</v>
      </c>
      <c r="O5" s="20">
        <f>SUM(C7+C8+C9+C12+C15)</f>
        <v>3520</v>
      </c>
      <c r="P5" s="21">
        <f>SUM(O5/O10)</f>
        <v>0.37816931671680276</v>
      </c>
      <c r="Q5" s="18">
        <v>2</v>
      </c>
    </row>
    <row r="6" spans="1:17" s="2" customFormat="1" ht="16.5" customHeight="1" thickBot="1">
      <c r="A6" s="7" t="s">
        <v>473</v>
      </c>
      <c r="B6" s="102" t="s">
        <v>347</v>
      </c>
      <c r="C6" s="13">
        <v>1170</v>
      </c>
      <c r="D6" s="13">
        <v>1188</v>
      </c>
      <c r="E6" s="13">
        <v>1193</v>
      </c>
      <c r="F6" s="13">
        <v>1202</v>
      </c>
      <c r="G6" s="13">
        <v>1238</v>
      </c>
      <c r="H6" s="13">
        <v>1295</v>
      </c>
      <c r="I6" s="13"/>
      <c r="J6" s="13"/>
      <c r="K6" s="9">
        <v>1585</v>
      </c>
      <c r="L6" s="9"/>
      <c r="M6" s="11" t="s">
        <v>87</v>
      </c>
      <c r="N6" s="23" t="s">
        <v>4</v>
      </c>
      <c r="O6" s="20">
        <f>SUM(C4+C11+C14+C16)</f>
        <v>2343</v>
      </c>
      <c r="P6" s="21">
        <f>SUM(O6/O10)</f>
        <v>0.25171895143962181</v>
      </c>
      <c r="Q6" s="18">
        <v>1</v>
      </c>
    </row>
    <row r="7" spans="1:17" s="2" customFormat="1" ht="16.5" customHeight="1" thickBot="1">
      <c r="A7" s="7" t="s">
        <v>223</v>
      </c>
      <c r="B7" s="8" t="s">
        <v>3</v>
      </c>
      <c r="C7" s="13">
        <v>1005</v>
      </c>
      <c r="D7" s="13">
        <v>1005</v>
      </c>
      <c r="E7" s="13">
        <v>1103</v>
      </c>
      <c r="F7" s="13">
        <v>1104</v>
      </c>
      <c r="G7" s="13">
        <v>1120</v>
      </c>
      <c r="H7" s="13">
        <v>1222</v>
      </c>
      <c r="I7" s="13"/>
      <c r="J7" s="13"/>
      <c r="K7" s="13">
        <v>1245</v>
      </c>
      <c r="L7" s="9">
        <v>1328</v>
      </c>
      <c r="M7" s="11" t="s">
        <v>89</v>
      </c>
      <c r="N7" s="104" t="s">
        <v>347</v>
      </c>
      <c r="O7" s="29">
        <v>1170</v>
      </c>
      <c r="P7" s="15">
        <f>SUM(O7/O10)</f>
        <v>0.12569832402234637</v>
      </c>
      <c r="Q7" s="18">
        <v>1</v>
      </c>
    </row>
    <row r="8" spans="1:17" s="2" customFormat="1" ht="16.5" customHeight="1" thickBot="1">
      <c r="A8" s="7" t="s">
        <v>293</v>
      </c>
      <c r="B8" s="8" t="s">
        <v>3</v>
      </c>
      <c r="C8" s="13">
        <v>971</v>
      </c>
      <c r="D8" s="13">
        <v>979</v>
      </c>
      <c r="E8" s="13">
        <v>991</v>
      </c>
      <c r="F8" s="13">
        <v>1069</v>
      </c>
      <c r="G8" s="13">
        <v>1087</v>
      </c>
      <c r="H8" s="13">
        <v>1216</v>
      </c>
      <c r="I8" s="13"/>
      <c r="J8" s="13"/>
      <c r="K8" s="13">
        <v>1247</v>
      </c>
      <c r="L8" s="9">
        <v>1349</v>
      </c>
      <c r="M8" s="11" t="s">
        <v>90</v>
      </c>
      <c r="N8" s="51" t="s">
        <v>346</v>
      </c>
      <c r="O8" s="29">
        <f>SUM(C5+C13)</f>
        <v>1688</v>
      </c>
      <c r="P8" s="15">
        <f>SUM(O8/O10)</f>
        <v>0.18134937688010314</v>
      </c>
      <c r="Q8" s="18">
        <v>1</v>
      </c>
    </row>
    <row r="9" spans="1:17" s="2" customFormat="1" ht="16.5" customHeight="1" thickBot="1">
      <c r="A9" s="16" t="s">
        <v>521</v>
      </c>
      <c r="B9" s="17" t="s">
        <v>3</v>
      </c>
      <c r="C9" s="13">
        <v>932</v>
      </c>
      <c r="D9" s="13">
        <v>966</v>
      </c>
      <c r="E9" s="13">
        <v>972</v>
      </c>
      <c r="F9" s="13">
        <v>975</v>
      </c>
      <c r="G9" s="13">
        <v>981</v>
      </c>
      <c r="H9" s="13">
        <v>1043</v>
      </c>
      <c r="I9" s="13"/>
      <c r="J9" s="13"/>
      <c r="K9" s="13">
        <v>1069</v>
      </c>
      <c r="L9" s="13">
        <v>1172</v>
      </c>
      <c r="M9" s="11"/>
      <c r="N9" s="14" t="s">
        <v>14</v>
      </c>
      <c r="O9" s="29">
        <v>587</v>
      </c>
      <c r="P9" s="15">
        <f>SUM(O9/O10)</f>
        <v>6.3064030941125906E-2</v>
      </c>
      <c r="Q9" s="18"/>
    </row>
    <row r="10" spans="1:17" s="2" customFormat="1" ht="16.5" customHeight="1" thickBot="1">
      <c r="A10" s="16" t="s">
        <v>413</v>
      </c>
      <c r="B10" s="33" t="s">
        <v>11</v>
      </c>
      <c r="C10" s="13">
        <v>587</v>
      </c>
      <c r="D10" s="13">
        <v>589</v>
      </c>
      <c r="E10" s="13">
        <v>590</v>
      </c>
      <c r="F10" s="13">
        <v>598</v>
      </c>
      <c r="G10" s="13">
        <v>609</v>
      </c>
      <c r="H10" s="13">
        <v>669</v>
      </c>
      <c r="I10" s="13"/>
      <c r="J10" s="13"/>
      <c r="K10" s="13">
        <v>793</v>
      </c>
      <c r="L10" s="13" t="s">
        <v>10</v>
      </c>
      <c r="O10" s="28">
        <v>9308</v>
      </c>
    </row>
    <row r="11" spans="1:17" s="2" customFormat="1" ht="16.5" customHeight="1" thickBot="1">
      <c r="A11" s="16" t="s">
        <v>469</v>
      </c>
      <c r="B11" s="22" t="s">
        <v>4</v>
      </c>
      <c r="C11" s="10">
        <v>523</v>
      </c>
      <c r="D11" s="10">
        <v>545</v>
      </c>
      <c r="E11" s="10">
        <v>546</v>
      </c>
      <c r="F11" s="13">
        <v>582</v>
      </c>
      <c r="G11" s="13">
        <v>618</v>
      </c>
      <c r="H11" s="10">
        <v>661</v>
      </c>
      <c r="I11" s="10"/>
      <c r="J11" s="10"/>
      <c r="K11" s="10" t="s">
        <v>10</v>
      </c>
    </row>
    <row r="12" spans="1:17" s="2" customFormat="1" ht="16.5" customHeight="1" thickBot="1">
      <c r="A12" s="16" t="s">
        <v>470</v>
      </c>
      <c r="B12" s="17" t="s">
        <v>3</v>
      </c>
      <c r="C12" s="10">
        <v>443</v>
      </c>
      <c r="D12" s="10">
        <v>445</v>
      </c>
      <c r="E12" s="10">
        <v>450</v>
      </c>
      <c r="F12" s="10">
        <v>454</v>
      </c>
      <c r="G12" s="10">
        <v>459</v>
      </c>
      <c r="H12" s="13" t="s">
        <v>10</v>
      </c>
    </row>
    <row r="13" spans="1:17" s="2" customFormat="1" ht="16.5" customHeight="1" thickBot="1">
      <c r="A13" s="16" t="s">
        <v>471</v>
      </c>
      <c r="B13" s="52" t="s">
        <v>346</v>
      </c>
      <c r="C13" s="13">
        <v>432</v>
      </c>
      <c r="D13" s="13">
        <v>439</v>
      </c>
      <c r="E13" s="13">
        <v>442</v>
      </c>
      <c r="F13" s="13">
        <v>451</v>
      </c>
      <c r="G13" s="13" t="s">
        <v>10</v>
      </c>
      <c r="M13" s="26"/>
      <c r="N13" s="29"/>
      <c r="O13" s="15"/>
      <c r="P13" s="18"/>
    </row>
    <row r="14" spans="1:17" s="2" customFormat="1" ht="16.5" customHeight="1" thickBot="1">
      <c r="A14" s="16" t="s">
        <v>383</v>
      </c>
      <c r="B14" s="22" t="s">
        <v>4</v>
      </c>
      <c r="C14" s="10">
        <v>305</v>
      </c>
      <c r="D14" s="10">
        <v>308</v>
      </c>
      <c r="E14" s="10">
        <v>308</v>
      </c>
      <c r="F14" s="13" t="s">
        <v>10</v>
      </c>
      <c r="J14" s="28"/>
    </row>
    <row r="15" spans="1:17" s="2" customFormat="1" ht="16.5" customHeight="1" thickBot="1">
      <c r="A15" s="16" t="s">
        <v>472</v>
      </c>
      <c r="B15" s="17" t="s">
        <v>3</v>
      </c>
      <c r="C15" s="10">
        <v>169</v>
      </c>
      <c r="D15" s="10">
        <v>171</v>
      </c>
      <c r="E15" s="10" t="s">
        <v>10</v>
      </c>
      <c r="J15" s="28"/>
    </row>
    <row r="16" spans="1:17" s="2" customFormat="1" ht="16.5" customHeight="1" thickBot="1">
      <c r="A16" s="16" t="s">
        <v>366</v>
      </c>
      <c r="B16" s="22" t="s">
        <v>4</v>
      </c>
      <c r="C16" s="10">
        <v>148</v>
      </c>
      <c r="D16" s="10" t="s">
        <v>10</v>
      </c>
    </row>
    <row r="17" spans="1:16" s="2" customFormat="1" ht="12.75" customHeight="1">
      <c r="A17" s="1"/>
      <c r="C17" s="20"/>
      <c r="D17" s="29"/>
      <c r="E17" s="29"/>
      <c r="F17" s="29"/>
      <c r="G17" s="29"/>
      <c r="H17" s="29"/>
    </row>
    <row r="18" spans="1:16" s="2" customFormat="1" ht="17.45" customHeight="1">
      <c r="A18" s="1" t="s">
        <v>414</v>
      </c>
    </row>
    <row r="19" spans="1:16" s="2" customFormat="1" ht="10.5" customHeight="1" thickBot="1">
      <c r="A19" s="1"/>
    </row>
    <row r="20" spans="1:16" s="2" customFormat="1" ht="16.5" customHeight="1" thickBot="1">
      <c r="A20" s="4" t="s">
        <v>0</v>
      </c>
      <c r="B20" s="5" t="s">
        <v>1</v>
      </c>
      <c r="C20" s="5" t="s">
        <v>2</v>
      </c>
      <c r="D20" s="5">
        <v>2</v>
      </c>
      <c r="E20" s="5">
        <v>3</v>
      </c>
      <c r="F20" s="5">
        <v>4</v>
      </c>
      <c r="G20" s="5">
        <v>5</v>
      </c>
      <c r="H20" s="5">
        <v>6</v>
      </c>
      <c r="I20" s="5">
        <v>7</v>
      </c>
      <c r="J20" s="5">
        <v>8</v>
      </c>
      <c r="K20" s="5">
        <v>9</v>
      </c>
      <c r="L20" s="6"/>
      <c r="M20" s="14" t="s">
        <v>6</v>
      </c>
      <c r="N20" s="15">
        <f>SUM(7974/12737)</f>
        <v>0.62605009028813696</v>
      </c>
    </row>
    <row r="21" spans="1:16" s="2" customFormat="1" ht="16.5" customHeight="1" thickBot="1">
      <c r="A21" s="7" t="s">
        <v>137</v>
      </c>
      <c r="B21" s="12" t="s">
        <v>4</v>
      </c>
      <c r="C21" s="9">
        <v>1658</v>
      </c>
      <c r="D21" s="13"/>
      <c r="E21" s="13"/>
      <c r="F21" s="13"/>
      <c r="G21" s="13"/>
      <c r="H21" s="13"/>
      <c r="I21" s="13"/>
      <c r="J21" s="13"/>
      <c r="K21" s="13"/>
      <c r="L21" s="11" t="s">
        <v>85</v>
      </c>
      <c r="M21" s="18"/>
      <c r="N21" s="14" t="s">
        <v>7</v>
      </c>
      <c r="O21" s="14" t="s">
        <v>8</v>
      </c>
      <c r="P21" s="14" t="s">
        <v>9</v>
      </c>
    </row>
    <row r="22" spans="1:16" s="2" customFormat="1" ht="16.5" customHeight="1" thickBot="1">
      <c r="A22" s="7" t="s">
        <v>831</v>
      </c>
      <c r="B22" s="8" t="s">
        <v>3</v>
      </c>
      <c r="C22" s="9">
        <v>1580</v>
      </c>
      <c r="D22" s="13"/>
      <c r="E22" s="13"/>
      <c r="F22" s="9"/>
      <c r="G22" s="13"/>
      <c r="H22" s="9"/>
      <c r="I22" s="13"/>
      <c r="J22" s="9"/>
      <c r="K22" s="13"/>
      <c r="L22" s="11" t="s">
        <v>86</v>
      </c>
      <c r="M22" s="19" t="s">
        <v>3</v>
      </c>
      <c r="N22" s="20">
        <f>SUM(C22+C26+C27)</f>
        <v>2632</v>
      </c>
      <c r="O22" s="21">
        <f>SUM(N22/N27)</f>
        <v>0.33007273639327817</v>
      </c>
      <c r="P22" s="18">
        <v>2</v>
      </c>
    </row>
    <row r="23" spans="1:16" s="2" customFormat="1" ht="16.5" customHeight="1" thickBot="1">
      <c r="A23" s="7" t="s">
        <v>402</v>
      </c>
      <c r="B23" s="103" t="s">
        <v>346</v>
      </c>
      <c r="C23" s="13">
        <v>966</v>
      </c>
      <c r="D23" s="13"/>
      <c r="E23" s="13">
        <v>1035</v>
      </c>
      <c r="F23" s="13">
        <v>1051</v>
      </c>
      <c r="G23" s="13">
        <v>1095</v>
      </c>
      <c r="H23" s="13">
        <v>1303</v>
      </c>
      <c r="I23" s="9">
        <v>1595</v>
      </c>
      <c r="J23" s="13"/>
      <c r="K23" s="9"/>
      <c r="L23" s="11" t="s">
        <v>87</v>
      </c>
      <c r="M23" s="23" t="s">
        <v>4</v>
      </c>
      <c r="N23" s="20">
        <f>SUM(C21+C28)</f>
        <v>2086</v>
      </c>
      <c r="O23" s="21">
        <f>SUM(N23/N27)</f>
        <v>0.26160020065211936</v>
      </c>
      <c r="P23" s="18">
        <v>1</v>
      </c>
    </row>
    <row r="24" spans="1:16" s="2" customFormat="1" ht="16.5" customHeight="1" thickBot="1">
      <c r="A24" s="16" t="s">
        <v>475</v>
      </c>
      <c r="B24" s="33" t="s">
        <v>11</v>
      </c>
      <c r="C24" s="13">
        <v>833</v>
      </c>
      <c r="D24" s="13"/>
      <c r="E24" s="13">
        <v>848</v>
      </c>
      <c r="F24" s="13">
        <v>856</v>
      </c>
      <c r="G24" s="13">
        <v>862</v>
      </c>
      <c r="H24" s="13">
        <v>872</v>
      </c>
      <c r="I24" s="13">
        <v>891</v>
      </c>
      <c r="J24" s="13">
        <v>919</v>
      </c>
      <c r="K24" s="13">
        <v>936</v>
      </c>
      <c r="L24" s="11"/>
      <c r="M24" s="51" t="s">
        <v>346</v>
      </c>
      <c r="N24" s="29">
        <f>SUM(C23+C25+C29)</f>
        <v>2087</v>
      </c>
      <c r="O24" s="15">
        <f>SUM(N24/N27)</f>
        <v>0.26172560822673691</v>
      </c>
      <c r="P24" s="18">
        <v>2</v>
      </c>
    </row>
    <row r="25" spans="1:16" s="2" customFormat="1" ht="16.5" customHeight="1" thickBot="1">
      <c r="A25" s="7" t="s">
        <v>371</v>
      </c>
      <c r="B25" s="103" t="s">
        <v>346</v>
      </c>
      <c r="C25" s="13">
        <v>733</v>
      </c>
      <c r="D25" s="13"/>
      <c r="E25" s="13">
        <v>813</v>
      </c>
      <c r="F25" s="13">
        <v>828</v>
      </c>
      <c r="G25" s="13">
        <v>844</v>
      </c>
      <c r="H25" s="13">
        <v>954</v>
      </c>
      <c r="I25" s="13">
        <v>1103</v>
      </c>
      <c r="J25" s="13">
        <v>1235</v>
      </c>
      <c r="K25" s="9">
        <v>1293</v>
      </c>
      <c r="L25" s="11" t="s">
        <v>90</v>
      </c>
      <c r="M25" s="24" t="s">
        <v>12</v>
      </c>
      <c r="N25" s="29">
        <v>204</v>
      </c>
      <c r="O25" s="15">
        <f>SUM(N25/N27)</f>
        <v>2.5583145221971408E-2</v>
      </c>
      <c r="P25" s="18"/>
    </row>
    <row r="26" spans="1:16" s="2" customFormat="1" ht="16.5" customHeight="1" thickBot="1">
      <c r="A26" s="7" t="s">
        <v>369</v>
      </c>
      <c r="B26" s="8" t="s">
        <v>3</v>
      </c>
      <c r="C26" s="13">
        <v>532</v>
      </c>
      <c r="D26" s="13"/>
      <c r="E26" s="13">
        <v>684</v>
      </c>
      <c r="F26" s="13">
        <v>690</v>
      </c>
      <c r="G26" s="13">
        <v>701</v>
      </c>
      <c r="H26" s="13">
        <v>727</v>
      </c>
      <c r="I26" s="13">
        <v>766</v>
      </c>
      <c r="J26" s="13">
        <v>783</v>
      </c>
      <c r="K26" s="9">
        <v>1147</v>
      </c>
      <c r="L26" s="11" t="s">
        <v>89</v>
      </c>
      <c r="M26" s="14" t="s">
        <v>14</v>
      </c>
      <c r="N26" s="29">
        <f>SUM(C24+C31+C32)</f>
        <v>965</v>
      </c>
      <c r="O26" s="15">
        <f>SUM(N26/N27)</f>
        <v>0.12101830950589415</v>
      </c>
      <c r="P26" s="18"/>
    </row>
    <row r="27" spans="1:16" s="2" customFormat="1" ht="16.5" customHeight="1" thickBot="1">
      <c r="A27" s="16" t="s">
        <v>476</v>
      </c>
      <c r="B27" s="17" t="s">
        <v>3</v>
      </c>
      <c r="C27" s="13">
        <v>520</v>
      </c>
      <c r="D27" s="13"/>
      <c r="E27" s="13">
        <v>581</v>
      </c>
      <c r="F27" s="10">
        <v>614</v>
      </c>
      <c r="G27" s="13">
        <v>664</v>
      </c>
      <c r="H27" s="10">
        <v>680</v>
      </c>
      <c r="I27" s="13">
        <v>707</v>
      </c>
      <c r="J27" s="10">
        <v>712</v>
      </c>
      <c r="K27" s="9" t="s">
        <v>10</v>
      </c>
      <c r="N27" s="28">
        <v>7974</v>
      </c>
    </row>
    <row r="28" spans="1:16" s="2" customFormat="1" ht="16.5" customHeight="1" thickBot="1">
      <c r="A28" s="16" t="s">
        <v>474</v>
      </c>
      <c r="B28" s="22" t="s">
        <v>4</v>
      </c>
      <c r="C28" s="10">
        <v>428</v>
      </c>
      <c r="D28" s="13"/>
      <c r="E28" s="13">
        <v>574</v>
      </c>
      <c r="F28" s="10">
        <v>585</v>
      </c>
      <c r="G28" s="10">
        <v>620</v>
      </c>
      <c r="H28" s="10">
        <v>670</v>
      </c>
      <c r="I28" s="10" t="s">
        <v>10</v>
      </c>
    </row>
    <row r="29" spans="1:16" s="2" customFormat="1" ht="16.5" customHeight="1" thickBot="1">
      <c r="A29" s="16" t="s">
        <v>477</v>
      </c>
      <c r="B29" s="52" t="s">
        <v>346</v>
      </c>
      <c r="C29" s="13">
        <v>388</v>
      </c>
      <c r="D29" s="10"/>
      <c r="E29" s="10">
        <v>403</v>
      </c>
      <c r="F29" s="10">
        <v>408</v>
      </c>
      <c r="G29" s="10">
        <v>458</v>
      </c>
      <c r="H29" s="10" t="s">
        <v>10</v>
      </c>
    </row>
    <row r="30" spans="1:16" s="2" customFormat="1" ht="16.5" customHeight="1" thickBot="1">
      <c r="A30" s="16" t="s">
        <v>478</v>
      </c>
      <c r="B30" s="106" t="s">
        <v>12</v>
      </c>
      <c r="C30" s="10">
        <v>204</v>
      </c>
      <c r="D30" s="10"/>
      <c r="E30" s="10">
        <v>221</v>
      </c>
      <c r="F30" s="10">
        <v>247</v>
      </c>
      <c r="G30" s="10" t="s">
        <v>10</v>
      </c>
    </row>
    <row r="31" spans="1:16" s="2" customFormat="1" ht="16.5" customHeight="1" thickBot="1">
      <c r="A31" s="16" t="s">
        <v>479</v>
      </c>
      <c r="B31" s="33" t="s">
        <v>453</v>
      </c>
      <c r="C31" s="10">
        <v>99</v>
      </c>
      <c r="D31" s="10"/>
      <c r="E31" s="10">
        <v>109</v>
      </c>
      <c r="F31" s="10" t="s">
        <v>10</v>
      </c>
    </row>
    <row r="32" spans="1:16" s="2" customFormat="1" ht="16.5" customHeight="1" thickBot="1">
      <c r="A32" s="16" t="s">
        <v>480</v>
      </c>
      <c r="B32" s="33" t="s">
        <v>11</v>
      </c>
      <c r="C32" s="10">
        <v>33</v>
      </c>
      <c r="D32" s="10"/>
      <c r="E32" s="10">
        <v>46</v>
      </c>
      <c r="F32" s="10" t="s">
        <v>10</v>
      </c>
    </row>
    <row r="33" spans="1:17" s="2" customFormat="1" ht="13.5" customHeight="1">
      <c r="A33" s="35"/>
      <c r="B33" s="36"/>
      <c r="C33" s="40"/>
      <c r="D33" s="40"/>
      <c r="E33" s="40"/>
      <c r="F33" s="40"/>
      <c r="G33" s="40"/>
      <c r="H33" s="40"/>
      <c r="I33" s="40"/>
    </row>
    <row r="34" spans="1:17" s="2" customFormat="1" ht="17.45" customHeight="1">
      <c r="A34" s="1" t="s">
        <v>456</v>
      </c>
    </row>
    <row r="35" spans="1:17" s="2" customFormat="1" ht="8.25" customHeight="1" thickBot="1">
      <c r="A35" s="1"/>
    </row>
    <row r="36" spans="1:17" s="2" customFormat="1" ht="17.45" customHeight="1" thickBot="1">
      <c r="A36" s="4" t="s">
        <v>0</v>
      </c>
      <c r="B36" s="5" t="s">
        <v>1</v>
      </c>
      <c r="C36" s="5" t="s">
        <v>2</v>
      </c>
      <c r="D36" s="5">
        <v>2</v>
      </c>
      <c r="E36" s="5">
        <v>3</v>
      </c>
      <c r="F36" s="5">
        <v>4</v>
      </c>
      <c r="G36" s="5">
        <v>5</v>
      </c>
      <c r="H36" s="5">
        <v>6</v>
      </c>
      <c r="I36" s="5">
        <v>7</v>
      </c>
      <c r="J36" s="5">
        <v>8</v>
      </c>
      <c r="K36" s="5">
        <v>9</v>
      </c>
      <c r="L36" s="5"/>
      <c r="M36" s="14" t="s">
        <v>6</v>
      </c>
      <c r="N36" s="50">
        <f>SUM(10376/19888)</f>
        <v>0.52172164119066777</v>
      </c>
    </row>
    <row r="37" spans="1:17" s="2" customFormat="1" ht="17.45" customHeight="1" thickBot="1">
      <c r="A37" s="7" t="s">
        <v>406</v>
      </c>
      <c r="B37" s="8" t="s">
        <v>3</v>
      </c>
      <c r="C37" s="13">
        <v>1098</v>
      </c>
      <c r="D37" s="13">
        <v>1233</v>
      </c>
      <c r="E37" s="13">
        <v>1261</v>
      </c>
      <c r="F37" s="13">
        <v>1264</v>
      </c>
      <c r="G37" s="9">
        <v>1389</v>
      </c>
      <c r="H37" s="13"/>
      <c r="I37" s="13"/>
      <c r="J37" s="13"/>
      <c r="K37" s="13"/>
      <c r="L37" s="11" t="s">
        <v>86</v>
      </c>
      <c r="M37" s="18"/>
      <c r="N37" s="14" t="s">
        <v>7</v>
      </c>
      <c r="O37" s="14" t="s">
        <v>8</v>
      </c>
      <c r="P37" s="14" t="s">
        <v>9</v>
      </c>
    </row>
    <row r="38" spans="1:17" s="2" customFormat="1" ht="17.45" customHeight="1" thickBot="1">
      <c r="A38" s="7" t="s">
        <v>457</v>
      </c>
      <c r="B38" s="12" t="s">
        <v>4</v>
      </c>
      <c r="C38" s="13">
        <v>1031</v>
      </c>
      <c r="D38" s="13">
        <v>1081</v>
      </c>
      <c r="E38" s="13">
        <v>1102</v>
      </c>
      <c r="F38" s="13">
        <v>1106</v>
      </c>
      <c r="G38" s="9">
        <v>1291</v>
      </c>
      <c r="H38" s="13"/>
      <c r="I38" s="13"/>
      <c r="J38" s="13"/>
      <c r="K38" s="13"/>
      <c r="L38" s="11" t="s">
        <v>87</v>
      </c>
      <c r="M38" s="19" t="s">
        <v>3</v>
      </c>
      <c r="N38" s="20">
        <f>SUM(C37+C40+C44+C46)</f>
        <v>3452</v>
      </c>
      <c r="O38" s="21">
        <f>SUM(N38/N42)</f>
        <v>0.33619010518114528</v>
      </c>
      <c r="P38" s="18">
        <v>3</v>
      </c>
    </row>
    <row r="39" spans="1:17" s="2" customFormat="1" ht="17.45" customHeight="1" thickBot="1">
      <c r="A39" s="7" t="s">
        <v>481</v>
      </c>
      <c r="B39" s="12" t="s">
        <v>4</v>
      </c>
      <c r="C39" s="13">
        <v>1020</v>
      </c>
      <c r="D39" s="13">
        <v>1024</v>
      </c>
      <c r="E39" s="13">
        <v>1044</v>
      </c>
      <c r="F39" s="13">
        <v>1125</v>
      </c>
      <c r="G39" s="13">
        <v>1137</v>
      </c>
      <c r="H39" s="13"/>
      <c r="I39" s="13"/>
      <c r="J39" s="13">
        <v>1157</v>
      </c>
      <c r="K39" s="9">
        <v>1275</v>
      </c>
      <c r="L39" s="11" t="s">
        <v>89</v>
      </c>
      <c r="M39" s="23" t="s">
        <v>4</v>
      </c>
      <c r="N39" s="20">
        <f>SUM(C38+C39+C41+C42)</f>
        <v>3800</v>
      </c>
      <c r="O39" s="21">
        <f>SUM(N39/N42)</f>
        <v>0.37008180755746006</v>
      </c>
      <c r="P39" s="18">
        <v>3</v>
      </c>
    </row>
    <row r="40" spans="1:17" s="2" customFormat="1" ht="17.45" customHeight="1" thickBot="1">
      <c r="A40" s="7" t="s">
        <v>408</v>
      </c>
      <c r="B40" s="8" t="s">
        <v>3</v>
      </c>
      <c r="C40" s="13">
        <v>985</v>
      </c>
      <c r="D40" s="13">
        <v>987</v>
      </c>
      <c r="E40" s="13">
        <v>1013</v>
      </c>
      <c r="F40" s="13">
        <v>1051</v>
      </c>
      <c r="G40" s="13">
        <v>1054</v>
      </c>
      <c r="H40" s="13"/>
      <c r="I40" s="13"/>
      <c r="J40" s="13">
        <v>1063</v>
      </c>
      <c r="K40" s="9">
        <v>1292</v>
      </c>
      <c r="L40" s="11" t="s">
        <v>90</v>
      </c>
      <c r="M40" s="51" t="s">
        <v>346</v>
      </c>
      <c r="N40" s="29">
        <f>SUM(C43+C45+C47)</f>
        <v>2120</v>
      </c>
      <c r="O40" s="15">
        <f>SUM(N40/N42)</f>
        <v>0.20646669263731982</v>
      </c>
      <c r="P40" s="2">
        <v>1</v>
      </c>
    </row>
    <row r="41" spans="1:17" s="2" customFormat="1" ht="17.45" customHeight="1" thickBot="1">
      <c r="A41" s="7" t="s">
        <v>468</v>
      </c>
      <c r="B41" s="12" t="s">
        <v>4</v>
      </c>
      <c r="C41" s="13">
        <v>938</v>
      </c>
      <c r="D41" s="13">
        <v>961</v>
      </c>
      <c r="E41" s="13">
        <v>975</v>
      </c>
      <c r="F41" s="13">
        <v>1020</v>
      </c>
      <c r="G41" s="13">
        <v>1094</v>
      </c>
      <c r="H41" s="13"/>
      <c r="I41" s="13"/>
      <c r="J41" s="13">
        <v>1144</v>
      </c>
      <c r="K41" s="9">
        <v>1164</v>
      </c>
      <c r="L41" s="11" t="s">
        <v>111</v>
      </c>
      <c r="M41" s="43" t="s">
        <v>14</v>
      </c>
      <c r="N41" s="29">
        <f>SUM(C48:C49)</f>
        <v>896</v>
      </c>
      <c r="O41" s="15">
        <f>SUM(N41/N42)</f>
        <v>8.7261394624074798E-2</v>
      </c>
    </row>
    <row r="42" spans="1:17" s="2" customFormat="1" ht="17.45" customHeight="1" thickBot="1">
      <c r="A42" s="16" t="s">
        <v>502</v>
      </c>
      <c r="B42" s="22" t="s">
        <v>4</v>
      </c>
      <c r="C42" s="10">
        <v>811</v>
      </c>
      <c r="D42" s="13">
        <v>819</v>
      </c>
      <c r="E42" s="13">
        <v>864</v>
      </c>
      <c r="F42" s="13">
        <v>892</v>
      </c>
      <c r="G42" s="13">
        <v>902</v>
      </c>
      <c r="H42" s="13"/>
      <c r="I42" s="13"/>
      <c r="J42" s="13">
        <v>938</v>
      </c>
      <c r="K42" s="13">
        <v>969</v>
      </c>
      <c r="L42" s="11"/>
      <c r="M42" s="24"/>
      <c r="N42" s="28">
        <v>10268</v>
      </c>
      <c r="O42" s="15"/>
    </row>
    <row r="43" spans="1:17" s="2" customFormat="1" ht="17.45" customHeight="1" thickBot="1">
      <c r="A43" s="7" t="s">
        <v>405</v>
      </c>
      <c r="B43" s="103" t="s">
        <v>346</v>
      </c>
      <c r="C43" s="13">
        <v>809</v>
      </c>
      <c r="D43" s="13">
        <v>828</v>
      </c>
      <c r="E43" s="13">
        <v>890</v>
      </c>
      <c r="F43" s="13">
        <v>1272</v>
      </c>
      <c r="G43" s="9">
        <v>1521</v>
      </c>
      <c r="H43" s="13"/>
      <c r="I43" s="13"/>
      <c r="J43" s="13"/>
      <c r="K43" s="13"/>
      <c r="L43" s="9" t="s">
        <v>85</v>
      </c>
    </row>
    <row r="44" spans="1:17" s="2" customFormat="1" ht="17.45" customHeight="1" thickBot="1">
      <c r="A44" s="16" t="s">
        <v>482</v>
      </c>
      <c r="B44" s="17" t="s">
        <v>3</v>
      </c>
      <c r="C44" s="13">
        <v>702</v>
      </c>
      <c r="D44" s="13">
        <v>704</v>
      </c>
      <c r="E44" s="13">
        <v>805</v>
      </c>
      <c r="F44" s="13">
        <v>819</v>
      </c>
      <c r="G44" s="13">
        <v>828</v>
      </c>
      <c r="H44" s="13"/>
      <c r="I44" s="13"/>
      <c r="J44" s="13">
        <v>834</v>
      </c>
      <c r="K44" s="13" t="s">
        <v>10</v>
      </c>
      <c r="N44" s="18"/>
      <c r="O44" s="14"/>
      <c r="P44" s="14"/>
      <c r="Q44" s="14"/>
    </row>
    <row r="45" spans="1:17" s="2" customFormat="1" ht="17.45" customHeight="1" thickBot="1">
      <c r="A45" s="16" t="s">
        <v>312</v>
      </c>
      <c r="B45" s="52" t="s">
        <v>346</v>
      </c>
      <c r="C45" s="13">
        <v>678</v>
      </c>
      <c r="D45" s="13">
        <v>728</v>
      </c>
      <c r="E45" s="13">
        <v>728</v>
      </c>
      <c r="F45" s="13">
        <v>737</v>
      </c>
      <c r="G45" s="13" t="s">
        <v>10</v>
      </c>
      <c r="N45" s="19"/>
      <c r="O45" s="20"/>
      <c r="P45" s="21"/>
      <c r="Q45" s="18"/>
    </row>
    <row r="46" spans="1:17" s="2" customFormat="1" ht="17.45" customHeight="1" thickBot="1">
      <c r="A46" s="7" t="s">
        <v>409</v>
      </c>
      <c r="B46" s="8" t="s">
        <v>3</v>
      </c>
      <c r="C46" s="13">
        <v>667</v>
      </c>
      <c r="D46" s="13">
        <v>676</v>
      </c>
      <c r="E46" s="13">
        <v>855</v>
      </c>
      <c r="F46" s="13">
        <v>862</v>
      </c>
      <c r="G46" s="13">
        <v>866</v>
      </c>
      <c r="H46" s="13"/>
      <c r="I46" s="13"/>
      <c r="J46" s="13">
        <v>885</v>
      </c>
      <c r="K46" s="9">
        <v>1240</v>
      </c>
      <c r="L46" s="11" t="s">
        <v>88</v>
      </c>
      <c r="N46" s="23"/>
      <c r="O46" s="20"/>
      <c r="P46" s="21"/>
      <c r="Q46" s="18"/>
    </row>
    <row r="47" spans="1:17" s="2" customFormat="1" ht="17.45" customHeight="1" thickBot="1">
      <c r="A47" s="16" t="s">
        <v>386</v>
      </c>
      <c r="B47" s="52" t="s">
        <v>346</v>
      </c>
      <c r="C47" s="13">
        <v>633</v>
      </c>
      <c r="D47" s="13">
        <v>634</v>
      </c>
      <c r="E47" s="13">
        <v>635</v>
      </c>
      <c r="F47" s="13" t="s">
        <v>10</v>
      </c>
      <c r="J47" s="28"/>
      <c r="K47" s="21"/>
      <c r="L47" s="18"/>
    </row>
    <row r="48" spans="1:17" s="2" customFormat="1" ht="17.45" customHeight="1" thickBot="1">
      <c r="A48" s="16" t="s">
        <v>382</v>
      </c>
      <c r="B48" s="33" t="s">
        <v>11</v>
      </c>
      <c r="C48" s="13">
        <v>563</v>
      </c>
      <c r="D48" s="13">
        <v>569</v>
      </c>
      <c r="E48" s="13" t="s">
        <v>10</v>
      </c>
      <c r="L48" s="29"/>
      <c r="M48" s="29"/>
      <c r="N48" s="29"/>
      <c r="O48" s="105"/>
      <c r="P48" s="29"/>
      <c r="Q48" s="15"/>
    </row>
    <row r="49" spans="1:18" s="2" customFormat="1" ht="17.45" customHeight="1" thickBot="1">
      <c r="A49" s="16" t="s">
        <v>483</v>
      </c>
      <c r="B49" s="33" t="s">
        <v>11</v>
      </c>
      <c r="C49" s="13">
        <v>333</v>
      </c>
      <c r="D49" s="13" t="s">
        <v>10</v>
      </c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14"/>
      <c r="R49" s="15"/>
    </row>
    <row r="50" spans="1:18"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</row>
    <row r="51" spans="1:18" s="2" customFormat="1" ht="17.45" customHeight="1">
      <c r="A51" s="1" t="s">
        <v>460</v>
      </c>
    </row>
    <row r="52" spans="1:18" s="2" customFormat="1" ht="10.5" customHeight="1" thickBot="1">
      <c r="A52" s="1"/>
    </row>
    <row r="53" spans="1:18" s="2" customFormat="1" ht="16.5" customHeight="1" thickBot="1">
      <c r="A53" s="4" t="s">
        <v>0</v>
      </c>
      <c r="B53" s="5" t="s">
        <v>1</v>
      </c>
      <c r="C53" s="5" t="s">
        <v>2</v>
      </c>
      <c r="D53" s="5">
        <v>2</v>
      </c>
      <c r="E53" s="5">
        <v>3</v>
      </c>
      <c r="F53" s="5">
        <v>4</v>
      </c>
      <c r="G53" s="5">
        <v>5</v>
      </c>
      <c r="H53" s="5">
        <v>6</v>
      </c>
      <c r="I53" s="5">
        <v>7</v>
      </c>
      <c r="J53" s="5">
        <v>8</v>
      </c>
      <c r="K53" s="5">
        <v>9</v>
      </c>
      <c r="L53" s="6"/>
      <c r="M53" s="14" t="s">
        <v>6</v>
      </c>
      <c r="N53" s="15">
        <f>SUM(8004/12689)</f>
        <v>0.63078256757821738</v>
      </c>
    </row>
    <row r="54" spans="1:18" s="2" customFormat="1" ht="16.5" customHeight="1" thickBot="1">
      <c r="A54" s="7" t="s">
        <v>466</v>
      </c>
      <c r="B54" s="8" t="s">
        <v>3</v>
      </c>
      <c r="C54" s="9">
        <v>1339</v>
      </c>
      <c r="D54" s="9"/>
      <c r="E54" s="9"/>
      <c r="F54" s="13"/>
      <c r="G54" s="9"/>
      <c r="H54" s="13"/>
      <c r="I54" s="13"/>
      <c r="J54" s="13"/>
      <c r="K54" s="13"/>
      <c r="L54" s="11" t="s">
        <v>85</v>
      </c>
      <c r="M54" s="18"/>
      <c r="N54" s="14" t="s">
        <v>7</v>
      </c>
      <c r="O54" s="14" t="s">
        <v>8</v>
      </c>
      <c r="P54" s="14" t="s">
        <v>9</v>
      </c>
    </row>
    <row r="55" spans="1:18" s="2" customFormat="1" ht="16.5" customHeight="1" thickBot="1">
      <c r="A55" s="7" t="s">
        <v>318</v>
      </c>
      <c r="B55" s="103" t="s">
        <v>346</v>
      </c>
      <c r="C55" s="13">
        <v>1289</v>
      </c>
      <c r="D55" s="13">
        <v>1291</v>
      </c>
      <c r="E55" s="9">
        <v>1357</v>
      </c>
      <c r="F55" s="13"/>
      <c r="G55" s="13"/>
      <c r="H55" s="13"/>
      <c r="I55" s="13"/>
      <c r="J55" s="13"/>
      <c r="K55" s="13"/>
      <c r="L55" s="11" t="s">
        <v>86</v>
      </c>
      <c r="M55" s="19" t="s">
        <v>3</v>
      </c>
      <c r="N55" s="20">
        <f>SUM(C54+C57+C61)</f>
        <v>2703</v>
      </c>
      <c r="O55" s="21">
        <f>SUM(N55/N58)</f>
        <v>0.3423685877137429</v>
      </c>
      <c r="P55" s="18">
        <v>2</v>
      </c>
    </row>
    <row r="56" spans="1:18" s="2" customFormat="1" ht="16.5" customHeight="1" thickBot="1">
      <c r="A56" s="7" t="s">
        <v>458</v>
      </c>
      <c r="B56" s="103" t="s">
        <v>346</v>
      </c>
      <c r="C56" s="13">
        <v>964</v>
      </c>
      <c r="D56" s="13">
        <v>967</v>
      </c>
      <c r="E56" s="13">
        <v>977</v>
      </c>
      <c r="F56" s="13">
        <v>978</v>
      </c>
      <c r="G56" s="13">
        <v>995</v>
      </c>
      <c r="H56" s="13">
        <v>1005</v>
      </c>
      <c r="I56" s="13">
        <v>1086</v>
      </c>
      <c r="J56" s="13">
        <v>1105</v>
      </c>
      <c r="K56" s="9">
        <v>1355</v>
      </c>
      <c r="L56" s="11" t="s">
        <v>90</v>
      </c>
      <c r="M56" s="23" t="s">
        <v>4</v>
      </c>
      <c r="N56" s="20">
        <f>SUM(C60+C62+C63+C64+C65)</f>
        <v>1667</v>
      </c>
      <c r="O56" s="21">
        <f>SUM(N56/N58)</f>
        <v>0.21114629512349589</v>
      </c>
      <c r="P56" s="18"/>
    </row>
    <row r="57" spans="1:18" s="2" customFormat="1" ht="16.5" customHeight="1" thickBot="1">
      <c r="A57" s="7" t="s">
        <v>459</v>
      </c>
      <c r="B57" s="8" t="s">
        <v>3</v>
      </c>
      <c r="C57" s="13">
        <v>941</v>
      </c>
      <c r="D57" s="13">
        <v>945</v>
      </c>
      <c r="E57" s="13">
        <v>946</v>
      </c>
      <c r="F57" s="13">
        <v>946</v>
      </c>
      <c r="G57" s="13">
        <v>968</v>
      </c>
      <c r="H57" s="13">
        <v>1172</v>
      </c>
      <c r="I57" s="13">
        <v>1180</v>
      </c>
      <c r="J57" s="13">
        <v>1213</v>
      </c>
      <c r="K57" s="9">
        <v>1378</v>
      </c>
      <c r="L57" s="11" t="s">
        <v>87</v>
      </c>
      <c r="M57" s="51" t="s">
        <v>346</v>
      </c>
      <c r="N57" s="29">
        <f>SUM(C55+C56+C58+C59)</f>
        <v>3525</v>
      </c>
      <c r="O57" s="15">
        <f>SUM(N57/N58)</f>
        <v>0.44648511716276124</v>
      </c>
      <c r="P57" s="18">
        <v>3</v>
      </c>
    </row>
    <row r="58" spans="1:18" s="2" customFormat="1" ht="16.5" customHeight="1" thickBot="1">
      <c r="A58" s="16" t="s">
        <v>484</v>
      </c>
      <c r="B58" s="52" t="s">
        <v>346</v>
      </c>
      <c r="C58" s="13">
        <v>656</v>
      </c>
      <c r="D58" s="13">
        <v>656</v>
      </c>
      <c r="E58" s="13">
        <v>656</v>
      </c>
      <c r="F58" s="13">
        <v>657</v>
      </c>
      <c r="G58" s="13">
        <v>725</v>
      </c>
      <c r="H58" s="13">
        <v>728</v>
      </c>
      <c r="I58" s="13">
        <v>734</v>
      </c>
      <c r="J58" s="13">
        <v>777</v>
      </c>
      <c r="K58" s="13" t="s">
        <v>10</v>
      </c>
      <c r="M58" s="26"/>
      <c r="N58" s="28">
        <v>7895</v>
      </c>
      <c r="O58" s="15"/>
      <c r="P58" s="18"/>
    </row>
    <row r="59" spans="1:18" s="2" customFormat="1" ht="16.5" customHeight="1" thickBot="1">
      <c r="A59" s="7" t="s">
        <v>400</v>
      </c>
      <c r="B59" s="103" t="s">
        <v>346</v>
      </c>
      <c r="C59" s="13">
        <v>616</v>
      </c>
      <c r="D59" s="13">
        <v>617</v>
      </c>
      <c r="E59" s="13">
        <v>621</v>
      </c>
      <c r="F59" s="13">
        <v>627</v>
      </c>
      <c r="G59" s="13">
        <v>635</v>
      </c>
      <c r="H59" s="13">
        <v>659</v>
      </c>
      <c r="I59" s="13">
        <v>685</v>
      </c>
      <c r="J59" s="13">
        <v>898</v>
      </c>
      <c r="K59" s="9">
        <v>1139</v>
      </c>
      <c r="L59" s="11" t="s">
        <v>89</v>
      </c>
    </row>
    <row r="60" spans="1:18" s="2" customFormat="1" ht="16.5" customHeight="1" thickBot="1">
      <c r="A60" s="16" t="s">
        <v>485</v>
      </c>
      <c r="B60" s="22" t="s">
        <v>4</v>
      </c>
      <c r="C60" s="13">
        <v>427</v>
      </c>
      <c r="D60" s="13">
        <v>427</v>
      </c>
      <c r="E60" s="13">
        <v>427</v>
      </c>
      <c r="F60" s="13">
        <v>428</v>
      </c>
      <c r="G60" s="13">
        <v>512</v>
      </c>
      <c r="H60" s="13">
        <v>516</v>
      </c>
      <c r="I60" s="13">
        <v>550</v>
      </c>
      <c r="J60" s="13" t="s">
        <v>10</v>
      </c>
      <c r="L60" s="18"/>
    </row>
    <row r="61" spans="1:18" s="2" customFormat="1" ht="16.5" customHeight="1" thickBot="1">
      <c r="A61" s="16" t="s">
        <v>397</v>
      </c>
      <c r="B61" s="17" t="s">
        <v>3</v>
      </c>
      <c r="C61" s="13">
        <v>423</v>
      </c>
      <c r="D61" s="13">
        <v>432</v>
      </c>
      <c r="E61" s="13">
        <v>449</v>
      </c>
      <c r="F61" s="13">
        <v>457</v>
      </c>
      <c r="G61" s="13">
        <v>462</v>
      </c>
      <c r="H61" s="13" t="s">
        <v>10</v>
      </c>
    </row>
    <row r="62" spans="1:18" s="2" customFormat="1" ht="16.5" customHeight="1" thickBot="1">
      <c r="A62" s="16" t="s">
        <v>486</v>
      </c>
      <c r="B62" s="22" t="s">
        <v>4</v>
      </c>
      <c r="C62" s="13">
        <v>391</v>
      </c>
      <c r="D62" s="13">
        <v>392</v>
      </c>
      <c r="E62" s="13">
        <v>429</v>
      </c>
      <c r="F62" s="13">
        <v>434</v>
      </c>
      <c r="G62" s="13">
        <v>463</v>
      </c>
      <c r="H62" s="13">
        <v>486</v>
      </c>
      <c r="I62" s="13" t="s">
        <v>10</v>
      </c>
    </row>
    <row r="63" spans="1:18" s="2" customFormat="1" ht="16.5" customHeight="1" thickBot="1">
      <c r="A63" s="16" t="s">
        <v>383</v>
      </c>
      <c r="B63" s="22" t="s">
        <v>4</v>
      </c>
      <c r="C63" s="13">
        <v>375</v>
      </c>
      <c r="D63" s="13">
        <v>377</v>
      </c>
      <c r="E63" s="13">
        <v>444</v>
      </c>
      <c r="F63" s="13">
        <v>460</v>
      </c>
      <c r="G63" s="13">
        <v>475</v>
      </c>
      <c r="H63" s="13">
        <v>498</v>
      </c>
      <c r="I63" s="13">
        <v>685</v>
      </c>
      <c r="J63" s="13">
        <v>826</v>
      </c>
      <c r="K63" s="13">
        <v>845</v>
      </c>
      <c r="L63" s="11"/>
    </row>
    <row r="64" spans="1:18" s="2" customFormat="1" ht="16.5" customHeight="1" thickBot="1">
      <c r="A64" s="16" t="s">
        <v>487</v>
      </c>
      <c r="B64" s="22" t="s">
        <v>4</v>
      </c>
      <c r="C64" s="13">
        <v>259</v>
      </c>
      <c r="D64" s="13">
        <v>260</v>
      </c>
      <c r="E64" s="13">
        <v>263</v>
      </c>
      <c r="F64" s="13">
        <v>266</v>
      </c>
      <c r="G64" s="13" t="s">
        <v>10</v>
      </c>
      <c r="H64" s="18"/>
    </row>
    <row r="65" spans="1:14" s="2" customFormat="1" ht="16.5" customHeight="1" thickBot="1">
      <c r="A65" s="16" t="s">
        <v>488</v>
      </c>
      <c r="B65" s="22" t="s">
        <v>4</v>
      </c>
      <c r="C65" s="13">
        <v>215</v>
      </c>
      <c r="D65" s="13">
        <v>215</v>
      </c>
      <c r="E65" s="13" t="s">
        <v>10</v>
      </c>
    </row>
    <row r="66" spans="1:14">
      <c r="C66" s="41"/>
      <c r="D66" s="41"/>
      <c r="E66" s="41"/>
      <c r="F66" s="41"/>
    </row>
    <row r="67" spans="1:14" s="2" customFormat="1" ht="17.45" customHeight="1">
      <c r="A67" s="1" t="s">
        <v>461</v>
      </c>
    </row>
    <row r="68" spans="1:14" s="2" customFormat="1" ht="10.5" customHeight="1" thickBot="1">
      <c r="A68" s="1"/>
    </row>
    <row r="69" spans="1:14" s="2" customFormat="1" ht="16.5" customHeight="1" thickBot="1">
      <c r="A69" s="4" t="s">
        <v>0</v>
      </c>
      <c r="B69" s="5" t="s">
        <v>1</v>
      </c>
      <c r="C69" s="5" t="s">
        <v>2</v>
      </c>
      <c r="D69" s="5">
        <v>2</v>
      </c>
      <c r="E69" s="5">
        <v>3</v>
      </c>
      <c r="F69" s="5">
        <v>4</v>
      </c>
      <c r="G69" s="5">
        <v>5</v>
      </c>
      <c r="H69" s="5">
        <v>6</v>
      </c>
      <c r="I69" s="5">
        <v>7</v>
      </c>
      <c r="J69" s="6"/>
      <c r="K69" s="14" t="s">
        <v>6</v>
      </c>
      <c r="L69" s="50">
        <f>SUM(6543/10671)</f>
        <v>0.61315715490581946</v>
      </c>
    </row>
    <row r="70" spans="1:14" s="2" customFormat="1" ht="16.5" customHeight="1" thickBot="1">
      <c r="A70" s="7" t="s">
        <v>242</v>
      </c>
      <c r="B70" s="12" t="s">
        <v>4</v>
      </c>
      <c r="C70" s="9">
        <v>1483</v>
      </c>
      <c r="D70" s="13"/>
      <c r="E70" s="13"/>
      <c r="F70" s="13"/>
      <c r="G70" s="13"/>
      <c r="H70" s="13"/>
      <c r="I70" s="13"/>
      <c r="J70" s="11" t="s">
        <v>85</v>
      </c>
      <c r="K70" s="18"/>
      <c r="L70" s="14" t="s">
        <v>7</v>
      </c>
      <c r="M70" s="14" t="s">
        <v>8</v>
      </c>
      <c r="N70" s="14" t="s">
        <v>9</v>
      </c>
    </row>
    <row r="71" spans="1:14" s="2" customFormat="1" ht="16.5" customHeight="1" thickBot="1">
      <c r="A71" s="7" t="s">
        <v>462</v>
      </c>
      <c r="B71" s="8" t="s">
        <v>3</v>
      </c>
      <c r="C71" s="13">
        <v>982</v>
      </c>
      <c r="D71" s="13">
        <v>984</v>
      </c>
      <c r="E71" s="13">
        <v>1001</v>
      </c>
      <c r="F71" s="13">
        <v>1012</v>
      </c>
      <c r="G71" s="13">
        <v>1057</v>
      </c>
      <c r="H71" s="13">
        <v>1197</v>
      </c>
      <c r="I71" s="9">
        <v>1204</v>
      </c>
      <c r="J71" s="11" t="s">
        <v>90</v>
      </c>
      <c r="K71" s="19" t="s">
        <v>3</v>
      </c>
      <c r="L71" s="20">
        <f>SUM(C71+C72+C73+C75)</f>
        <v>2965</v>
      </c>
      <c r="M71" s="21">
        <f>SUM(L71/L75)</f>
        <v>0.45841063698206558</v>
      </c>
      <c r="N71" s="18">
        <v>2</v>
      </c>
    </row>
    <row r="72" spans="1:14" s="2" customFormat="1" ht="16.5" customHeight="1" thickBot="1">
      <c r="A72" s="7" t="s">
        <v>378</v>
      </c>
      <c r="B72" s="8" t="s">
        <v>3</v>
      </c>
      <c r="C72" s="13">
        <v>786</v>
      </c>
      <c r="D72" s="13">
        <v>811</v>
      </c>
      <c r="E72" s="13">
        <v>815</v>
      </c>
      <c r="F72" s="13">
        <v>885</v>
      </c>
      <c r="G72" s="13">
        <v>1205</v>
      </c>
      <c r="H72" s="13">
        <v>1225</v>
      </c>
      <c r="I72" s="9">
        <v>1284</v>
      </c>
      <c r="J72" s="11" t="s">
        <v>86</v>
      </c>
      <c r="K72" s="23" t="s">
        <v>4</v>
      </c>
      <c r="L72" s="20">
        <f>SUM(C70+C74+C77)</f>
        <v>2595</v>
      </c>
      <c r="M72" s="21">
        <f>SUM(L72/L75)</f>
        <v>0.40120593692022266</v>
      </c>
      <c r="N72" s="18">
        <v>2</v>
      </c>
    </row>
    <row r="73" spans="1:14" s="2" customFormat="1" ht="16.5" customHeight="1" thickBot="1">
      <c r="A73" s="16" t="s">
        <v>489</v>
      </c>
      <c r="B73" s="17" t="s">
        <v>3</v>
      </c>
      <c r="C73" s="13">
        <v>674</v>
      </c>
      <c r="D73" s="13">
        <v>685</v>
      </c>
      <c r="E73" s="13">
        <v>731</v>
      </c>
      <c r="F73" s="13">
        <v>754</v>
      </c>
      <c r="G73" s="13">
        <v>839</v>
      </c>
      <c r="H73" s="13">
        <v>852</v>
      </c>
      <c r="I73" s="13">
        <v>869</v>
      </c>
      <c r="J73" s="9"/>
      <c r="K73" s="51" t="s">
        <v>346</v>
      </c>
      <c r="L73" s="29">
        <f>SUM(C76+C78)</f>
        <v>712</v>
      </c>
      <c r="M73" s="15">
        <f>SUM(L73/L75)</f>
        <v>0.11008039579468151</v>
      </c>
    </row>
    <row r="74" spans="1:14" s="2" customFormat="1" ht="16.5" customHeight="1" thickBot="1">
      <c r="A74" s="7" t="s">
        <v>377</v>
      </c>
      <c r="B74" s="12" t="s">
        <v>4</v>
      </c>
      <c r="C74" s="13">
        <v>672</v>
      </c>
      <c r="D74" s="13">
        <v>684</v>
      </c>
      <c r="E74" s="13">
        <v>711</v>
      </c>
      <c r="F74" s="13">
        <v>721</v>
      </c>
      <c r="G74" s="13">
        <v>740</v>
      </c>
      <c r="H74" s="13">
        <v>1013</v>
      </c>
      <c r="I74" s="9">
        <v>1259</v>
      </c>
      <c r="J74" s="9" t="s">
        <v>87</v>
      </c>
      <c r="K74" s="43" t="s">
        <v>14</v>
      </c>
      <c r="L74" s="29">
        <v>196</v>
      </c>
      <c r="M74" s="15">
        <f>SUM(L74/L75)</f>
        <v>3.0303030303030304E-2</v>
      </c>
    </row>
    <row r="75" spans="1:14" s="2" customFormat="1" ht="16.5" customHeight="1" thickBot="1">
      <c r="A75" s="16" t="s">
        <v>246</v>
      </c>
      <c r="B75" s="17" t="s">
        <v>3</v>
      </c>
      <c r="C75" s="13">
        <v>523</v>
      </c>
      <c r="D75" s="13">
        <v>530</v>
      </c>
      <c r="E75" s="13">
        <v>545</v>
      </c>
      <c r="F75" s="13">
        <v>570</v>
      </c>
      <c r="G75" s="13" t="s">
        <v>10</v>
      </c>
      <c r="K75" s="24"/>
      <c r="L75" s="28">
        <v>6468</v>
      </c>
      <c r="M75" s="15"/>
    </row>
    <row r="76" spans="1:14" s="2" customFormat="1" ht="16.5" customHeight="1" thickBot="1">
      <c r="A76" s="16" t="s">
        <v>490</v>
      </c>
      <c r="B76" s="52" t="s">
        <v>346</v>
      </c>
      <c r="C76" s="13">
        <v>510</v>
      </c>
      <c r="D76" s="13">
        <v>511</v>
      </c>
      <c r="E76" s="13">
        <v>570</v>
      </c>
      <c r="F76" s="13">
        <v>575</v>
      </c>
      <c r="G76" s="13">
        <v>587</v>
      </c>
      <c r="H76" s="13" t="s">
        <v>10</v>
      </c>
      <c r="I76" s="18"/>
    </row>
    <row r="77" spans="1:14" s="2" customFormat="1" ht="16.5" customHeight="1" thickBot="1">
      <c r="A77" s="16" t="s">
        <v>491</v>
      </c>
      <c r="B77" s="22" t="s">
        <v>4</v>
      </c>
      <c r="C77" s="13">
        <v>440</v>
      </c>
      <c r="D77" s="13">
        <v>549</v>
      </c>
      <c r="E77" s="13">
        <v>567</v>
      </c>
      <c r="F77" s="13">
        <v>606</v>
      </c>
      <c r="G77" s="13">
        <v>641</v>
      </c>
      <c r="H77" s="13">
        <v>654</v>
      </c>
      <c r="I77" s="13" t="s">
        <v>10</v>
      </c>
      <c r="K77" s="18"/>
    </row>
    <row r="78" spans="1:14" s="2" customFormat="1" ht="16.5" customHeight="1" thickBot="1">
      <c r="A78" s="16" t="s">
        <v>494</v>
      </c>
      <c r="B78" s="52" t="s">
        <v>346</v>
      </c>
      <c r="C78" s="13">
        <v>202</v>
      </c>
      <c r="D78" s="13">
        <v>209</v>
      </c>
      <c r="E78" s="13" t="s">
        <v>10</v>
      </c>
    </row>
    <row r="79" spans="1:14" s="2" customFormat="1" ht="16.5" customHeight="1" thickBot="1">
      <c r="A79" s="16" t="s">
        <v>492</v>
      </c>
      <c r="B79" s="10" t="s">
        <v>493</v>
      </c>
      <c r="C79" s="13">
        <v>196</v>
      </c>
      <c r="D79" s="13">
        <v>211</v>
      </c>
      <c r="E79" s="13">
        <v>220</v>
      </c>
      <c r="F79" s="13" t="s">
        <v>10</v>
      </c>
      <c r="I79" s="18"/>
    </row>
    <row r="80" spans="1:14">
      <c r="C80" s="41"/>
      <c r="D80" s="41"/>
      <c r="E80" s="41"/>
      <c r="F80" s="41"/>
    </row>
    <row r="81" spans="1:20" s="2" customFormat="1" ht="17.45" customHeight="1">
      <c r="A81" s="1" t="s">
        <v>463</v>
      </c>
    </row>
    <row r="82" spans="1:20" s="2" customFormat="1" ht="10.5" customHeight="1" thickBot="1">
      <c r="A82" s="1"/>
    </row>
    <row r="83" spans="1:20" s="2" customFormat="1" ht="16.5" customHeight="1" thickBot="1">
      <c r="A83" s="4" t="s">
        <v>0</v>
      </c>
      <c r="B83" s="5" t="s">
        <v>1</v>
      </c>
      <c r="C83" s="5" t="s">
        <v>2</v>
      </c>
      <c r="D83" s="5">
        <v>2</v>
      </c>
      <c r="E83" s="5">
        <v>3</v>
      </c>
      <c r="F83" s="5">
        <v>4</v>
      </c>
      <c r="G83" s="5">
        <v>5</v>
      </c>
      <c r="H83" s="5">
        <v>6</v>
      </c>
      <c r="I83" s="5">
        <v>7</v>
      </c>
      <c r="J83" s="6"/>
      <c r="K83" s="14" t="s">
        <v>6</v>
      </c>
      <c r="L83" s="15">
        <f>SUM(8517/15438)</f>
        <v>0.55169063350174896</v>
      </c>
    </row>
    <row r="84" spans="1:20" s="2" customFormat="1" ht="16.5" customHeight="1" thickBot="1">
      <c r="A84" s="7" t="s">
        <v>249</v>
      </c>
      <c r="B84" s="37" t="s">
        <v>11</v>
      </c>
      <c r="C84" s="9">
        <v>1561</v>
      </c>
      <c r="D84" s="13"/>
      <c r="E84" s="13"/>
      <c r="F84" s="13"/>
      <c r="G84" s="13"/>
      <c r="H84" s="13"/>
      <c r="I84" s="9"/>
      <c r="J84" s="11" t="s">
        <v>85</v>
      </c>
      <c r="K84" s="18"/>
      <c r="L84" s="14" t="s">
        <v>7</v>
      </c>
      <c r="M84" s="14" t="s">
        <v>8</v>
      </c>
      <c r="N84" s="14" t="s">
        <v>9</v>
      </c>
    </row>
    <row r="85" spans="1:20" s="2" customFormat="1" ht="16.5" customHeight="1" thickBot="1">
      <c r="A85" s="7" t="s">
        <v>495</v>
      </c>
      <c r="B85" s="11" t="s">
        <v>11</v>
      </c>
      <c r="C85" s="13">
        <v>1178</v>
      </c>
      <c r="D85" s="13">
        <v>1183</v>
      </c>
      <c r="E85" s="13">
        <v>1199</v>
      </c>
      <c r="F85" s="13">
        <v>1209</v>
      </c>
      <c r="G85" s="9">
        <v>1700</v>
      </c>
      <c r="H85" s="13"/>
      <c r="I85" s="13"/>
      <c r="J85" s="11" t="s">
        <v>86</v>
      </c>
      <c r="K85" s="19" t="s">
        <v>3</v>
      </c>
      <c r="L85" s="20">
        <f>SUM(C86:C88)</f>
        <v>2957</v>
      </c>
      <c r="M85" s="21">
        <f>SUM(L85/L90)</f>
        <v>0.350396966465221</v>
      </c>
      <c r="N85" s="18">
        <v>2</v>
      </c>
    </row>
    <row r="86" spans="1:20" s="2" customFormat="1" ht="16.5" customHeight="1" thickBot="1">
      <c r="A86" s="7" t="s">
        <v>359</v>
      </c>
      <c r="B86" s="8" t="s">
        <v>3</v>
      </c>
      <c r="C86" s="13">
        <v>1139</v>
      </c>
      <c r="D86" s="13">
        <v>1167</v>
      </c>
      <c r="E86" s="13">
        <v>1181</v>
      </c>
      <c r="F86" s="13">
        <v>1267</v>
      </c>
      <c r="G86" s="13">
        <v>1279</v>
      </c>
      <c r="H86" s="13">
        <v>1296</v>
      </c>
      <c r="I86" s="9">
        <v>1436</v>
      </c>
      <c r="J86" s="11" t="s">
        <v>90</v>
      </c>
      <c r="K86" s="23" t="s">
        <v>4</v>
      </c>
      <c r="L86" s="20">
        <f>SUM(C90+C93)</f>
        <v>985</v>
      </c>
      <c r="M86" s="21">
        <f>SUM(L86/L90)</f>
        <v>0.11671999052020382</v>
      </c>
      <c r="N86" s="18">
        <v>1</v>
      </c>
    </row>
    <row r="87" spans="1:20" s="2" customFormat="1" ht="16.5" customHeight="1" thickBot="1">
      <c r="A87" s="7" t="s">
        <v>496</v>
      </c>
      <c r="B87" s="8" t="s">
        <v>3</v>
      </c>
      <c r="C87" s="13">
        <v>993</v>
      </c>
      <c r="D87" s="13">
        <v>1009</v>
      </c>
      <c r="E87" s="13">
        <v>1016</v>
      </c>
      <c r="F87" s="13">
        <v>1028</v>
      </c>
      <c r="G87" s="13">
        <v>1225</v>
      </c>
      <c r="H87" s="9">
        <v>1414</v>
      </c>
      <c r="I87" s="13"/>
      <c r="J87" s="11" t="s">
        <v>87</v>
      </c>
      <c r="K87" s="51" t="s">
        <v>346</v>
      </c>
      <c r="L87" s="20">
        <f>SUM(C91+C92)</f>
        <v>967</v>
      </c>
      <c r="M87" s="21">
        <f>SUM(L87/L90)</f>
        <v>0.11458703637871785</v>
      </c>
    </row>
    <row r="88" spans="1:20" s="2" customFormat="1" ht="16.5" customHeight="1" thickBot="1">
      <c r="A88" s="16" t="s">
        <v>497</v>
      </c>
      <c r="B88" s="17" t="s">
        <v>3</v>
      </c>
      <c r="C88" s="13">
        <v>825</v>
      </c>
      <c r="D88" s="13">
        <v>826</v>
      </c>
      <c r="E88" s="13">
        <v>831</v>
      </c>
      <c r="F88" s="13">
        <v>842</v>
      </c>
      <c r="G88" s="13" t="s">
        <v>10</v>
      </c>
      <c r="K88" s="104" t="s">
        <v>347</v>
      </c>
      <c r="L88" s="20">
        <v>791</v>
      </c>
      <c r="M88" s="21">
        <f>SUM(L88/L90)</f>
        <v>9.3731484773077384E-2</v>
      </c>
    </row>
    <row r="89" spans="1:20" s="2" customFormat="1" ht="16.5" customHeight="1" thickBot="1">
      <c r="A89" s="16" t="s">
        <v>498</v>
      </c>
      <c r="B89" s="117" t="s">
        <v>347</v>
      </c>
      <c r="C89" s="13">
        <v>791</v>
      </c>
      <c r="D89" s="13">
        <v>804</v>
      </c>
      <c r="E89" s="13">
        <v>835</v>
      </c>
      <c r="F89" s="13">
        <v>922</v>
      </c>
      <c r="G89" s="13">
        <v>930</v>
      </c>
      <c r="H89" s="13">
        <v>940</v>
      </c>
      <c r="I89" s="13">
        <v>1070</v>
      </c>
      <c r="J89" s="11"/>
      <c r="K89" s="43" t="s">
        <v>14</v>
      </c>
      <c r="L89" s="20">
        <f>SUM(C84+C85)</f>
        <v>2739</v>
      </c>
      <c r="M89" s="21">
        <f>SUM(L89/L90)</f>
        <v>0.32456452186277995</v>
      </c>
      <c r="N89" s="2">
        <v>2</v>
      </c>
    </row>
    <row r="90" spans="1:20" s="2" customFormat="1" ht="16.5" customHeight="1" thickBot="1">
      <c r="A90" s="7" t="s">
        <v>464</v>
      </c>
      <c r="B90" s="12" t="s">
        <v>4</v>
      </c>
      <c r="C90" s="13">
        <v>644</v>
      </c>
      <c r="D90" s="13">
        <v>652</v>
      </c>
      <c r="E90" s="13">
        <v>815</v>
      </c>
      <c r="F90" s="13">
        <v>860</v>
      </c>
      <c r="G90" s="13">
        <v>897</v>
      </c>
      <c r="H90" s="13">
        <v>940</v>
      </c>
      <c r="I90" s="9">
        <v>1171</v>
      </c>
      <c r="J90" s="11" t="s">
        <v>89</v>
      </c>
      <c r="K90" s="34"/>
      <c r="L90" s="28">
        <v>8439</v>
      </c>
      <c r="M90" s="15"/>
    </row>
    <row r="91" spans="1:20" s="2" customFormat="1" ht="16.5" customHeight="1" thickBot="1">
      <c r="A91" s="16" t="s">
        <v>499</v>
      </c>
      <c r="B91" s="52" t="s">
        <v>346</v>
      </c>
      <c r="C91" s="13">
        <v>547</v>
      </c>
      <c r="D91" s="13">
        <v>605</v>
      </c>
      <c r="E91" s="13">
        <v>653</v>
      </c>
      <c r="F91" s="13">
        <v>860</v>
      </c>
      <c r="G91" s="13">
        <v>864</v>
      </c>
      <c r="H91" s="13">
        <v>865</v>
      </c>
      <c r="I91" s="13" t="s">
        <v>10</v>
      </c>
      <c r="K91" s="24"/>
      <c r="L91" s="20"/>
      <c r="M91" s="21"/>
    </row>
    <row r="92" spans="1:20" s="2" customFormat="1" ht="16.5" customHeight="1" thickBot="1">
      <c r="A92" s="16" t="s">
        <v>500</v>
      </c>
      <c r="B92" s="52" t="s">
        <v>346</v>
      </c>
      <c r="C92" s="13">
        <v>420</v>
      </c>
      <c r="D92" s="13">
        <v>431</v>
      </c>
      <c r="E92" s="13">
        <v>485</v>
      </c>
      <c r="F92" s="13" t="s">
        <v>10</v>
      </c>
      <c r="L92" s="18"/>
      <c r="O92" s="18"/>
    </row>
    <row r="93" spans="1:20" s="2" customFormat="1" ht="16.5" customHeight="1" thickBot="1">
      <c r="A93" s="16" t="s">
        <v>501</v>
      </c>
      <c r="B93" s="22" t="s">
        <v>4</v>
      </c>
      <c r="C93" s="13">
        <v>341</v>
      </c>
      <c r="D93" s="13">
        <v>355</v>
      </c>
      <c r="E93" s="13" t="s">
        <v>10</v>
      </c>
    </row>
    <row r="94" spans="1:20" ht="14.25">
      <c r="C94" s="41"/>
      <c r="D94" s="41"/>
      <c r="E94" s="41"/>
      <c r="F94" s="41"/>
      <c r="G94" s="41"/>
      <c r="H94" s="41"/>
      <c r="I94" s="41"/>
      <c r="J94" s="41"/>
      <c r="M94" s="2"/>
      <c r="N94" s="2"/>
      <c r="O94" s="2"/>
      <c r="P94" s="2"/>
      <c r="Q94" s="2"/>
    </row>
    <row r="95" spans="1:20" s="108" customFormat="1" ht="15" customHeight="1">
      <c r="B95" s="46" t="s">
        <v>259</v>
      </c>
      <c r="C95" s="83" t="s">
        <v>3</v>
      </c>
      <c r="D95" s="84" t="s">
        <v>4</v>
      </c>
      <c r="E95" s="87" t="s">
        <v>346</v>
      </c>
      <c r="F95" s="116" t="s">
        <v>347</v>
      </c>
      <c r="G95" s="85" t="s">
        <v>12</v>
      </c>
      <c r="H95" s="46" t="s">
        <v>14</v>
      </c>
      <c r="R95" s="109"/>
      <c r="S95" s="110"/>
      <c r="T95" s="111"/>
    </row>
    <row r="96" spans="1:20" s="108" customFormat="1" ht="15" customHeight="1">
      <c r="A96" s="108" t="s">
        <v>7</v>
      </c>
      <c r="B96" s="112">
        <f>SUM(L90+L75+N58+N42+N27+O10)</f>
        <v>50352</v>
      </c>
      <c r="C96" s="110">
        <f>SUM(L85+L71+N55+N38+N22+O5)</f>
        <v>18229</v>
      </c>
      <c r="D96" s="110">
        <f>SUM(L86+L72+N56+N39+N23+O6)</f>
        <v>13476</v>
      </c>
      <c r="E96" s="110">
        <f>SUM(L87+L73+N57+N40+N24+O8)</f>
        <v>11099</v>
      </c>
      <c r="F96" s="110">
        <f>SUM(L88+O7)</f>
        <v>1961</v>
      </c>
      <c r="G96" s="110">
        <v>204</v>
      </c>
      <c r="H96" s="110">
        <f>SUM(L89+L74+N41+N26+O9)</f>
        <v>5383</v>
      </c>
      <c r="R96" s="46"/>
      <c r="S96" s="112"/>
      <c r="T96" s="111"/>
    </row>
    <row r="97" spans="1:16" s="108" customFormat="1" ht="15" customHeight="1">
      <c r="A97" s="108" t="s">
        <v>8</v>
      </c>
      <c r="B97" s="115">
        <v>1</v>
      </c>
      <c r="C97" s="111">
        <f t="shared" ref="C97:H97" si="0">SUM(C96/$B$96)</f>
        <v>0.36203129965046077</v>
      </c>
      <c r="D97" s="111">
        <f t="shared" si="0"/>
        <v>0.26763584366062915</v>
      </c>
      <c r="E97" s="111">
        <f t="shared" si="0"/>
        <v>0.22042818557356211</v>
      </c>
      <c r="F97" s="111">
        <f t="shared" si="0"/>
        <v>3.8945821417222755E-2</v>
      </c>
      <c r="G97" s="111">
        <f t="shared" si="0"/>
        <v>4.0514775977121067E-3</v>
      </c>
      <c r="H97" s="111">
        <f t="shared" si="0"/>
        <v>0.1069073721004131</v>
      </c>
      <c r="J97" s="114"/>
    </row>
    <row r="98" spans="1:16" s="108" customFormat="1" ht="15" customHeight="1">
      <c r="A98" s="108" t="s">
        <v>9</v>
      </c>
      <c r="B98" s="46">
        <v>31</v>
      </c>
      <c r="C98" s="108">
        <v>13</v>
      </c>
      <c r="D98" s="108">
        <v>8</v>
      </c>
      <c r="E98" s="108">
        <v>7</v>
      </c>
      <c r="F98" s="108">
        <v>1</v>
      </c>
      <c r="G98" s="108">
        <v>0</v>
      </c>
      <c r="H98" s="108">
        <v>2</v>
      </c>
    </row>
    <row r="99" spans="1:16" ht="14.25">
      <c r="M99" s="2"/>
      <c r="N99" s="2"/>
      <c r="O99" s="2"/>
      <c r="P99" s="2"/>
    </row>
    <row r="100" spans="1:16" ht="14.25">
      <c r="M100" s="2"/>
      <c r="N100" s="2"/>
      <c r="O100" s="2"/>
      <c r="P100" s="2"/>
    </row>
  </sheetData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2"/>
  <dimension ref="A1:U93"/>
  <sheetViews>
    <sheetView workbookViewId="0">
      <selection activeCell="M13" sqref="M13"/>
    </sheetView>
  </sheetViews>
  <sheetFormatPr defaultRowHeight="12.75"/>
  <cols>
    <col min="1" max="1" width="25.28515625" customWidth="1"/>
    <col min="2" max="2" width="7.7109375" customWidth="1"/>
    <col min="3" max="3" width="9.7109375" customWidth="1"/>
    <col min="4" max="18" width="8.7109375" customWidth="1"/>
  </cols>
  <sheetData>
    <row r="1" spans="1:12" s="2" customFormat="1" ht="16.5" customHeight="1">
      <c r="A1" s="1" t="s">
        <v>399</v>
      </c>
    </row>
    <row r="2" spans="1:12" s="2" customFormat="1" ht="9.75" customHeight="1" thickBot="1">
      <c r="A2" s="3"/>
    </row>
    <row r="3" spans="1:12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6"/>
      <c r="I3" s="14" t="s">
        <v>6</v>
      </c>
      <c r="J3" s="15">
        <f>SUM(7359/12673)</f>
        <v>0.58068334253925669</v>
      </c>
    </row>
    <row r="4" spans="1:12" s="2" customFormat="1" ht="16.5" customHeight="1" thickBot="1">
      <c r="A4" s="7" t="s">
        <v>298</v>
      </c>
      <c r="B4" s="12" t="s">
        <v>4</v>
      </c>
      <c r="C4" s="9">
        <v>1496</v>
      </c>
      <c r="D4" s="13"/>
      <c r="E4" s="13"/>
      <c r="F4" s="13"/>
      <c r="G4" s="13"/>
      <c r="H4" s="11" t="s">
        <v>85</v>
      </c>
      <c r="I4" s="18"/>
      <c r="J4" s="14" t="s">
        <v>7</v>
      </c>
      <c r="K4" s="14" t="s">
        <v>8</v>
      </c>
      <c r="L4" s="14" t="s">
        <v>9</v>
      </c>
    </row>
    <row r="5" spans="1:12" s="2" customFormat="1" ht="16.5" customHeight="1" thickBot="1">
      <c r="A5" s="7" t="s">
        <v>473</v>
      </c>
      <c r="B5" s="102" t="s">
        <v>347</v>
      </c>
      <c r="C5" s="13">
        <v>1115</v>
      </c>
      <c r="D5" s="13">
        <v>1151</v>
      </c>
      <c r="E5" s="9">
        <v>1212</v>
      </c>
      <c r="F5" s="13"/>
      <c r="G5" s="13"/>
      <c r="H5" s="11" t="s">
        <v>86</v>
      </c>
      <c r="I5" s="19" t="s">
        <v>3</v>
      </c>
      <c r="J5" s="20">
        <f>SUM(C6+C7+C10+C12)</f>
        <v>2762</v>
      </c>
      <c r="K5" s="21">
        <f>SUM(J5/J10)</f>
        <v>0.38086045228902371</v>
      </c>
      <c r="L5" s="18">
        <v>2</v>
      </c>
    </row>
    <row r="6" spans="1:12" s="2" customFormat="1" ht="16.5" customHeight="1" thickBot="1">
      <c r="A6" s="7" t="s">
        <v>401</v>
      </c>
      <c r="B6" s="8" t="s">
        <v>3</v>
      </c>
      <c r="C6" s="13">
        <v>928</v>
      </c>
      <c r="D6" s="13">
        <v>940</v>
      </c>
      <c r="E6" s="13">
        <v>992</v>
      </c>
      <c r="F6" s="13">
        <v>1022</v>
      </c>
      <c r="G6" s="9">
        <v>1238</v>
      </c>
      <c r="H6" s="11" t="s">
        <v>89</v>
      </c>
      <c r="I6" s="23" t="s">
        <v>4</v>
      </c>
      <c r="J6" s="20">
        <f>SUM(C4+C11)</f>
        <v>1795</v>
      </c>
      <c r="K6" s="21">
        <f>SUM(J6/J10)</f>
        <v>0.24751792608935466</v>
      </c>
      <c r="L6" s="18">
        <v>1</v>
      </c>
    </row>
    <row r="7" spans="1:12" s="2" customFormat="1" ht="16.5" customHeight="1" thickBot="1">
      <c r="A7" s="7" t="s">
        <v>223</v>
      </c>
      <c r="B7" s="8" t="s">
        <v>3</v>
      </c>
      <c r="C7" s="13">
        <v>923</v>
      </c>
      <c r="D7" s="13">
        <v>956</v>
      </c>
      <c r="E7" s="13">
        <v>1010</v>
      </c>
      <c r="F7" s="13">
        <v>1010</v>
      </c>
      <c r="G7" s="9">
        <v>1184</v>
      </c>
      <c r="H7" s="11" t="s">
        <v>90</v>
      </c>
      <c r="I7" s="104" t="s">
        <v>347</v>
      </c>
      <c r="J7" s="29">
        <v>1115</v>
      </c>
      <c r="K7" s="15">
        <f>SUM(J7/J10)</f>
        <v>0.15375068946497517</v>
      </c>
      <c r="L7" s="18">
        <v>1</v>
      </c>
    </row>
    <row r="8" spans="1:12" s="2" customFormat="1" ht="16.5" customHeight="1" thickBot="1">
      <c r="A8" s="7" t="s">
        <v>80</v>
      </c>
      <c r="B8" s="103" t="s">
        <v>346</v>
      </c>
      <c r="C8" s="13">
        <v>829</v>
      </c>
      <c r="D8" s="13">
        <v>894</v>
      </c>
      <c r="E8" s="13">
        <v>895</v>
      </c>
      <c r="F8" s="13">
        <v>1001</v>
      </c>
      <c r="G8" s="9">
        <v>1076</v>
      </c>
      <c r="H8" s="11" t="s">
        <v>87</v>
      </c>
      <c r="I8" s="51" t="s">
        <v>346</v>
      </c>
      <c r="J8" s="29">
        <v>829</v>
      </c>
      <c r="K8" s="15">
        <f>SUM(J8/J10)</f>
        <v>0.11431329288472146</v>
      </c>
      <c r="L8" s="18">
        <v>1</v>
      </c>
    </row>
    <row r="9" spans="1:12" s="2" customFormat="1" ht="16.5" customHeight="1" thickBot="1">
      <c r="A9" s="16" t="s">
        <v>197</v>
      </c>
      <c r="B9" s="27" t="s">
        <v>13</v>
      </c>
      <c r="C9" s="13">
        <v>751</v>
      </c>
      <c r="D9" s="13">
        <v>775</v>
      </c>
      <c r="E9" s="13">
        <v>798</v>
      </c>
      <c r="F9" s="13">
        <v>834</v>
      </c>
      <c r="G9" s="13">
        <v>874</v>
      </c>
      <c r="H9" s="11"/>
      <c r="I9" s="26" t="s">
        <v>13</v>
      </c>
      <c r="J9" s="29">
        <v>751</v>
      </c>
      <c r="K9" s="15">
        <f>SUM(J9/J10)</f>
        <v>0.10355763927192499</v>
      </c>
      <c r="L9" s="18"/>
    </row>
    <row r="10" spans="1:12" s="2" customFormat="1" ht="16.5" customHeight="1" thickBot="1">
      <c r="A10" s="16" t="s">
        <v>367</v>
      </c>
      <c r="B10" s="17" t="s">
        <v>3</v>
      </c>
      <c r="C10" s="13">
        <v>621</v>
      </c>
      <c r="D10" s="13">
        <v>634</v>
      </c>
      <c r="E10" s="13">
        <v>694</v>
      </c>
      <c r="F10" s="13">
        <v>747</v>
      </c>
      <c r="G10" s="13" t="s">
        <v>10</v>
      </c>
      <c r="J10" s="28">
        <v>7252</v>
      </c>
    </row>
    <row r="11" spans="1:12" s="2" customFormat="1" ht="16.5" customHeight="1" thickBot="1">
      <c r="A11" s="16" t="s">
        <v>366</v>
      </c>
      <c r="B11" s="22" t="s">
        <v>4</v>
      </c>
      <c r="C11" s="10">
        <v>299</v>
      </c>
      <c r="D11" s="10">
        <v>398</v>
      </c>
      <c r="E11" s="10">
        <v>418</v>
      </c>
      <c r="F11" s="13" t="s">
        <v>10</v>
      </c>
    </row>
    <row r="12" spans="1:12" s="2" customFormat="1" ht="16.5" customHeight="1" thickBot="1">
      <c r="A12" s="16" t="s">
        <v>365</v>
      </c>
      <c r="B12" s="17" t="s">
        <v>3</v>
      </c>
      <c r="C12" s="10">
        <v>290</v>
      </c>
      <c r="D12" s="10">
        <v>295</v>
      </c>
      <c r="E12" s="10" t="s">
        <v>10</v>
      </c>
    </row>
    <row r="13" spans="1:12" s="2" customFormat="1" ht="12.75" customHeight="1">
      <c r="A13" s="1"/>
      <c r="C13" s="29"/>
      <c r="D13" s="29"/>
      <c r="E13" s="29"/>
      <c r="F13" s="29"/>
      <c r="G13" s="29"/>
      <c r="H13" s="29"/>
    </row>
    <row r="14" spans="1:12" s="2" customFormat="1" ht="17.45" customHeight="1">
      <c r="A14" s="1" t="s">
        <v>368</v>
      </c>
    </row>
    <row r="15" spans="1:12" s="2" customFormat="1" ht="10.5" customHeight="1" thickBot="1">
      <c r="A15" s="1"/>
    </row>
    <row r="16" spans="1:12" s="2" customFormat="1" ht="16.5" customHeight="1" thickBot="1">
      <c r="A16" s="4" t="s">
        <v>0</v>
      </c>
      <c r="B16" s="5" t="s">
        <v>1</v>
      </c>
      <c r="C16" s="5" t="s">
        <v>2</v>
      </c>
      <c r="D16" s="5">
        <v>2</v>
      </c>
      <c r="E16" s="5">
        <v>3</v>
      </c>
      <c r="F16" s="5">
        <v>4</v>
      </c>
      <c r="G16" s="5">
        <v>5</v>
      </c>
      <c r="H16" s="5">
        <v>6</v>
      </c>
      <c r="I16" s="5">
        <v>7</v>
      </c>
      <c r="J16" s="6"/>
      <c r="K16" s="14" t="s">
        <v>6</v>
      </c>
      <c r="L16" s="15">
        <f>SUM(6804/11754)</f>
        <v>0.57886676875957122</v>
      </c>
    </row>
    <row r="17" spans="1:16" s="2" customFormat="1" ht="16.5" customHeight="1" thickBot="1">
      <c r="A17" s="7" t="s">
        <v>374</v>
      </c>
      <c r="B17" s="103" t="s">
        <v>346</v>
      </c>
      <c r="C17" s="9">
        <v>1514</v>
      </c>
      <c r="D17" s="13"/>
      <c r="E17" s="13"/>
      <c r="F17" s="13"/>
      <c r="G17" s="13"/>
      <c r="H17" s="13"/>
      <c r="I17" s="13"/>
      <c r="J17" s="11" t="s">
        <v>85</v>
      </c>
      <c r="K17" s="18"/>
      <c r="L17" s="14" t="s">
        <v>7</v>
      </c>
      <c r="M17" s="14" t="s">
        <v>8</v>
      </c>
      <c r="N17" s="14" t="s">
        <v>9</v>
      </c>
    </row>
    <row r="18" spans="1:16" s="2" customFormat="1" ht="16.5" customHeight="1" thickBot="1">
      <c r="A18" s="7" t="s">
        <v>28</v>
      </c>
      <c r="B18" s="12" t="s">
        <v>4</v>
      </c>
      <c r="C18" s="9">
        <v>1295</v>
      </c>
      <c r="D18" s="13"/>
      <c r="E18" s="13"/>
      <c r="F18" s="9"/>
      <c r="G18" s="13"/>
      <c r="H18" s="9"/>
      <c r="I18" s="13"/>
      <c r="J18" s="11" t="s">
        <v>86</v>
      </c>
      <c r="K18" s="19" t="s">
        <v>3</v>
      </c>
      <c r="L18" s="20">
        <f>SUM(C19+C20+C21)</f>
        <v>2489</v>
      </c>
      <c r="M18" s="21">
        <f>SUM(L18/L22)</f>
        <v>0.37022162724973973</v>
      </c>
      <c r="N18" s="18">
        <v>2</v>
      </c>
    </row>
    <row r="19" spans="1:16" s="2" customFormat="1" ht="16.5" customHeight="1" thickBot="1">
      <c r="A19" s="7" t="s">
        <v>404</v>
      </c>
      <c r="B19" s="8" t="s">
        <v>3</v>
      </c>
      <c r="C19" s="13">
        <v>1102</v>
      </c>
      <c r="D19" s="9">
        <v>1132</v>
      </c>
      <c r="E19" s="13"/>
      <c r="F19" s="13"/>
      <c r="G19" s="9"/>
      <c r="H19" s="13"/>
      <c r="I19" s="9"/>
      <c r="J19" s="11" t="s">
        <v>87</v>
      </c>
      <c r="K19" s="23" t="s">
        <v>4</v>
      </c>
      <c r="L19" s="20">
        <f>SUM(C18+C23+C25)</f>
        <v>1774</v>
      </c>
      <c r="M19" s="21">
        <f>SUM(L19/L22)</f>
        <v>0.26387029599881007</v>
      </c>
      <c r="N19" s="18">
        <v>2</v>
      </c>
    </row>
    <row r="20" spans="1:16" s="2" customFormat="1" ht="16.5" customHeight="1" thickBot="1">
      <c r="A20" s="16" t="s">
        <v>302</v>
      </c>
      <c r="B20" s="17" t="s">
        <v>3</v>
      </c>
      <c r="C20" s="13">
        <v>702</v>
      </c>
      <c r="D20" s="13">
        <v>715</v>
      </c>
      <c r="E20" s="13">
        <v>722</v>
      </c>
      <c r="F20" s="13">
        <v>724</v>
      </c>
      <c r="G20" s="13">
        <v>730</v>
      </c>
      <c r="H20" s="13">
        <v>735</v>
      </c>
      <c r="I20" s="9" t="s">
        <v>10</v>
      </c>
      <c r="K20" s="51" t="s">
        <v>346</v>
      </c>
      <c r="L20" s="29">
        <f>SUM(C17+C24)</f>
        <v>1796</v>
      </c>
      <c r="M20" s="15">
        <f>SUM(L20/L22)</f>
        <v>0.26714264465268484</v>
      </c>
      <c r="N20" s="18">
        <v>1</v>
      </c>
    </row>
    <row r="21" spans="1:16" s="2" customFormat="1" ht="16.5" customHeight="1" thickBot="1">
      <c r="A21" s="7" t="s">
        <v>369</v>
      </c>
      <c r="B21" s="8" t="s">
        <v>3</v>
      </c>
      <c r="C21" s="13">
        <v>685</v>
      </c>
      <c r="D21" s="13">
        <v>712</v>
      </c>
      <c r="E21" s="13">
        <v>725</v>
      </c>
      <c r="F21" s="13">
        <v>739</v>
      </c>
      <c r="G21" s="13">
        <v>755</v>
      </c>
      <c r="H21" s="13">
        <v>776</v>
      </c>
      <c r="I21" s="9">
        <v>1114</v>
      </c>
      <c r="J21" s="11" t="s">
        <v>90</v>
      </c>
      <c r="K21" s="26" t="s">
        <v>13</v>
      </c>
      <c r="L21" s="29">
        <f>SUM(C22+C26)</f>
        <v>664</v>
      </c>
      <c r="M21" s="15">
        <f>SUM(L21/L22)</f>
        <v>9.8765432098765427E-2</v>
      </c>
      <c r="N21" s="18"/>
    </row>
    <row r="22" spans="1:16" s="2" customFormat="1" ht="16.5" customHeight="1" thickBot="1">
      <c r="A22" s="16" t="s">
        <v>370</v>
      </c>
      <c r="B22" s="27" t="s">
        <v>13</v>
      </c>
      <c r="C22" s="13">
        <v>530</v>
      </c>
      <c r="D22" s="13">
        <v>564</v>
      </c>
      <c r="E22" s="13">
        <v>602</v>
      </c>
      <c r="F22" s="13">
        <v>658</v>
      </c>
      <c r="G22" s="13">
        <v>706</v>
      </c>
      <c r="H22" s="13">
        <v>759</v>
      </c>
      <c r="I22" s="13">
        <v>795</v>
      </c>
      <c r="J22" s="11"/>
      <c r="L22" s="28">
        <v>6723</v>
      </c>
    </row>
    <row r="23" spans="1:16" s="2" customFormat="1" ht="16.5" customHeight="1" thickBot="1">
      <c r="A23" s="7" t="s">
        <v>402</v>
      </c>
      <c r="B23" s="12" t="s">
        <v>4</v>
      </c>
      <c r="C23" s="13">
        <v>317</v>
      </c>
      <c r="D23" s="13">
        <v>496</v>
      </c>
      <c r="E23" s="13">
        <v>520</v>
      </c>
      <c r="F23" s="10">
        <v>532</v>
      </c>
      <c r="G23" s="13">
        <v>602</v>
      </c>
      <c r="H23" s="10">
        <v>774</v>
      </c>
      <c r="I23" s="9">
        <v>855</v>
      </c>
      <c r="J23" s="11" t="s">
        <v>89</v>
      </c>
    </row>
    <row r="24" spans="1:16" s="2" customFormat="1" ht="16.5" customHeight="1" thickBot="1">
      <c r="A24" s="16" t="s">
        <v>403</v>
      </c>
      <c r="B24" s="52" t="s">
        <v>346</v>
      </c>
      <c r="C24" s="13">
        <v>282</v>
      </c>
      <c r="D24" s="13">
        <v>350</v>
      </c>
      <c r="E24" s="13">
        <v>375</v>
      </c>
      <c r="F24" s="10">
        <v>409</v>
      </c>
      <c r="G24" s="10">
        <v>435</v>
      </c>
      <c r="H24" s="10" t="s">
        <v>10</v>
      </c>
      <c r="K24" s="40"/>
    </row>
    <row r="25" spans="1:16" s="2" customFormat="1" ht="16.5" customHeight="1" thickBot="1">
      <c r="A25" s="16" t="s">
        <v>372</v>
      </c>
      <c r="B25" s="22" t="s">
        <v>4</v>
      </c>
      <c r="C25" s="10">
        <v>162</v>
      </c>
      <c r="D25" s="10">
        <v>196</v>
      </c>
      <c r="E25" s="10">
        <v>257</v>
      </c>
      <c r="F25" s="10">
        <v>263</v>
      </c>
      <c r="G25" s="10" t="s">
        <v>10</v>
      </c>
    </row>
    <row r="26" spans="1:16" s="2" customFormat="1" ht="16.5" customHeight="1" thickBot="1">
      <c r="A26" s="16" t="s">
        <v>373</v>
      </c>
      <c r="B26" s="27" t="s">
        <v>13</v>
      </c>
      <c r="C26" s="10">
        <v>134</v>
      </c>
      <c r="D26" s="10">
        <v>142</v>
      </c>
      <c r="E26" s="10">
        <v>148</v>
      </c>
      <c r="F26" s="10" t="s">
        <v>10</v>
      </c>
    </row>
    <row r="27" spans="1:16" s="2" customFormat="1" ht="13.5" customHeight="1">
      <c r="A27" s="35"/>
      <c r="B27" s="36"/>
      <c r="C27" s="40"/>
      <c r="D27" s="40"/>
      <c r="E27" s="40"/>
      <c r="F27" s="40"/>
      <c r="G27" s="40"/>
      <c r="H27" s="40"/>
      <c r="I27" s="40"/>
    </row>
    <row r="28" spans="1:16" s="2" customFormat="1" ht="17.45" customHeight="1">
      <c r="A28" s="1" t="s">
        <v>380</v>
      </c>
    </row>
    <row r="29" spans="1:16" s="2" customFormat="1" ht="8.25" customHeight="1" thickBot="1">
      <c r="A29" s="1"/>
    </row>
    <row r="30" spans="1:16" s="2" customFormat="1" ht="17.45" customHeight="1" thickBot="1">
      <c r="A30" s="4" t="s">
        <v>0</v>
      </c>
      <c r="B30" s="5" t="s">
        <v>1</v>
      </c>
      <c r="C30" s="5" t="s">
        <v>2</v>
      </c>
      <c r="D30" s="5">
        <v>2</v>
      </c>
      <c r="E30" s="5">
        <v>3</v>
      </c>
      <c r="F30" s="5">
        <v>4</v>
      </c>
      <c r="G30" s="5">
        <v>5</v>
      </c>
      <c r="H30" s="5">
        <v>6</v>
      </c>
      <c r="I30" s="5">
        <v>7</v>
      </c>
      <c r="J30" s="5">
        <v>8</v>
      </c>
      <c r="K30" s="5">
        <v>9</v>
      </c>
      <c r="L30" s="5"/>
      <c r="M30" s="14" t="s">
        <v>6</v>
      </c>
      <c r="N30" s="50">
        <f>SUM(8680/18462)</f>
        <v>0.4701549127938468</v>
      </c>
    </row>
    <row r="31" spans="1:16" s="2" customFormat="1" ht="17.45" customHeight="1" thickBot="1">
      <c r="A31" s="7" t="s">
        <v>481</v>
      </c>
      <c r="B31" s="12" t="s">
        <v>4</v>
      </c>
      <c r="C31" s="13">
        <v>971</v>
      </c>
      <c r="D31" s="13">
        <v>994</v>
      </c>
      <c r="E31" s="13">
        <v>1019</v>
      </c>
      <c r="F31" s="9">
        <v>1108</v>
      </c>
      <c r="G31" s="13"/>
      <c r="H31" s="13"/>
      <c r="I31" s="13"/>
      <c r="J31" s="13"/>
      <c r="K31" s="9"/>
      <c r="L31" s="11" t="s">
        <v>85</v>
      </c>
      <c r="M31" s="18"/>
      <c r="N31" s="14" t="s">
        <v>7</v>
      </c>
      <c r="O31" s="14" t="s">
        <v>8</v>
      </c>
      <c r="P31" s="14" t="s">
        <v>9</v>
      </c>
    </row>
    <row r="32" spans="1:16" s="2" customFormat="1" ht="17.45" customHeight="1" thickBot="1">
      <c r="A32" s="7" t="s">
        <v>406</v>
      </c>
      <c r="B32" s="8" t="s">
        <v>3</v>
      </c>
      <c r="C32" s="13">
        <v>838</v>
      </c>
      <c r="D32" s="13">
        <v>843</v>
      </c>
      <c r="E32" s="13">
        <v>846</v>
      </c>
      <c r="F32" s="13">
        <v>850</v>
      </c>
      <c r="G32" s="13">
        <v>850</v>
      </c>
      <c r="H32" s="13">
        <v>941</v>
      </c>
      <c r="I32" s="13">
        <v>953</v>
      </c>
      <c r="J32" s="13">
        <v>957</v>
      </c>
      <c r="K32" s="9">
        <v>1061</v>
      </c>
      <c r="L32" s="11" t="s">
        <v>87</v>
      </c>
      <c r="M32" s="19" t="s">
        <v>3</v>
      </c>
      <c r="N32" s="20">
        <f>SUM(C33+C35+C32+C37+C40)</f>
        <v>3447</v>
      </c>
      <c r="O32" s="21">
        <f>SUM(N32/N37)</f>
        <v>0.39969851576994436</v>
      </c>
      <c r="P32" s="18">
        <v>3</v>
      </c>
    </row>
    <row r="33" spans="1:18" s="2" customFormat="1" ht="17.45" customHeight="1" thickBot="1">
      <c r="A33" s="7" t="s">
        <v>408</v>
      </c>
      <c r="B33" s="8" t="s">
        <v>3</v>
      </c>
      <c r="C33" s="13">
        <v>786</v>
      </c>
      <c r="D33" s="13">
        <v>789</v>
      </c>
      <c r="E33" s="13">
        <v>821</v>
      </c>
      <c r="F33" s="13">
        <v>854</v>
      </c>
      <c r="G33" s="13">
        <v>855</v>
      </c>
      <c r="H33" s="13">
        <v>857</v>
      </c>
      <c r="I33" s="13">
        <v>939</v>
      </c>
      <c r="J33" s="13">
        <v>967</v>
      </c>
      <c r="K33" s="9">
        <v>968</v>
      </c>
      <c r="L33" s="11" t="s">
        <v>88</v>
      </c>
      <c r="M33" s="23" t="s">
        <v>4</v>
      </c>
      <c r="N33" s="20">
        <f>SUM(C31+C36+C34+C39)</f>
        <v>2895</v>
      </c>
      <c r="O33" s="21">
        <f>SUM(N33/N37)</f>
        <v>0.33569109461966606</v>
      </c>
      <c r="P33" s="18">
        <v>3</v>
      </c>
    </row>
    <row r="34" spans="1:18" s="2" customFormat="1" ht="17.45" customHeight="1" thickBot="1">
      <c r="A34" s="7" t="s">
        <v>355</v>
      </c>
      <c r="B34" s="12" t="s">
        <v>4</v>
      </c>
      <c r="C34" s="13">
        <v>723</v>
      </c>
      <c r="D34" s="13">
        <v>800</v>
      </c>
      <c r="E34" s="13">
        <v>804</v>
      </c>
      <c r="F34" s="13">
        <v>834</v>
      </c>
      <c r="G34" s="13">
        <v>840</v>
      </c>
      <c r="H34" s="13">
        <v>844</v>
      </c>
      <c r="I34" s="13">
        <v>861</v>
      </c>
      <c r="J34" s="13">
        <v>886</v>
      </c>
      <c r="K34" s="9">
        <v>976</v>
      </c>
      <c r="L34" s="11" t="s">
        <v>89</v>
      </c>
      <c r="M34" s="51" t="s">
        <v>346</v>
      </c>
      <c r="N34" s="29">
        <f>SUM(C38+C41+C44+C45)</f>
        <v>1611</v>
      </c>
      <c r="O34" s="15">
        <f>SUM(N34/N37)</f>
        <v>0.18680426716141002</v>
      </c>
      <c r="P34" s="2">
        <v>1</v>
      </c>
    </row>
    <row r="35" spans="1:18" s="2" customFormat="1" ht="17.45" customHeight="1" thickBot="1">
      <c r="A35" s="16" t="s">
        <v>381</v>
      </c>
      <c r="B35" s="17" t="s">
        <v>3</v>
      </c>
      <c r="C35" s="13">
        <v>656</v>
      </c>
      <c r="D35" s="13">
        <v>659</v>
      </c>
      <c r="E35" s="13">
        <v>664</v>
      </c>
      <c r="F35" s="13">
        <v>667</v>
      </c>
      <c r="G35" s="13">
        <v>669</v>
      </c>
      <c r="H35" s="13">
        <v>673</v>
      </c>
      <c r="I35" s="13">
        <v>696</v>
      </c>
      <c r="J35" s="13">
        <v>753</v>
      </c>
      <c r="K35" s="13">
        <v>759</v>
      </c>
      <c r="L35" s="11"/>
      <c r="M35" s="26" t="s">
        <v>13</v>
      </c>
      <c r="N35" s="29">
        <v>342</v>
      </c>
      <c r="O35" s="15">
        <f>SUM(N35/N37)</f>
        <v>3.965677179962894E-2</v>
      </c>
    </row>
    <row r="36" spans="1:18" s="2" customFormat="1" ht="17.45" customHeight="1" thickBot="1">
      <c r="A36" s="7" t="s">
        <v>468</v>
      </c>
      <c r="B36" s="12" t="s">
        <v>4</v>
      </c>
      <c r="C36" s="13">
        <v>628</v>
      </c>
      <c r="D36" s="13">
        <v>651</v>
      </c>
      <c r="E36" s="13">
        <v>684</v>
      </c>
      <c r="F36" s="13">
        <v>721</v>
      </c>
      <c r="G36" s="13">
        <v>735</v>
      </c>
      <c r="H36" s="13">
        <v>782</v>
      </c>
      <c r="I36" s="13">
        <v>855</v>
      </c>
      <c r="J36" s="13">
        <v>888</v>
      </c>
      <c r="K36" s="9">
        <v>1078</v>
      </c>
      <c r="L36" s="11" t="s">
        <v>86</v>
      </c>
      <c r="M36" s="43" t="s">
        <v>14</v>
      </c>
      <c r="N36" s="29">
        <v>329</v>
      </c>
      <c r="O36" s="15">
        <f>SUM(N36/N37)</f>
        <v>3.8149350649350648E-2</v>
      </c>
    </row>
    <row r="37" spans="1:18" s="2" customFormat="1" ht="17.45" customHeight="1" thickBot="1">
      <c r="A37" s="7" t="s">
        <v>409</v>
      </c>
      <c r="B37" s="8" t="s">
        <v>3</v>
      </c>
      <c r="C37" s="13">
        <v>624</v>
      </c>
      <c r="D37" s="13">
        <v>641</v>
      </c>
      <c r="E37" s="13">
        <v>643</v>
      </c>
      <c r="F37" s="13">
        <v>648</v>
      </c>
      <c r="G37" s="13">
        <v>649</v>
      </c>
      <c r="H37" s="13">
        <v>655</v>
      </c>
      <c r="I37" s="13">
        <v>689</v>
      </c>
      <c r="J37" s="13">
        <v>881</v>
      </c>
      <c r="K37" s="9">
        <v>927</v>
      </c>
      <c r="L37" s="9" t="s">
        <v>111</v>
      </c>
      <c r="M37" s="24"/>
      <c r="N37" s="28">
        <v>8624</v>
      </c>
      <c r="O37" s="15"/>
    </row>
    <row r="38" spans="1:18" s="2" customFormat="1" ht="17.45" customHeight="1" thickBot="1">
      <c r="A38" s="7" t="s">
        <v>312</v>
      </c>
      <c r="B38" s="103" t="s">
        <v>346</v>
      </c>
      <c r="C38" s="10">
        <v>587</v>
      </c>
      <c r="D38" s="13">
        <v>600</v>
      </c>
      <c r="E38" s="13">
        <v>601</v>
      </c>
      <c r="F38" s="13">
        <v>633</v>
      </c>
      <c r="G38" s="13">
        <v>634</v>
      </c>
      <c r="H38" s="13">
        <v>836</v>
      </c>
      <c r="I38" s="13">
        <v>847</v>
      </c>
      <c r="J38" s="13">
        <v>848</v>
      </c>
      <c r="K38" s="9">
        <v>989</v>
      </c>
      <c r="L38" s="11" t="s">
        <v>90</v>
      </c>
      <c r="N38" s="18"/>
      <c r="O38" s="14"/>
      <c r="P38" s="14"/>
      <c r="Q38" s="14"/>
    </row>
    <row r="39" spans="1:18" s="2" customFormat="1" ht="17.45" customHeight="1" thickBot="1">
      <c r="A39" s="16" t="s">
        <v>407</v>
      </c>
      <c r="B39" s="22" t="s">
        <v>4</v>
      </c>
      <c r="C39" s="13">
        <v>573</v>
      </c>
      <c r="D39" s="13">
        <v>588</v>
      </c>
      <c r="E39" s="13">
        <v>588</v>
      </c>
      <c r="F39" s="13">
        <v>601</v>
      </c>
      <c r="G39" s="13">
        <v>602</v>
      </c>
      <c r="H39" s="13">
        <v>654</v>
      </c>
      <c r="I39" s="13">
        <v>675</v>
      </c>
      <c r="J39" s="13">
        <v>718</v>
      </c>
      <c r="K39" s="13" t="s">
        <v>10</v>
      </c>
      <c r="N39" s="19"/>
      <c r="O39" s="20"/>
      <c r="P39" s="21"/>
      <c r="Q39" s="18"/>
    </row>
    <row r="40" spans="1:18" s="2" customFormat="1" ht="17.45" customHeight="1" thickBot="1">
      <c r="A40" s="16" t="s">
        <v>382</v>
      </c>
      <c r="B40" s="17" t="s">
        <v>3</v>
      </c>
      <c r="C40" s="13">
        <v>543</v>
      </c>
      <c r="D40" s="13">
        <v>554</v>
      </c>
      <c r="E40" s="13">
        <v>554</v>
      </c>
      <c r="F40" s="13">
        <v>562</v>
      </c>
      <c r="G40" s="13">
        <v>562</v>
      </c>
      <c r="H40" s="13">
        <v>566</v>
      </c>
      <c r="I40" s="13">
        <v>575</v>
      </c>
      <c r="J40" s="13" t="s">
        <v>10</v>
      </c>
      <c r="N40" s="23"/>
      <c r="O40" s="20"/>
      <c r="P40" s="21"/>
      <c r="Q40" s="18"/>
    </row>
    <row r="41" spans="1:18" s="2" customFormat="1" ht="17.45" customHeight="1" thickBot="1">
      <c r="A41" s="16" t="s">
        <v>383</v>
      </c>
      <c r="B41" s="52" t="s">
        <v>346</v>
      </c>
      <c r="C41" s="13">
        <v>465</v>
      </c>
      <c r="D41" s="13">
        <v>479</v>
      </c>
      <c r="E41" s="13">
        <v>480</v>
      </c>
      <c r="F41" s="13">
        <v>498</v>
      </c>
      <c r="G41" s="13">
        <v>499</v>
      </c>
      <c r="H41" s="13" t="s">
        <v>10</v>
      </c>
      <c r="L41" s="28"/>
      <c r="M41" s="21"/>
      <c r="N41" s="18"/>
    </row>
    <row r="42" spans="1:18" s="2" customFormat="1" ht="17.45" customHeight="1" thickBot="1">
      <c r="A42" s="16" t="s">
        <v>384</v>
      </c>
      <c r="B42" s="27" t="s">
        <v>13</v>
      </c>
      <c r="C42" s="13">
        <v>342</v>
      </c>
      <c r="D42" s="13">
        <v>342</v>
      </c>
      <c r="E42" s="13">
        <v>441</v>
      </c>
      <c r="F42" s="13">
        <v>520</v>
      </c>
      <c r="G42" s="13">
        <v>522</v>
      </c>
      <c r="H42" s="13">
        <v>531</v>
      </c>
      <c r="I42" s="13" t="s">
        <v>10</v>
      </c>
      <c r="L42" s="29"/>
      <c r="M42" s="29"/>
      <c r="N42" s="29"/>
      <c r="O42" s="105"/>
      <c r="P42" s="29"/>
      <c r="Q42" s="15"/>
    </row>
    <row r="43" spans="1:18" s="2" customFormat="1" ht="17.45" customHeight="1" thickBot="1">
      <c r="A43" s="16" t="s">
        <v>385</v>
      </c>
      <c r="B43" s="33" t="s">
        <v>11</v>
      </c>
      <c r="C43" s="13">
        <v>329</v>
      </c>
      <c r="D43" s="13">
        <v>330</v>
      </c>
      <c r="E43" s="13" t="s">
        <v>10</v>
      </c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14"/>
      <c r="R43" s="15"/>
    </row>
    <row r="44" spans="1:18" s="2" customFormat="1" ht="17.45" customHeight="1" thickBot="1">
      <c r="A44" s="16" t="s">
        <v>386</v>
      </c>
      <c r="B44" s="52" t="s">
        <v>346</v>
      </c>
      <c r="C44" s="10">
        <v>291</v>
      </c>
      <c r="D44" s="13">
        <v>336</v>
      </c>
      <c r="E44" s="10">
        <v>436</v>
      </c>
      <c r="F44" s="13" t="s">
        <v>10</v>
      </c>
      <c r="G44" s="29"/>
      <c r="H44" s="29"/>
      <c r="I44" s="29"/>
      <c r="J44" s="29"/>
      <c r="K44" s="29"/>
      <c r="L44" s="29"/>
      <c r="M44" s="29"/>
      <c r="N44" s="29"/>
      <c r="O44" s="20"/>
      <c r="P44" s="14"/>
      <c r="Q44" s="14"/>
      <c r="R44" s="14"/>
    </row>
    <row r="45" spans="1:18" s="2" customFormat="1" ht="17.45" customHeight="1" thickBot="1">
      <c r="A45" s="16" t="s">
        <v>405</v>
      </c>
      <c r="B45" s="52" t="s">
        <v>346</v>
      </c>
      <c r="C45" s="13">
        <v>268</v>
      </c>
      <c r="D45" s="13" t="s">
        <v>10</v>
      </c>
      <c r="L45" s="19"/>
      <c r="M45" s="20"/>
      <c r="N45" s="21"/>
      <c r="O45" s="18"/>
    </row>
    <row r="46" spans="1:18"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</row>
    <row r="47" spans="1:18" s="2" customFormat="1" ht="17.45" customHeight="1">
      <c r="A47" s="1" t="s">
        <v>393</v>
      </c>
    </row>
    <row r="48" spans="1:18" s="2" customFormat="1" ht="10.5" customHeight="1" thickBot="1">
      <c r="A48" s="1"/>
    </row>
    <row r="49" spans="1:15" s="2" customFormat="1" ht="16.5" customHeight="1" thickBot="1">
      <c r="A49" s="4" t="s">
        <v>0</v>
      </c>
      <c r="B49" s="5" t="s">
        <v>1</v>
      </c>
      <c r="C49" s="5" t="s">
        <v>2</v>
      </c>
      <c r="D49" s="5">
        <v>2</v>
      </c>
      <c r="E49" s="5">
        <v>3</v>
      </c>
      <c r="F49" s="5">
        <v>4</v>
      </c>
      <c r="G49" s="5">
        <v>5</v>
      </c>
      <c r="H49" s="5">
        <v>6</v>
      </c>
      <c r="I49" s="5">
        <v>7</v>
      </c>
      <c r="J49" s="5">
        <v>8</v>
      </c>
      <c r="K49" s="6"/>
      <c r="L49" s="14" t="s">
        <v>6</v>
      </c>
      <c r="M49" s="15">
        <f>SUM(5897/11370)</f>
        <v>0.51864555848724714</v>
      </c>
    </row>
    <row r="50" spans="1:15" s="2" customFormat="1" ht="16.5" customHeight="1" thickBot="1">
      <c r="A50" s="7" t="s">
        <v>466</v>
      </c>
      <c r="B50" s="8" t="s">
        <v>3</v>
      </c>
      <c r="C50" s="13">
        <v>898</v>
      </c>
      <c r="D50" s="9">
        <v>1045</v>
      </c>
      <c r="E50" s="9"/>
      <c r="F50" s="13"/>
      <c r="G50" s="9"/>
      <c r="H50" s="13"/>
      <c r="I50" s="13"/>
      <c r="J50" s="13"/>
      <c r="K50" s="11" t="s">
        <v>85</v>
      </c>
      <c r="L50" s="18"/>
      <c r="M50" s="14" t="s">
        <v>7</v>
      </c>
      <c r="N50" s="14" t="s">
        <v>8</v>
      </c>
      <c r="O50" s="14" t="s">
        <v>9</v>
      </c>
    </row>
    <row r="51" spans="1:15" s="2" customFormat="1" ht="16.5" customHeight="1" thickBot="1">
      <c r="A51" s="7" t="s">
        <v>319</v>
      </c>
      <c r="B51" s="103" t="s">
        <v>346</v>
      </c>
      <c r="C51" s="13">
        <v>805</v>
      </c>
      <c r="D51" s="13">
        <v>846</v>
      </c>
      <c r="E51" s="13">
        <v>806</v>
      </c>
      <c r="F51" s="13">
        <v>856</v>
      </c>
      <c r="G51" s="13">
        <v>886</v>
      </c>
      <c r="H51" s="9">
        <v>1015</v>
      </c>
      <c r="I51" s="9"/>
      <c r="J51" s="9"/>
      <c r="K51" s="11" t="s">
        <v>86</v>
      </c>
      <c r="L51" s="19" t="s">
        <v>3</v>
      </c>
      <c r="M51" s="20">
        <f>SUM(C50+C52+C60)</f>
        <v>1921</v>
      </c>
      <c r="N51" s="21">
        <f>SUM(M51/M55)</f>
        <v>0.33023895478769127</v>
      </c>
      <c r="O51" s="18">
        <v>2</v>
      </c>
    </row>
    <row r="52" spans="1:15" s="2" customFormat="1" ht="16.5" customHeight="1" thickBot="1">
      <c r="A52" s="7" t="s">
        <v>398</v>
      </c>
      <c r="B52" s="8" t="s">
        <v>3</v>
      </c>
      <c r="C52" s="13">
        <v>743</v>
      </c>
      <c r="D52" s="13">
        <v>764</v>
      </c>
      <c r="E52" s="13">
        <v>815</v>
      </c>
      <c r="F52" s="13">
        <v>861</v>
      </c>
      <c r="G52" s="13">
        <v>870</v>
      </c>
      <c r="H52" s="13">
        <v>877</v>
      </c>
      <c r="I52" s="13">
        <v>934</v>
      </c>
      <c r="J52" s="9">
        <v>938</v>
      </c>
      <c r="K52" s="11" t="s">
        <v>87</v>
      </c>
      <c r="L52" s="23" t="s">
        <v>4</v>
      </c>
      <c r="M52" s="20">
        <f>SUM(C54+C56)</f>
        <v>910</v>
      </c>
      <c r="N52" s="21">
        <f>SUM(M52/M55)</f>
        <v>0.15643802647412755</v>
      </c>
      <c r="O52" s="18">
        <v>1</v>
      </c>
    </row>
    <row r="53" spans="1:15" s="2" customFormat="1" ht="16.5" customHeight="1" thickBot="1">
      <c r="A53" s="16" t="s">
        <v>323</v>
      </c>
      <c r="B53" s="52" t="s">
        <v>346</v>
      </c>
      <c r="C53" s="13">
        <v>675</v>
      </c>
      <c r="D53" s="13">
        <v>677</v>
      </c>
      <c r="E53" s="13">
        <v>679</v>
      </c>
      <c r="F53" s="13">
        <v>704</v>
      </c>
      <c r="G53" s="13">
        <v>707</v>
      </c>
      <c r="H53" s="13">
        <v>712</v>
      </c>
      <c r="I53" s="13">
        <v>728</v>
      </c>
      <c r="J53" s="13">
        <v>731</v>
      </c>
      <c r="K53" s="11"/>
      <c r="L53" s="51" t="s">
        <v>346</v>
      </c>
      <c r="M53" s="29">
        <f>SUM(C51+C53+C55+C58)</f>
        <v>2300</v>
      </c>
      <c r="N53" s="15">
        <f>SUM(M53/M55)</f>
        <v>0.39539281416537736</v>
      </c>
      <c r="O53" s="18">
        <v>2</v>
      </c>
    </row>
    <row r="54" spans="1:15" s="2" customFormat="1" ht="16.5" customHeight="1" thickBot="1">
      <c r="A54" s="7" t="s">
        <v>320</v>
      </c>
      <c r="B54" s="12" t="s">
        <v>4</v>
      </c>
      <c r="C54" s="13">
        <v>486</v>
      </c>
      <c r="D54" s="13">
        <v>490</v>
      </c>
      <c r="E54" s="13">
        <v>490</v>
      </c>
      <c r="F54" s="13">
        <v>583</v>
      </c>
      <c r="G54" s="13">
        <v>590</v>
      </c>
      <c r="H54" s="13">
        <v>765</v>
      </c>
      <c r="I54" s="13">
        <v>805</v>
      </c>
      <c r="J54" s="9">
        <v>822</v>
      </c>
      <c r="K54" s="11" t="s">
        <v>90</v>
      </c>
      <c r="L54" s="26" t="s">
        <v>13</v>
      </c>
      <c r="M54" s="29">
        <f>SUM(C57+C59)</f>
        <v>686</v>
      </c>
      <c r="N54" s="15">
        <f>SUM(M54/M55)</f>
        <v>0.11793020457280386</v>
      </c>
      <c r="O54" s="18"/>
    </row>
    <row r="55" spans="1:15" s="2" customFormat="1" ht="16.5" customHeight="1" thickBot="1">
      <c r="A55" s="7" t="s">
        <v>318</v>
      </c>
      <c r="B55" s="103" t="s">
        <v>346</v>
      </c>
      <c r="C55" s="13">
        <v>479</v>
      </c>
      <c r="D55" s="13">
        <v>525</v>
      </c>
      <c r="E55" s="13">
        <v>538</v>
      </c>
      <c r="F55" s="13">
        <v>555</v>
      </c>
      <c r="G55" s="13">
        <v>601</v>
      </c>
      <c r="H55" s="13">
        <v>690</v>
      </c>
      <c r="I55" s="13">
        <v>752</v>
      </c>
      <c r="J55" s="9">
        <v>773</v>
      </c>
      <c r="K55" s="11" t="s">
        <v>89</v>
      </c>
      <c r="M55" s="28">
        <v>5817</v>
      </c>
    </row>
    <row r="56" spans="1:15" s="2" customFormat="1" ht="16.5" customHeight="1" thickBot="1">
      <c r="A56" s="16" t="s">
        <v>383</v>
      </c>
      <c r="B56" s="22" t="s">
        <v>4</v>
      </c>
      <c r="C56" s="13">
        <v>424</v>
      </c>
      <c r="D56" s="13">
        <v>429</v>
      </c>
      <c r="E56" s="13">
        <v>432</v>
      </c>
      <c r="F56" s="13">
        <v>437</v>
      </c>
      <c r="G56" s="13">
        <v>456</v>
      </c>
      <c r="H56" s="13" t="s">
        <v>10</v>
      </c>
      <c r="L56" s="18"/>
    </row>
    <row r="57" spans="1:15" s="2" customFormat="1" ht="16.5" customHeight="1" thickBot="1">
      <c r="A57" s="16" t="s">
        <v>394</v>
      </c>
      <c r="B57" s="27" t="s">
        <v>13</v>
      </c>
      <c r="C57" s="13">
        <v>357</v>
      </c>
      <c r="D57" s="13">
        <v>360</v>
      </c>
      <c r="E57" s="13">
        <v>361</v>
      </c>
      <c r="F57" s="13">
        <v>406</v>
      </c>
      <c r="G57" s="13">
        <v>537</v>
      </c>
      <c r="H57" s="13">
        <v>582</v>
      </c>
      <c r="I57" s="13" t="s">
        <v>10</v>
      </c>
    </row>
    <row r="58" spans="1:15" s="2" customFormat="1" ht="16.5" customHeight="1" thickBot="1">
      <c r="A58" s="16" t="s">
        <v>400</v>
      </c>
      <c r="B58" s="52" t="s">
        <v>346</v>
      </c>
      <c r="C58" s="13">
        <v>341</v>
      </c>
      <c r="D58" s="13">
        <v>342</v>
      </c>
      <c r="E58" s="13">
        <v>343</v>
      </c>
      <c r="F58" s="13" t="s">
        <v>10</v>
      </c>
    </row>
    <row r="59" spans="1:15" s="2" customFormat="1" ht="16.5" customHeight="1" thickBot="1">
      <c r="A59" s="16" t="s">
        <v>396</v>
      </c>
      <c r="B59" s="27" t="s">
        <v>13</v>
      </c>
      <c r="C59" s="13">
        <v>329</v>
      </c>
      <c r="D59" s="13">
        <v>361</v>
      </c>
      <c r="E59" s="13">
        <v>367</v>
      </c>
      <c r="F59" s="13">
        <v>374</v>
      </c>
      <c r="G59" s="13" t="s">
        <v>10</v>
      </c>
      <c r="H59" s="18"/>
    </row>
    <row r="60" spans="1:15" s="2" customFormat="1" ht="16.5" customHeight="1" thickBot="1">
      <c r="A60" s="16" t="s">
        <v>397</v>
      </c>
      <c r="B60" s="17" t="s">
        <v>3</v>
      </c>
      <c r="C60" s="13">
        <v>280</v>
      </c>
      <c r="D60" s="13" t="s">
        <v>10</v>
      </c>
    </row>
    <row r="61" spans="1:15">
      <c r="C61" s="41"/>
      <c r="D61" s="41"/>
      <c r="E61" s="41"/>
      <c r="F61" s="41"/>
    </row>
    <row r="62" spans="1:15" s="2" customFormat="1" ht="17.45" customHeight="1">
      <c r="A62" s="1" t="s">
        <v>375</v>
      </c>
    </row>
    <row r="63" spans="1:15" s="2" customFormat="1" ht="10.5" customHeight="1" thickBot="1">
      <c r="A63" s="1"/>
    </row>
    <row r="64" spans="1:15" s="2" customFormat="1" ht="16.5" customHeight="1" thickBot="1">
      <c r="A64" s="4" t="s">
        <v>0</v>
      </c>
      <c r="B64" s="5" t="s">
        <v>1</v>
      </c>
      <c r="C64" s="5" t="s">
        <v>2</v>
      </c>
      <c r="D64" s="5">
        <v>2</v>
      </c>
      <c r="E64" s="5">
        <v>3</v>
      </c>
      <c r="F64" s="5">
        <v>4</v>
      </c>
      <c r="G64" s="6"/>
      <c r="H64" s="14" t="s">
        <v>6</v>
      </c>
      <c r="I64" s="15">
        <f>SUM(5335/9660)</f>
        <v>0.5522774327122153</v>
      </c>
    </row>
    <row r="65" spans="1:15" s="2" customFormat="1" ht="16.5" customHeight="1" thickBot="1">
      <c r="A65" s="7" t="s">
        <v>242</v>
      </c>
      <c r="B65" s="37" t="s">
        <v>11</v>
      </c>
      <c r="C65" s="9">
        <v>1724</v>
      </c>
      <c r="D65" s="13"/>
      <c r="E65" s="13"/>
      <c r="F65" s="13"/>
      <c r="G65" s="11" t="s">
        <v>85</v>
      </c>
      <c r="H65" s="18"/>
      <c r="I65" s="14" t="s">
        <v>7</v>
      </c>
      <c r="J65" s="14" t="s">
        <v>8</v>
      </c>
      <c r="K65" s="14" t="s">
        <v>9</v>
      </c>
    </row>
    <row r="66" spans="1:15" s="2" customFormat="1" ht="16.5" customHeight="1" thickBot="1">
      <c r="A66" s="7" t="s">
        <v>410</v>
      </c>
      <c r="B66" s="8" t="s">
        <v>3</v>
      </c>
      <c r="C66" s="13">
        <v>879</v>
      </c>
      <c r="D66" s="13">
        <v>895</v>
      </c>
      <c r="E66" s="13">
        <v>902</v>
      </c>
      <c r="F66" s="9">
        <v>967</v>
      </c>
      <c r="G66" s="11" t="s">
        <v>87</v>
      </c>
      <c r="H66" s="19" t="s">
        <v>3</v>
      </c>
      <c r="I66" s="20">
        <f>SUM(C66+C68+C70)</f>
        <v>1908</v>
      </c>
      <c r="J66" s="21">
        <f>SUM(I66/I69)</f>
        <v>0.35763823805060918</v>
      </c>
      <c r="K66" s="18">
        <v>2</v>
      </c>
    </row>
    <row r="67" spans="1:15" s="2" customFormat="1" ht="16.5" customHeight="1" thickBot="1">
      <c r="A67" s="7" t="s">
        <v>329</v>
      </c>
      <c r="B67" s="12" t="s">
        <v>4</v>
      </c>
      <c r="C67" s="13">
        <v>730</v>
      </c>
      <c r="D67" s="13">
        <v>959</v>
      </c>
      <c r="E67" s="9">
        <v>1082</v>
      </c>
      <c r="F67" s="13"/>
      <c r="G67" s="11"/>
      <c r="H67" s="23" t="s">
        <v>4</v>
      </c>
      <c r="I67" s="20">
        <f>SUM(C67+C69+C71)</f>
        <v>1703</v>
      </c>
      <c r="J67" s="21">
        <f>SUM(I67/I69)</f>
        <v>0.31921274601686972</v>
      </c>
      <c r="K67" s="18">
        <v>1</v>
      </c>
    </row>
    <row r="68" spans="1:15" s="2" customFormat="1" ht="16.5" customHeight="1" thickBot="1">
      <c r="A68" s="7" t="s">
        <v>467</v>
      </c>
      <c r="B68" s="8" t="s">
        <v>3</v>
      </c>
      <c r="C68" s="13">
        <v>696</v>
      </c>
      <c r="D68" s="13">
        <v>813</v>
      </c>
      <c r="E68" s="13">
        <v>877</v>
      </c>
      <c r="F68" s="9">
        <v>1159</v>
      </c>
      <c r="G68" s="9" t="s">
        <v>86</v>
      </c>
      <c r="H68" s="43" t="s">
        <v>14</v>
      </c>
      <c r="I68" s="20">
        <v>1724</v>
      </c>
      <c r="J68" s="21">
        <f>SUM(I68/I69)</f>
        <v>0.3231490159325211</v>
      </c>
      <c r="K68" s="18">
        <v>1</v>
      </c>
    </row>
    <row r="69" spans="1:15" s="2" customFormat="1" ht="16.5" customHeight="1" thickBot="1">
      <c r="A69" s="16" t="s">
        <v>377</v>
      </c>
      <c r="B69" s="22" t="s">
        <v>4</v>
      </c>
      <c r="C69" s="13">
        <v>673</v>
      </c>
      <c r="D69" s="13">
        <v>689</v>
      </c>
      <c r="E69" s="13">
        <v>709</v>
      </c>
      <c r="F69" s="13">
        <v>715</v>
      </c>
      <c r="G69" s="9" t="s">
        <v>90</v>
      </c>
      <c r="I69" s="28">
        <v>5335</v>
      </c>
      <c r="K69" s="18"/>
    </row>
    <row r="70" spans="1:15" s="2" customFormat="1" ht="16.5" customHeight="1" thickBot="1">
      <c r="A70" s="16" t="s">
        <v>378</v>
      </c>
      <c r="B70" s="17" t="s">
        <v>3</v>
      </c>
      <c r="C70" s="13">
        <v>333</v>
      </c>
      <c r="D70" s="13">
        <v>557</v>
      </c>
      <c r="E70" s="13">
        <v>584</v>
      </c>
      <c r="F70" s="13" t="s">
        <v>10</v>
      </c>
    </row>
    <row r="71" spans="1:15" s="2" customFormat="1" ht="16.5" customHeight="1" thickBot="1">
      <c r="A71" s="16" t="s">
        <v>376</v>
      </c>
      <c r="B71" s="22" t="s">
        <v>4</v>
      </c>
      <c r="C71" s="13">
        <v>300</v>
      </c>
      <c r="D71" s="13">
        <v>354</v>
      </c>
      <c r="E71" s="13" t="s">
        <v>10</v>
      </c>
      <c r="I71" s="18"/>
    </row>
    <row r="72" spans="1:15">
      <c r="C72" s="41"/>
      <c r="D72" s="41"/>
      <c r="E72" s="41"/>
      <c r="F72" s="41"/>
    </row>
    <row r="73" spans="1:15" s="2" customFormat="1" ht="17.45" customHeight="1">
      <c r="A73" s="1" t="s">
        <v>387</v>
      </c>
    </row>
    <row r="74" spans="1:15" s="2" customFormat="1" ht="10.5" customHeight="1" thickBot="1">
      <c r="A74" s="1"/>
    </row>
    <row r="75" spans="1:15" s="2" customFormat="1" ht="16.5" customHeight="1" thickBot="1">
      <c r="A75" s="4" t="s">
        <v>0</v>
      </c>
      <c r="B75" s="5" t="s">
        <v>1</v>
      </c>
      <c r="C75" s="5" t="s">
        <v>2</v>
      </c>
      <c r="D75" s="5">
        <v>2</v>
      </c>
      <c r="E75" s="5">
        <v>3</v>
      </c>
      <c r="F75" s="5">
        <v>4</v>
      </c>
      <c r="G75" s="5">
        <v>5</v>
      </c>
      <c r="H75" s="5">
        <v>6</v>
      </c>
      <c r="I75" s="5">
        <v>7</v>
      </c>
      <c r="J75" s="5">
        <v>8</v>
      </c>
      <c r="K75" s="6"/>
      <c r="L75" s="14" t="s">
        <v>6</v>
      </c>
      <c r="M75" s="15">
        <f>SUM(6460/14098)</f>
        <v>0.4582210242587601</v>
      </c>
    </row>
    <row r="76" spans="1:15" s="2" customFormat="1" ht="16.5" customHeight="1" thickBot="1">
      <c r="A76" s="7" t="s">
        <v>249</v>
      </c>
      <c r="B76" s="37" t="s">
        <v>11</v>
      </c>
      <c r="C76" s="9">
        <v>1700</v>
      </c>
      <c r="D76" s="13"/>
      <c r="E76" s="13"/>
      <c r="F76" s="13"/>
      <c r="G76" s="13"/>
      <c r="H76" s="13"/>
      <c r="I76" s="9"/>
      <c r="J76" s="9"/>
      <c r="K76" s="11" t="s">
        <v>85</v>
      </c>
      <c r="L76" s="18"/>
      <c r="M76" s="14" t="s">
        <v>7</v>
      </c>
      <c r="N76" s="14" t="s">
        <v>8</v>
      </c>
      <c r="O76" s="14" t="s">
        <v>9</v>
      </c>
    </row>
    <row r="77" spans="1:15" s="2" customFormat="1" ht="16.5" customHeight="1" thickBot="1">
      <c r="A77" s="7" t="s">
        <v>126</v>
      </c>
      <c r="B77" s="8" t="s">
        <v>3</v>
      </c>
      <c r="C77" s="9">
        <v>1112</v>
      </c>
      <c r="D77" s="13"/>
      <c r="E77" s="13"/>
      <c r="F77" s="13"/>
      <c r="G77" s="13"/>
      <c r="H77" s="13"/>
      <c r="I77" s="13"/>
      <c r="J77" s="9"/>
      <c r="K77" s="11" t="s">
        <v>86</v>
      </c>
      <c r="L77" s="19" t="s">
        <v>3</v>
      </c>
      <c r="M77" s="20">
        <f>SUM(C77+C78+C80)</f>
        <v>2289</v>
      </c>
      <c r="N77" s="21">
        <f>SUM(M77/M82)</f>
        <v>0.35433436532507739</v>
      </c>
      <c r="O77" s="18">
        <v>2</v>
      </c>
    </row>
    <row r="78" spans="1:15" s="2" customFormat="1" ht="16.5" customHeight="1" thickBot="1">
      <c r="A78" s="7" t="s">
        <v>388</v>
      </c>
      <c r="B78" s="8" t="s">
        <v>3</v>
      </c>
      <c r="C78" s="13">
        <v>689</v>
      </c>
      <c r="D78" s="13">
        <v>694</v>
      </c>
      <c r="E78" s="13">
        <v>707</v>
      </c>
      <c r="F78" s="13">
        <v>718</v>
      </c>
      <c r="G78" s="13">
        <v>735</v>
      </c>
      <c r="H78" s="13">
        <v>737</v>
      </c>
      <c r="I78" s="13">
        <v>752</v>
      </c>
      <c r="J78" s="9">
        <v>951</v>
      </c>
      <c r="K78" s="11" t="s">
        <v>90</v>
      </c>
      <c r="L78" s="23" t="s">
        <v>4</v>
      </c>
      <c r="M78" s="20">
        <f>SUM(C79+C86)</f>
        <v>779</v>
      </c>
      <c r="N78" s="21">
        <f>SUM(M78/M82)</f>
        <v>0.12058823529411765</v>
      </c>
      <c r="O78" s="18">
        <v>1</v>
      </c>
    </row>
    <row r="79" spans="1:15" s="2" customFormat="1" ht="16.5" customHeight="1" thickBot="1">
      <c r="A79" s="7" t="s">
        <v>412</v>
      </c>
      <c r="B79" s="12" t="s">
        <v>4</v>
      </c>
      <c r="C79" s="13">
        <v>633</v>
      </c>
      <c r="D79" s="13">
        <v>750</v>
      </c>
      <c r="E79" s="13">
        <v>775</v>
      </c>
      <c r="F79" s="13">
        <v>786</v>
      </c>
      <c r="G79" s="13">
        <v>846</v>
      </c>
      <c r="H79" s="13">
        <v>847</v>
      </c>
      <c r="I79" s="13">
        <v>933</v>
      </c>
      <c r="J79" s="9">
        <v>1023</v>
      </c>
      <c r="K79" s="11" t="s">
        <v>87</v>
      </c>
      <c r="L79" s="51" t="s">
        <v>346</v>
      </c>
      <c r="M79" s="20">
        <v>342</v>
      </c>
      <c r="N79" s="21">
        <f>SUM(M79/M82)</f>
        <v>5.2941176470588235E-2</v>
      </c>
    </row>
    <row r="80" spans="1:15" s="2" customFormat="1" ht="16.5" customHeight="1" thickBot="1">
      <c r="A80" s="16" t="s">
        <v>389</v>
      </c>
      <c r="B80" s="17" t="s">
        <v>3</v>
      </c>
      <c r="C80" s="13">
        <v>488</v>
      </c>
      <c r="D80" s="13">
        <v>547</v>
      </c>
      <c r="E80" s="13">
        <v>592</v>
      </c>
      <c r="F80" s="13">
        <v>597</v>
      </c>
      <c r="G80" s="13">
        <v>648</v>
      </c>
      <c r="H80" s="13">
        <v>663</v>
      </c>
      <c r="I80" s="13">
        <v>698</v>
      </c>
      <c r="J80" s="13">
        <v>729</v>
      </c>
      <c r="K80" s="11"/>
      <c r="L80" s="26" t="s">
        <v>13</v>
      </c>
      <c r="M80" s="20">
        <f>SUM(C84:C85)</f>
        <v>466</v>
      </c>
      <c r="N80" s="21">
        <f>SUM(M80/M82)</f>
        <v>7.2136222910216721E-2</v>
      </c>
    </row>
    <row r="81" spans="1:21" s="2" customFormat="1" ht="16.5" customHeight="1" thickBot="1">
      <c r="A81" s="16" t="s">
        <v>390</v>
      </c>
      <c r="B81" s="10" t="s">
        <v>11</v>
      </c>
      <c r="C81" s="13">
        <v>454</v>
      </c>
      <c r="D81" s="13">
        <v>476</v>
      </c>
      <c r="E81" s="13">
        <v>489</v>
      </c>
      <c r="F81" s="13">
        <v>501</v>
      </c>
      <c r="G81" s="13">
        <v>529</v>
      </c>
      <c r="H81" s="13">
        <v>529</v>
      </c>
      <c r="I81" s="13">
        <v>555</v>
      </c>
      <c r="J81" s="13" t="s">
        <v>10</v>
      </c>
      <c r="L81" s="43" t="s">
        <v>14</v>
      </c>
      <c r="M81" s="20">
        <f>SUM(C76+C81+C82)</f>
        <v>2584</v>
      </c>
      <c r="N81" s="21">
        <f>SUM(M81/M82)</f>
        <v>0.4</v>
      </c>
      <c r="O81" s="2">
        <v>2</v>
      </c>
    </row>
    <row r="82" spans="1:21" s="2" customFormat="1" ht="16.5" customHeight="1" thickBot="1">
      <c r="A82" s="7" t="s">
        <v>339</v>
      </c>
      <c r="B82" s="11" t="s">
        <v>11</v>
      </c>
      <c r="C82" s="13">
        <v>430</v>
      </c>
      <c r="D82" s="13">
        <v>630</v>
      </c>
      <c r="E82" s="13">
        <v>654</v>
      </c>
      <c r="F82" s="13">
        <v>711</v>
      </c>
      <c r="G82" s="13">
        <v>758</v>
      </c>
      <c r="H82" s="13">
        <v>763</v>
      </c>
      <c r="I82" s="13">
        <v>902</v>
      </c>
      <c r="J82" s="9">
        <v>947</v>
      </c>
      <c r="K82" s="11" t="s">
        <v>89</v>
      </c>
      <c r="L82" s="34"/>
      <c r="M82" s="28">
        <v>6460</v>
      </c>
      <c r="N82" s="15"/>
    </row>
    <row r="83" spans="1:21" s="2" customFormat="1" ht="16.5" customHeight="1" thickBot="1">
      <c r="A83" s="16" t="s">
        <v>337</v>
      </c>
      <c r="B83" s="52" t="s">
        <v>346</v>
      </c>
      <c r="C83" s="13">
        <v>342</v>
      </c>
      <c r="D83" s="13">
        <v>456</v>
      </c>
      <c r="E83" s="13">
        <v>462</v>
      </c>
      <c r="F83" s="13">
        <v>488</v>
      </c>
      <c r="G83" s="13">
        <v>503</v>
      </c>
      <c r="H83" s="13">
        <v>515</v>
      </c>
      <c r="I83" s="13" t="s">
        <v>10</v>
      </c>
      <c r="L83" s="24"/>
      <c r="M83" s="20"/>
      <c r="N83" s="21"/>
    </row>
    <row r="84" spans="1:21" s="2" customFormat="1" ht="16.5" customHeight="1" thickBot="1">
      <c r="A84" s="16" t="s">
        <v>391</v>
      </c>
      <c r="B84" s="27" t="s">
        <v>13</v>
      </c>
      <c r="C84" s="13">
        <v>281</v>
      </c>
      <c r="D84" s="13">
        <v>300</v>
      </c>
      <c r="E84" s="13">
        <v>313</v>
      </c>
      <c r="F84" s="13">
        <v>380</v>
      </c>
      <c r="G84" s="13" t="s">
        <v>10</v>
      </c>
      <c r="L84" s="18"/>
      <c r="O84" s="18"/>
    </row>
    <row r="85" spans="1:21" s="2" customFormat="1" ht="16.5" customHeight="1" thickBot="1">
      <c r="A85" s="16" t="s">
        <v>187</v>
      </c>
      <c r="B85" s="27" t="s">
        <v>13</v>
      </c>
      <c r="C85" s="13">
        <v>185</v>
      </c>
      <c r="D85" s="13">
        <v>244</v>
      </c>
      <c r="E85" s="13">
        <v>245</v>
      </c>
      <c r="F85" s="13" t="s">
        <v>10</v>
      </c>
    </row>
    <row r="86" spans="1:21" s="2" customFormat="1" ht="16.5" customHeight="1" thickBot="1">
      <c r="A86" s="16" t="s">
        <v>257</v>
      </c>
      <c r="B86" s="22" t="s">
        <v>4</v>
      </c>
      <c r="C86" s="13">
        <v>146</v>
      </c>
      <c r="D86" s="13">
        <v>174</v>
      </c>
      <c r="E86" s="13" t="s">
        <v>10</v>
      </c>
    </row>
    <row r="87" spans="1:21" ht="14.25">
      <c r="C87" s="41"/>
      <c r="D87" s="41"/>
      <c r="E87" s="41"/>
      <c r="F87" s="41"/>
      <c r="G87" s="41"/>
      <c r="H87" s="41"/>
      <c r="I87" s="41"/>
      <c r="J87" s="41"/>
      <c r="M87" s="2"/>
      <c r="N87" s="2"/>
      <c r="O87" s="2"/>
      <c r="P87" s="2"/>
      <c r="Q87" s="2"/>
    </row>
    <row r="88" spans="1:21" s="108" customFormat="1" ht="15" customHeight="1">
      <c r="B88" s="46" t="s">
        <v>259</v>
      </c>
      <c r="C88" s="83" t="s">
        <v>3</v>
      </c>
      <c r="D88" s="84" t="s">
        <v>4</v>
      </c>
      <c r="E88" s="87" t="s">
        <v>346</v>
      </c>
      <c r="F88" s="86" t="s">
        <v>13</v>
      </c>
      <c r="G88" s="116" t="s">
        <v>347</v>
      </c>
      <c r="H88" s="46" t="s">
        <v>14</v>
      </c>
      <c r="S88" s="109"/>
      <c r="T88" s="110"/>
      <c r="U88" s="111"/>
    </row>
    <row r="89" spans="1:21" s="108" customFormat="1" ht="15" customHeight="1">
      <c r="A89" s="108" t="s">
        <v>7</v>
      </c>
      <c r="B89" s="112">
        <f>SUM(M82+I69+M55+N37+L22+J10)</f>
        <v>40211</v>
      </c>
      <c r="C89" s="110">
        <f>SUM(M77+I66+M51+N32+L18+J5)</f>
        <v>14816</v>
      </c>
      <c r="D89" s="110">
        <f>SUM(M78+I67+M52+N33+L19+J6)</f>
        <v>9856</v>
      </c>
      <c r="E89" s="110">
        <f>SUM(M79+N34+L20+J8)</f>
        <v>4578</v>
      </c>
      <c r="F89" s="110">
        <f>SUM(M80+M54+N35+L21+J9)</f>
        <v>2909</v>
      </c>
      <c r="G89" s="110">
        <v>1115</v>
      </c>
      <c r="H89" s="110">
        <f>SUM(M81+I68++N36)</f>
        <v>4637</v>
      </c>
      <c r="S89" s="46"/>
      <c r="T89" s="112"/>
      <c r="U89" s="111"/>
    </row>
    <row r="90" spans="1:21" s="108" customFormat="1" ht="15" customHeight="1">
      <c r="A90" s="108" t="s">
        <v>8</v>
      </c>
      <c r="B90" s="115">
        <v>1</v>
      </c>
      <c r="C90" s="111">
        <f t="shared" ref="C90:H90" si="0">SUM(C89/$B$89)</f>
        <v>0.36845639252940737</v>
      </c>
      <c r="D90" s="111">
        <f t="shared" si="0"/>
        <v>0.24510706025714357</v>
      </c>
      <c r="E90" s="111">
        <f t="shared" si="0"/>
        <v>0.11384944418194026</v>
      </c>
      <c r="F90" s="111">
        <f t="shared" si="0"/>
        <v>7.2343388625003113E-2</v>
      </c>
      <c r="G90" s="111">
        <f t="shared" si="0"/>
        <v>2.7728730944268982E-2</v>
      </c>
      <c r="H90" s="111">
        <f t="shared" si="0"/>
        <v>0.11531670438437243</v>
      </c>
    </row>
    <row r="91" spans="1:21" s="108" customFormat="1" ht="15" customHeight="1">
      <c r="A91" s="108" t="s">
        <v>9</v>
      </c>
      <c r="B91" s="46">
        <v>31</v>
      </c>
      <c r="C91" s="108">
        <v>13</v>
      </c>
      <c r="D91" s="108">
        <v>9</v>
      </c>
      <c r="E91" s="108">
        <v>5</v>
      </c>
      <c r="F91" s="108">
        <v>0</v>
      </c>
      <c r="G91" s="108">
        <v>1</v>
      </c>
      <c r="H91" s="108">
        <v>3</v>
      </c>
    </row>
    <row r="92" spans="1:21" ht="14.25">
      <c r="M92" s="2"/>
      <c r="N92" s="2"/>
      <c r="O92" s="2"/>
      <c r="P92" s="2"/>
    </row>
    <row r="93" spans="1:21" ht="14.25">
      <c r="M93" s="2"/>
      <c r="N93" s="2"/>
      <c r="O93" s="2"/>
      <c r="P93" s="2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3"/>
  <dimension ref="A1:V96"/>
  <sheetViews>
    <sheetView workbookViewId="0">
      <selection activeCell="M1" sqref="M1"/>
    </sheetView>
  </sheetViews>
  <sheetFormatPr defaultRowHeight="12.75"/>
  <cols>
    <col min="1" max="1" width="25.28515625" customWidth="1"/>
    <col min="2" max="2" width="7.7109375" customWidth="1"/>
    <col min="3" max="3" width="9.7109375" customWidth="1"/>
    <col min="4" max="19" width="8.7109375" customWidth="1"/>
  </cols>
  <sheetData>
    <row r="1" spans="1:15" s="2" customFormat="1" ht="16.5" customHeight="1">
      <c r="A1" s="1" t="s">
        <v>364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6"/>
      <c r="L3" s="14" t="s">
        <v>6</v>
      </c>
      <c r="M3" s="15"/>
    </row>
    <row r="4" spans="1:15" s="2" customFormat="1" ht="16.5" customHeight="1" thickBot="1">
      <c r="A4" s="7" t="s">
        <v>298</v>
      </c>
      <c r="B4" s="12" t="s">
        <v>4</v>
      </c>
      <c r="C4" s="9">
        <v>1501</v>
      </c>
      <c r="D4" s="13"/>
      <c r="E4" s="13"/>
      <c r="F4" s="10"/>
      <c r="G4" s="10"/>
      <c r="H4" s="10"/>
      <c r="I4" s="10"/>
      <c r="J4" s="10"/>
      <c r="K4" s="11" t="s">
        <v>85</v>
      </c>
      <c r="L4" s="18"/>
      <c r="M4" s="14" t="s">
        <v>7</v>
      </c>
      <c r="N4" s="14" t="s">
        <v>8</v>
      </c>
      <c r="O4" s="14" t="s">
        <v>9</v>
      </c>
    </row>
    <row r="5" spans="1:15" s="2" customFormat="1" ht="16.5" customHeight="1" thickBot="1">
      <c r="A5" s="7" t="s">
        <v>290</v>
      </c>
      <c r="B5" s="8" t="s">
        <v>3</v>
      </c>
      <c r="C5" s="13">
        <v>1245</v>
      </c>
      <c r="D5" s="13">
        <v>1251</v>
      </c>
      <c r="E5" s="13">
        <v>1275</v>
      </c>
      <c r="F5" s="13">
        <v>1323</v>
      </c>
      <c r="G5" s="9">
        <v>1502</v>
      </c>
      <c r="H5" s="9"/>
      <c r="I5" s="9"/>
      <c r="J5" s="13"/>
      <c r="K5" s="11" t="s">
        <v>86</v>
      </c>
      <c r="L5" s="19" t="s">
        <v>3</v>
      </c>
      <c r="M5" s="20">
        <f>SUM(C5+C6+C9+C11+C12)</f>
        <v>3927</v>
      </c>
      <c r="N5" s="21">
        <f>SUM(M5/M9)</f>
        <v>0.46178269049858889</v>
      </c>
      <c r="O5" s="18">
        <v>2</v>
      </c>
    </row>
    <row r="6" spans="1:15" s="2" customFormat="1" ht="16.5" customHeight="1" thickBot="1">
      <c r="A6" s="7" t="s">
        <v>223</v>
      </c>
      <c r="B6" s="8" t="s">
        <v>3</v>
      </c>
      <c r="C6" s="13">
        <v>1102</v>
      </c>
      <c r="D6" s="13">
        <v>1106</v>
      </c>
      <c r="E6" s="13">
        <v>1115</v>
      </c>
      <c r="F6" s="13">
        <v>1135</v>
      </c>
      <c r="G6" s="13">
        <v>1177</v>
      </c>
      <c r="H6" s="13">
        <v>1198</v>
      </c>
      <c r="I6" s="13">
        <v>1363</v>
      </c>
      <c r="J6" s="9">
        <v>1393</v>
      </c>
      <c r="K6" s="11" t="s">
        <v>89</v>
      </c>
      <c r="L6" s="23" t="s">
        <v>4</v>
      </c>
      <c r="M6" s="20">
        <f>SUM(C4+C7+C10+C14)</f>
        <v>3342</v>
      </c>
      <c r="N6" s="21">
        <f>SUM(M6/M9)</f>
        <v>0.39299153339604892</v>
      </c>
      <c r="O6" s="18">
        <v>2</v>
      </c>
    </row>
    <row r="7" spans="1:15" s="2" customFormat="1" ht="16.5" customHeight="1" thickBot="1">
      <c r="A7" s="7" t="s">
        <v>80</v>
      </c>
      <c r="B7" s="12" t="s">
        <v>4</v>
      </c>
      <c r="C7" s="13">
        <v>1050</v>
      </c>
      <c r="D7" s="13">
        <v>1083</v>
      </c>
      <c r="E7" s="13">
        <v>1158</v>
      </c>
      <c r="F7" s="13">
        <v>1178</v>
      </c>
      <c r="G7" s="13">
        <v>1188</v>
      </c>
      <c r="H7" s="13">
        <v>1190</v>
      </c>
      <c r="I7" s="13">
        <v>1193</v>
      </c>
      <c r="J7" s="9">
        <v>1404</v>
      </c>
      <c r="K7" s="11" t="s">
        <v>90</v>
      </c>
      <c r="L7" s="24" t="s">
        <v>12</v>
      </c>
      <c r="M7" s="29">
        <v>333</v>
      </c>
      <c r="N7" s="15">
        <f>SUM(M7/M9)</f>
        <v>3.915804327375353E-2</v>
      </c>
      <c r="O7" s="18"/>
    </row>
    <row r="8" spans="1:15" s="2" customFormat="1" ht="16.5" customHeight="1" thickBot="1">
      <c r="A8" s="7" t="s">
        <v>292</v>
      </c>
      <c r="B8" s="37" t="s">
        <v>11</v>
      </c>
      <c r="C8" s="13">
        <v>902</v>
      </c>
      <c r="D8" s="13">
        <v>912</v>
      </c>
      <c r="E8" s="13">
        <v>991</v>
      </c>
      <c r="F8" s="13">
        <v>1114</v>
      </c>
      <c r="G8" s="13">
        <v>1221</v>
      </c>
      <c r="H8" s="13">
        <v>1241</v>
      </c>
      <c r="I8" s="13">
        <v>1276</v>
      </c>
      <c r="J8" s="9">
        <v>1416</v>
      </c>
      <c r="K8" s="11" t="s">
        <v>87</v>
      </c>
      <c r="L8" s="43" t="s">
        <v>14</v>
      </c>
      <c r="M8" s="29">
        <v>902</v>
      </c>
      <c r="N8" s="15">
        <f>SUM(M8/M9)</f>
        <v>0.10606773283160865</v>
      </c>
      <c r="O8" s="18">
        <v>1</v>
      </c>
    </row>
    <row r="9" spans="1:15" s="2" customFormat="1" ht="16.5" customHeight="1" thickBot="1">
      <c r="A9" s="16" t="s">
        <v>401</v>
      </c>
      <c r="B9" s="17" t="s">
        <v>3</v>
      </c>
      <c r="C9" s="13">
        <v>710</v>
      </c>
      <c r="D9" s="13">
        <v>712</v>
      </c>
      <c r="E9" s="13">
        <v>720</v>
      </c>
      <c r="F9" s="13">
        <v>739</v>
      </c>
      <c r="G9" s="13">
        <v>774</v>
      </c>
      <c r="H9" s="13">
        <v>805</v>
      </c>
      <c r="I9" s="13">
        <v>901</v>
      </c>
      <c r="J9" s="13">
        <v>916</v>
      </c>
      <c r="K9" s="11"/>
      <c r="M9" s="28">
        <v>8504</v>
      </c>
    </row>
    <row r="10" spans="1:15" s="2" customFormat="1" ht="16.5" customHeight="1" thickBot="1">
      <c r="A10" s="16" t="s">
        <v>50</v>
      </c>
      <c r="B10" s="22" t="s">
        <v>4</v>
      </c>
      <c r="C10" s="13">
        <v>490</v>
      </c>
      <c r="D10" s="13">
        <v>497</v>
      </c>
      <c r="E10" s="13">
        <v>550</v>
      </c>
      <c r="F10" s="13">
        <v>566</v>
      </c>
      <c r="G10" s="13">
        <v>574</v>
      </c>
      <c r="H10" s="13">
        <v>574</v>
      </c>
      <c r="I10" s="13">
        <v>662</v>
      </c>
      <c r="J10" s="13" t="s">
        <v>10</v>
      </c>
    </row>
    <row r="11" spans="1:15" s="2" customFormat="1" ht="16.5" customHeight="1" thickBot="1">
      <c r="A11" s="16" t="s">
        <v>294</v>
      </c>
      <c r="B11" s="17" t="s">
        <v>3</v>
      </c>
      <c r="C11" s="10">
        <v>465</v>
      </c>
      <c r="D11" s="10">
        <v>465</v>
      </c>
      <c r="E11" s="10">
        <v>466</v>
      </c>
      <c r="F11" s="13">
        <v>475</v>
      </c>
      <c r="G11" s="13">
        <v>498</v>
      </c>
      <c r="H11" s="13">
        <v>508</v>
      </c>
      <c r="I11" s="13" t="s">
        <v>10</v>
      </c>
    </row>
    <row r="12" spans="1:15" s="2" customFormat="1" ht="16.5" customHeight="1" thickBot="1">
      <c r="A12" s="16" t="s">
        <v>295</v>
      </c>
      <c r="B12" s="17" t="s">
        <v>3</v>
      </c>
      <c r="C12" s="10">
        <v>405</v>
      </c>
      <c r="D12" s="10">
        <v>407</v>
      </c>
      <c r="E12" s="10">
        <v>425</v>
      </c>
      <c r="F12" s="13">
        <v>468</v>
      </c>
      <c r="G12" s="13" t="s">
        <v>10</v>
      </c>
    </row>
    <row r="13" spans="1:15" s="2" customFormat="1" ht="16.5" customHeight="1" thickBot="1">
      <c r="A13" s="16" t="s">
        <v>296</v>
      </c>
      <c r="B13" s="25" t="s">
        <v>12</v>
      </c>
      <c r="C13" s="10">
        <v>333</v>
      </c>
      <c r="D13" s="10">
        <v>335</v>
      </c>
      <c r="E13" s="10">
        <v>372</v>
      </c>
      <c r="F13" s="13" t="s">
        <v>10</v>
      </c>
    </row>
    <row r="14" spans="1:15" s="2" customFormat="1" ht="16.5" customHeight="1" thickBot="1">
      <c r="A14" s="16" t="s">
        <v>297</v>
      </c>
      <c r="B14" s="22" t="s">
        <v>4</v>
      </c>
      <c r="C14" s="10">
        <v>301</v>
      </c>
      <c r="D14" s="10">
        <v>318</v>
      </c>
      <c r="E14" s="10" t="s">
        <v>10</v>
      </c>
    </row>
    <row r="15" spans="1:15" s="2" customFormat="1" ht="12.75" customHeight="1">
      <c r="A15" s="1"/>
      <c r="C15" s="29"/>
      <c r="D15" s="29"/>
      <c r="E15" s="29"/>
      <c r="F15" s="29"/>
      <c r="G15" s="29"/>
      <c r="H15" s="29"/>
    </row>
    <row r="16" spans="1:15" s="2" customFormat="1" ht="17.45" customHeight="1">
      <c r="A16" s="1" t="s">
        <v>299</v>
      </c>
    </row>
    <row r="17" spans="1:21" s="2" customFormat="1" ht="10.5" customHeight="1" thickBot="1">
      <c r="A17" s="1"/>
    </row>
    <row r="18" spans="1:21" s="2" customFormat="1" ht="16.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6"/>
      <c r="I18" s="14" t="s">
        <v>6</v>
      </c>
      <c r="J18" s="15"/>
    </row>
    <row r="19" spans="1:21" s="2" customFormat="1" ht="16.5" customHeight="1" thickBot="1">
      <c r="A19" s="7" t="s">
        <v>28</v>
      </c>
      <c r="B19" s="12" t="s">
        <v>4</v>
      </c>
      <c r="C19" s="9">
        <v>1834</v>
      </c>
      <c r="D19" s="13"/>
      <c r="E19" s="13"/>
      <c r="F19" s="13"/>
      <c r="G19" s="13"/>
      <c r="H19" s="11" t="s">
        <v>85</v>
      </c>
      <c r="I19" s="18"/>
      <c r="J19" s="14" t="s">
        <v>7</v>
      </c>
      <c r="K19" s="14" t="s">
        <v>8</v>
      </c>
      <c r="L19" s="14" t="s">
        <v>9</v>
      </c>
    </row>
    <row r="20" spans="1:21" s="2" customFormat="1" ht="16.5" customHeight="1" thickBot="1">
      <c r="A20" s="7" t="s">
        <v>300</v>
      </c>
      <c r="B20" s="8" t="s">
        <v>3</v>
      </c>
      <c r="C20" s="9">
        <v>1381</v>
      </c>
      <c r="D20" s="13"/>
      <c r="E20" s="13"/>
      <c r="F20" s="9"/>
      <c r="G20" s="13"/>
      <c r="H20" s="11" t="s">
        <v>86</v>
      </c>
      <c r="I20" s="19" t="s">
        <v>3</v>
      </c>
      <c r="J20" s="20">
        <f>SUM(C20+C21+C23+C25)</f>
        <v>3993</v>
      </c>
      <c r="K20" s="21">
        <f>SUM(J20/J23)</f>
        <v>0.48370684433676558</v>
      </c>
      <c r="L20" s="18">
        <v>3</v>
      </c>
    </row>
    <row r="21" spans="1:21" s="2" customFormat="1" ht="16.5" customHeight="1" thickBot="1">
      <c r="A21" s="7" t="s">
        <v>301</v>
      </c>
      <c r="B21" s="8" t="s">
        <v>3</v>
      </c>
      <c r="C21" s="13">
        <v>959</v>
      </c>
      <c r="D21" s="13">
        <v>999</v>
      </c>
      <c r="E21" s="13">
        <v>1024</v>
      </c>
      <c r="F21" s="13">
        <v>1057</v>
      </c>
      <c r="G21" s="9">
        <v>1351</v>
      </c>
      <c r="H21" s="11" t="s">
        <v>90</v>
      </c>
      <c r="I21" s="23" t="s">
        <v>4</v>
      </c>
      <c r="J21" s="20">
        <f>SUM(C19+C22+C24+C26)</f>
        <v>4014</v>
      </c>
      <c r="K21" s="21">
        <f>SUM(J21/J23)</f>
        <v>0.48625075711689886</v>
      </c>
      <c r="L21" s="18">
        <v>2</v>
      </c>
    </row>
    <row r="22" spans="1:21" s="2" customFormat="1" ht="16.5" customHeight="1" thickBot="1">
      <c r="A22" s="7" t="s">
        <v>161</v>
      </c>
      <c r="B22" s="12" t="s">
        <v>4</v>
      </c>
      <c r="C22" s="13">
        <v>946</v>
      </c>
      <c r="D22" s="13">
        <v>1063</v>
      </c>
      <c r="E22" s="13">
        <v>1114</v>
      </c>
      <c r="F22" s="9">
        <v>1433</v>
      </c>
      <c r="G22" s="13"/>
      <c r="H22" s="11" t="s">
        <v>87</v>
      </c>
      <c r="I22" s="43" t="s">
        <v>14</v>
      </c>
      <c r="J22" s="29">
        <v>248</v>
      </c>
      <c r="K22" s="15">
        <f>SUM(J22/J23)</f>
        <v>3.0042398546335555E-2</v>
      </c>
      <c r="L22" s="18"/>
    </row>
    <row r="23" spans="1:21" s="2" customFormat="1" ht="16.5" customHeight="1" thickBot="1">
      <c r="A23" s="7" t="s">
        <v>302</v>
      </c>
      <c r="B23" s="8" t="s">
        <v>3</v>
      </c>
      <c r="C23" s="13">
        <v>946</v>
      </c>
      <c r="D23" s="13">
        <v>963</v>
      </c>
      <c r="E23" s="13">
        <v>974</v>
      </c>
      <c r="F23" s="13">
        <v>1065</v>
      </c>
      <c r="G23" s="9">
        <v>1225</v>
      </c>
      <c r="H23" s="11" t="s">
        <v>89</v>
      </c>
      <c r="J23" s="28">
        <v>8255</v>
      </c>
      <c r="K23" s="21"/>
    </row>
    <row r="24" spans="1:21" s="2" customFormat="1" ht="16.5" customHeight="1" thickBot="1">
      <c r="A24" s="16" t="s">
        <v>304</v>
      </c>
      <c r="B24" s="22" t="s">
        <v>4</v>
      </c>
      <c r="C24" s="13">
        <v>722</v>
      </c>
      <c r="D24" s="13">
        <v>828</v>
      </c>
      <c r="E24" s="13">
        <v>892</v>
      </c>
      <c r="F24" s="13">
        <v>983</v>
      </c>
      <c r="G24" s="13">
        <v>1126</v>
      </c>
      <c r="H24" s="11"/>
    </row>
    <row r="25" spans="1:21" s="2" customFormat="1" ht="16.5" customHeight="1" thickBot="1">
      <c r="A25" s="16" t="s">
        <v>303</v>
      </c>
      <c r="B25" s="17" t="s">
        <v>3</v>
      </c>
      <c r="C25" s="13">
        <v>707</v>
      </c>
      <c r="D25" s="13">
        <v>723</v>
      </c>
      <c r="E25" s="13">
        <v>765</v>
      </c>
      <c r="F25" s="10">
        <v>778</v>
      </c>
      <c r="G25" s="13" t="s">
        <v>10</v>
      </c>
    </row>
    <row r="26" spans="1:21" s="2" customFormat="1" ht="16.5" customHeight="1" thickBot="1">
      <c r="A26" s="16" t="s">
        <v>305</v>
      </c>
      <c r="B26" s="22" t="s">
        <v>4</v>
      </c>
      <c r="C26" s="13">
        <v>512</v>
      </c>
      <c r="D26" s="13">
        <v>639</v>
      </c>
      <c r="E26" s="13">
        <v>668</v>
      </c>
      <c r="F26" s="10" t="s">
        <v>10</v>
      </c>
      <c r="I26" s="40"/>
    </row>
    <row r="27" spans="1:21" s="2" customFormat="1" ht="16.5" customHeight="1" thickBot="1">
      <c r="A27" s="16" t="s">
        <v>306</v>
      </c>
      <c r="B27" s="33" t="s">
        <v>11</v>
      </c>
      <c r="C27" s="10">
        <v>248</v>
      </c>
      <c r="D27" s="10">
        <v>283</v>
      </c>
      <c r="E27" s="10" t="s">
        <v>10</v>
      </c>
    </row>
    <row r="28" spans="1:21" s="2" customFormat="1" ht="13.5" customHeight="1">
      <c r="A28" s="35"/>
      <c r="B28" s="36"/>
      <c r="C28" s="40"/>
      <c r="D28" s="40"/>
      <c r="E28" s="40"/>
      <c r="F28" s="40"/>
      <c r="G28" s="40"/>
      <c r="H28" s="40"/>
      <c r="I28" s="40"/>
    </row>
    <row r="29" spans="1:21" s="2" customFormat="1" ht="17.45" customHeight="1">
      <c r="A29" s="1" t="s">
        <v>307</v>
      </c>
    </row>
    <row r="30" spans="1:21" s="2" customFormat="1" ht="8.25" customHeight="1" thickBot="1">
      <c r="A30" s="1"/>
    </row>
    <row r="31" spans="1:21" s="2" customFormat="1" ht="17.45" customHeight="1" thickBot="1">
      <c r="A31" s="4" t="s">
        <v>0</v>
      </c>
      <c r="B31" s="5" t="s">
        <v>1</v>
      </c>
      <c r="C31" s="5" t="s">
        <v>2</v>
      </c>
      <c r="D31" s="5">
        <v>2</v>
      </c>
      <c r="E31" s="5">
        <v>3</v>
      </c>
      <c r="F31" s="5">
        <v>4</v>
      </c>
      <c r="G31" s="5">
        <v>5</v>
      </c>
      <c r="H31" s="5">
        <v>6</v>
      </c>
      <c r="I31" s="5">
        <v>7</v>
      </c>
      <c r="J31" s="5">
        <v>8</v>
      </c>
      <c r="K31" s="5">
        <v>9</v>
      </c>
      <c r="L31" s="5">
        <v>10</v>
      </c>
      <c r="M31" s="5">
        <v>11</v>
      </c>
      <c r="N31" s="5">
        <v>12</v>
      </c>
      <c r="O31" s="5">
        <v>13</v>
      </c>
      <c r="P31" s="5">
        <v>14</v>
      </c>
      <c r="Q31" s="5"/>
      <c r="R31" s="14" t="s">
        <v>6</v>
      </c>
      <c r="S31" s="50"/>
    </row>
    <row r="32" spans="1:21" s="2" customFormat="1" ht="17.45" customHeight="1" thickBot="1">
      <c r="A32" s="7" t="s">
        <v>308</v>
      </c>
      <c r="B32" s="8" t="s">
        <v>3</v>
      </c>
      <c r="C32" s="9">
        <v>2009</v>
      </c>
      <c r="D32" s="13"/>
      <c r="E32" s="13"/>
      <c r="F32" s="10"/>
      <c r="G32" s="9"/>
      <c r="H32" s="13"/>
      <c r="I32" s="13"/>
      <c r="J32" s="13"/>
      <c r="K32" s="9"/>
      <c r="L32" s="13"/>
      <c r="M32" s="9"/>
      <c r="N32" s="13"/>
      <c r="O32" s="9"/>
      <c r="P32" s="13"/>
      <c r="Q32" s="11" t="s">
        <v>85</v>
      </c>
      <c r="R32" s="18"/>
      <c r="S32" s="14" t="s">
        <v>7</v>
      </c>
      <c r="T32" s="14" t="s">
        <v>8</v>
      </c>
      <c r="U32" s="14" t="s">
        <v>9</v>
      </c>
    </row>
    <row r="33" spans="1:22" s="2" customFormat="1" ht="17.45" customHeight="1" thickBot="1">
      <c r="A33" s="7" t="s">
        <v>309</v>
      </c>
      <c r="B33" s="8" t="s">
        <v>3</v>
      </c>
      <c r="C33" s="9">
        <v>1505</v>
      </c>
      <c r="D33" s="13"/>
      <c r="E33" s="9"/>
      <c r="F33" s="10"/>
      <c r="G33" s="13"/>
      <c r="H33" s="13"/>
      <c r="I33" s="13"/>
      <c r="J33" s="13"/>
      <c r="K33" s="13"/>
      <c r="L33" s="9"/>
      <c r="M33" s="13"/>
      <c r="N33" s="10"/>
      <c r="O33" s="13"/>
      <c r="P33" s="10"/>
      <c r="Q33" s="11" t="s">
        <v>86</v>
      </c>
      <c r="R33" s="19" t="s">
        <v>3</v>
      </c>
      <c r="S33" s="20">
        <f>SUM(C32+C33+C36+C40+C42)</f>
        <v>5777</v>
      </c>
      <c r="T33" s="21">
        <f>SUM(S33/S37)</f>
        <v>0.48529905913978494</v>
      </c>
      <c r="U33" s="18">
        <v>4</v>
      </c>
    </row>
    <row r="34" spans="1:22" s="2" customFormat="1" ht="17.45" customHeight="1" thickBot="1">
      <c r="A34" s="7" t="s">
        <v>481</v>
      </c>
      <c r="B34" s="12" t="s">
        <v>4</v>
      </c>
      <c r="C34" s="13">
        <v>1336</v>
      </c>
      <c r="D34" s="13">
        <v>1362</v>
      </c>
      <c r="E34" s="13">
        <v>1376</v>
      </c>
      <c r="F34" s="13">
        <v>1420</v>
      </c>
      <c r="G34" s="9">
        <v>1521</v>
      </c>
      <c r="H34" s="13"/>
      <c r="I34" s="9"/>
      <c r="J34" s="9"/>
      <c r="K34" s="13"/>
      <c r="L34" s="13"/>
      <c r="M34" s="9"/>
      <c r="N34" s="9"/>
      <c r="O34" s="9"/>
      <c r="P34" s="9"/>
      <c r="Q34" s="11" t="s">
        <v>87</v>
      </c>
      <c r="R34" s="23" t="s">
        <v>4</v>
      </c>
      <c r="S34" s="20">
        <f>SUM(C34+C35+C37+C41+C45+C46)</f>
        <v>4198</v>
      </c>
      <c r="T34" s="21">
        <f>SUM(S34/S37)</f>
        <v>0.35265456989247312</v>
      </c>
      <c r="U34" s="18">
        <v>3</v>
      </c>
    </row>
    <row r="35" spans="1:22" s="2" customFormat="1" ht="17.45" customHeight="1" thickBot="1">
      <c r="A35" s="7" t="s">
        <v>139</v>
      </c>
      <c r="B35" s="12" t="s">
        <v>4</v>
      </c>
      <c r="C35" s="13">
        <v>1289</v>
      </c>
      <c r="D35" s="13">
        <v>1378</v>
      </c>
      <c r="E35" s="13">
        <v>1401</v>
      </c>
      <c r="F35" s="13">
        <v>1451</v>
      </c>
      <c r="G35" s="13">
        <v>1478</v>
      </c>
      <c r="H35" s="9">
        <v>1505</v>
      </c>
      <c r="I35" s="13"/>
      <c r="J35" s="9"/>
      <c r="K35" s="13"/>
      <c r="L35" s="13"/>
      <c r="M35" s="13"/>
      <c r="N35" s="9"/>
      <c r="O35" s="13"/>
      <c r="P35" s="9"/>
      <c r="Q35" s="11" t="s">
        <v>90</v>
      </c>
      <c r="R35" s="24" t="s">
        <v>12</v>
      </c>
      <c r="S35" s="29">
        <v>101</v>
      </c>
      <c r="T35" s="15">
        <f>SUM(S35/S37)</f>
        <v>8.4845430107526876E-3</v>
      </c>
    </row>
    <row r="36" spans="1:22" s="2" customFormat="1" ht="17.45" customHeight="1" thickBot="1">
      <c r="A36" s="7" t="s">
        <v>310</v>
      </c>
      <c r="B36" s="8" t="s">
        <v>3</v>
      </c>
      <c r="C36" s="13">
        <v>1261</v>
      </c>
      <c r="D36" s="13">
        <v>1310</v>
      </c>
      <c r="E36" s="13">
        <v>1322</v>
      </c>
      <c r="F36" s="13">
        <v>1322</v>
      </c>
      <c r="G36" s="13">
        <v>1323</v>
      </c>
      <c r="H36" s="13">
        <v>1323</v>
      </c>
      <c r="I36" s="13">
        <v>1323</v>
      </c>
      <c r="J36" s="13">
        <v>1383</v>
      </c>
      <c r="K36" s="13">
        <v>1452</v>
      </c>
      <c r="L36" s="13">
        <v>1454</v>
      </c>
      <c r="M36" s="9">
        <v>1504</v>
      </c>
      <c r="N36" s="13"/>
      <c r="O36" s="9"/>
      <c r="P36" s="13"/>
      <c r="Q36" s="11" t="s">
        <v>89</v>
      </c>
      <c r="R36" s="43" t="s">
        <v>14</v>
      </c>
      <c r="S36" s="29">
        <f>SUM(C38+C39+C43+C44)</f>
        <v>1828</v>
      </c>
      <c r="T36" s="15">
        <f>SUM(S36/S37)</f>
        <v>0.15356182795698925</v>
      </c>
    </row>
    <row r="37" spans="1:22" s="2" customFormat="1" ht="17.45" customHeight="1" thickBot="1">
      <c r="A37" s="7" t="s">
        <v>311</v>
      </c>
      <c r="B37" s="12" t="s">
        <v>4</v>
      </c>
      <c r="C37" s="13">
        <v>651</v>
      </c>
      <c r="D37" s="13">
        <v>651</v>
      </c>
      <c r="E37" s="13">
        <v>655</v>
      </c>
      <c r="F37" s="13">
        <v>665</v>
      </c>
      <c r="G37" s="13">
        <v>674</v>
      </c>
      <c r="H37" s="13">
        <v>675</v>
      </c>
      <c r="I37" s="13">
        <v>678</v>
      </c>
      <c r="J37" s="13">
        <v>687</v>
      </c>
      <c r="K37" s="13">
        <v>730</v>
      </c>
      <c r="L37" s="13">
        <v>730</v>
      </c>
      <c r="M37" s="13">
        <v>735</v>
      </c>
      <c r="N37" s="13">
        <v>735</v>
      </c>
      <c r="O37" s="13">
        <v>1034</v>
      </c>
      <c r="P37" s="9">
        <v>1060</v>
      </c>
      <c r="Q37" s="11" t="s">
        <v>111</v>
      </c>
      <c r="R37" s="24"/>
      <c r="S37" s="28">
        <v>11904</v>
      </c>
      <c r="T37" s="15"/>
    </row>
    <row r="38" spans="1:22" s="2" customFormat="1" ht="17.45" customHeight="1" thickBot="1">
      <c r="A38" s="16" t="s">
        <v>411</v>
      </c>
      <c r="B38" s="33" t="s">
        <v>11</v>
      </c>
      <c r="C38" s="13">
        <v>633</v>
      </c>
      <c r="D38" s="13">
        <v>635</v>
      </c>
      <c r="E38" s="13">
        <v>639</v>
      </c>
      <c r="F38" s="13">
        <v>641</v>
      </c>
      <c r="G38" s="13">
        <v>643</v>
      </c>
      <c r="H38" s="13">
        <v>643</v>
      </c>
      <c r="I38" s="13">
        <v>643</v>
      </c>
      <c r="J38" s="13">
        <v>663</v>
      </c>
      <c r="K38" s="13">
        <v>691</v>
      </c>
      <c r="L38" s="13">
        <v>691</v>
      </c>
      <c r="M38" s="13">
        <v>691</v>
      </c>
      <c r="N38" s="13">
        <v>691</v>
      </c>
      <c r="O38" s="13" t="s">
        <v>10</v>
      </c>
      <c r="T38" s="14"/>
      <c r="V38" s="15"/>
    </row>
    <row r="39" spans="1:22" s="2" customFormat="1" ht="17.45" customHeight="1" thickBot="1">
      <c r="A39" s="16" t="s">
        <v>395</v>
      </c>
      <c r="B39" s="33" t="s">
        <v>11</v>
      </c>
      <c r="C39" s="10">
        <v>527</v>
      </c>
      <c r="D39" s="13">
        <v>534</v>
      </c>
      <c r="E39" s="13">
        <v>536</v>
      </c>
      <c r="F39" s="13">
        <v>545</v>
      </c>
      <c r="G39" s="13">
        <v>611</v>
      </c>
      <c r="H39" s="13">
        <v>614</v>
      </c>
      <c r="I39" s="13">
        <v>620</v>
      </c>
      <c r="J39" s="13">
        <v>627</v>
      </c>
      <c r="K39" s="13">
        <v>652</v>
      </c>
      <c r="L39" s="13">
        <v>656</v>
      </c>
      <c r="M39" s="13">
        <v>704</v>
      </c>
      <c r="N39" s="13">
        <v>705</v>
      </c>
      <c r="O39" s="13">
        <v>721</v>
      </c>
      <c r="P39" s="9" t="s">
        <v>10</v>
      </c>
      <c r="S39" s="18"/>
      <c r="T39" s="14"/>
      <c r="U39" s="14"/>
      <c r="V39" s="14"/>
    </row>
    <row r="40" spans="1:22" s="2" customFormat="1" ht="17.45" customHeight="1" thickBot="1">
      <c r="A40" s="7" t="s">
        <v>140</v>
      </c>
      <c r="B40" s="8" t="s">
        <v>3</v>
      </c>
      <c r="C40" s="13">
        <v>519</v>
      </c>
      <c r="D40" s="13">
        <v>678</v>
      </c>
      <c r="E40" s="13">
        <v>686</v>
      </c>
      <c r="F40" s="10">
        <v>687</v>
      </c>
      <c r="G40" s="13">
        <v>688</v>
      </c>
      <c r="H40" s="13">
        <v>688</v>
      </c>
      <c r="I40" s="13">
        <v>688</v>
      </c>
      <c r="J40" s="13">
        <v>739</v>
      </c>
      <c r="K40" s="13">
        <v>772</v>
      </c>
      <c r="L40" s="13">
        <v>776</v>
      </c>
      <c r="M40" s="13">
        <v>1003</v>
      </c>
      <c r="N40" s="13">
        <v>1017</v>
      </c>
      <c r="O40" s="13">
        <v>1056</v>
      </c>
      <c r="P40" s="9">
        <v>1101</v>
      </c>
      <c r="Q40" s="11" t="s">
        <v>88</v>
      </c>
      <c r="S40" s="19"/>
      <c r="T40" s="20"/>
      <c r="U40" s="21"/>
      <c r="V40" s="18"/>
    </row>
    <row r="41" spans="1:22" s="2" customFormat="1" ht="17.45" customHeight="1" thickBot="1">
      <c r="A41" s="16" t="s">
        <v>141</v>
      </c>
      <c r="B41" s="22" t="s">
        <v>4</v>
      </c>
      <c r="C41" s="13">
        <v>487</v>
      </c>
      <c r="D41" s="13">
        <v>500</v>
      </c>
      <c r="E41" s="13">
        <v>501</v>
      </c>
      <c r="F41" s="13">
        <v>516</v>
      </c>
      <c r="G41" s="13">
        <v>519</v>
      </c>
      <c r="H41" s="13">
        <v>519</v>
      </c>
      <c r="I41" s="13">
        <v>526</v>
      </c>
      <c r="J41" s="13">
        <v>638</v>
      </c>
      <c r="K41" s="13">
        <v>683</v>
      </c>
      <c r="L41" s="13">
        <v>683</v>
      </c>
      <c r="M41" s="13">
        <v>692</v>
      </c>
      <c r="N41" s="13">
        <v>692</v>
      </c>
      <c r="O41" s="13">
        <v>790</v>
      </c>
      <c r="P41" s="13">
        <v>847</v>
      </c>
      <c r="Q41" s="9"/>
      <c r="S41" s="23"/>
      <c r="T41" s="20"/>
      <c r="U41" s="21"/>
      <c r="V41" s="18"/>
    </row>
    <row r="42" spans="1:22" s="2" customFormat="1" ht="17.45" customHeight="1" thickBot="1">
      <c r="A42" s="16" t="s">
        <v>234</v>
      </c>
      <c r="B42" s="17" t="s">
        <v>3</v>
      </c>
      <c r="C42" s="13">
        <v>483</v>
      </c>
      <c r="D42" s="13">
        <v>568</v>
      </c>
      <c r="E42" s="13">
        <v>570</v>
      </c>
      <c r="F42" s="13">
        <v>595</v>
      </c>
      <c r="G42" s="13">
        <v>601</v>
      </c>
      <c r="H42" s="13">
        <v>601</v>
      </c>
      <c r="I42" s="13">
        <v>601</v>
      </c>
      <c r="J42" s="13">
        <v>607</v>
      </c>
      <c r="K42" s="13">
        <v>637</v>
      </c>
      <c r="L42" s="13">
        <v>643</v>
      </c>
      <c r="M42" s="13" t="s">
        <v>10</v>
      </c>
      <c r="P42" s="42"/>
      <c r="Q42" s="28"/>
      <c r="R42" s="21"/>
      <c r="S42" s="18"/>
    </row>
    <row r="43" spans="1:22" s="2" customFormat="1" ht="17.45" customHeight="1" thickBot="1">
      <c r="A43" s="16" t="s">
        <v>142</v>
      </c>
      <c r="B43" s="33" t="s">
        <v>11</v>
      </c>
      <c r="C43" s="13">
        <v>339</v>
      </c>
      <c r="D43" s="13">
        <v>373</v>
      </c>
      <c r="E43" s="13">
        <v>379</v>
      </c>
      <c r="F43" s="13">
        <v>379</v>
      </c>
      <c r="G43" s="13">
        <v>382</v>
      </c>
      <c r="H43" s="13">
        <v>382</v>
      </c>
      <c r="I43" s="13">
        <v>382</v>
      </c>
      <c r="J43" s="13" t="s">
        <v>10</v>
      </c>
      <c r="P43" s="24"/>
      <c r="Q43" s="29"/>
      <c r="R43" s="15"/>
    </row>
    <row r="44" spans="1:22" s="2" customFormat="1" ht="17.45" customHeight="1" thickBot="1">
      <c r="A44" s="16" t="s">
        <v>313</v>
      </c>
      <c r="B44" s="33" t="s">
        <v>11</v>
      </c>
      <c r="C44" s="13">
        <v>329</v>
      </c>
      <c r="D44" s="13">
        <v>357</v>
      </c>
      <c r="E44" s="13">
        <v>384</v>
      </c>
      <c r="F44" s="13">
        <v>407</v>
      </c>
      <c r="G44" s="13">
        <v>413</v>
      </c>
      <c r="H44" s="13">
        <v>414</v>
      </c>
      <c r="I44" s="13">
        <v>414</v>
      </c>
      <c r="J44" s="13">
        <v>444</v>
      </c>
      <c r="K44" s="13" t="s">
        <v>10</v>
      </c>
      <c r="Q44" s="14"/>
      <c r="S44" s="15"/>
    </row>
    <row r="45" spans="1:22" s="2" customFormat="1" ht="17.45" customHeight="1" thickBot="1">
      <c r="A45" s="16" t="s">
        <v>314</v>
      </c>
      <c r="B45" s="22" t="s">
        <v>4</v>
      </c>
      <c r="C45" s="10">
        <v>236</v>
      </c>
      <c r="D45" s="13">
        <v>237</v>
      </c>
      <c r="E45" s="13">
        <v>239</v>
      </c>
      <c r="F45" s="13">
        <v>248</v>
      </c>
      <c r="G45" s="13" t="s">
        <v>10</v>
      </c>
      <c r="P45" s="18"/>
      <c r="Q45" s="14"/>
      <c r="R45" s="14"/>
      <c r="S45" s="14"/>
    </row>
    <row r="46" spans="1:22" s="2" customFormat="1" ht="17.45" customHeight="1" thickBot="1">
      <c r="A46" s="16" t="s">
        <v>315</v>
      </c>
      <c r="B46" s="22" t="s">
        <v>4</v>
      </c>
      <c r="C46" s="13">
        <v>199</v>
      </c>
      <c r="D46" s="13">
        <v>202</v>
      </c>
      <c r="E46" s="13">
        <v>204</v>
      </c>
      <c r="F46" s="10" t="s">
        <v>10</v>
      </c>
      <c r="M46" s="19"/>
      <c r="N46" s="20"/>
      <c r="O46" s="21"/>
      <c r="P46" s="18"/>
    </row>
    <row r="47" spans="1:22" s="2" customFormat="1" ht="17.45" customHeight="1" thickBot="1">
      <c r="A47" s="16" t="s">
        <v>316</v>
      </c>
      <c r="B47" s="25" t="s">
        <v>12</v>
      </c>
      <c r="C47" s="13">
        <v>101</v>
      </c>
      <c r="D47" s="13">
        <v>125</v>
      </c>
      <c r="E47" s="13" t="s">
        <v>10</v>
      </c>
      <c r="M47" s="23"/>
      <c r="N47" s="20"/>
      <c r="O47" s="21"/>
      <c r="P47" s="18"/>
    </row>
    <row r="48" spans="1:22">
      <c r="C48" s="41"/>
      <c r="D48" s="41"/>
      <c r="E48" s="41"/>
      <c r="F48" s="41"/>
      <c r="G48" s="41"/>
      <c r="H48" s="41"/>
      <c r="I48" s="41"/>
      <c r="J48" s="41"/>
      <c r="K48" s="41"/>
    </row>
    <row r="49" spans="1:13" s="2" customFormat="1" ht="17.45" customHeight="1">
      <c r="A49" s="1" t="s">
        <v>317</v>
      </c>
    </row>
    <row r="50" spans="1:13" s="2" customFormat="1" ht="10.5" customHeight="1" thickBot="1">
      <c r="A50" s="1"/>
    </row>
    <row r="51" spans="1:13" s="2" customFormat="1" ht="16.5" customHeight="1" thickBot="1">
      <c r="A51" s="4" t="s">
        <v>0</v>
      </c>
      <c r="B51" s="5" t="s">
        <v>1</v>
      </c>
      <c r="C51" s="5" t="s">
        <v>2</v>
      </c>
      <c r="D51" s="5">
        <v>2</v>
      </c>
      <c r="E51" s="5">
        <v>3</v>
      </c>
      <c r="F51" s="5">
        <v>4</v>
      </c>
      <c r="G51" s="5">
        <v>5</v>
      </c>
      <c r="H51" s="5">
        <v>6</v>
      </c>
      <c r="I51" s="6"/>
      <c r="J51" s="14" t="s">
        <v>6</v>
      </c>
      <c r="K51" s="15"/>
    </row>
    <row r="52" spans="1:13" s="2" customFormat="1" ht="16.5" customHeight="1" thickBot="1">
      <c r="A52" s="7" t="s">
        <v>318</v>
      </c>
      <c r="B52" s="12" t="s">
        <v>4</v>
      </c>
      <c r="C52" s="9">
        <v>1074</v>
      </c>
      <c r="D52" s="13"/>
      <c r="E52" s="9"/>
      <c r="F52" s="13"/>
      <c r="G52" s="9"/>
      <c r="H52" s="13"/>
      <c r="I52" s="11" t="s">
        <v>85</v>
      </c>
      <c r="J52" s="18"/>
      <c r="K52" s="14" t="s">
        <v>7</v>
      </c>
      <c r="L52" s="14" t="s">
        <v>8</v>
      </c>
      <c r="M52" s="14" t="s">
        <v>9</v>
      </c>
    </row>
    <row r="53" spans="1:13" s="2" customFormat="1" ht="16.5" customHeight="1" thickBot="1">
      <c r="A53" s="7" t="s">
        <v>319</v>
      </c>
      <c r="B53" s="12" t="s">
        <v>4</v>
      </c>
      <c r="C53" s="13">
        <v>996</v>
      </c>
      <c r="D53" s="13">
        <v>1016</v>
      </c>
      <c r="E53" s="9">
        <v>1113</v>
      </c>
      <c r="F53" s="9"/>
      <c r="G53" s="13"/>
      <c r="H53" s="9"/>
      <c r="I53" s="11" t="s">
        <v>86</v>
      </c>
      <c r="J53" s="19" t="s">
        <v>3</v>
      </c>
      <c r="K53" s="20">
        <f>SUM(C54+C57+C59)</f>
        <v>1758</v>
      </c>
      <c r="L53" s="21">
        <f>SUM(K53/K56)</f>
        <v>0.28446601941747574</v>
      </c>
      <c r="M53" s="18">
        <v>2</v>
      </c>
    </row>
    <row r="54" spans="1:13" s="2" customFormat="1" ht="16.5" customHeight="1" thickBot="1">
      <c r="A54" s="7" t="s">
        <v>398</v>
      </c>
      <c r="B54" s="8" t="s">
        <v>3</v>
      </c>
      <c r="C54" s="13">
        <v>681</v>
      </c>
      <c r="D54" s="13">
        <v>682</v>
      </c>
      <c r="E54" s="13">
        <v>730</v>
      </c>
      <c r="F54" s="13">
        <v>911</v>
      </c>
      <c r="G54" s="13">
        <v>918</v>
      </c>
      <c r="H54" s="9">
        <v>965</v>
      </c>
      <c r="I54" s="11" t="s">
        <v>87</v>
      </c>
      <c r="J54" s="23" t="s">
        <v>4</v>
      </c>
      <c r="K54" s="20">
        <f>SUM(C52+C53+C55+C56+C58)</f>
        <v>4084</v>
      </c>
      <c r="L54" s="21">
        <f>SUM(K54/K56)</f>
        <v>0.6608414239482201</v>
      </c>
      <c r="M54" s="18">
        <v>3</v>
      </c>
    </row>
    <row r="55" spans="1:13" s="2" customFormat="1" ht="16.5" customHeight="1" thickBot="1">
      <c r="A55" s="7" t="s">
        <v>239</v>
      </c>
      <c r="B55" s="12" t="s">
        <v>4</v>
      </c>
      <c r="C55" s="13">
        <v>681</v>
      </c>
      <c r="D55" s="13">
        <v>683</v>
      </c>
      <c r="E55" s="13">
        <v>691</v>
      </c>
      <c r="F55" s="13">
        <v>788</v>
      </c>
      <c r="G55" s="13">
        <v>790</v>
      </c>
      <c r="H55" s="9">
        <v>955</v>
      </c>
      <c r="I55" s="11" t="s">
        <v>90</v>
      </c>
      <c r="J55" s="43" t="s">
        <v>14</v>
      </c>
      <c r="K55" s="29">
        <v>338</v>
      </c>
      <c r="L55" s="15">
        <f>SUM(K55/K56)</f>
        <v>5.469255663430421E-2</v>
      </c>
      <c r="M55" s="18"/>
    </row>
    <row r="56" spans="1:13" s="2" customFormat="1" ht="16.5" customHeight="1" thickBot="1">
      <c r="A56" s="16" t="s">
        <v>321</v>
      </c>
      <c r="B56" s="22" t="s">
        <v>4</v>
      </c>
      <c r="C56" s="13">
        <v>675</v>
      </c>
      <c r="D56" s="13">
        <v>684</v>
      </c>
      <c r="E56" s="13">
        <v>717</v>
      </c>
      <c r="F56" s="13">
        <v>720</v>
      </c>
      <c r="G56" s="13">
        <v>726</v>
      </c>
      <c r="H56" s="13" t="s">
        <v>10</v>
      </c>
      <c r="K56" s="28">
        <v>6180</v>
      </c>
    </row>
    <row r="57" spans="1:13" s="2" customFormat="1" ht="16.5" customHeight="1" thickBot="1">
      <c r="A57" s="7" t="s">
        <v>322</v>
      </c>
      <c r="B57" s="8" t="s">
        <v>3</v>
      </c>
      <c r="C57" s="13">
        <v>670</v>
      </c>
      <c r="D57" s="13">
        <v>672</v>
      </c>
      <c r="E57" s="13">
        <v>722</v>
      </c>
      <c r="F57" s="13">
        <v>758</v>
      </c>
      <c r="G57" s="13">
        <v>777</v>
      </c>
      <c r="H57" s="9">
        <v>853</v>
      </c>
      <c r="I57" s="11" t="s">
        <v>89</v>
      </c>
      <c r="J57" s="18"/>
    </row>
    <row r="58" spans="1:13" s="2" customFormat="1" ht="16.5" customHeight="1" thickBot="1">
      <c r="A58" s="16" t="s">
        <v>323</v>
      </c>
      <c r="B58" s="22" t="s">
        <v>4</v>
      </c>
      <c r="C58" s="13">
        <v>658</v>
      </c>
      <c r="D58" s="13">
        <v>661</v>
      </c>
      <c r="E58" s="13">
        <v>674</v>
      </c>
      <c r="F58" s="13">
        <v>726</v>
      </c>
      <c r="G58" s="13">
        <v>731</v>
      </c>
      <c r="H58" s="13">
        <v>822</v>
      </c>
      <c r="I58" s="11"/>
      <c r="J58" s="18"/>
    </row>
    <row r="59" spans="1:13" s="2" customFormat="1" ht="16.5" customHeight="1" thickBot="1">
      <c r="A59" s="16" t="s">
        <v>324</v>
      </c>
      <c r="B59" s="17" t="s">
        <v>3</v>
      </c>
      <c r="C59" s="13">
        <v>407</v>
      </c>
      <c r="D59" s="13">
        <v>408</v>
      </c>
      <c r="E59" s="13">
        <v>423</v>
      </c>
      <c r="F59" s="13" t="s">
        <v>10</v>
      </c>
      <c r="H59" s="18"/>
    </row>
    <row r="60" spans="1:13" s="2" customFormat="1" ht="16.5" customHeight="1" thickBot="1">
      <c r="A60" s="16" t="s">
        <v>325</v>
      </c>
      <c r="B60" s="33" t="s">
        <v>11</v>
      </c>
      <c r="C60" s="13">
        <v>338</v>
      </c>
      <c r="D60" s="13">
        <v>343</v>
      </c>
      <c r="E60" s="13" t="s">
        <v>10</v>
      </c>
    </row>
    <row r="61" spans="1:13">
      <c r="C61" s="41"/>
      <c r="D61" s="41"/>
      <c r="E61" s="41"/>
      <c r="F61" s="41"/>
    </row>
    <row r="62" spans="1:13" s="2" customFormat="1" ht="17.45" customHeight="1">
      <c r="A62" s="1" t="s">
        <v>326</v>
      </c>
    </row>
    <row r="63" spans="1:13" s="2" customFormat="1" ht="10.5" customHeight="1" thickBot="1">
      <c r="A63" s="1"/>
    </row>
    <row r="64" spans="1:13" s="2" customFormat="1" ht="16.5" customHeight="1" thickBot="1">
      <c r="A64" s="4" t="s">
        <v>0</v>
      </c>
      <c r="B64" s="5" t="s">
        <v>1</v>
      </c>
      <c r="C64" s="5" t="s">
        <v>2</v>
      </c>
      <c r="D64" s="5">
        <v>2</v>
      </c>
      <c r="E64" s="5">
        <v>3</v>
      </c>
      <c r="F64" s="5">
        <v>4</v>
      </c>
      <c r="G64" s="5">
        <v>5</v>
      </c>
      <c r="H64" s="5">
        <v>6</v>
      </c>
      <c r="I64" s="6"/>
      <c r="J64" s="14" t="s">
        <v>6</v>
      </c>
      <c r="K64" s="15"/>
    </row>
    <row r="65" spans="1:16" s="2" customFormat="1" ht="16.5" customHeight="1" thickBot="1">
      <c r="A65" s="7" t="s">
        <v>242</v>
      </c>
      <c r="B65" s="8" t="s">
        <v>3</v>
      </c>
      <c r="C65" s="9">
        <v>1685</v>
      </c>
      <c r="D65" s="13"/>
      <c r="E65" s="9"/>
      <c r="F65" s="13"/>
      <c r="G65" s="9"/>
      <c r="H65" s="13"/>
      <c r="I65" s="11" t="s">
        <v>85</v>
      </c>
      <c r="J65" s="18"/>
      <c r="K65" s="14" t="s">
        <v>7</v>
      </c>
      <c r="L65" s="14" t="s">
        <v>8</v>
      </c>
      <c r="M65" s="14" t="s">
        <v>9</v>
      </c>
    </row>
    <row r="66" spans="1:16" s="2" customFormat="1" ht="16.5" customHeight="1" thickBot="1">
      <c r="A66" s="7" t="s">
        <v>327</v>
      </c>
      <c r="B66" s="8" t="s">
        <v>3</v>
      </c>
      <c r="C66" s="13">
        <v>974</v>
      </c>
      <c r="D66" s="13">
        <v>991</v>
      </c>
      <c r="E66" s="13">
        <v>994</v>
      </c>
      <c r="F66" s="13">
        <v>1007</v>
      </c>
      <c r="G66" s="13">
        <v>1016</v>
      </c>
      <c r="H66" s="9">
        <v>1069</v>
      </c>
      <c r="I66" s="11" t="s">
        <v>87</v>
      </c>
      <c r="J66" s="19" t="s">
        <v>3</v>
      </c>
      <c r="K66" s="20">
        <f>SUM(C65+C66+C69+C70)</f>
        <v>3486</v>
      </c>
      <c r="L66" s="21">
        <f>SUM(K66/K69)</f>
        <v>0.60415944540727906</v>
      </c>
      <c r="M66" s="18">
        <v>3</v>
      </c>
    </row>
    <row r="67" spans="1:16" s="2" customFormat="1" ht="16.5" customHeight="1" thickBot="1">
      <c r="A67" s="16" t="s">
        <v>328</v>
      </c>
      <c r="B67" s="22" t="s">
        <v>4</v>
      </c>
      <c r="C67" s="13">
        <v>884</v>
      </c>
      <c r="D67" s="13">
        <v>887</v>
      </c>
      <c r="E67" s="13">
        <v>889</v>
      </c>
      <c r="F67" s="13">
        <v>910</v>
      </c>
      <c r="G67" s="13">
        <v>924</v>
      </c>
      <c r="H67" s="13">
        <v>933</v>
      </c>
      <c r="I67" s="11"/>
      <c r="J67" s="23" t="s">
        <v>4</v>
      </c>
      <c r="K67" s="20">
        <f>SUM(C67+C68+C72+C73)</f>
        <v>2056</v>
      </c>
      <c r="L67" s="21">
        <f>SUM(K67/K69)</f>
        <v>0.3563258232235702</v>
      </c>
      <c r="M67" s="18">
        <v>1</v>
      </c>
    </row>
    <row r="68" spans="1:16" s="2" customFormat="1" ht="16.5" customHeight="1" thickBot="1">
      <c r="A68" s="7" t="s">
        <v>244</v>
      </c>
      <c r="B68" s="12" t="s">
        <v>4</v>
      </c>
      <c r="C68" s="13">
        <v>811</v>
      </c>
      <c r="D68" s="13">
        <v>864</v>
      </c>
      <c r="E68" s="13">
        <v>971</v>
      </c>
      <c r="F68" s="13">
        <v>1061</v>
      </c>
      <c r="G68" s="9">
        <v>1168</v>
      </c>
      <c r="H68" s="9"/>
      <c r="I68" s="9" t="s">
        <v>86</v>
      </c>
      <c r="J68" s="43" t="s">
        <v>14</v>
      </c>
      <c r="K68" s="20">
        <v>228</v>
      </c>
      <c r="L68" s="21">
        <f>SUM(K68/K69)</f>
        <v>3.9514731369150777E-2</v>
      </c>
      <c r="M68" s="18"/>
    </row>
    <row r="69" spans="1:16" s="2" customFormat="1" ht="16.5" customHeight="1" thickBot="1">
      <c r="A69" s="7" t="s">
        <v>246</v>
      </c>
      <c r="B69" s="8" t="s">
        <v>3</v>
      </c>
      <c r="C69" s="13">
        <v>589</v>
      </c>
      <c r="D69" s="13">
        <v>745</v>
      </c>
      <c r="E69" s="13">
        <v>749</v>
      </c>
      <c r="F69" s="13">
        <v>782</v>
      </c>
      <c r="G69" s="13">
        <v>807</v>
      </c>
      <c r="H69" s="9">
        <v>1069</v>
      </c>
      <c r="I69" s="9" t="s">
        <v>90</v>
      </c>
      <c r="K69" s="28">
        <v>5770</v>
      </c>
      <c r="M69" s="18"/>
    </row>
    <row r="70" spans="1:16" s="2" customFormat="1" ht="16.5" customHeight="1" thickBot="1">
      <c r="A70" s="16" t="s">
        <v>330</v>
      </c>
      <c r="B70" s="17" t="s">
        <v>3</v>
      </c>
      <c r="C70" s="13">
        <v>238</v>
      </c>
      <c r="D70" s="13">
        <v>464</v>
      </c>
      <c r="E70" s="13">
        <v>473</v>
      </c>
      <c r="F70" s="13">
        <v>490</v>
      </c>
      <c r="G70" s="13">
        <v>579</v>
      </c>
      <c r="H70" s="13" t="s">
        <v>10</v>
      </c>
    </row>
    <row r="71" spans="1:16" s="2" customFormat="1" ht="16.5" customHeight="1" thickBot="1">
      <c r="A71" s="16" t="s">
        <v>331</v>
      </c>
      <c r="B71" s="33" t="s">
        <v>11</v>
      </c>
      <c r="C71" s="13">
        <v>228</v>
      </c>
      <c r="D71" s="13">
        <v>267</v>
      </c>
      <c r="E71" s="13">
        <v>292</v>
      </c>
      <c r="F71" s="13">
        <v>306</v>
      </c>
      <c r="G71" s="13" t="s">
        <v>10</v>
      </c>
      <c r="H71" s="18"/>
      <c r="K71" s="18"/>
    </row>
    <row r="72" spans="1:16" s="2" customFormat="1" ht="16.5" customHeight="1" thickBot="1">
      <c r="A72" s="16" t="s">
        <v>376</v>
      </c>
      <c r="B72" s="22" t="s">
        <v>4</v>
      </c>
      <c r="C72" s="13">
        <v>199</v>
      </c>
      <c r="D72" s="13">
        <v>219</v>
      </c>
      <c r="E72" s="13">
        <v>236</v>
      </c>
      <c r="F72" s="13" t="s">
        <v>10</v>
      </c>
    </row>
    <row r="73" spans="1:16" s="2" customFormat="1" ht="16.5" customHeight="1" thickBot="1">
      <c r="A73" s="16" t="s">
        <v>332</v>
      </c>
      <c r="B73" s="22" t="s">
        <v>4</v>
      </c>
      <c r="C73" s="13">
        <v>162</v>
      </c>
      <c r="D73" s="13">
        <v>178</v>
      </c>
      <c r="E73" s="13" t="s">
        <v>10</v>
      </c>
      <c r="H73" s="18"/>
      <c r="K73" s="18"/>
    </row>
    <row r="75" spans="1:16" s="2" customFormat="1" ht="17.45" customHeight="1">
      <c r="A75" s="1" t="s">
        <v>333</v>
      </c>
    </row>
    <row r="76" spans="1:16" s="2" customFormat="1" ht="10.5" customHeight="1" thickBot="1">
      <c r="A76" s="1"/>
    </row>
    <row r="77" spans="1:16" s="2" customFormat="1" ht="16.5" customHeight="1" thickBot="1">
      <c r="A77" s="4" t="s">
        <v>0</v>
      </c>
      <c r="B77" s="5" t="s">
        <v>1</v>
      </c>
      <c r="C77" s="5" t="s">
        <v>2</v>
      </c>
      <c r="D77" s="5">
        <v>2</v>
      </c>
      <c r="E77" s="5">
        <v>3</v>
      </c>
      <c r="F77" s="5">
        <v>4</v>
      </c>
      <c r="G77" s="5">
        <v>5</v>
      </c>
      <c r="H77" s="5">
        <v>6</v>
      </c>
      <c r="I77" s="5">
        <v>7</v>
      </c>
      <c r="J77" s="5">
        <v>8</v>
      </c>
      <c r="K77" s="5">
        <v>9</v>
      </c>
      <c r="L77" s="6"/>
      <c r="M77" s="14" t="s">
        <v>6</v>
      </c>
      <c r="N77" s="15"/>
    </row>
    <row r="78" spans="1:16" s="2" customFormat="1" ht="16.5" customHeight="1" thickBot="1">
      <c r="A78" s="7" t="s">
        <v>334</v>
      </c>
      <c r="B78" s="12" t="s">
        <v>4</v>
      </c>
      <c r="C78" s="13">
        <v>1216</v>
      </c>
      <c r="D78" s="13">
        <v>1255</v>
      </c>
      <c r="E78" s="13">
        <v>1283</v>
      </c>
      <c r="F78" s="13">
        <v>1302</v>
      </c>
      <c r="G78" s="13">
        <v>1366</v>
      </c>
      <c r="H78" s="13">
        <v>1378</v>
      </c>
      <c r="I78" s="9">
        <v>1449</v>
      </c>
      <c r="J78" s="9"/>
      <c r="K78" s="9"/>
      <c r="L78" s="11" t="s">
        <v>86</v>
      </c>
      <c r="M78" s="18"/>
      <c r="N78" s="14" t="s">
        <v>7</v>
      </c>
      <c r="O78" s="14" t="s">
        <v>8</v>
      </c>
      <c r="P78" s="14" t="s">
        <v>9</v>
      </c>
    </row>
    <row r="79" spans="1:16" s="2" customFormat="1" ht="16.5" customHeight="1" thickBot="1">
      <c r="A79" s="7" t="s">
        <v>126</v>
      </c>
      <c r="B79" s="8" t="s">
        <v>3</v>
      </c>
      <c r="C79" s="13">
        <v>1019</v>
      </c>
      <c r="D79" s="13">
        <v>1028</v>
      </c>
      <c r="E79" s="13">
        <v>1070</v>
      </c>
      <c r="F79" s="13">
        <v>1079</v>
      </c>
      <c r="G79" s="13">
        <v>1099</v>
      </c>
      <c r="H79" s="13">
        <v>1116</v>
      </c>
      <c r="I79" s="13">
        <v>1220</v>
      </c>
      <c r="J79" s="9">
        <v>1418</v>
      </c>
      <c r="K79" s="9"/>
      <c r="L79" s="11" t="s">
        <v>87</v>
      </c>
      <c r="M79" s="19" t="s">
        <v>3</v>
      </c>
      <c r="N79" s="20">
        <f>SUM(C79+C80+C82+C85+C86)</f>
        <v>3787</v>
      </c>
      <c r="O79" s="21">
        <f>SUM(N79/N83)</f>
        <v>0.45185538718530011</v>
      </c>
      <c r="P79" s="18">
        <v>2</v>
      </c>
    </row>
    <row r="80" spans="1:16" s="2" customFormat="1" ht="16.5" customHeight="1" thickBot="1">
      <c r="A80" s="7" t="s">
        <v>127</v>
      </c>
      <c r="B80" s="8" t="s">
        <v>3</v>
      </c>
      <c r="C80" s="13">
        <v>988</v>
      </c>
      <c r="D80" s="13">
        <v>1002</v>
      </c>
      <c r="E80" s="13">
        <v>1014</v>
      </c>
      <c r="F80" s="13">
        <v>1069</v>
      </c>
      <c r="G80" s="13">
        <v>1077</v>
      </c>
      <c r="H80" s="9">
        <v>1431</v>
      </c>
      <c r="I80" s="13"/>
      <c r="J80" s="13"/>
      <c r="K80" s="9"/>
      <c r="L80" s="11" t="s">
        <v>85</v>
      </c>
      <c r="M80" s="23" t="s">
        <v>4</v>
      </c>
      <c r="N80" s="20">
        <f>SUM(C78+C83+C84+C87)</f>
        <v>2850</v>
      </c>
      <c r="O80" s="21">
        <f>SUM(N80/N83)</f>
        <v>0.3400548860517838</v>
      </c>
      <c r="P80" s="18">
        <v>2</v>
      </c>
    </row>
    <row r="81" spans="1:19" s="2" customFormat="1" ht="16.5" customHeight="1" thickBot="1">
      <c r="A81" s="7" t="s">
        <v>249</v>
      </c>
      <c r="B81" s="37" t="s">
        <v>11</v>
      </c>
      <c r="C81" s="13">
        <v>904</v>
      </c>
      <c r="D81" s="13">
        <v>930</v>
      </c>
      <c r="E81" s="13">
        <v>973</v>
      </c>
      <c r="F81" s="13">
        <v>981</v>
      </c>
      <c r="G81" s="13">
        <v>1077</v>
      </c>
      <c r="H81" s="13">
        <v>1082</v>
      </c>
      <c r="I81" s="13">
        <v>1114</v>
      </c>
      <c r="J81" s="13">
        <v>1235</v>
      </c>
      <c r="K81" s="9">
        <v>1244</v>
      </c>
      <c r="L81" s="11" t="s">
        <v>90</v>
      </c>
      <c r="M81" s="24" t="s">
        <v>12</v>
      </c>
      <c r="N81" s="20">
        <v>136</v>
      </c>
      <c r="O81" s="21">
        <f>SUM(N81/N83)</f>
        <v>1.6227180527383367E-2</v>
      </c>
    </row>
    <row r="82" spans="1:19" s="2" customFormat="1" ht="16.5" customHeight="1" thickBot="1">
      <c r="A82" s="16" t="s">
        <v>335</v>
      </c>
      <c r="B82" s="17" t="s">
        <v>3</v>
      </c>
      <c r="C82" s="13">
        <v>794</v>
      </c>
      <c r="D82" s="13">
        <v>805</v>
      </c>
      <c r="E82" s="13">
        <v>832</v>
      </c>
      <c r="F82" s="13">
        <v>832</v>
      </c>
      <c r="G82" s="13">
        <v>904</v>
      </c>
      <c r="H82" s="13">
        <v>911</v>
      </c>
      <c r="I82" s="13">
        <v>1086</v>
      </c>
      <c r="J82" s="13">
        <v>1119</v>
      </c>
      <c r="K82" s="13">
        <v>1127</v>
      </c>
      <c r="L82" s="11"/>
      <c r="M82" s="43" t="s">
        <v>14</v>
      </c>
      <c r="N82" s="20">
        <f>SUM(C81+C88+C89+C91)</f>
        <v>1608</v>
      </c>
      <c r="O82" s="21">
        <f>SUM(N82/N83)</f>
        <v>0.19186254623553275</v>
      </c>
      <c r="P82" s="2">
        <v>1</v>
      </c>
    </row>
    <row r="83" spans="1:19" s="2" customFormat="1" ht="16.5" customHeight="1" thickBot="1">
      <c r="A83" s="7" t="s">
        <v>336</v>
      </c>
      <c r="B83" s="12" t="s">
        <v>4</v>
      </c>
      <c r="C83" s="13">
        <v>660</v>
      </c>
      <c r="D83" s="13">
        <v>681</v>
      </c>
      <c r="E83" s="13">
        <v>685</v>
      </c>
      <c r="F83" s="13">
        <v>872</v>
      </c>
      <c r="G83" s="13">
        <v>886</v>
      </c>
      <c r="H83" s="13">
        <v>915</v>
      </c>
      <c r="I83" s="13">
        <v>957</v>
      </c>
      <c r="J83" s="13">
        <v>1222</v>
      </c>
      <c r="K83" s="9">
        <v>1239</v>
      </c>
      <c r="L83" s="11" t="s">
        <v>89</v>
      </c>
      <c r="M83" s="34"/>
      <c r="N83" s="28">
        <v>8381</v>
      </c>
      <c r="O83" s="15"/>
    </row>
    <row r="84" spans="1:19" s="2" customFormat="1" ht="16.5" customHeight="1" thickBot="1">
      <c r="A84" s="16" t="s">
        <v>337</v>
      </c>
      <c r="B84" s="22" t="s">
        <v>4</v>
      </c>
      <c r="C84" s="13">
        <v>617</v>
      </c>
      <c r="D84" s="13">
        <v>639</v>
      </c>
      <c r="E84" s="13">
        <v>683</v>
      </c>
      <c r="F84" s="13">
        <v>722</v>
      </c>
      <c r="G84" s="13">
        <v>758</v>
      </c>
      <c r="H84" s="13">
        <v>759</v>
      </c>
      <c r="I84" s="13">
        <v>774</v>
      </c>
      <c r="J84" s="13" t="s">
        <v>10</v>
      </c>
      <c r="M84" s="18"/>
      <c r="P84" s="18"/>
    </row>
    <row r="85" spans="1:19" s="2" customFormat="1" ht="16.5" customHeight="1" thickBot="1">
      <c r="A85" s="16" t="s">
        <v>338</v>
      </c>
      <c r="B85" s="17" t="s">
        <v>3</v>
      </c>
      <c r="C85" s="13">
        <v>497</v>
      </c>
      <c r="D85" s="13">
        <v>523</v>
      </c>
      <c r="E85" s="13">
        <v>539</v>
      </c>
      <c r="F85" s="13">
        <v>544</v>
      </c>
      <c r="G85" s="13">
        <v>560</v>
      </c>
      <c r="H85" s="13">
        <v>589</v>
      </c>
      <c r="I85" s="13" t="s">
        <v>10</v>
      </c>
    </row>
    <row r="86" spans="1:19" s="2" customFormat="1" ht="16.5" customHeight="1" thickBot="1">
      <c r="A86" s="16" t="s">
        <v>253</v>
      </c>
      <c r="B86" s="17" t="s">
        <v>3</v>
      </c>
      <c r="C86" s="13">
        <v>489</v>
      </c>
      <c r="D86" s="13">
        <v>493</v>
      </c>
      <c r="E86" s="13">
        <v>495</v>
      </c>
      <c r="F86" s="13">
        <v>514</v>
      </c>
      <c r="G86" s="13">
        <v>523</v>
      </c>
      <c r="H86" s="13" t="s">
        <v>10</v>
      </c>
    </row>
    <row r="87" spans="1:19" s="2" customFormat="1" ht="16.5" customHeight="1" thickBot="1">
      <c r="A87" s="16" t="s">
        <v>254</v>
      </c>
      <c r="B87" s="22" t="s">
        <v>4</v>
      </c>
      <c r="C87" s="13">
        <v>357</v>
      </c>
      <c r="D87" s="13">
        <v>368</v>
      </c>
      <c r="E87" s="13">
        <v>372</v>
      </c>
      <c r="F87" s="13" t="s">
        <v>10</v>
      </c>
    </row>
    <row r="88" spans="1:19" s="2" customFormat="1" ht="16.5" customHeight="1" thickBot="1">
      <c r="A88" s="16" t="s">
        <v>392</v>
      </c>
      <c r="B88" s="33" t="s">
        <v>11</v>
      </c>
      <c r="C88" s="13">
        <v>317</v>
      </c>
      <c r="D88" s="13">
        <v>347</v>
      </c>
      <c r="E88" s="13">
        <v>384</v>
      </c>
      <c r="F88" s="13">
        <v>394</v>
      </c>
      <c r="G88" s="13" t="s">
        <v>10</v>
      </c>
    </row>
    <row r="89" spans="1:19" s="2" customFormat="1" ht="16.5" customHeight="1" thickBot="1">
      <c r="A89" s="16" t="s">
        <v>187</v>
      </c>
      <c r="B89" s="33" t="s">
        <v>11</v>
      </c>
      <c r="C89" s="13">
        <v>273</v>
      </c>
      <c r="D89" s="13">
        <v>291</v>
      </c>
      <c r="E89" s="13" t="s">
        <v>10</v>
      </c>
    </row>
    <row r="90" spans="1:19" s="2" customFormat="1" ht="16.5" customHeight="1" thickBot="1">
      <c r="A90" s="16" t="s">
        <v>340</v>
      </c>
      <c r="B90" s="25" t="s">
        <v>12</v>
      </c>
      <c r="C90" s="13">
        <v>136</v>
      </c>
      <c r="D90" s="13" t="s">
        <v>10</v>
      </c>
      <c r="E90" s="23"/>
    </row>
    <row r="91" spans="1:19" s="2" customFormat="1" ht="16.5" customHeight="1" thickBot="1">
      <c r="A91" s="16" t="s">
        <v>257</v>
      </c>
      <c r="B91" s="33" t="s">
        <v>11</v>
      </c>
      <c r="C91" s="13">
        <v>114</v>
      </c>
      <c r="D91" s="13" t="s">
        <v>10</v>
      </c>
      <c r="E91" s="23"/>
    </row>
    <row r="92" spans="1:19" ht="14.25">
      <c r="N92" s="2"/>
      <c r="O92" s="2"/>
      <c r="P92" s="2"/>
      <c r="Q92" s="2"/>
    </row>
    <row r="93" spans="1:19" s="108" customFormat="1" ht="15" customHeight="1">
      <c r="B93" s="46" t="s">
        <v>259</v>
      </c>
      <c r="C93" s="83" t="s">
        <v>3</v>
      </c>
      <c r="D93" s="84" t="s">
        <v>4</v>
      </c>
      <c r="E93" s="85" t="s">
        <v>12</v>
      </c>
      <c r="F93" s="46" t="s">
        <v>14</v>
      </c>
      <c r="Q93" s="109"/>
      <c r="R93" s="110"/>
      <c r="S93" s="111"/>
    </row>
    <row r="94" spans="1:19" s="108" customFormat="1" ht="15" customHeight="1">
      <c r="A94" s="108" t="s">
        <v>7</v>
      </c>
      <c r="B94" s="112">
        <f>SUM(N83+K69+K56+S37+J23+M9)</f>
        <v>48994</v>
      </c>
      <c r="C94" s="110">
        <f>SUM(N79+K66+K53+S33+J20+M5)</f>
        <v>22728</v>
      </c>
      <c r="D94" s="110">
        <f>SUM(N80+K67+K54+S34+J21+M6)</f>
        <v>20544</v>
      </c>
      <c r="E94" s="110">
        <f>SUM(N81+S35+M7)</f>
        <v>570</v>
      </c>
      <c r="F94" s="110">
        <f>SUM(N82+K68+K55+J22+M8+S36)</f>
        <v>5152</v>
      </c>
      <c r="Q94" s="46"/>
      <c r="R94" s="112"/>
      <c r="S94" s="111"/>
    </row>
    <row r="95" spans="1:19" s="108" customFormat="1" ht="15" customHeight="1">
      <c r="A95" s="108" t="s">
        <v>8</v>
      </c>
      <c r="B95" s="115">
        <v>1</v>
      </c>
      <c r="C95" s="111">
        <f>SUM(C94/$B$94)</f>
        <v>0.46389353798424299</v>
      </c>
      <c r="D95" s="111">
        <f>SUM(D94/$B$94)</f>
        <v>0.41931665101849208</v>
      </c>
      <c r="E95" s="111">
        <f>SUM(E94/$B$94)</f>
        <v>1.1634077642160264E-2</v>
      </c>
      <c r="F95" s="111">
        <f>SUM(F94/$B$94)</f>
        <v>0.10515573335510471</v>
      </c>
    </row>
    <row r="96" spans="1:19" s="108" customFormat="1" ht="15" customHeight="1">
      <c r="A96" s="108" t="s">
        <v>9</v>
      </c>
      <c r="B96" s="46">
        <v>31</v>
      </c>
      <c r="C96" s="108">
        <v>16</v>
      </c>
      <c r="D96" s="108">
        <v>13</v>
      </c>
      <c r="E96" s="108">
        <v>0</v>
      </c>
      <c r="F96" s="108">
        <v>2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4"/>
  <dimension ref="A1:S87"/>
  <sheetViews>
    <sheetView workbookViewId="0">
      <selection activeCell="O1" sqref="O1"/>
    </sheetView>
  </sheetViews>
  <sheetFormatPr defaultRowHeight="12.75"/>
  <cols>
    <col min="1" max="1" width="25.28515625" customWidth="1"/>
    <col min="2" max="2" width="7.7109375" customWidth="1"/>
    <col min="3" max="3" width="9.7109375" customWidth="1"/>
    <col min="4" max="18" width="8.7109375" customWidth="1"/>
  </cols>
  <sheetData>
    <row r="1" spans="1:13" s="2" customFormat="1" ht="16.5" customHeight="1">
      <c r="A1" s="1" t="s">
        <v>509</v>
      </c>
    </row>
    <row r="2" spans="1:13" s="2" customFormat="1" ht="9.75" customHeight="1" thickBot="1">
      <c r="A2" s="3"/>
    </row>
    <row r="3" spans="1:13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6"/>
      <c r="J3" s="14" t="s">
        <v>6</v>
      </c>
      <c r="K3" s="15">
        <f>SUM(9646/13494)</f>
        <v>0.7148362235067437</v>
      </c>
    </row>
    <row r="4" spans="1:13" s="2" customFormat="1" ht="16.5" customHeight="1" thickBot="1">
      <c r="A4" s="7" t="s">
        <v>158</v>
      </c>
      <c r="B4" s="12" t="s">
        <v>4</v>
      </c>
      <c r="C4" s="9">
        <v>2258</v>
      </c>
      <c r="D4" s="13"/>
      <c r="E4" s="13"/>
      <c r="F4" s="10"/>
      <c r="G4" s="10"/>
      <c r="H4" s="10"/>
      <c r="I4" s="11" t="s">
        <v>85</v>
      </c>
      <c r="J4" s="18"/>
      <c r="K4" s="14" t="s">
        <v>7</v>
      </c>
      <c r="L4" s="14" t="s">
        <v>8</v>
      </c>
      <c r="M4" s="14" t="s">
        <v>9</v>
      </c>
    </row>
    <row r="5" spans="1:13" s="2" customFormat="1" ht="16.5" customHeight="1" thickBot="1">
      <c r="A5" s="7" t="s">
        <v>131</v>
      </c>
      <c r="B5" s="8" t="s">
        <v>3</v>
      </c>
      <c r="C5" s="9">
        <v>1570</v>
      </c>
      <c r="D5" s="9"/>
      <c r="E5" s="13"/>
      <c r="F5" s="9"/>
      <c r="G5" s="13"/>
      <c r="H5" s="9"/>
      <c r="I5" s="11" t="s">
        <v>86</v>
      </c>
      <c r="J5" s="19" t="s">
        <v>3</v>
      </c>
      <c r="K5" s="20">
        <f>SUM(C5+C7+C8+C12)</f>
        <v>3727</v>
      </c>
      <c r="L5" s="21">
        <f>SUM(K5/K8)</f>
        <v>0.38637777317022598</v>
      </c>
      <c r="M5" s="18">
        <v>2</v>
      </c>
    </row>
    <row r="6" spans="1:13" s="2" customFormat="1" ht="16.5" customHeight="1" thickBot="1">
      <c r="A6" s="7" t="s">
        <v>80</v>
      </c>
      <c r="B6" s="12" t="s">
        <v>4</v>
      </c>
      <c r="C6" s="9">
        <v>1518</v>
      </c>
      <c r="D6" s="9"/>
      <c r="E6" s="9"/>
      <c r="F6" s="13"/>
      <c r="G6" s="13"/>
      <c r="H6" s="9"/>
      <c r="I6" s="11" t="s">
        <v>87</v>
      </c>
      <c r="J6" s="23" t="s">
        <v>4</v>
      </c>
      <c r="K6" s="20">
        <f>SUM(C4+C6+C10+3)</f>
        <v>4489</v>
      </c>
      <c r="L6" s="21">
        <f>SUM(K6/K8)</f>
        <v>0.46537424839311631</v>
      </c>
      <c r="M6" s="18">
        <v>3</v>
      </c>
    </row>
    <row r="7" spans="1:13" s="2" customFormat="1" ht="16.5" customHeight="1" thickBot="1">
      <c r="A7" s="7" t="s">
        <v>223</v>
      </c>
      <c r="B7" s="8" t="s">
        <v>3</v>
      </c>
      <c r="C7" s="13">
        <v>945</v>
      </c>
      <c r="D7" s="13">
        <v>999</v>
      </c>
      <c r="E7" s="13">
        <v>1077</v>
      </c>
      <c r="F7" s="13">
        <v>1119</v>
      </c>
      <c r="G7" s="13">
        <v>1247</v>
      </c>
      <c r="H7" s="9">
        <v>1337</v>
      </c>
      <c r="I7" s="11" t="s">
        <v>90</v>
      </c>
      <c r="J7" s="43" t="s">
        <v>14</v>
      </c>
      <c r="K7" s="29">
        <f>SUM(C9+C11)</f>
        <v>1180</v>
      </c>
      <c r="L7" s="15">
        <f>SUM(K7/K8)</f>
        <v>0.12233049968899025</v>
      </c>
      <c r="M7" s="18">
        <v>1</v>
      </c>
    </row>
    <row r="8" spans="1:13" s="2" customFormat="1" ht="16.5" customHeight="1" thickBot="1">
      <c r="A8" s="16" t="s">
        <v>225</v>
      </c>
      <c r="B8" s="17" t="s">
        <v>3</v>
      </c>
      <c r="C8" s="13">
        <v>859</v>
      </c>
      <c r="D8" s="13">
        <v>903</v>
      </c>
      <c r="E8" s="13">
        <v>936</v>
      </c>
      <c r="F8" s="13">
        <v>943</v>
      </c>
      <c r="G8" s="13">
        <v>1060</v>
      </c>
      <c r="H8" s="13">
        <v>1105</v>
      </c>
      <c r="I8" s="11"/>
      <c r="J8" s="14"/>
      <c r="K8" s="28">
        <v>9646</v>
      </c>
      <c r="L8" s="15"/>
      <c r="M8" s="18"/>
    </row>
    <row r="9" spans="1:13" s="2" customFormat="1" ht="16.5" customHeight="1" thickBot="1">
      <c r="A9" s="7" t="s">
        <v>226</v>
      </c>
      <c r="B9" s="37" t="s">
        <v>11</v>
      </c>
      <c r="C9" s="13">
        <v>808</v>
      </c>
      <c r="D9" s="13">
        <v>1020</v>
      </c>
      <c r="E9" s="13">
        <v>1050</v>
      </c>
      <c r="F9" s="13">
        <v>1063</v>
      </c>
      <c r="G9" s="13">
        <v>1098</v>
      </c>
      <c r="H9" s="9">
        <v>1281</v>
      </c>
      <c r="I9" s="11" t="s">
        <v>88</v>
      </c>
    </row>
    <row r="10" spans="1:13" s="2" customFormat="1" ht="16.5" customHeight="1" thickBot="1">
      <c r="A10" s="7" t="s">
        <v>50</v>
      </c>
      <c r="B10" s="12" t="s">
        <v>4</v>
      </c>
      <c r="C10" s="13">
        <v>710</v>
      </c>
      <c r="D10" s="13">
        <v>1014</v>
      </c>
      <c r="E10" s="13">
        <v>1024</v>
      </c>
      <c r="F10" s="13">
        <v>1061</v>
      </c>
      <c r="G10" s="13">
        <v>1095</v>
      </c>
      <c r="H10" s="9">
        <v>1314</v>
      </c>
      <c r="I10" s="11" t="s">
        <v>89</v>
      </c>
    </row>
    <row r="11" spans="1:13" s="2" customFormat="1" ht="16.5" customHeight="1" thickBot="1">
      <c r="A11" s="16" t="s">
        <v>160</v>
      </c>
      <c r="B11" s="33" t="s">
        <v>11</v>
      </c>
      <c r="C11" s="10">
        <v>372</v>
      </c>
      <c r="D11" s="10">
        <v>417</v>
      </c>
      <c r="E11" s="10">
        <v>428</v>
      </c>
      <c r="F11" s="13">
        <v>433</v>
      </c>
      <c r="G11" s="13">
        <v>437</v>
      </c>
      <c r="H11" s="13" t="s">
        <v>10</v>
      </c>
    </row>
    <row r="12" spans="1:13" s="2" customFormat="1" ht="16.5" customHeight="1" thickBot="1">
      <c r="A12" s="16" t="s">
        <v>227</v>
      </c>
      <c r="B12" s="17" t="s">
        <v>3</v>
      </c>
      <c r="C12" s="10">
        <v>353</v>
      </c>
      <c r="D12" s="10">
        <v>372</v>
      </c>
      <c r="E12" s="10">
        <v>395</v>
      </c>
      <c r="F12" s="13">
        <v>396</v>
      </c>
      <c r="G12" s="13" t="s">
        <v>10</v>
      </c>
    </row>
    <row r="13" spans="1:13" s="2" customFormat="1" ht="16.5" customHeight="1" thickBot="1">
      <c r="A13" s="16" t="s">
        <v>228</v>
      </c>
      <c r="B13" s="22" t="s">
        <v>4</v>
      </c>
      <c r="C13" s="10">
        <v>253</v>
      </c>
      <c r="D13" s="10">
        <v>454</v>
      </c>
      <c r="E13" s="10">
        <v>460</v>
      </c>
      <c r="F13" s="13">
        <v>494</v>
      </c>
      <c r="G13" s="13">
        <v>504</v>
      </c>
      <c r="H13" s="9" t="s">
        <v>10</v>
      </c>
    </row>
    <row r="14" spans="1:13" s="2" customFormat="1" ht="12.75" customHeight="1">
      <c r="A14" s="1"/>
      <c r="C14" s="29"/>
      <c r="D14" s="29"/>
      <c r="E14" s="29"/>
      <c r="F14" s="29"/>
      <c r="G14" s="29"/>
      <c r="H14" s="29"/>
    </row>
    <row r="15" spans="1:13" s="2" customFormat="1" ht="17.45" customHeight="1">
      <c r="A15" s="1" t="s">
        <v>510</v>
      </c>
    </row>
    <row r="16" spans="1:13" s="2" customFormat="1" ht="10.5" customHeight="1" thickBot="1">
      <c r="A16" s="1"/>
    </row>
    <row r="17" spans="1:15" s="2" customFormat="1" ht="16.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>
        <v>5</v>
      </c>
      <c r="H17" s="5">
        <v>6</v>
      </c>
      <c r="I17" s="5">
        <v>7</v>
      </c>
      <c r="J17" s="6"/>
      <c r="K17" s="14" t="s">
        <v>6</v>
      </c>
      <c r="L17" s="15">
        <f>SUM(9614/13183)</f>
        <v>0.72927254797845709</v>
      </c>
    </row>
    <row r="18" spans="1:15" s="2" customFormat="1" ht="16.5" customHeight="1" thickBot="1">
      <c r="A18" s="7" t="s">
        <v>28</v>
      </c>
      <c r="B18" s="12" t="s">
        <v>4</v>
      </c>
      <c r="C18" s="9">
        <v>1732</v>
      </c>
      <c r="D18" s="13"/>
      <c r="E18" s="13"/>
      <c r="F18" s="13"/>
      <c r="G18" s="13"/>
      <c r="H18" s="13"/>
      <c r="I18" s="13"/>
      <c r="J18" s="11" t="s">
        <v>85</v>
      </c>
      <c r="K18" s="18"/>
      <c r="L18" s="14" t="s">
        <v>7</v>
      </c>
      <c r="M18" s="14" t="s">
        <v>8</v>
      </c>
      <c r="N18" s="14" t="s">
        <v>9</v>
      </c>
    </row>
    <row r="19" spans="1:15" s="2" customFormat="1" ht="16.5" customHeight="1" thickBot="1">
      <c r="A19" s="7" t="s">
        <v>135</v>
      </c>
      <c r="B19" s="8" t="s">
        <v>3</v>
      </c>
      <c r="C19" s="9">
        <v>1644</v>
      </c>
      <c r="D19" s="13"/>
      <c r="E19" s="13"/>
      <c r="F19" s="9"/>
      <c r="G19" s="13"/>
      <c r="H19" s="9"/>
      <c r="I19" s="13"/>
      <c r="J19" s="11" t="s">
        <v>86</v>
      </c>
      <c r="K19" s="19" t="s">
        <v>3</v>
      </c>
      <c r="L19" s="20">
        <f>SUM(C19+C21+C22+C24)</f>
        <v>4610</v>
      </c>
      <c r="M19" s="21">
        <f>SUM(L19/L22)</f>
        <v>0.47950904930309962</v>
      </c>
      <c r="N19" s="18">
        <v>3</v>
      </c>
    </row>
    <row r="20" spans="1:15" s="2" customFormat="1" ht="16.5" customHeight="1" thickBot="1">
      <c r="A20" s="7" t="s">
        <v>162</v>
      </c>
      <c r="B20" s="12" t="s">
        <v>4</v>
      </c>
      <c r="C20" s="13">
        <v>1436</v>
      </c>
      <c r="D20" s="13">
        <v>1500</v>
      </c>
      <c r="E20" s="13">
        <v>1506</v>
      </c>
      <c r="F20" s="13">
        <v>1549</v>
      </c>
      <c r="G20" s="9">
        <v>1644</v>
      </c>
      <c r="H20" s="9"/>
      <c r="I20" s="9"/>
      <c r="J20" s="11" t="s">
        <v>87</v>
      </c>
      <c r="K20" s="23" t="s">
        <v>4</v>
      </c>
      <c r="L20" s="20">
        <f>SUM(C18+C20+C23+C25)</f>
        <v>4517</v>
      </c>
      <c r="M20" s="21">
        <f>SUM(L20/L22)</f>
        <v>0.46983565633451219</v>
      </c>
      <c r="N20" s="18">
        <v>2</v>
      </c>
    </row>
    <row r="21" spans="1:15" s="2" customFormat="1" ht="16.5" customHeight="1" thickBot="1">
      <c r="A21" s="7" t="s">
        <v>287</v>
      </c>
      <c r="B21" s="8" t="s">
        <v>3</v>
      </c>
      <c r="C21" s="13">
        <v>1165</v>
      </c>
      <c r="D21" s="13">
        <v>1178</v>
      </c>
      <c r="E21" s="13">
        <v>1198</v>
      </c>
      <c r="F21" s="13">
        <v>1299</v>
      </c>
      <c r="G21" s="13">
        <v>1345</v>
      </c>
      <c r="H21" s="9">
        <v>1719</v>
      </c>
      <c r="I21" s="9"/>
      <c r="J21" s="11" t="s">
        <v>90</v>
      </c>
      <c r="K21" s="43" t="s">
        <v>14</v>
      </c>
      <c r="L21" s="29">
        <v>487</v>
      </c>
      <c r="M21" s="15">
        <f>SUM(L21/L22)</f>
        <v>5.0655294362388185E-2</v>
      </c>
      <c r="N21" s="18"/>
    </row>
    <row r="22" spans="1:15" s="2" customFormat="1" ht="16.5" customHeight="1" thickBot="1">
      <c r="A22" s="7" t="s">
        <v>231</v>
      </c>
      <c r="B22" s="8" t="s">
        <v>3</v>
      </c>
      <c r="C22" s="13">
        <v>1071</v>
      </c>
      <c r="D22" s="13">
        <v>1077</v>
      </c>
      <c r="E22" s="13">
        <v>1082</v>
      </c>
      <c r="F22" s="13">
        <v>1143</v>
      </c>
      <c r="G22" s="13">
        <v>1252</v>
      </c>
      <c r="H22" s="13">
        <v>1431</v>
      </c>
      <c r="I22" s="9">
        <v>1524</v>
      </c>
      <c r="J22" s="11" t="s">
        <v>89</v>
      </c>
      <c r="L22" s="28">
        <v>9614</v>
      </c>
      <c r="M22" s="21"/>
    </row>
    <row r="23" spans="1:15" s="2" customFormat="1" ht="16.5" customHeight="1" thickBot="1">
      <c r="A23" s="16" t="s">
        <v>94</v>
      </c>
      <c r="B23" s="22" t="s">
        <v>4</v>
      </c>
      <c r="C23" s="13">
        <v>860</v>
      </c>
      <c r="D23" s="13">
        <v>880</v>
      </c>
      <c r="E23" s="13">
        <v>881</v>
      </c>
      <c r="F23" s="13">
        <v>993</v>
      </c>
      <c r="G23" s="13">
        <v>1161</v>
      </c>
      <c r="H23" s="13">
        <v>1361</v>
      </c>
      <c r="I23" s="13">
        <v>1384</v>
      </c>
      <c r="J23" s="11"/>
    </row>
    <row r="24" spans="1:15" s="2" customFormat="1" ht="16.5" customHeight="1" thickBot="1">
      <c r="A24" s="16" t="s">
        <v>230</v>
      </c>
      <c r="B24" s="17" t="s">
        <v>3</v>
      </c>
      <c r="C24" s="13">
        <v>730</v>
      </c>
      <c r="D24" s="13">
        <v>734</v>
      </c>
      <c r="E24" s="13">
        <v>740</v>
      </c>
      <c r="F24" s="10">
        <v>804</v>
      </c>
      <c r="G24" s="10">
        <v>817</v>
      </c>
      <c r="H24" s="10" t="s">
        <v>10</v>
      </c>
    </row>
    <row r="25" spans="1:15" s="2" customFormat="1" ht="16.5" customHeight="1" thickBot="1">
      <c r="A25" s="16" t="s">
        <v>232</v>
      </c>
      <c r="B25" s="22" t="s">
        <v>4</v>
      </c>
      <c r="C25" s="13">
        <v>489</v>
      </c>
      <c r="D25" s="13">
        <v>507</v>
      </c>
      <c r="E25" s="13">
        <v>508</v>
      </c>
      <c r="F25" s="10">
        <v>536</v>
      </c>
      <c r="G25" s="13" t="s">
        <v>10</v>
      </c>
      <c r="I25" s="40"/>
    </row>
    <row r="26" spans="1:15" s="2" customFormat="1" ht="16.5" customHeight="1" thickBot="1">
      <c r="A26" s="16" t="s">
        <v>233</v>
      </c>
      <c r="B26" s="33" t="s">
        <v>11</v>
      </c>
      <c r="C26" s="10">
        <v>487</v>
      </c>
      <c r="D26" s="10">
        <v>491</v>
      </c>
      <c r="E26" s="10">
        <v>493</v>
      </c>
      <c r="F26" s="13" t="s">
        <v>10</v>
      </c>
    </row>
    <row r="27" spans="1:15" s="2" customFormat="1" ht="13.5" customHeight="1">
      <c r="A27" s="35"/>
      <c r="B27" s="36"/>
      <c r="C27" s="40"/>
      <c r="D27" s="40"/>
      <c r="E27" s="40"/>
      <c r="F27" s="40"/>
      <c r="G27" s="40"/>
      <c r="H27" s="40"/>
      <c r="I27" s="40"/>
    </row>
    <row r="28" spans="1:15" s="2" customFormat="1" ht="17.45" customHeight="1">
      <c r="A28" s="1" t="s">
        <v>511</v>
      </c>
    </row>
    <row r="29" spans="1:15" s="2" customFormat="1" ht="8.25" customHeight="1" thickBot="1">
      <c r="A29" s="1"/>
    </row>
    <row r="30" spans="1:15" s="2" customFormat="1" ht="17.45" customHeight="1" thickBot="1">
      <c r="A30" s="4" t="s">
        <v>0</v>
      </c>
      <c r="B30" s="5" t="s">
        <v>1</v>
      </c>
      <c r="C30" s="5" t="s">
        <v>2</v>
      </c>
      <c r="D30" s="5">
        <v>2</v>
      </c>
      <c r="E30" s="5">
        <v>3</v>
      </c>
      <c r="F30" s="5">
        <v>4</v>
      </c>
      <c r="G30" s="5">
        <v>5</v>
      </c>
      <c r="H30" s="5">
        <v>6</v>
      </c>
      <c r="I30" s="5">
        <v>7</v>
      </c>
      <c r="J30" s="5">
        <v>8</v>
      </c>
      <c r="K30" s="5"/>
      <c r="L30" s="14" t="s">
        <v>6</v>
      </c>
      <c r="M30" s="50">
        <f>SUM(12466/18360)</f>
        <v>0.67897603485838776</v>
      </c>
    </row>
    <row r="31" spans="1:15" s="2" customFormat="1" ht="17.45" customHeight="1" thickBot="1">
      <c r="A31" s="7" t="s">
        <v>139</v>
      </c>
      <c r="B31" s="12" t="s">
        <v>4</v>
      </c>
      <c r="C31" s="9">
        <v>2538</v>
      </c>
      <c r="D31" s="13"/>
      <c r="E31" s="13"/>
      <c r="F31" s="10"/>
      <c r="G31" s="10"/>
      <c r="H31" s="13"/>
      <c r="I31" s="13"/>
      <c r="J31" s="13"/>
      <c r="K31" s="11" t="s">
        <v>85</v>
      </c>
      <c r="L31" s="18"/>
      <c r="M31" s="14" t="s">
        <v>7</v>
      </c>
      <c r="N31" s="14" t="s">
        <v>8</v>
      </c>
      <c r="O31" s="14" t="s">
        <v>9</v>
      </c>
    </row>
    <row r="32" spans="1:15" s="2" customFormat="1" ht="17.45" customHeight="1" thickBot="1">
      <c r="A32" s="7" t="s">
        <v>100</v>
      </c>
      <c r="B32" s="8" t="s">
        <v>3</v>
      </c>
      <c r="C32" s="9">
        <v>1884</v>
      </c>
      <c r="D32" s="13"/>
      <c r="E32" s="9"/>
      <c r="F32" s="10"/>
      <c r="G32" s="10"/>
      <c r="H32" s="10"/>
      <c r="I32" s="10"/>
      <c r="J32" s="10"/>
      <c r="K32" s="11" t="s">
        <v>86</v>
      </c>
      <c r="L32" s="19" t="s">
        <v>3</v>
      </c>
      <c r="M32" s="20">
        <f>SUM(C32+C34+C35+C36+C39)</f>
        <v>5961</v>
      </c>
      <c r="N32" s="21">
        <f>SUM(M32/M35)</f>
        <v>0.4781806513717311</v>
      </c>
      <c r="O32" s="18">
        <v>4</v>
      </c>
    </row>
    <row r="33" spans="1:16" s="2" customFormat="1" ht="17.45" customHeight="1" thickBot="1">
      <c r="A33" s="7" t="s">
        <v>104</v>
      </c>
      <c r="B33" s="12" t="s">
        <v>4</v>
      </c>
      <c r="C33" s="9">
        <v>1720</v>
      </c>
      <c r="D33" s="13"/>
      <c r="E33" s="13"/>
      <c r="F33" s="13"/>
      <c r="G33" s="13"/>
      <c r="H33" s="13"/>
      <c r="I33" s="9"/>
      <c r="J33" s="9"/>
      <c r="K33" s="11" t="s">
        <v>87</v>
      </c>
      <c r="L33" s="23" t="s">
        <v>4</v>
      </c>
      <c r="M33" s="20">
        <f>SUM(C31+C33+C37+C38)</f>
        <v>5926</v>
      </c>
      <c r="N33" s="21">
        <f>SUM(M33/M35)</f>
        <v>0.47537301459971121</v>
      </c>
      <c r="O33" s="18">
        <v>3</v>
      </c>
    </row>
    <row r="34" spans="1:16" s="2" customFormat="1" ht="17.45" customHeight="1" thickBot="1">
      <c r="A34" s="7" t="s">
        <v>101</v>
      </c>
      <c r="B34" s="8" t="s">
        <v>3</v>
      </c>
      <c r="C34" s="13">
        <v>1274</v>
      </c>
      <c r="D34" s="13">
        <v>1281</v>
      </c>
      <c r="E34" s="13">
        <v>1290</v>
      </c>
      <c r="F34" s="13">
        <v>1320</v>
      </c>
      <c r="G34" s="13">
        <v>1338</v>
      </c>
      <c r="H34" s="13">
        <v>1369</v>
      </c>
      <c r="I34" s="13">
        <v>1371</v>
      </c>
      <c r="J34" s="9">
        <v>1396</v>
      </c>
      <c r="K34" s="11" t="s">
        <v>111</v>
      </c>
      <c r="L34" s="24" t="s">
        <v>12</v>
      </c>
      <c r="M34" s="29">
        <v>579</v>
      </c>
      <c r="N34" s="15">
        <f>SUM(M34/M35)</f>
        <v>4.6446334028557676E-2</v>
      </c>
    </row>
    <row r="35" spans="1:16" s="2" customFormat="1" ht="17.45" customHeight="1" thickBot="1">
      <c r="A35" s="7" t="s">
        <v>105</v>
      </c>
      <c r="B35" s="8" t="s">
        <v>3</v>
      </c>
      <c r="C35" s="13">
        <v>1193</v>
      </c>
      <c r="D35" s="13">
        <v>1275</v>
      </c>
      <c r="E35" s="13">
        <v>1321</v>
      </c>
      <c r="F35" s="13">
        <v>1323</v>
      </c>
      <c r="G35" s="13">
        <v>1447</v>
      </c>
      <c r="H35" s="9">
        <v>1647</v>
      </c>
      <c r="I35" s="9"/>
      <c r="J35" s="13"/>
      <c r="K35" s="11" t="s">
        <v>89</v>
      </c>
      <c r="L35" s="42"/>
      <c r="M35" s="28">
        <v>12466</v>
      </c>
      <c r="N35" s="21"/>
      <c r="O35" s="18"/>
    </row>
    <row r="36" spans="1:16" s="2" customFormat="1" ht="17.45" customHeight="1" thickBot="1">
      <c r="A36" s="7" t="s">
        <v>46</v>
      </c>
      <c r="B36" s="8" t="s">
        <v>3</v>
      </c>
      <c r="C36" s="13">
        <v>995</v>
      </c>
      <c r="D36" s="13">
        <v>1048</v>
      </c>
      <c r="E36" s="13">
        <v>1118</v>
      </c>
      <c r="F36" s="13">
        <v>1122</v>
      </c>
      <c r="G36" s="13">
        <v>1146</v>
      </c>
      <c r="H36" s="13">
        <v>1339</v>
      </c>
      <c r="I36" s="13">
        <v>1343</v>
      </c>
      <c r="J36" s="9">
        <v>1404</v>
      </c>
      <c r="K36" s="11" t="s">
        <v>88</v>
      </c>
      <c r="M36" s="24"/>
      <c r="N36" s="29"/>
      <c r="O36" s="15"/>
    </row>
    <row r="37" spans="1:16" s="2" customFormat="1" ht="17.45" customHeight="1" thickBot="1">
      <c r="A37" s="16" t="s">
        <v>141</v>
      </c>
      <c r="B37" s="22" t="s">
        <v>4</v>
      </c>
      <c r="C37" s="13">
        <v>865</v>
      </c>
      <c r="D37" s="13">
        <v>1008</v>
      </c>
      <c r="E37" s="13">
        <v>1013</v>
      </c>
      <c r="F37" s="13">
        <v>1108</v>
      </c>
      <c r="G37" s="13">
        <v>1167</v>
      </c>
      <c r="H37" s="13">
        <v>1219</v>
      </c>
      <c r="I37" s="13">
        <v>1316</v>
      </c>
      <c r="J37" s="13">
        <v>1318</v>
      </c>
      <c r="K37" s="11"/>
      <c r="N37" s="14"/>
      <c r="P37" s="15"/>
    </row>
    <row r="38" spans="1:16" s="2" customFormat="1" ht="17.45" customHeight="1" thickBot="1">
      <c r="A38" s="7" t="s">
        <v>481</v>
      </c>
      <c r="B38" s="12" t="s">
        <v>4</v>
      </c>
      <c r="C38" s="10">
        <v>803</v>
      </c>
      <c r="D38" s="13">
        <v>1300</v>
      </c>
      <c r="E38" s="13">
        <v>1384</v>
      </c>
      <c r="F38" s="13">
        <v>1410</v>
      </c>
      <c r="G38" s="9">
        <v>1662</v>
      </c>
      <c r="H38" s="13"/>
      <c r="I38" s="13"/>
      <c r="J38" s="9"/>
      <c r="K38" s="9" t="s">
        <v>90</v>
      </c>
      <c r="M38" s="18"/>
      <c r="N38" s="14"/>
      <c r="O38" s="14"/>
      <c r="P38" s="14"/>
    </row>
    <row r="39" spans="1:16" s="2" customFormat="1" ht="17.45" customHeight="1" thickBot="1">
      <c r="A39" s="16" t="s">
        <v>234</v>
      </c>
      <c r="B39" s="17" t="s">
        <v>3</v>
      </c>
      <c r="C39" s="13">
        <v>615</v>
      </c>
      <c r="D39" s="13">
        <v>675</v>
      </c>
      <c r="E39" s="13">
        <v>758</v>
      </c>
      <c r="F39" s="10">
        <v>759</v>
      </c>
      <c r="G39" s="13">
        <v>875</v>
      </c>
      <c r="H39" s="13" t="s">
        <v>10</v>
      </c>
      <c r="M39" s="19"/>
      <c r="N39" s="20"/>
      <c r="O39" s="21"/>
      <c r="P39" s="18"/>
    </row>
    <row r="40" spans="1:16" s="2" customFormat="1" ht="17.45" customHeight="1" thickBot="1">
      <c r="A40" s="16" t="s">
        <v>170</v>
      </c>
      <c r="B40" s="25" t="s">
        <v>12</v>
      </c>
      <c r="C40" s="13">
        <v>579</v>
      </c>
      <c r="D40" s="13">
        <v>716</v>
      </c>
      <c r="E40" s="13">
        <v>744</v>
      </c>
      <c r="F40" s="13">
        <v>747</v>
      </c>
      <c r="G40" s="13" t="s">
        <v>10</v>
      </c>
      <c r="M40" s="23"/>
      <c r="N40" s="20"/>
      <c r="O40" s="21"/>
      <c r="P40" s="18"/>
    </row>
    <row r="41" spans="1:16">
      <c r="C41" s="41"/>
      <c r="D41" s="41"/>
      <c r="E41" s="41"/>
      <c r="F41" s="41"/>
      <c r="G41" s="41"/>
      <c r="H41" s="41"/>
      <c r="I41" s="41"/>
      <c r="J41" s="41"/>
      <c r="K41" s="41"/>
    </row>
    <row r="42" spans="1:16" s="2" customFormat="1" ht="17.45" customHeight="1">
      <c r="A42" s="1" t="s">
        <v>512</v>
      </c>
    </row>
    <row r="43" spans="1:16" s="2" customFormat="1" ht="10.5" customHeight="1" thickBot="1">
      <c r="A43" s="1"/>
    </row>
    <row r="44" spans="1:16" s="2" customFormat="1" ht="16.5" customHeight="1" thickBot="1">
      <c r="A44" s="4" t="s">
        <v>0</v>
      </c>
      <c r="B44" s="5" t="s">
        <v>1</v>
      </c>
      <c r="C44" s="5" t="s">
        <v>2</v>
      </c>
      <c r="D44" s="5">
        <v>2</v>
      </c>
      <c r="E44" s="5">
        <v>3</v>
      </c>
      <c r="F44" s="5">
        <v>4</v>
      </c>
      <c r="G44" s="6"/>
      <c r="H44" s="14" t="s">
        <v>6</v>
      </c>
      <c r="I44" s="15">
        <f>SUM(6816/9507)</f>
        <v>0.71694540864626066</v>
      </c>
    </row>
    <row r="45" spans="1:16" s="2" customFormat="1" ht="16.5" customHeight="1" thickBot="1">
      <c r="A45" s="7" t="s">
        <v>235</v>
      </c>
      <c r="B45" s="12" t="s">
        <v>4</v>
      </c>
      <c r="C45" s="13">
        <v>1203</v>
      </c>
      <c r="D45" s="13">
        <v>1258</v>
      </c>
      <c r="E45" s="9">
        <v>1474</v>
      </c>
      <c r="F45" s="13"/>
      <c r="G45" s="11" t="s">
        <v>85</v>
      </c>
      <c r="H45" s="18"/>
      <c r="I45" s="14" t="s">
        <v>7</v>
      </c>
      <c r="J45" s="14" t="s">
        <v>8</v>
      </c>
      <c r="K45" s="14" t="s">
        <v>9</v>
      </c>
    </row>
    <row r="46" spans="1:16" s="2" customFormat="1" ht="16.5" customHeight="1" thickBot="1">
      <c r="A46" s="7" t="s">
        <v>236</v>
      </c>
      <c r="B46" s="12" t="s">
        <v>4</v>
      </c>
      <c r="C46" s="13">
        <v>1102</v>
      </c>
      <c r="D46" s="13">
        <v>1126</v>
      </c>
      <c r="E46" s="13">
        <v>1157</v>
      </c>
      <c r="F46" s="9">
        <v>1350</v>
      </c>
      <c r="G46" s="11" t="s">
        <v>90</v>
      </c>
      <c r="H46" s="19" t="s">
        <v>3</v>
      </c>
      <c r="I46" s="20">
        <f>SUM(C47+C48+C49)</f>
        <v>2789</v>
      </c>
      <c r="J46" s="21">
        <f>SUM(I46/I49)</f>
        <v>0.4091842723004695</v>
      </c>
      <c r="K46" s="18">
        <v>2</v>
      </c>
    </row>
    <row r="47" spans="1:16" s="2" customFormat="1" ht="16.5" customHeight="1" thickBot="1">
      <c r="A47" s="7" t="s">
        <v>237</v>
      </c>
      <c r="B47" s="8" t="s">
        <v>3</v>
      </c>
      <c r="C47" s="13">
        <v>1020</v>
      </c>
      <c r="D47" s="13">
        <v>1033</v>
      </c>
      <c r="E47" s="13">
        <v>1227</v>
      </c>
      <c r="F47" s="9">
        <v>1370</v>
      </c>
      <c r="G47" s="11" t="s">
        <v>87</v>
      </c>
      <c r="H47" s="23" t="s">
        <v>4</v>
      </c>
      <c r="I47" s="20">
        <f>SUM(C45+C46+C50+C51)</f>
        <v>3781</v>
      </c>
      <c r="J47" s="21">
        <f>SUM(I47/I49)</f>
        <v>0.55472417840375587</v>
      </c>
      <c r="K47" s="18">
        <v>2</v>
      </c>
    </row>
    <row r="48" spans="1:16" s="2" customFormat="1" ht="16.5" customHeight="1" thickBot="1">
      <c r="A48" s="7" t="s">
        <v>238</v>
      </c>
      <c r="B48" s="8" t="s">
        <v>3</v>
      </c>
      <c r="C48" s="13">
        <v>957</v>
      </c>
      <c r="D48" s="13">
        <v>1061</v>
      </c>
      <c r="E48" s="13">
        <v>1070</v>
      </c>
      <c r="F48" s="9">
        <v>1446</v>
      </c>
      <c r="G48" s="11" t="s">
        <v>86</v>
      </c>
      <c r="H48" s="43" t="s">
        <v>14</v>
      </c>
      <c r="I48" s="29">
        <v>246</v>
      </c>
      <c r="J48" s="15">
        <f>SUM(I48/I49)</f>
        <v>3.6091549295774648E-2</v>
      </c>
      <c r="K48" s="18"/>
    </row>
    <row r="49" spans="1:11" s="2" customFormat="1" ht="16.5" customHeight="1" thickBot="1">
      <c r="A49" s="16" t="s">
        <v>173</v>
      </c>
      <c r="B49" s="17" t="s">
        <v>3</v>
      </c>
      <c r="C49" s="13">
        <v>812</v>
      </c>
      <c r="D49" s="13">
        <v>820</v>
      </c>
      <c r="E49" s="13">
        <v>828</v>
      </c>
      <c r="F49" s="13" t="s">
        <v>10</v>
      </c>
      <c r="I49" s="28">
        <v>6816</v>
      </c>
    </row>
    <row r="50" spans="1:11" s="2" customFormat="1" ht="16.5" customHeight="1" thickBot="1">
      <c r="A50" s="16" t="s">
        <v>239</v>
      </c>
      <c r="B50" s="22" t="s">
        <v>4</v>
      </c>
      <c r="C50" s="13">
        <v>770</v>
      </c>
      <c r="D50" s="13">
        <v>773</v>
      </c>
      <c r="E50" s="13">
        <v>1004</v>
      </c>
      <c r="F50" s="13">
        <v>1027</v>
      </c>
      <c r="G50" s="11"/>
      <c r="H50" s="18"/>
    </row>
    <row r="51" spans="1:11" s="2" customFormat="1" ht="16.5" customHeight="1" thickBot="1">
      <c r="A51" s="16" t="s">
        <v>240</v>
      </c>
      <c r="B51" s="22" t="s">
        <v>4</v>
      </c>
      <c r="C51" s="13">
        <v>706</v>
      </c>
      <c r="D51" s="13">
        <v>708</v>
      </c>
      <c r="E51" s="13" t="s">
        <v>10</v>
      </c>
      <c r="F51" s="47"/>
      <c r="H51" s="18"/>
    </row>
    <row r="52" spans="1:11" s="2" customFormat="1" ht="16.5" customHeight="1" thickBot="1">
      <c r="A52" s="16" t="s">
        <v>241</v>
      </c>
      <c r="B52" s="33" t="s">
        <v>11</v>
      </c>
      <c r="C52" s="13">
        <v>246</v>
      </c>
      <c r="D52" s="13" t="s">
        <v>10</v>
      </c>
    </row>
    <row r="53" spans="1:11">
      <c r="C53" s="41"/>
      <c r="D53" s="41"/>
      <c r="E53" s="41"/>
      <c r="F53" s="41"/>
    </row>
    <row r="54" spans="1:11" s="2" customFormat="1" ht="17.45" customHeight="1">
      <c r="A54" s="1" t="s">
        <v>513</v>
      </c>
    </row>
    <row r="55" spans="1:11" s="2" customFormat="1" ht="10.5" customHeight="1" thickBot="1">
      <c r="A55" s="1"/>
    </row>
    <row r="56" spans="1:11" s="2" customFormat="1" ht="16.5" customHeight="1" thickBot="1">
      <c r="A56" s="4" t="s">
        <v>0</v>
      </c>
      <c r="B56" s="5" t="s">
        <v>1</v>
      </c>
      <c r="C56" s="5" t="s">
        <v>2</v>
      </c>
      <c r="D56" s="5">
        <v>2</v>
      </c>
      <c r="E56" s="5">
        <v>3</v>
      </c>
      <c r="F56" s="5">
        <v>4</v>
      </c>
      <c r="G56" s="6"/>
      <c r="H56" s="14" t="s">
        <v>6</v>
      </c>
      <c r="I56" s="15">
        <f>SUM(6084/9109)</f>
        <v>0.66791085739378642</v>
      </c>
    </row>
    <row r="57" spans="1:11" s="2" customFormat="1" ht="16.5" customHeight="1" thickBot="1">
      <c r="A57" s="7" t="s">
        <v>242</v>
      </c>
      <c r="B57" s="37" t="s">
        <v>11</v>
      </c>
      <c r="C57" s="9">
        <v>1264</v>
      </c>
      <c r="D57" s="13"/>
      <c r="E57" s="9"/>
      <c r="F57" s="13"/>
      <c r="G57" s="11" t="s">
        <v>85</v>
      </c>
      <c r="H57" s="18"/>
      <c r="I57" s="14" t="s">
        <v>7</v>
      </c>
      <c r="J57" s="14" t="s">
        <v>8</v>
      </c>
      <c r="K57" s="14" t="s">
        <v>9</v>
      </c>
    </row>
    <row r="58" spans="1:11" s="2" customFormat="1" ht="16.5" customHeight="1" thickBot="1">
      <c r="A58" s="16" t="s">
        <v>153</v>
      </c>
      <c r="B58" s="22" t="s">
        <v>4</v>
      </c>
      <c r="C58" s="13">
        <v>980</v>
      </c>
      <c r="D58" s="13">
        <v>981</v>
      </c>
      <c r="E58" s="13">
        <v>1019</v>
      </c>
      <c r="F58" s="13">
        <v>1031</v>
      </c>
      <c r="G58" s="11"/>
      <c r="H58" s="19" t="s">
        <v>3</v>
      </c>
      <c r="I58" s="20">
        <f>SUM(C59+C60+C62)</f>
        <v>2442</v>
      </c>
      <c r="J58" s="21">
        <f>SUM(I58/I61)</f>
        <v>0.40138067061143984</v>
      </c>
      <c r="K58" s="18">
        <v>2</v>
      </c>
    </row>
    <row r="59" spans="1:11" s="2" customFormat="1" ht="16.5" customHeight="1" thickBot="1">
      <c r="A59" s="7" t="s">
        <v>243</v>
      </c>
      <c r="B59" s="8" t="s">
        <v>3</v>
      </c>
      <c r="C59" s="13">
        <v>971</v>
      </c>
      <c r="D59" s="13">
        <v>973</v>
      </c>
      <c r="E59" s="13">
        <v>980</v>
      </c>
      <c r="F59" s="9">
        <v>1130</v>
      </c>
      <c r="G59" s="11" t="s">
        <v>90</v>
      </c>
      <c r="H59" s="23" t="s">
        <v>4</v>
      </c>
      <c r="I59" s="20">
        <f>SUM(C58+C61+C63)</f>
        <v>2378</v>
      </c>
      <c r="J59" s="21">
        <f>SUM(I59/I61)</f>
        <v>0.39086127547666011</v>
      </c>
      <c r="K59" s="18">
        <v>1</v>
      </c>
    </row>
    <row r="60" spans="1:11" s="2" customFormat="1" ht="16.5" customHeight="1" thickBot="1">
      <c r="A60" s="7" t="s">
        <v>193</v>
      </c>
      <c r="B60" s="8" t="s">
        <v>3</v>
      </c>
      <c r="C60" s="13">
        <v>898</v>
      </c>
      <c r="D60" s="13">
        <v>915</v>
      </c>
      <c r="E60" s="13">
        <v>967</v>
      </c>
      <c r="F60" s="9">
        <v>1296</v>
      </c>
      <c r="G60" s="9" t="s">
        <v>86</v>
      </c>
      <c r="H60" s="43" t="s">
        <v>14</v>
      </c>
      <c r="I60" s="20">
        <v>1264</v>
      </c>
      <c r="J60" s="21">
        <f>SUM(I60/I61)</f>
        <v>0.20775805391190005</v>
      </c>
      <c r="K60" s="18">
        <v>1</v>
      </c>
    </row>
    <row r="61" spans="1:11" s="2" customFormat="1" ht="16.5" customHeight="1" thickBot="1">
      <c r="A61" s="7" t="s">
        <v>244</v>
      </c>
      <c r="B61" s="12" t="s">
        <v>4</v>
      </c>
      <c r="C61" s="13">
        <v>849</v>
      </c>
      <c r="D61" s="13">
        <v>857</v>
      </c>
      <c r="E61" s="13">
        <v>1138</v>
      </c>
      <c r="F61" s="9">
        <v>1222</v>
      </c>
      <c r="G61" s="9" t="s">
        <v>87</v>
      </c>
      <c r="I61" s="28">
        <v>6084</v>
      </c>
      <c r="K61" s="18"/>
    </row>
    <row r="62" spans="1:11" s="2" customFormat="1" ht="16.5" customHeight="1" thickBot="1">
      <c r="A62" s="16" t="s">
        <v>245</v>
      </c>
      <c r="B62" s="17" t="s">
        <v>3</v>
      </c>
      <c r="C62" s="13">
        <v>573</v>
      </c>
      <c r="D62" s="13">
        <v>586</v>
      </c>
      <c r="E62" s="13">
        <v>681</v>
      </c>
      <c r="F62" s="13" t="s">
        <v>10</v>
      </c>
    </row>
    <row r="63" spans="1:11" s="2" customFormat="1" ht="16.5" customHeight="1" thickBot="1">
      <c r="A63" s="16" t="s">
        <v>177</v>
      </c>
      <c r="B63" s="22" t="s">
        <v>4</v>
      </c>
      <c r="C63" s="13">
        <v>549</v>
      </c>
      <c r="D63" s="13">
        <v>555</v>
      </c>
      <c r="E63" s="13" t="s">
        <v>10</v>
      </c>
      <c r="H63" s="18"/>
      <c r="K63" s="18"/>
    </row>
    <row r="65" spans="1:17" s="2" customFormat="1" ht="17.45" customHeight="1">
      <c r="A65" s="1" t="s">
        <v>514</v>
      </c>
    </row>
    <row r="66" spans="1:17" s="2" customFormat="1" ht="10.5" customHeight="1" thickBot="1">
      <c r="A66" s="1"/>
    </row>
    <row r="67" spans="1:17" s="2" customFormat="1" ht="16.5" customHeight="1" thickBot="1">
      <c r="A67" s="4" t="s">
        <v>0</v>
      </c>
      <c r="B67" s="5" t="s">
        <v>1</v>
      </c>
      <c r="C67" s="5" t="s">
        <v>2</v>
      </c>
      <c r="D67" s="5">
        <v>2</v>
      </c>
      <c r="E67" s="5">
        <v>3</v>
      </c>
      <c r="F67" s="5">
        <v>4</v>
      </c>
      <c r="G67" s="5">
        <v>5</v>
      </c>
      <c r="H67" s="5">
        <v>6</v>
      </c>
      <c r="I67" s="5">
        <v>7</v>
      </c>
      <c r="J67" s="5">
        <v>8</v>
      </c>
      <c r="K67" s="5">
        <v>9</v>
      </c>
      <c r="L67" s="5">
        <v>10</v>
      </c>
      <c r="M67" s="6"/>
      <c r="N67" s="14" t="s">
        <v>6</v>
      </c>
      <c r="O67" s="15">
        <f>SUM(9489/13178)</f>
        <v>0.72006374260130523</v>
      </c>
    </row>
    <row r="68" spans="1:17" s="2" customFormat="1" ht="16.5" customHeight="1" thickBot="1">
      <c r="A68" s="7" t="s">
        <v>247</v>
      </c>
      <c r="B68" s="8" t="s">
        <v>3</v>
      </c>
      <c r="C68" s="9">
        <v>1615</v>
      </c>
      <c r="D68" s="13"/>
      <c r="E68" s="13"/>
      <c r="F68" s="9"/>
      <c r="G68" s="13"/>
      <c r="H68" s="9"/>
      <c r="I68" s="9"/>
      <c r="J68" s="9"/>
      <c r="K68" s="9"/>
      <c r="L68" s="9"/>
      <c r="M68" s="11" t="s">
        <v>85</v>
      </c>
      <c r="N68" s="18"/>
      <c r="O68" s="14" t="s">
        <v>7</v>
      </c>
      <c r="P68" s="14" t="s">
        <v>8</v>
      </c>
      <c r="Q68" s="14" t="s">
        <v>9</v>
      </c>
    </row>
    <row r="69" spans="1:17" s="2" customFormat="1" ht="16.5" customHeight="1" thickBot="1">
      <c r="A69" s="7" t="s">
        <v>248</v>
      </c>
      <c r="B69" s="12" t="s">
        <v>4</v>
      </c>
      <c r="C69" s="13">
        <v>1372</v>
      </c>
      <c r="D69" s="13">
        <v>1385</v>
      </c>
      <c r="E69" s="13">
        <v>1387</v>
      </c>
      <c r="F69" s="13">
        <v>1432</v>
      </c>
      <c r="G69" s="13">
        <v>1500</v>
      </c>
      <c r="H69" s="9">
        <v>1582</v>
      </c>
      <c r="I69" s="9"/>
      <c r="J69" s="9"/>
      <c r="K69" s="9"/>
      <c r="L69" s="9"/>
      <c r="M69" s="11" t="s">
        <v>86</v>
      </c>
      <c r="N69" s="19" t="s">
        <v>3</v>
      </c>
      <c r="O69" s="20">
        <f>SUM(C68+C70+C72+C76)</f>
        <v>3993</v>
      </c>
      <c r="P69" s="21">
        <f>SUM(O69/O73)</f>
        <v>0.42080303509326589</v>
      </c>
      <c r="Q69" s="18">
        <v>2</v>
      </c>
    </row>
    <row r="70" spans="1:17" s="2" customFormat="1" ht="16.5" customHeight="1" thickBot="1">
      <c r="A70" s="7" t="s">
        <v>126</v>
      </c>
      <c r="B70" s="8" t="s">
        <v>3</v>
      </c>
      <c r="C70" s="13">
        <v>1163</v>
      </c>
      <c r="D70" s="13">
        <v>1163</v>
      </c>
      <c r="E70" s="13">
        <v>1165</v>
      </c>
      <c r="F70" s="13">
        <v>1173</v>
      </c>
      <c r="G70" s="13">
        <v>1180</v>
      </c>
      <c r="H70" s="13">
        <v>1194</v>
      </c>
      <c r="I70" s="13">
        <v>1409</v>
      </c>
      <c r="J70" s="13">
        <v>1562</v>
      </c>
      <c r="K70" s="9">
        <v>1669</v>
      </c>
      <c r="L70" s="13"/>
      <c r="M70" s="11" t="s">
        <v>87</v>
      </c>
      <c r="N70" s="23" t="s">
        <v>4</v>
      </c>
      <c r="O70" s="20">
        <f>SUM(C69+C73+C74+C75+C79)</f>
        <v>3383</v>
      </c>
      <c r="P70" s="21">
        <f>SUM(O70/O73)</f>
        <v>0.35651807355885762</v>
      </c>
      <c r="Q70" s="18">
        <v>2</v>
      </c>
    </row>
    <row r="71" spans="1:17" s="2" customFormat="1" ht="16.5" customHeight="1" thickBot="1">
      <c r="A71" s="7" t="s">
        <v>249</v>
      </c>
      <c r="B71" s="37" t="s">
        <v>11</v>
      </c>
      <c r="C71" s="13">
        <v>1025</v>
      </c>
      <c r="D71" s="13">
        <v>1029</v>
      </c>
      <c r="E71" s="13">
        <v>1030</v>
      </c>
      <c r="F71" s="13">
        <v>1048</v>
      </c>
      <c r="G71" s="13">
        <v>1051</v>
      </c>
      <c r="H71" s="13">
        <v>1059</v>
      </c>
      <c r="I71" s="13">
        <v>1080</v>
      </c>
      <c r="J71" s="13">
        <v>1170</v>
      </c>
      <c r="K71" s="13">
        <v>1268</v>
      </c>
      <c r="L71" s="9">
        <v>1327</v>
      </c>
      <c r="M71" s="11" t="s">
        <v>89</v>
      </c>
      <c r="N71" s="24" t="s">
        <v>12</v>
      </c>
      <c r="O71" s="20">
        <v>126</v>
      </c>
      <c r="P71" s="21">
        <f>SUM(O71/O73)</f>
        <v>1.3278533038254822E-2</v>
      </c>
    </row>
    <row r="72" spans="1:17" s="2" customFormat="1" ht="16.5" customHeight="1" thickBot="1">
      <c r="A72" s="16" t="s">
        <v>182</v>
      </c>
      <c r="B72" s="17" t="s">
        <v>3</v>
      </c>
      <c r="C72" s="13">
        <v>759</v>
      </c>
      <c r="D72" s="13">
        <v>788</v>
      </c>
      <c r="E72" s="13">
        <v>799</v>
      </c>
      <c r="F72" s="13">
        <v>812</v>
      </c>
      <c r="G72" s="13">
        <v>815</v>
      </c>
      <c r="H72" s="13">
        <v>842</v>
      </c>
      <c r="I72" s="13">
        <v>843</v>
      </c>
      <c r="J72" s="13">
        <v>915</v>
      </c>
      <c r="K72" s="13">
        <v>967</v>
      </c>
      <c r="L72" s="13">
        <v>1087</v>
      </c>
      <c r="M72" s="11"/>
      <c r="N72" s="43" t="s">
        <v>14</v>
      </c>
      <c r="O72" s="20">
        <f>SUM(C71+C77+C78+C80+C82)</f>
        <v>1987</v>
      </c>
      <c r="P72" s="21">
        <f>SUM(O72/O73)</f>
        <v>0.20940035830962167</v>
      </c>
      <c r="Q72" s="2">
        <v>1</v>
      </c>
    </row>
    <row r="73" spans="1:17" s="2" customFormat="1" ht="16.5" customHeight="1" thickBot="1">
      <c r="A73" s="7" t="s">
        <v>181</v>
      </c>
      <c r="B73" s="12" t="s">
        <v>4</v>
      </c>
      <c r="C73" s="13">
        <v>755</v>
      </c>
      <c r="D73" s="13">
        <v>755</v>
      </c>
      <c r="E73" s="13">
        <v>755</v>
      </c>
      <c r="F73" s="13">
        <v>777</v>
      </c>
      <c r="G73" s="13">
        <v>815</v>
      </c>
      <c r="H73" s="13">
        <v>826</v>
      </c>
      <c r="I73" s="13">
        <v>924</v>
      </c>
      <c r="J73" s="13">
        <v>1004</v>
      </c>
      <c r="K73" s="13">
        <v>1115</v>
      </c>
      <c r="L73" s="9">
        <v>1337</v>
      </c>
      <c r="M73" s="11" t="s">
        <v>90</v>
      </c>
      <c r="N73" s="34"/>
      <c r="O73" s="28">
        <v>9489</v>
      </c>
      <c r="P73" s="15"/>
    </row>
    <row r="74" spans="1:17" s="2" customFormat="1" ht="16.5" customHeight="1" thickBot="1">
      <c r="A74" s="16" t="s">
        <v>251</v>
      </c>
      <c r="B74" s="22" t="s">
        <v>4</v>
      </c>
      <c r="C74" s="13">
        <v>501</v>
      </c>
      <c r="D74" s="13">
        <v>503</v>
      </c>
      <c r="E74" s="13">
        <v>504</v>
      </c>
      <c r="F74" s="13">
        <v>523</v>
      </c>
      <c r="G74" s="13">
        <v>574</v>
      </c>
      <c r="H74" s="13">
        <v>612</v>
      </c>
      <c r="I74" s="13">
        <v>641</v>
      </c>
      <c r="J74" s="13">
        <v>673</v>
      </c>
      <c r="K74" s="13">
        <v>701</v>
      </c>
      <c r="L74" s="9" t="s">
        <v>10</v>
      </c>
      <c r="N74" s="18"/>
      <c r="Q74" s="18"/>
    </row>
    <row r="75" spans="1:17" s="2" customFormat="1" ht="16.5" customHeight="1" thickBot="1">
      <c r="A75" s="16" t="s">
        <v>250</v>
      </c>
      <c r="B75" s="22" t="s">
        <v>4</v>
      </c>
      <c r="C75" s="13">
        <v>470</v>
      </c>
      <c r="D75" s="13">
        <v>472</v>
      </c>
      <c r="E75" s="13">
        <v>472</v>
      </c>
      <c r="F75" s="13">
        <v>477</v>
      </c>
      <c r="G75" s="13">
        <v>481</v>
      </c>
      <c r="H75" s="13">
        <v>482</v>
      </c>
      <c r="I75" s="13" t="s">
        <v>10</v>
      </c>
    </row>
    <row r="76" spans="1:17" s="2" customFormat="1" ht="16.5" customHeight="1" thickBot="1">
      <c r="A76" s="16" t="s">
        <v>252</v>
      </c>
      <c r="B76" s="17" t="s">
        <v>3</v>
      </c>
      <c r="C76" s="13">
        <v>456</v>
      </c>
      <c r="D76" s="13">
        <v>460</v>
      </c>
      <c r="E76" s="13">
        <v>463</v>
      </c>
      <c r="F76" s="13">
        <v>474</v>
      </c>
      <c r="G76" s="13">
        <v>479</v>
      </c>
      <c r="H76" s="13">
        <v>494</v>
      </c>
      <c r="I76" s="13">
        <v>517</v>
      </c>
      <c r="J76" s="13" t="s">
        <v>10</v>
      </c>
    </row>
    <row r="77" spans="1:17" s="2" customFormat="1" ht="16.5" customHeight="1" thickBot="1">
      <c r="A77" s="16" t="s">
        <v>187</v>
      </c>
      <c r="B77" s="33" t="s">
        <v>11</v>
      </c>
      <c r="C77" s="13">
        <v>422</v>
      </c>
      <c r="D77" s="13">
        <v>429</v>
      </c>
      <c r="E77" s="13">
        <v>430</v>
      </c>
      <c r="F77" s="13">
        <v>471</v>
      </c>
      <c r="G77" s="13">
        <v>480</v>
      </c>
      <c r="H77" s="13">
        <v>503</v>
      </c>
      <c r="I77" s="13">
        <v>540</v>
      </c>
      <c r="J77" s="13">
        <v>551</v>
      </c>
      <c r="K77" s="13" t="s">
        <v>10</v>
      </c>
    </row>
    <row r="78" spans="1:17" s="2" customFormat="1" ht="16.5" customHeight="1" thickBot="1">
      <c r="A78" s="16" t="s">
        <v>253</v>
      </c>
      <c r="B78" s="33" t="s">
        <v>11</v>
      </c>
      <c r="C78" s="13">
        <v>333</v>
      </c>
      <c r="D78" s="13">
        <v>333</v>
      </c>
      <c r="E78" s="13">
        <v>339</v>
      </c>
      <c r="F78" s="13">
        <v>383</v>
      </c>
      <c r="G78" s="13">
        <v>465</v>
      </c>
      <c r="H78" s="9" t="s">
        <v>10</v>
      </c>
    </row>
    <row r="79" spans="1:17" s="2" customFormat="1" ht="16.5" customHeight="1" thickBot="1">
      <c r="A79" s="16" t="s">
        <v>254</v>
      </c>
      <c r="B79" s="22" t="s">
        <v>4</v>
      </c>
      <c r="C79" s="13">
        <v>285</v>
      </c>
      <c r="D79" s="13">
        <v>285</v>
      </c>
      <c r="E79" s="13">
        <v>289</v>
      </c>
      <c r="F79" s="13">
        <v>313</v>
      </c>
      <c r="G79" s="13" t="s">
        <v>10</v>
      </c>
    </row>
    <row r="80" spans="1:17" s="2" customFormat="1" ht="16.5" customHeight="1" thickBot="1">
      <c r="A80" s="16" t="s">
        <v>255</v>
      </c>
      <c r="B80" s="33" t="s">
        <v>11</v>
      </c>
      <c r="C80" s="13">
        <v>142</v>
      </c>
      <c r="D80" s="13">
        <v>144</v>
      </c>
      <c r="E80" s="13">
        <v>146</v>
      </c>
      <c r="F80" s="13" t="s">
        <v>10</v>
      </c>
      <c r="H80" s="23"/>
    </row>
    <row r="81" spans="1:19" s="2" customFormat="1" ht="16.5" customHeight="1" thickBot="1">
      <c r="A81" s="16" t="s">
        <v>256</v>
      </c>
      <c r="B81" s="25" t="s">
        <v>12</v>
      </c>
      <c r="C81" s="13">
        <v>126</v>
      </c>
      <c r="D81" s="13">
        <v>126</v>
      </c>
      <c r="E81" s="13">
        <v>126</v>
      </c>
      <c r="F81" s="13" t="s">
        <v>10</v>
      </c>
      <c r="H81" s="23"/>
    </row>
    <row r="82" spans="1:19" s="2" customFormat="1" ht="16.5" customHeight="1" thickBot="1">
      <c r="A82" s="16" t="s">
        <v>257</v>
      </c>
      <c r="B82" s="33" t="s">
        <v>11</v>
      </c>
      <c r="C82" s="13">
        <v>65</v>
      </c>
      <c r="D82" s="13" t="s">
        <v>10</v>
      </c>
      <c r="F82" s="23"/>
      <c r="H82" s="23"/>
    </row>
    <row r="83" spans="1:19" ht="14.25">
      <c r="N83" s="2"/>
      <c r="O83" s="2"/>
      <c r="P83" s="2"/>
      <c r="Q83" s="2"/>
    </row>
    <row r="84" spans="1:19" s="108" customFormat="1" ht="15" customHeight="1">
      <c r="B84" s="46" t="s">
        <v>259</v>
      </c>
      <c r="C84" s="83" t="s">
        <v>3</v>
      </c>
      <c r="D84" s="84" t="s">
        <v>4</v>
      </c>
      <c r="E84" s="85" t="s">
        <v>12</v>
      </c>
      <c r="F84" s="46" t="s">
        <v>14</v>
      </c>
      <c r="Q84" s="109"/>
      <c r="R84" s="110"/>
      <c r="S84" s="111"/>
    </row>
    <row r="85" spans="1:19" s="108" customFormat="1" ht="15" customHeight="1">
      <c r="A85" s="108" t="s">
        <v>7</v>
      </c>
      <c r="B85" s="112">
        <f>SUM(O73+I61+I49+M35+L22+K8)</f>
        <v>54115</v>
      </c>
      <c r="C85" s="110">
        <f>SUM(O69+I58+I46+M32+L19+K5)</f>
        <v>23522</v>
      </c>
      <c r="D85" s="110">
        <f>SUM(O70+I59+I47+M33+L20+K6)</f>
        <v>24474</v>
      </c>
      <c r="E85" s="110">
        <f>SUM(O71+M34)</f>
        <v>705</v>
      </c>
      <c r="F85" s="110">
        <f>SUM(O72+I60+I48+L21+K7)</f>
        <v>5164</v>
      </c>
      <c r="Q85" s="46"/>
      <c r="R85" s="112"/>
      <c r="S85" s="111"/>
    </row>
    <row r="86" spans="1:19" s="108" customFormat="1" ht="15" customHeight="1">
      <c r="A86" s="108" t="s">
        <v>8</v>
      </c>
      <c r="B86" s="115">
        <v>1</v>
      </c>
      <c r="C86" s="111">
        <f>SUM(C85/$B$85)</f>
        <v>0.4346669130555299</v>
      </c>
      <c r="D86" s="111">
        <f>SUM(D85/$B$85)</f>
        <v>0.4522590778896794</v>
      </c>
      <c r="E86" s="111">
        <f>SUM(E85/$B$85)</f>
        <v>1.302781114293634E-2</v>
      </c>
      <c r="F86" s="111">
        <f>SUM(F85/$B$85)</f>
        <v>9.542640672641596E-2</v>
      </c>
    </row>
    <row r="87" spans="1:19" s="108" customFormat="1" ht="15" customHeight="1">
      <c r="A87" s="108" t="s">
        <v>9</v>
      </c>
      <c r="B87" s="46">
        <v>31</v>
      </c>
      <c r="C87" s="108">
        <v>15</v>
      </c>
      <c r="D87" s="108">
        <v>13</v>
      </c>
      <c r="E87" s="108">
        <v>0</v>
      </c>
      <c r="F87" s="108">
        <v>3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5"/>
  <dimension ref="A1:S85"/>
  <sheetViews>
    <sheetView workbookViewId="0">
      <selection activeCell="O1" sqref="O1"/>
    </sheetView>
  </sheetViews>
  <sheetFormatPr defaultRowHeight="12.75"/>
  <cols>
    <col min="1" max="1" width="25.28515625" customWidth="1"/>
    <col min="2" max="2" width="7.7109375" customWidth="1"/>
    <col min="3" max="3" width="9.7109375" customWidth="1"/>
    <col min="4" max="18" width="8.7109375" customWidth="1"/>
  </cols>
  <sheetData>
    <row r="1" spans="1:14" s="2" customFormat="1" ht="16.5" customHeight="1">
      <c r="A1" s="1" t="s">
        <v>277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4" t="s">
        <v>6</v>
      </c>
      <c r="L3" s="15">
        <f>SUM(10871/15527)</f>
        <v>0.70013524827719453</v>
      </c>
    </row>
    <row r="4" spans="1:14" s="2" customFormat="1" ht="16.5" customHeight="1" thickBot="1">
      <c r="A4" s="7" t="s">
        <v>224</v>
      </c>
      <c r="B4" s="12" t="s">
        <v>4</v>
      </c>
      <c r="C4" s="9">
        <v>1751</v>
      </c>
      <c r="D4" s="13"/>
      <c r="E4" s="11"/>
      <c r="F4" s="10"/>
      <c r="G4" s="10"/>
      <c r="H4" s="10"/>
      <c r="I4" s="10"/>
      <c r="J4" s="11" t="s">
        <v>85</v>
      </c>
      <c r="K4" s="18"/>
      <c r="L4" s="14" t="s">
        <v>7</v>
      </c>
      <c r="M4" s="14" t="s">
        <v>8</v>
      </c>
      <c r="N4" s="14" t="s">
        <v>9</v>
      </c>
    </row>
    <row r="5" spans="1:14" s="2" customFormat="1" ht="16.5" customHeight="1" thickBot="1">
      <c r="A5" s="7" t="s">
        <v>229</v>
      </c>
      <c r="B5" s="8" t="s">
        <v>3</v>
      </c>
      <c r="C5" s="9">
        <v>1616</v>
      </c>
      <c r="D5" s="13"/>
      <c r="E5" s="13"/>
      <c r="F5" s="9"/>
      <c r="G5" s="13"/>
      <c r="H5" s="9"/>
      <c r="I5" s="9"/>
      <c r="J5" s="11" t="s">
        <v>86</v>
      </c>
      <c r="K5" s="19" t="s">
        <v>3</v>
      </c>
      <c r="L5" s="20">
        <f>SUM(C5+C7+C8+C13)</f>
        <v>4665</v>
      </c>
      <c r="M5" s="21">
        <f>SUM(L5/L8)</f>
        <v>0.43423624685841944</v>
      </c>
      <c r="N5" s="18">
        <v>3</v>
      </c>
    </row>
    <row r="6" spans="1:14" s="2" customFormat="1" ht="16.5" customHeight="1" thickBot="1">
      <c r="A6" s="7" t="s">
        <v>80</v>
      </c>
      <c r="B6" s="12" t="s">
        <v>4</v>
      </c>
      <c r="C6" s="13">
        <v>1454</v>
      </c>
      <c r="D6" s="13">
        <v>1481</v>
      </c>
      <c r="E6" s="13">
        <v>1507</v>
      </c>
      <c r="F6" s="13">
        <v>1512</v>
      </c>
      <c r="G6" s="13">
        <v>1514</v>
      </c>
      <c r="H6" s="9">
        <v>1548</v>
      </c>
      <c r="I6" s="9"/>
      <c r="J6" s="11" t="s">
        <v>90</v>
      </c>
      <c r="K6" s="23" t="s">
        <v>4</v>
      </c>
      <c r="L6" s="20">
        <f>SUM(C4+C6+C10+C11)</f>
        <v>4652</v>
      </c>
      <c r="M6" s="21">
        <f>SUM(L6/L8)</f>
        <v>0.43302615656706694</v>
      </c>
      <c r="N6" s="18">
        <v>3</v>
      </c>
    </row>
    <row r="7" spans="1:14" s="2" customFormat="1" ht="16.5" customHeight="1" thickBot="1">
      <c r="A7" s="7" t="s">
        <v>131</v>
      </c>
      <c r="B7" s="8" t="s">
        <v>3</v>
      </c>
      <c r="C7" s="13">
        <v>1419</v>
      </c>
      <c r="D7" s="13">
        <v>1436</v>
      </c>
      <c r="E7" s="13">
        <v>1462</v>
      </c>
      <c r="F7" s="9">
        <v>1766</v>
      </c>
      <c r="G7" s="10"/>
      <c r="H7" s="13"/>
      <c r="I7" s="13"/>
      <c r="J7" s="11" t="s">
        <v>87</v>
      </c>
      <c r="K7" s="43" t="s">
        <v>14</v>
      </c>
      <c r="L7" s="29">
        <f>SUM(C9+C12)</f>
        <v>1446</v>
      </c>
      <c r="M7" s="15">
        <f>SUM(L7/L8)</f>
        <v>0.13459927394582519</v>
      </c>
      <c r="N7" s="18"/>
    </row>
    <row r="8" spans="1:14" s="2" customFormat="1" ht="16.5" customHeight="1" thickBot="1">
      <c r="A8" s="7" t="s">
        <v>159</v>
      </c>
      <c r="B8" s="8" t="s">
        <v>3</v>
      </c>
      <c r="C8" s="13">
        <v>985</v>
      </c>
      <c r="D8" s="13">
        <v>990</v>
      </c>
      <c r="E8" s="13">
        <v>1005</v>
      </c>
      <c r="F8" s="13">
        <v>1136</v>
      </c>
      <c r="G8" s="13">
        <v>1323</v>
      </c>
      <c r="H8" s="13">
        <v>1446</v>
      </c>
      <c r="I8" s="9">
        <v>1521</v>
      </c>
      <c r="J8" s="11" t="s">
        <v>89</v>
      </c>
      <c r="K8" s="14"/>
      <c r="L8" s="28">
        <v>10743</v>
      </c>
      <c r="M8" s="15"/>
      <c r="N8" s="18"/>
    </row>
    <row r="9" spans="1:14" s="2" customFormat="1" ht="16.5" customHeight="1" thickBot="1">
      <c r="A9" s="16" t="s">
        <v>226</v>
      </c>
      <c r="B9" s="33" t="s">
        <v>11</v>
      </c>
      <c r="C9" s="13">
        <v>783</v>
      </c>
      <c r="D9" s="13">
        <v>816</v>
      </c>
      <c r="E9" s="13">
        <v>819</v>
      </c>
      <c r="F9" s="13">
        <v>860</v>
      </c>
      <c r="G9" s="13">
        <v>877</v>
      </c>
      <c r="H9" s="13">
        <v>1066</v>
      </c>
      <c r="I9" s="13">
        <v>1191</v>
      </c>
      <c r="J9" s="11"/>
    </row>
    <row r="10" spans="1:14" s="2" customFormat="1" ht="16.5" customHeight="1" thickBot="1">
      <c r="A10" s="16" t="s">
        <v>81</v>
      </c>
      <c r="B10" s="22" t="s">
        <v>4</v>
      </c>
      <c r="C10" s="13">
        <v>728</v>
      </c>
      <c r="D10" s="13">
        <v>793</v>
      </c>
      <c r="E10" s="13">
        <v>798</v>
      </c>
      <c r="F10" s="13">
        <v>808</v>
      </c>
      <c r="G10" s="13">
        <v>809</v>
      </c>
      <c r="H10" s="13">
        <v>886</v>
      </c>
      <c r="I10" s="9" t="s">
        <v>10</v>
      </c>
    </row>
    <row r="11" spans="1:14" s="2" customFormat="1" ht="16.5" customHeight="1" thickBot="1">
      <c r="A11" s="7" t="s">
        <v>132</v>
      </c>
      <c r="B11" s="12" t="s">
        <v>4</v>
      </c>
      <c r="C11" s="10">
        <v>719</v>
      </c>
      <c r="D11" s="10">
        <v>750</v>
      </c>
      <c r="E11" s="10">
        <v>751</v>
      </c>
      <c r="F11" s="13">
        <v>848</v>
      </c>
      <c r="G11" s="13">
        <v>865</v>
      </c>
      <c r="H11" s="13">
        <v>915</v>
      </c>
      <c r="I11" s="9">
        <v>1298</v>
      </c>
      <c r="J11" s="11" t="s">
        <v>88</v>
      </c>
    </row>
    <row r="12" spans="1:14" s="2" customFormat="1" ht="16.5" customHeight="1" thickBot="1">
      <c r="A12" s="16" t="s">
        <v>160</v>
      </c>
      <c r="B12" s="33" t="s">
        <v>11</v>
      </c>
      <c r="C12" s="10">
        <v>663</v>
      </c>
      <c r="D12" s="10">
        <v>677</v>
      </c>
      <c r="E12" s="10">
        <v>679</v>
      </c>
      <c r="F12" s="13">
        <v>699</v>
      </c>
      <c r="G12" s="13">
        <v>706</v>
      </c>
      <c r="H12" s="9" t="s">
        <v>10</v>
      </c>
    </row>
    <row r="13" spans="1:14" s="2" customFormat="1" ht="16.5" customHeight="1" thickBot="1">
      <c r="A13" s="16" t="s">
        <v>164</v>
      </c>
      <c r="B13" s="17" t="s">
        <v>3</v>
      </c>
      <c r="C13" s="10">
        <v>645</v>
      </c>
      <c r="D13" s="10">
        <v>649</v>
      </c>
      <c r="E13" s="10">
        <v>652</v>
      </c>
      <c r="F13" s="13" t="s">
        <v>10</v>
      </c>
    </row>
    <row r="14" spans="1:14" s="2" customFormat="1" ht="12.75" customHeight="1">
      <c r="A14" s="1"/>
      <c r="C14" s="29"/>
      <c r="D14" s="29"/>
      <c r="E14" s="29"/>
      <c r="F14" s="29"/>
      <c r="G14" s="29"/>
      <c r="H14" s="29"/>
      <c r="I14" s="29"/>
    </row>
    <row r="15" spans="1:14" s="2" customFormat="1" ht="17.45" customHeight="1">
      <c r="A15" s="1" t="s">
        <v>276</v>
      </c>
    </row>
    <row r="16" spans="1:14" s="2" customFormat="1" ht="10.5" customHeight="1" thickBot="1">
      <c r="A16" s="1"/>
    </row>
    <row r="17" spans="1:15" s="2" customFormat="1" ht="16.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>
        <v>5</v>
      </c>
      <c r="H17" s="6"/>
      <c r="I17" s="14" t="s">
        <v>6</v>
      </c>
      <c r="J17" s="15">
        <f>SUM(10643/14863)</f>
        <v>0.71607347103545715</v>
      </c>
    </row>
    <row r="18" spans="1:15" s="2" customFormat="1" ht="16.5" customHeight="1" thickBot="1">
      <c r="A18" s="7" t="s">
        <v>92</v>
      </c>
      <c r="B18" s="12" t="s">
        <v>4</v>
      </c>
      <c r="C18" s="9">
        <v>2523</v>
      </c>
      <c r="D18" s="13"/>
      <c r="E18" s="13"/>
      <c r="F18" s="13"/>
      <c r="G18" s="13"/>
      <c r="H18" s="11" t="s">
        <v>85</v>
      </c>
      <c r="I18" s="18"/>
      <c r="J18" s="14" t="s">
        <v>7</v>
      </c>
      <c r="K18" s="14" t="s">
        <v>8</v>
      </c>
      <c r="L18" s="14" t="s">
        <v>9</v>
      </c>
    </row>
    <row r="19" spans="1:15" s="2" customFormat="1" ht="16.5" customHeight="1" thickBot="1">
      <c r="A19" s="7" t="s">
        <v>135</v>
      </c>
      <c r="B19" s="8" t="s">
        <v>3</v>
      </c>
      <c r="C19" s="9">
        <v>2075</v>
      </c>
      <c r="D19" s="13"/>
      <c r="E19" s="13"/>
      <c r="F19" s="9"/>
      <c r="G19" s="13"/>
      <c r="H19" s="11" t="s">
        <v>86</v>
      </c>
      <c r="I19" s="19" t="s">
        <v>3</v>
      </c>
      <c r="J19" s="20">
        <f>SUM(C19+C21+C23+C24)</f>
        <v>5012</v>
      </c>
      <c r="K19" s="21">
        <f>SUM(J19/J22)</f>
        <v>0.47516116799393249</v>
      </c>
      <c r="L19" s="18">
        <v>2</v>
      </c>
    </row>
    <row r="20" spans="1:15" s="2" customFormat="1" ht="16.5" customHeight="1" thickBot="1">
      <c r="A20" s="7" t="s">
        <v>161</v>
      </c>
      <c r="B20" s="12" t="s">
        <v>4</v>
      </c>
      <c r="C20" s="13">
        <v>1491</v>
      </c>
      <c r="D20" s="13">
        <v>1711</v>
      </c>
      <c r="E20" s="13">
        <v>1723</v>
      </c>
      <c r="F20" s="9">
        <v>1773</v>
      </c>
      <c r="G20" s="9"/>
      <c r="H20" s="11" t="s">
        <v>90</v>
      </c>
      <c r="I20" s="23" t="s">
        <v>4</v>
      </c>
      <c r="J20" s="20">
        <f>SUM(C18+C20+C22)</f>
        <v>5327</v>
      </c>
      <c r="K20" s="21">
        <f>SUM(J20/J22)</f>
        <v>0.50502464922260148</v>
      </c>
      <c r="L20" s="18">
        <v>3</v>
      </c>
    </row>
    <row r="21" spans="1:15" s="2" customFormat="1" ht="16.5" customHeight="1" thickBot="1">
      <c r="A21" s="7" t="s">
        <v>288</v>
      </c>
      <c r="B21" s="8" t="s">
        <v>3</v>
      </c>
      <c r="C21" s="13">
        <v>1383</v>
      </c>
      <c r="D21" s="13">
        <v>1426</v>
      </c>
      <c r="E21" s="13">
        <v>1580</v>
      </c>
      <c r="F21" s="13">
        <v>1669</v>
      </c>
      <c r="G21" s="9">
        <v>1955</v>
      </c>
      <c r="H21" s="11" t="s">
        <v>89</v>
      </c>
      <c r="I21" s="26" t="s">
        <v>13</v>
      </c>
      <c r="J21" s="29">
        <v>209</v>
      </c>
      <c r="K21" s="15">
        <f>SUM(J21/J22)</f>
        <v>1.9814182783466059E-2</v>
      </c>
      <c r="L21" s="18"/>
    </row>
    <row r="22" spans="1:15" s="2" customFormat="1" ht="16.5" customHeight="1" thickBot="1">
      <c r="A22" s="7" t="s">
        <v>134</v>
      </c>
      <c r="B22" s="12" t="s">
        <v>4</v>
      </c>
      <c r="C22" s="13">
        <v>1313</v>
      </c>
      <c r="D22" s="13">
        <v>1750</v>
      </c>
      <c r="E22" s="9">
        <v>1791</v>
      </c>
      <c r="F22" s="13"/>
      <c r="G22" s="13"/>
      <c r="H22" s="11" t="s">
        <v>87</v>
      </c>
      <c r="J22" s="28">
        <v>10548</v>
      </c>
      <c r="K22" s="21"/>
    </row>
    <row r="23" spans="1:15" s="2" customFormat="1" ht="16.5" customHeight="1" thickBot="1">
      <c r="A23" s="16" t="s">
        <v>231</v>
      </c>
      <c r="B23" s="17" t="s">
        <v>3</v>
      </c>
      <c r="C23" s="13">
        <v>1057</v>
      </c>
      <c r="D23" s="13">
        <v>1089</v>
      </c>
      <c r="E23" s="13">
        <v>1141</v>
      </c>
      <c r="F23" s="13">
        <v>1160</v>
      </c>
      <c r="G23" s="13">
        <v>1329</v>
      </c>
      <c r="H23" s="11"/>
    </row>
    <row r="24" spans="1:15" s="2" customFormat="1" ht="16.5" customHeight="1" thickBot="1">
      <c r="A24" s="16" t="s">
        <v>91</v>
      </c>
      <c r="B24" s="17" t="s">
        <v>3</v>
      </c>
      <c r="C24" s="13">
        <v>497</v>
      </c>
      <c r="D24" s="13">
        <v>516</v>
      </c>
      <c r="E24" s="13">
        <v>557</v>
      </c>
      <c r="F24" s="10">
        <v>588</v>
      </c>
      <c r="G24" s="13" t="s">
        <v>10</v>
      </c>
    </row>
    <row r="25" spans="1:15" s="2" customFormat="1" ht="16.5" customHeight="1" thickBot="1">
      <c r="A25" s="16" t="s">
        <v>163</v>
      </c>
      <c r="B25" s="27" t="s">
        <v>13</v>
      </c>
      <c r="C25" s="10">
        <v>209</v>
      </c>
      <c r="D25" s="10">
        <v>221</v>
      </c>
      <c r="E25" s="10">
        <v>228</v>
      </c>
      <c r="F25" s="13" t="s">
        <v>10</v>
      </c>
    </row>
    <row r="26" spans="1:15" s="2" customFormat="1" ht="13.5" customHeight="1">
      <c r="A26" s="35"/>
      <c r="B26" s="36"/>
      <c r="C26" s="40"/>
      <c r="D26" s="40"/>
      <c r="E26" s="40"/>
      <c r="F26" s="40"/>
      <c r="G26" s="40"/>
      <c r="H26" s="40"/>
    </row>
    <row r="27" spans="1:15" s="2" customFormat="1" ht="17.45" customHeight="1">
      <c r="A27" s="1" t="s">
        <v>275</v>
      </c>
    </row>
    <row r="28" spans="1:15" s="2" customFormat="1" ht="8.25" customHeight="1" thickBot="1">
      <c r="A28" s="1"/>
    </row>
    <row r="29" spans="1:15" s="2" customFormat="1" ht="17.45" customHeight="1" thickBot="1">
      <c r="A29" s="4" t="s">
        <v>0</v>
      </c>
      <c r="B29" s="5" t="s">
        <v>1</v>
      </c>
      <c r="C29" s="5" t="s">
        <v>2</v>
      </c>
      <c r="D29" s="5">
        <v>2</v>
      </c>
      <c r="E29" s="5">
        <v>3</v>
      </c>
      <c r="F29" s="5">
        <v>4</v>
      </c>
      <c r="G29" s="5">
        <v>5</v>
      </c>
      <c r="H29" s="5">
        <v>6</v>
      </c>
      <c r="I29" s="5">
        <v>7</v>
      </c>
      <c r="J29" s="5">
        <v>8</v>
      </c>
      <c r="K29" s="5"/>
      <c r="L29" s="14" t="s">
        <v>6</v>
      </c>
      <c r="M29" s="50">
        <f>SUM(13804/18843)</f>
        <v>0.73257973783367825</v>
      </c>
    </row>
    <row r="30" spans="1:15" s="2" customFormat="1" ht="17.45" customHeight="1" thickBot="1">
      <c r="A30" s="7" t="s">
        <v>100</v>
      </c>
      <c r="B30" s="8" t="s">
        <v>3</v>
      </c>
      <c r="C30" s="9">
        <v>1798</v>
      </c>
      <c r="D30" s="13"/>
      <c r="E30" s="13"/>
      <c r="F30" s="10"/>
      <c r="G30" s="10"/>
      <c r="H30" s="13"/>
      <c r="I30" s="13"/>
      <c r="J30" s="13"/>
      <c r="K30" s="11" t="s">
        <v>85</v>
      </c>
      <c r="L30" s="18"/>
      <c r="M30" s="14" t="s">
        <v>7</v>
      </c>
      <c r="N30" s="14" t="s">
        <v>8</v>
      </c>
      <c r="O30" s="14" t="s">
        <v>9</v>
      </c>
    </row>
    <row r="31" spans="1:15" s="2" customFormat="1" ht="17.45" customHeight="1" thickBot="1">
      <c r="A31" s="7" t="s">
        <v>139</v>
      </c>
      <c r="B31" s="12" t="s">
        <v>4</v>
      </c>
      <c r="C31" s="13">
        <v>1632</v>
      </c>
      <c r="D31" s="13">
        <v>1692</v>
      </c>
      <c r="E31" s="9">
        <v>1960</v>
      </c>
      <c r="F31" s="10"/>
      <c r="G31" s="10"/>
      <c r="H31" s="10"/>
      <c r="I31" s="10"/>
      <c r="J31" s="10"/>
      <c r="K31" s="11" t="s">
        <v>86</v>
      </c>
      <c r="L31" s="19" t="s">
        <v>3</v>
      </c>
      <c r="M31" s="20">
        <f>SUM(C30+C32+C35+C36+C39)</f>
        <v>6390</v>
      </c>
      <c r="N31" s="21">
        <f>SUM(M31/M34)</f>
        <v>0.46748116175287147</v>
      </c>
      <c r="O31" s="18">
        <v>3</v>
      </c>
    </row>
    <row r="32" spans="1:15" s="2" customFormat="1" ht="17.45" customHeight="1" thickBot="1">
      <c r="A32" s="7" t="s">
        <v>101</v>
      </c>
      <c r="B32" s="8" t="s">
        <v>3</v>
      </c>
      <c r="C32" s="13">
        <v>1547</v>
      </c>
      <c r="D32" s="13">
        <v>1552</v>
      </c>
      <c r="E32" s="13">
        <v>1554</v>
      </c>
      <c r="F32" s="13">
        <v>1554</v>
      </c>
      <c r="G32" s="13">
        <v>1557</v>
      </c>
      <c r="H32" s="13">
        <v>1631</v>
      </c>
      <c r="I32" s="9">
        <v>1763</v>
      </c>
      <c r="J32" s="9"/>
      <c r="K32" s="11" t="s">
        <v>90</v>
      </c>
      <c r="L32" s="23" t="s">
        <v>4</v>
      </c>
      <c r="M32" s="20">
        <f>SUM(C31+C33+C34+C37+C38+C40)</f>
        <v>7063</v>
      </c>
      <c r="N32" s="21">
        <f>SUM(M32/M34)</f>
        <v>0.51671665813153855</v>
      </c>
      <c r="O32" s="18">
        <v>4</v>
      </c>
    </row>
    <row r="33" spans="1:16" s="2" customFormat="1" ht="17.45" customHeight="1" thickBot="1">
      <c r="A33" s="7" t="s">
        <v>104</v>
      </c>
      <c r="B33" s="12" t="s">
        <v>4</v>
      </c>
      <c r="C33" s="13">
        <v>1541</v>
      </c>
      <c r="D33" s="13">
        <v>1546</v>
      </c>
      <c r="E33" s="13">
        <v>1582</v>
      </c>
      <c r="F33" s="13">
        <v>1602</v>
      </c>
      <c r="G33" s="13">
        <v>1602</v>
      </c>
      <c r="H33" s="13">
        <v>1608</v>
      </c>
      <c r="I33" s="9">
        <v>2211</v>
      </c>
      <c r="J33" s="13"/>
      <c r="K33" s="11" t="s">
        <v>87</v>
      </c>
      <c r="L33" s="24" t="s">
        <v>12</v>
      </c>
      <c r="M33" s="29">
        <v>216</v>
      </c>
      <c r="N33" s="15">
        <f>SUM(M33/M34)</f>
        <v>1.5802180115590023E-2</v>
      </c>
    </row>
    <row r="34" spans="1:16" s="2" customFormat="1" ht="17.45" customHeight="1" thickBot="1">
      <c r="A34" s="7" t="s">
        <v>165</v>
      </c>
      <c r="B34" s="12" t="s">
        <v>4</v>
      </c>
      <c r="C34" s="13">
        <v>1458</v>
      </c>
      <c r="D34" s="13">
        <v>1481</v>
      </c>
      <c r="E34" s="13">
        <v>1520</v>
      </c>
      <c r="F34" s="13">
        <v>1551</v>
      </c>
      <c r="G34" s="13">
        <v>1572</v>
      </c>
      <c r="H34" s="13">
        <v>1683</v>
      </c>
      <c r="I34" s="9">
        <v>1717</v>
      </c>
      <c r="J34" s="13"/>
      <c r="K34" s="11" t="s">
        <v>89</v>
      </c>
      <c r="L34" s="42"/>
      <c r="M34" s="28">
        <v>13669</v>
      </c>
      <c r="N34" s="21"/>
      <c r="O34" s="18"/>
    </row>
    <row r="35" spans="1:16" s="2" customFormat="1" ht="17.45" customHeight="1" thickBot="1">
      <c r="A35" s="7" t="s">
        <v>105</v>
      </c>
      <c r="B35" s="8" t="s">
        <v>3</v>
      </c>
      <c r="C35" s="13">
        <v>1150</v>
      </c>
      <c r="D35" s="13">
        <v>1166</v>
      </c>
      <c r="E35" s="13">
        <v>1186</v>
      </c>
      <c r="F35" s="13">
        <v>1198</v>
      </c>
      <c r="G35" s="13">
        <v>1219</v>
      </c>
      <c r="H35" s="13">
        <v>1522</v>
      </c>
      <c r="I35" s="13">
        <v>1543</v>
      </c>
      <c r="J35" s="9">
        <v>1549</v>
      </c>
      <c r="K35" s="11" t="s">
        <v>111</v>
      </c>
      <c r="M35" s="24"/>
      <c r="N35" s="29"/>
      <c r="O35" s="15"/>
    </row>
    <row r="36" spans="1:16" s="2" customFormat="1" ht="17.45" customHeight="1" thickBot="1">
      <c r="A36" s="16" t="s">
        <v>46</v>
      </c>
      <c r="B36" s="17" t="s">
        <v>3</v>
      </c>
      <c r="C36" s="13">
        <v>1068</v>
      </c>
      <c r="D36" s="13">
        <v>1070</v>
      </c>
      <c r="E36" s="13">
        <v>1154</v>
      </c>
      <c r="F36" s="13">
        <v>1167</v>
      </c>
      <c r="G36" s="13">
        <v>1182</v>
      </c>
      <c r="H36" s="13">
        <v>1296</v>
      </c>
      <c r="I36" s="13">
        <v>1306</v>
      </c>
      <c r="J36" s="13">
        <v>1314</v>
      </c>
      <c r="K36" s="11"/>
      <c r="N36" s="14"/>
      <c r="P36" s="15"/>
    </row>
    <row r="37" spans="1:16" s="2" customFormat="1" ht="17.45" customHeight="1" thickBot="1">
      <c r="A37" s="7" t="s">
        <v>166</v>
      </c>
      <c r="B37" s="12" t="s">
        <v>4</v>
      </c>
      <c r="C37" s="10">
        <v>936</v>
      </c>
      <c r="D37" s="13">
        <v>959</v>
      </c>
      <c r="E37" s="13">
        <v>1104</v>
      </c>
      <c r="F37" s="13">
        <v>1232</v>
      </c>
      <c r="G37" s="13">
        <v>1236</v>
      </c>
      <c r="H37" s="13">
        <v>1281</v>
      </c>
      <c r="I37" s="13">
        <v>1352</v>
      </c>
      <c r="J37" s="9">
        <v>1630</v>
      </c>
      <c r="K37" s="9" t="s">
        <v>88</v>
      </c>
      <c r="M37" s="18"/>
      <c r="N37" s="14"/>
      <c r="O37" s="14"/>
      <c r="P37" s="14"/>
    </row>
    <row r="38" spans="1:16" s="2" customFormat="1" ht="17.45" customHeight="1" thickBot="1">
      <c r="A38" s="16" t="s">
        <v>167</v>
      </c>
      <c r="B38" s="22" t="s">
        <v>4</v>
      </c>
      <c r="C38" s="13">
        <v>861</v>
      </c>
      <c r="D38" s="13">
        <v>866</v>
      </c>
      <c r="E38" s="13">
        <v>897</v>
      </c>
      <c r="F38" s="10">
        <v>918</v>
      </c>
      <c r="G38" s="13">
        <v>918</v>
      </c>
      <c r="H38" s="13">
        <v>929</v>
      </c>
      <c r="I38" s="13" t="s">
        <v>10</v>
      </c>
      <c r="M38" s="19"/>
      <c r="N38" s="20"/>
      <c r="O38" s="21"/>
      <c r="P38" s="18"/>
    </row>
    <row r="39" spans="1:16" s="2" customFormat="1" ht="17.45" customHeight="1" thickBot="1">
      <c r="A39" s="16" t="s">
        <v>168</v>
      </c>
      <c r="B39" s="17" t="s">
        <v>3</v>
      </c>
      <c r="C39" s="13">
        <v>827</v>
      </c>
      <c r="D39" s="13">
        <v>861</v>
      </c>
      <c r="E39" s="13">
        <v>869</v>
      </c>
      <c r="F39" s="13">
        <v>872</v>
      </c>
      <c r="G39" s="13">
        <v>897</v>
      </c>
      <c r="H39" s="13" t="s">
        <v>10</v>
      </c>
      <c r="M39" s="23"/>
      <c r="N39" s="20"/>
      <c r="O39" s="21"/>
      <c r="P39" s="18"/>
    </row>
    <row r="40" spans="1:16" s="2" customFormat="1" ht="17.45" customHeight="1" thickBot="1">
      <c r="A40" s="16" t="s">
        <v>169</v>
      </c>
      <c r="B40" s="22" t="s">
        <v>4</v>
      </c>
      <c r="C40" s="10">
        <v>635</v>
      </c>
      <c r="D40" s="13">
        <v>651</v>
      </c>
      <c r="E40" s="13" t="s">
        <v>10</v>
      </c>
      <c r="M40" s="14"/>
      <c r="N40" s="29"/>
      <c r="O40" s="15"/>
    </row>
    <row r="41" spans="1:16" s="2" customFormat="1" ht="17.45" customHeight="1" thickBot="1">
      <c r="A41" s="16" t="s">
        <v>170</v>
      </c>
      <c r="B41" s="25" t="s">
        <v>12</v>
      </c>
      <c r="C41" s="13">
        <v>216</v>
      </c>
      <c r="D41" s="13" t="s">
        <v>10</v>
      </c>
      <c r="O41" s="28"/>
    </row>
    <row r="42" spans="1:16">
      <c r="C42" s="41"/>
      <c r="D42" s="41"/>
      <c r="E42" s="41"/>
      <c r="F42" s="41"/>
      <c r="G42" s="41"/>
      <c r="H42" s="41"/>
      <c r="I42" s="41"/>
      <c r="J42" s="41"/>
      <c r="K42" s="41"/>
    </row>
    <row r="43" spans="1:16" s="2" customFormat="1" ht="17.45" customHeight="1">
      <c r="A43" s="1" t="s">
        <v>274</v>
      </c>
    </row>
    <row r="44" spans="1:16" s="2" customFormat="1" ht="10.5" customHeight="1" thickBot="1">
      <c r="A44" s="1"/>
    </row>
    <row r="45" spans="1:16" s="2" customFormat="1" ht="16.5" customHeight="1" thickBot="1">
      <c r="A45" s="4" t="s">
        <v>0</v>
      </c>
      <c r="B45" s="5" t="s">
        <v>1</v>
      </c>
      <c r="C45" s="5" t="s">
        <v>2</v>
      </c>
      <c r="D45" s="5">
        <v>2</v>
      </c>
      <c r="E45" s="5">
        <v>3</v>
      </c>
      <c r="F45" s="5">
        <v>4</v>
      </c>
      <c r="G45" s="6"/>
      <c r="H45" s="14" t="s">
        <v>6</v>
      </c>
      <c r="I45" s="15">
        <f>SUM(6568/9673)</f>
        <v>0.67900341155794475</v>
      </c>
    </row>
    <row r="46" spans="1:16" s="2" customFormat="1" ht="16.5" customHeight="1" thickBot="1">
      <c r="A46" s="7" t="s">
        <v>175</v>
      </c>
      <c r="B46" s="8" t="s">
        <v>3</v>
      </c>
      <c r="C46" s="9">
        <v>1456</v>
      </c>
      <c r="D46" s="13"/>
      <c r="E46" s="13"/>
      <c r="F46" s="13"/>
      <c r="G46" s="11" t="s">
        <v>85</v>
      </c>
      <c r="H46" s="18"/>
      <c r="I46" s="14" t="s">
        <v>7</v>
      </c>
      <c r="J46" s="14" t="s">
        <v>8</v>
      </c>
      <c r="K46" s="14" t="s">
        <v>9</v>
      </c>
    </row>
    <row r="47" spans="1:16" s="2" customFormat="1" ht="16.5" customHeight="1" thickBot="1">
      <c r="A47" s="7" t="s">
        <v>115</v>
      </c>
      <c r="B47" s="12" t="s">
        <v>4</v>
      </c>
      <c r="C47" s="9">
        <v>1343</v>
      </c>
      <c r="D47" s="9"/>
      <c r="E47" s="13"/>
      <c r="F47" s="9"/>
      <c r="G47" s="11" t="s">
        <v>86</v>
      </c>
      <c r="H47" s="19" t="s">
        <v>3</v>
      </c>
      <c r="I47" s="20">
        <f>SUM(C46+C48+C50)</f>
        <v>3239</v>
      </c>
      <c r="J47" s="21">
        <f>SUM(I47/I50)</f>
        <v>0.50139318885448914</v>
      </c>
      <c r="K47" s="18">
        <v>2</v>
      </c>
    </row>
    <row r="48" spans="1:16" s="2" customFormat="1" ht="16.5" customHeight="1" thickBot="1">
      <c r="A48" s="7" t="s">
        <v>114</v>
      </c>
      <c r="B48" s="8" t="s">
        <v>3</v>
      </c>
      <c r="C48" s="13">
        <v>1038</v>
      </c>
      <c r="D48" s="13">
        <v>1110</v>
      </c>
      <c r="E48" s="13">
        <v>1213</v>
      </c>
      <c r="F48" s="9">
        <v>1246</v>
      </c>
      <c r="G48" s="11" t="s">
        <v>90</v>
      </c>
      <c r="H48" s="23" t="s">
        <v>4</v>
      </c>
      <c r="I48" s="20">
        <f>SUM(C47+C49+C51)</f>
        <v>2858</v>
      </c>
      <c r="J48" s="21">
        <f>SUM(I48/I50)</f>
        <v>0.44241486068111457</v>
      </c>
      <c r="K48" s="18">
        <v>2</v>
      </c>
    </row>
    <row r="49" spans="1:13" s="2" customFormat="1" ht="16.5" customHeight="1" thickBot="1">
      <c r="A49" s="7" t="s">
        <v>171</v>
      </c>
      <c r="B49" s="12" t="s">
        <v>4</v>
      </c>
      <c r="C49" s="13">
        <v>929</v>
      </c>
      <c r="D49" s="13">
        <v>940</v>
      </c>
      <c r="E49" s="13">
        <v>1083</v>
      </c>
      <c r="F49" s="9">
        <v>1456</v>
      </c>
      <c r="G49" s="11" t="s">
        <v>87</v>
      </c>
      <c r="H49" s="43" t="s">
        <v>14</v>
      </c>
      <c r="I49" s="29">
        <v>363</v>
      </c>
      <c r="J49" s="15">
        <f>SUM(I49/I50)</f>
        <v>5.6191950464396283E-2</v>
      </c>
      <c r="K49" s="18"/>
    </row>
    <row r="50" spans="1:13" s="2" customFormat="1" ht="16.5" customHeight="1" thickBot="1">
      <c r="A50" s="16" t="s">
        <v>173</v>
      </c>
      <c r="B50" s="17" t="s">
        <v>3</v>
      </c>
      <c r="C50" s="13">
        <v>745</v>
      </c>
      <c r="D50" s="13">
        <v>787</v>
      </c>
      <c r="E50" s="13">
        <v>795</v>
      </c>
      <c r="F50" s="13">
        <v>841</v>
      </c>
      <c r="G50" s="11"/>
      <c r="I50" s="28">
        <v>6460</v>
      </c>
    </row>
    <row r="51" spans="1:13" s="2" customFormat="1" ht="16.5" customHeight="1" thickBot="1">
      <c r="A51" s="16" t="s">
        <v>172</v>
      </c>
      <c r="B51" s="22" t="s">
        <v>4</v>
      </c>
      <c r="C51" s="13">
        <v>586</v>
      </c>
      <c r="D51" s="13">
        <v>621</v>
      </c>
      <c r="E51" s="13">
        <v>676</v>
      </c>
      <c r="F51" s="9" t="s">
        <v>10</v>
      </c>
      <c r="H51" s="18"/>
    </row>
    <row r="52" spans="1:13" s="2" customFormat="1" ht="16.5" customHeight="1" thickBot="1">
      <c r="A52" s="16" t="s">
        <v>174</v>
      </c>
      <c r="B52" s="33" t="s">
        <v>11</v>
      </c>
      <c r="C52" s="13">
        <v>363</v>
      </c>
      <c r="D52" s="13">
        <v>366</v>
      </c>
      <c r="E52" s="13" t="s">
        <v>10</v>
      </c>
    </row>
    <row r="53" spans="1:13">
      <c r="C53" s="41"/>
      <c r="D53" s="41"/>
      <c r="E53" s="41"/>
      <c r="F53" s="41"/>
    </row>
    <row r="54" spans="1:13" s="2" customFormat="1" ht="17.45" customHeight="1">
      <c r="A54" s="1" t="s">
        <v>286</v>
      </c>
    </row>
    <row r="55" spans="1:13" s="2" customFormat="1" ht="10.5" customHeight="1" thickBot="1">
      <c r="A55" s="1"/>
    </row>
    <row r="56" spans="1:13" s="2" customFormat="1" ht="16.5" customHeight="1" thickBot="1">
      <c r="A56" s="4" t="s">
        <v>0</v>
      </c>
      <c r="B56" s="5" t="s">
        <v>1</v>
      </c>
      <c r="C56" s="5" t="s">
        <v>2</v>
      </c>
      <c r="D56" s="5">
        <v>2</v>
      </c>
      <c r="E56" s="5">
        <v>3</v>
      </c>
      <c r="F56" s="5">
        <v>4</v>
      </c>
      <c r="G56" s="5">
        <v>5</v>
      </c>
      <c r="H56" s="5">
        <v>6</v>
      </c>
      <c r="I56" s="6"/>
      <c r="J56" s="14" t="s">
        <v>6</v>
      </c>
      <c r="K56" s="15">
        <f>SUM(6856/9397)</f>
        <v>0.72959455145259122</v>
      </c>
    </row>
    <row r="57" spans="1:13" s="2" customFormat="1" ht="16.5" customHeight="1" thickBot="1">
      <c r="A57" s="7" t="s">
        <v>59</v>
      </c>
      <c r="B57" s="8" t="s">
        <v>3</v>
      </c>
      <c r="C57" s="9">
        <v>1684</v>
      </c>
      <c r="D57" s="13"/>
      <c r="E57" s="9"/>
      <c r="F57" s="13"/>
      <c r="G57" s="9"/>
      <c r="H57" s="13"/>
      <c r="I57" s="11" t="s">
        <v>85</v>
      </c>
      <c r="J57" s="18"/>
      <c r="K57" s="14" t="s">
        <v>7</v>
      </c>
      <c r="L57" s="14" t="s">
        <v>8</v>
      </c>
      <c r="M57" s="14" t="s">
        <v>9</v>
      </c>
    </row>
    <row r="58" spans="1:13" s="2" customFormat="1" ht="16.5" customHeight="1" thickBot="1">
      <c r="A58" s="7" t="s">
        <v>176</v>
      </c>
      <c r="B58" s="8" t="s">
        <v>3</v>
      </c>
      <c r="C58" s="13">
        <v>1083</v>
      </c>
      <c r="D58" s="13">
        <v>1142</v>
      </c>
      <c r="E58" s="13">
        <v>1175</v>
      </c>
      <c r="F58" s="13">
        <v>1262</v>
      </c>
      <c r="G58" s="13">
        <v>1281</v>
      </c>
      <c r="H58" s="9">
        <v>1282</v>
      </c>
      <c r="I58" s="11" t="s">
        <v>90</v>
      </c>
      <c r="J58" s="19" t="s">
        <v>3</v>
      </c>
      <c r="K58" s="20">
        <f>SUM(C58+C57+C62)</f>
        <v>3464</v>
      </c>
      <c r="L58" s="21">
        <f>SUM(K58/K62)</f>
        <v>0.50628471207249337</v>
      </c>
      <c r="M58" s="18">
        <v>2</v>
      </c>
    </row>
    <row r="59" spans="1:13" s="2" customFormat="1" ht="16.5" customHeight="1" thickBot="1">
      <c r="A59" s="7" t="s">
        <v>153</v>
      </c>
      <c r="B59" s="12" t="s">
        <v>4</v>
      </c>
      <c r="C59" s="13">
        <v>1018</v>
      </c>
      <c r="D59" s="13">
        <v>1022</v>
      </c>
      <c r="E59" s="13">
        <v>1028</v>
      </c>
      <c r="F59" s="13">
        <v>1086</v>
      </c>
      <c r="G59" s="13">
        <v>1193</v>
      </c>
      <c r="H59" s="9">
        <v>1324</v>
      </c>
      <c r="I59" s="11" t="s">
        <v>87</v>
      </c>
      <c r="J59" s="23" t="s">
        <v>4</v>
      </c>
      <c r="K59" s="20">
        <f>SUM(C59:C61)</f>
        <v>2681</v>
      </c>
      <c r="L59" s="21">
        <f>SUM(K59/K62)</f>
        <v>0.39184448991522947</v>
      </c>
      <c r="M59" s="18">
        <v>2</v>
      </c>
    </row>
    <row r="60" spans="1:13" s="2" customFormat="1" ht="16.5" customHeight="1" thickBot="1">
      <c r="A60" s="7" t="s">
        <v>177</v>
      </c>
      <c r="B60" s="12" t="s">
        <v>4</v>
      </c>
      <c r="C60" s="13">
        <v>889</v>
      </c>
      <c r="D60" s="13">
        <v>907</v>
      </c>
      <c r="E60" s="13">
        <v>987</v>
      </c>
      <c r="F60" s="13">
        <v>1011</v>
      </c>
      <c r="G60" s="9">
        <v>1487</v>
      </c>
      <c r="H60" s="13"/>
      <c r="I60" s="9" t="s">
        <v>86</v>
      </c>
      <c r="J60" s="51" t="s">
        <v>285</v>
      </c>
      <c r="K60" s="20">
        <v>323</v>
      </c>
      <c r="L60" s="21">
        <f>SUM(K60/K62)</f>
        <v>4.7208418591055248E-2</v>
      </c>
      <c r="M60" s="18"/>
    </row>
    <row r="61" spans="1:13" s="2" customFormat="1" ht="16.5" customHeight="1" thickBot="1">
      <c r="A61" s="16" t="s">
        <v>178</v>
      </c>
      <c r="B61" s="22" t="s">
        <v>4</v>
      </c>
      <c r="C61" s="13">
        <v>774</v>
      </c>
      <c r="D61" s="13">
        <v>823</v>
      </c>
      <c r="E61" s="13">
        <v>846</v>
      </c>
      <c r="F61" s="13">
        <v>888</v>
      </c>
      <c r="G61" s="9" t="s">
        <v>10</v>
      </c>
      <c r="J61" s="43" t="s">
        <v>14</v>
      </c>
      <c r="K61" s="20">
        <v>292</v>
      </c>
      <c r="L61" s="21">
        <f>SUM(K61/K62)</f>
        <v>4.2677579655071615E-2</v>
      </c>
      <c r="M61" s="18"/>
    </row>
    <row r="62" spans="1:13" s="2" customFormat="1" ht="16.5" customHeight="1" thickBot="1">
      <c r="A62" s="16" t="s">
        <v>151</v>
      </c>
      <c r="B62" s="17" t="s">
        <v>3</v>
      </c>
      <c r="C62" s="13">
        <v>697</v>
      </c>
      <c r="D62" s="13">
        <v>870</v>
      </c>
      <c r="E62" s="13">
        <v>993</v>
      </c>
      <c r="F62" s="13">
        <v>1064</v>
      </c>
      <c r="G62" s="13">
        <v>1156</v>
      </c>
      <c r="H62" s="13">
        <v>1158</v>
      </c>
      <c r="I62" s="11"/>
      <c r="K62" s="28">
        <v>6842</v>
      </c>
    </row>
    <row r="63" spans="1:13" s="2" customFormat="1" ht="16.5" customHeight="1" thickBot="1">
      <c r="A63" s="16" t="s">
        <v>179</v>
      </c>
      <c r="B63" s="52" t="s">
        <v>285</v>
      </c>
      <c r="C63" s="13">
        <v>323</v>
      </c>
      <c r="D63" s="13">
        <v>327</v>
      </c>
      <c r="E63" s="13">
        <v>344</v>
      </c>
      <c r="F63" s="13" t="s">
        <v>10</v>
      </c>
      <c r="J63" s="18"/>
      <c r="M63" s="18"/>
    </row>
    <row r="64" spans="1:13" s="2" customFormat="1" ht="16.5" customHeight="1" thickBot="1">
      <c r="A64" s="16" t="s">
        <v>246</v>
      </c>
      <c r="B64" s="33" t="s">
        <v>11</v>
      </c>
      <c r="C64" s="13">
        <v>292</v>
      </c>
      <c r="D64" s="13">
        <v>316</v>
      </c>
      <c r="E64" s="9" t="s">
        <v>10</v>
      </c>
    </row>
    <row r="66" spans="1:18" s="2" customFormat="1" ht="17.45" customHeight="1">
      <c r="A66" s="1" t="s">
        <v>273</v>
      </c>
    </row>
    <row r="67" spans="1:18" s="2" customFormat="1" ht="10.5" customHeight="1" thickBot="1">
      <c r="A67" s="1"/>
    </row>
    <row r="68" spans="1:18" s="2" customFormat="1" ht="16.5" customHeight="1" thickBot="1">
      <c r="A68" s="4" t="s">
        <v>0</v>
      </c>
      <c r="B68" s="5" t="s">
        <v>1</v>
      </c>
      <c r="C68" s="5" t="s">
        <v>2</v>
      </c>
      <c r="D68" s="5">
        <v>2</v>
      </c>
      <c r="E68" s="5">
        <v>3</v>
      </c>
      <c r="F68" s="5">
        <v>4</v>
      </c>
      <c r="G68" s="5">
        <v>5</v>
      </c>
      <c r="H68" s="5">
        <v>6</v>
      </c>
      <c r="I68" s="5">
        <v>7</v>
      </c>
      <c r="J68" s="5">
        <v>8</v>
      </c>
      <c r="K68" s="5">
        <v>9</v>
      </c>
      <c r="L68" s="5">
        <v>10</v>
      </c>
      <c r="M68" s="5">
        <v>11</v>
      </c>
      <c r="N68" s="6"/>
      <c r="O68" s="14" t="s">
        <v>6</v>
      </c>
      <c r="P68" s="15">
        <f>SUM(10150/13676)</f>
        <v>0.7421760748756947</v>
      </c>
    </row>
    <row r="69" spans="1:18" s="2" customFormat="1" ht="16.5" customHeight="1" thickBot="1">
      <c r="A69" s="7" t="s">
        <v>180</v>
      </c>
      <c r="B69" s="8" t="s">
        <v>3</v>
      </c>
      <c r="C69" s="9">
        <v>1848</v>
      </c>
      <c r="D69" s="13"/>
      <c r="E69" s="13"/>
      <c r="F69" s="9"/>
      <c r="G69" s="13"/>
      <c r="H69" s="9"/>
      <c r="I69" s="9"/>
      <c r="J69" s="9"/>
      <c r="K69" s="9"/>
      <c r="L69" s="9"/>
      <c r="M69" s="9"/>
      <c r="N69" s="11" t="s">
        <v>85</v>
      </c>
      <c r="O69" s="18"/>
      <c r="P69" s="14" t="s">
        <v>7</v>
      </c>
      <c r="Q69" s="14" t="s">
        <v>8</v>
      </c>
      <c r="R69" s="14" t="s">
        <v>9</v>
      </c>
    </row>
    <row r="70" spans="1:18" s="2" customFormat="1" ht="16.5" customHeight="1" thickBot="1">
      <c r="A70" s="7" t="s">
        <v>126</v>
      </c>
      <c r="B70" s="8" t="s">
        <v>3</v>
      </c>
      <c r="C70" s="9">
        <v>1748</v>
      </c>
      <c r="D70" s="13"/>
      <c r="E70" s="13"/>
      <c r="F70" s="13"/>
      <c r="G70" s="9"/>
      <c r="H70" s="9"/>
      <c r="I70" s="9"/>
      <c r="J70" s="9"/>
      <c r="K70" s="9"/>
      <c r="L70" s="9"/>
      <c r="M70" s="9"/>
      <c r="N70" s="11" t="s">
        <v>86</v>
      </c>
      <c r="O70" s="19" t="s">
        <v>3</v>
      </c>
      <c r="P70" s="20">
        <f>SUM(C69+C70+C73+C74)</f>
        <v>4956</v>
      </c>
      <c r="Q70" s="21">
        <f>SUM(P70/P74)</f>
        <v>0.49298716800954939</v>
      </c>
      <c r="R70" s="18">
        <v>3</v>
      </c>
    </row>
    <row r="71" spans="1:18" s="2" customFormat="1" ht="16.5" customHeight="1" thickBot="1">
      <c r="A71" s="7" t="s">
        <v>258</v>
      </c>
      <c r="B71" s="12" t="s">
        <v>4</v>
      </c>
      <c r="C71" s="13">
        <v>1440</v>
      </c>
      <c r="D71" s="13">
        <v>1443</v>
      </c>
      <c r="E71" s="13">
        <v>1444</v>
      </c>
      <c r="F71" s="13">
        <v>1489</v>
      </c>
      <c r="G71" s="13">
        <v>1599</v>
      </c>
      <c r="H71" s="9">
        <v>1791</v>
      </c>
      <c r="I71" s="13"/>
      <c r="J71" s="13"/>
      <c r="K71" s="13"/>
      <c r="L71" s="13"/>
      <c r="M71" s="13"/>
      <c r="N71" s="11" t="s">
        <v>87</v>
      </c>
      <c r="O71" s="23" t="s">
        <v>4</v>
      </c>
      <c r="P71" s="20">
        <f>SUM(C71+C72+C75+C77)</f>
        <v>3784</v>
      </c>
      <c r="Q71" s="21">
        <f>SUM(P71/P74)</f>
        <v>0.37640505321794487</v>
      </c>
      <c r="R71" s="18">
        <v>2</v>
      </c>
    </row>
    <row r="72" spans="1:18" s="2" customFormat="1" ht="16.5" customHeight="1" thickBot="1">
      <c r="A72" s="7" t="s">
        <v>69</v>
      </c>
      <c r="B72" s="8" t="s">
        <v>3</v>
      </c>
      <c r="C72" s="13">
        <v>1161</v>
      </c>
      <c r="D72" s="13">
        <v>1258</v>
      </c>
      <c r="E72" s="13">
        <v>1266</v>
      </c>
      <c r="F72" s="13">
        <v>1280</v>
      </c>
      <c r="G72" s="13">
        <v>1335</v>
      </c>
      <c r="H72" s="13">
        <v>1456</v>
      </c>
      <c r="I72" s="13">
        <v>1460</v>
      </c>
      <c r="J72" s="13">
        <v>1477</v>
      </c>
      <c r="K72" s="9">
        <v>1903</v>
      </c>
      <c r="L72" s="9"/>
      <c r="M72" s="9"/>
      <c r="N72" s="11" t="s">
        <v>90</v>
      </c>
      <c r="O72" s="24" t="s">
        <v>12</v>
      </c>
      <c r="P72" s="20">
        <v>259</v>
      </c>
      <c r="Q72" s="21">
        <f>SUM(P72/P74)</f>
        <v>2.5763453695414305E-2</v>
      </c>
    </row>
    <row r="73" spans="1:18" s="2" customFormat="1" ht="16.5" customHeight="1" thickBot="1">
      <c r="A73" s="7" t="s">
        <v>183</v>
      </c>
      <c r="B73" s="12" t="s">
        <v>4</v>
      </c>
      <c r="C73" s="13">
        <v>740</v>
      </c>
      <c r="D73" s="13">
        <v>740</v>
      </c>
      <c r="E73" s="13">
        <v>741</v>
      </c>
      <c r="F73" s="13">
        <v>793</v>
      </c>
      <c r="G73" s="13">
        <v>803</v>
      </c>
      <c r="H73" s="13">
        <v>852</v>
      </c>
      <c r="I73" s="13">
        <v>899</v>
      </c>
      <c r="J73" s="13">
        <v>902</v>
      </c>
      <c r="K73" s="13">
        <v>959</v>
      </c>
      <c r="L73" s="9">
        <v>1165</v>
      </c>
      <c r="M73" s="9" t="s">
        <v>199</v>
      </c>
      <c r="N73" s="11" t="s">
        <v>89</v>
      </c>
      <c r="O73" s="43" t="s">
        <v>14</v>
      </c>
      <c r="P73" s="20">
        <f>SUM(C76+C78+C80)</f>
        <v>1054</v>
      </c>
      <c r="Q73" s="21">
        <f>SUM(P73/P74)</f>
        <v>0.10484432507709142</v>
      </c>
    </row>
    <row r="74" spans="1:18" s="2" customFormat="1" ht="16.5" customHeight="1" thickBot="1">
      <c r="A74" s="16" t="s">
        <v>184</v>
      </c>
      <c r="B74" s="22" t="s">
        <v>4</v>
      </c>
      <c r="C74" s="13">
        <v>620</v>
      </c>
      <c r="D74" s="13">
        <v>653</v>
      </c>
      <c r="E74" s="13">
        <v>729</v>
      </c>
      <c r="F74" s="13">
        <v>737</v>
      </c>
      <c r="G74" s="13">
        <v>753</v>
      </c>
      <c r="H74" s="13">
        <v>879</v>
      </c>
      <c r="I74" s="13">
        <v>933</v>
      </c>
      <c r="J74" s="13">
        <v>934</v>
      </c>
      <c r="K74" s="13">
        <v>938</v>
      </c>
      <c r="L74" s="13">
        <v>1037</v>
      </c>
      <c r="M74" s="13"/>
      <c r="N74" s="11"/>
      <c r="O74" s="18"/>
      <c r="P74" s="28">
        <v>10053</v>
      </c>
      <c r="R74" s="18"/>
    </row>
    <row r="75" spans="1:18" s="2" customFormat="1" ht="16.5" customHeight="1" thickBot="1">
      <c r="A75" s="16" t="s">
        <v>185</v>
      </c>
      <c r="B75" s="17" t="s">
        <v>3</v>
      </c>
      <c r="C75" s="13">
        <v>605</v>
      </c>
      <c r="D75" s="13">
        <v>615</v>
      </c>
      <c r="E75" s="13">
        <v>617</v>
      </c>
      <c r="F75" s="13">
        <v>652</v>
      </c>
      <c r="G75" s="13">
        <v>691</v>
      </c>
      <c r="H75" s="13">
        <v>709</v>
      </c>
      <c r="I75" s="13">
        <v>713</v>
      </c>
      <c r="J75" s="13">
        <v>747</v>
      </c>
      <c r="K75" s="9" t="s">
        <v>10</v>
      </c>
    </row>
    <row r="76" spans="1:18" s="2" customFormat="1" ht="16.5" customHeight="1" thickBot="1">
      <c r="A76" s="16" t="s">
        <v>186</v>
      </c>
      <c r="B76" s="33" t="s">
        <v>11</v>
      </c>
      <c r="C76" s="13">
        <v>591</v>
      </c>
      <c r="D76" s="13">
        <v>594</v>
      </c>
      <c r="E76" s="13">
        <v>598</v>
      </c>
      <c r="F76" s="13">
        <v>654</v>
      </c>
      <c r="G76" s="13">
        <v>720</v>
      </c>
      <c r="H76" s="13">
        <v>767</v>
      </c>
      <c r="I76" s="13">
        <v>773</v>
      </c>
      <c r="J76" s="13">
        <v>791</v>
      </c>
      <c r="K76" s="13">
        <v>871</v>
      </c>
      <c r="L76" s="13">
        <v>893</v>
      </c>
      <c r="M76" s="13" t="s">
        <v>10</v>
      </c>
    </row>
    <row r="77" spans="1:18" s="2" customFormat="1" ht="16.5" customHeight="1" thickBot="1">
      <c r="A77" s="16" t="s">
        <v>182</v>
      </c>
      <c r="B77" s="22" t="s">
        <v>4</v>
      </c>
      <c r="C77" s="13">
        <v>578</v>
      </c>
      <c r="D77" s="13">
        <v>585</v>
      </c>
      <c r="E77" s="13">
        <v>589</v>
      </c>
      <c r="F77" s="13">
        <v>603</v>
      </c>
      <c r="G77" s="13">
        <v>611</v>
      </c>
      <c r="H77" s="9" t="s">
        <v>10</v>
      </c>
    </row>
    <row r="78" spans="1:18" s="2" customFormat="1" ht="16.5" customHeight="1" thickBot="1">
      <c r="A78" s="16" t="s">
        <v>187</v>
      </c>
      <c r="B78" s="33" t="s">
        <v>11</v>
      </c>
      <c r="C78" s="13">
        <v>339</v>
      </c>
      <c r="D78" s="13">
        <v>341</v>
      </c>
      <c r="E78" s="13">
        <v>343</v>
      </c>
      <c r="F78" s="13">
        <v>343</v>
      </c>
      <c r="G78" s="13" t="s">
        <v>10</v>
      </c>
    </row>
    <row r="79" spans="1:18" s="2" customFormat="1" ht="16.5" customHeight="1" thickBot="1">
      <c r="A79" s="16" t="s">
        <v>188</v>
      </c>
      <c r="B79" s="25" t="s">
        <v>12</v>
      </c>
      <c r="C79" s="13">
        <v>259</v>
      </c>
      <c r="D79" s="13">
        <v>259</v>
      </c>
      <c r="E79" s="13">
        <v>261</v>
      </c>
      <c r="F79" s="13" t="s">
        <v>10</v>
      </c>
      <c r="H79" s="23"/>
    </row>
    <row r="80" spans="1:18" s="2" customFormat="1" ht="16.5" customHeight="1" thickBot="1">
      <c r="A80" s="16" t="s">
        <v>189</v>
      </c>
      <c r="B80" s="33" t="s">
        <v>11</v>
      </c>
      <c r="C80" s="13">
        <v>124</v>
      </c>
      <c r="D80" s="13">
        <v>140</v>
      </c>
      <c r="E80" s="13" t="s">
        <v>10</v>
      </c>
      <c r="F80" s="23"/>
      <c r="H80" s="23"/>
    </row>
    <row r="81" spans="1:19">
      <c r="C81" s="41"/>
    </row>
    <row r="82" spans="1:19" s="108" customFormat="1" ht="15" customHeight="1">
      <c r="B82" s="46" t="s">
        <v>259</v>
      </c>
      <c r="C82" s="83" t="s">
        <v>3</v>
      </c>
      <c r="D82" s="84" t="s">
        <v>4</v>
      </c>
      <c r="E82" s="85" t="s">
        <v>12</v>
      </c>
      <c r="F82" s="87" t="s">
        <v>285</v>
      </c>
      <c r="G82" s="46" t="s">
        <v>14</v>
      </c>
      <c r="Q82" s="109"/>
      <c r="R82" s="110"/>
      <c r="S82" s="111"/>
    </row>
    <row r="83" spans="1:19" s="108" customFormat="1" ht="15" customHeight="1">
      <c r="A83" s="108" t="s">
        <v>7</v>
      </c>
      <c r="B83" s="112">
        <f>SUM(P74+K62+I50+M34+J22+L8)</f>
        <v>58315</v>
      </c>
      <c r="C83" s="110">
        <f>SUM(P70+K58+I47+M31+J19+L5)</f>
        <v>27726</v>
      </c>
      <c r="D83" s="110">
        <f>SUM(P71+K59+I48+M32+J20+L6)</f>
        <v>26365</v>
      </c>
      <c r="E83" s="110">
        <f>SUM(P72+M33)</f>
        <v>475</v>
      </c>
      <c r="F83" s="110">
        <f>SUM(K60+J21)</f>
        <v>532</v>
      </c>
      <c r="G83" s="110">
        <f>SUM(P73+K61+I49+L7)</f>
        <v>3155</v>
      </c>
      <c r="Q83" s="46"/>
      <c r="R83" s="112"/>
      <c r="S83" s="111"/>
    </row>
    <row r="84" spans="1:19" s="108" customFormat="1" ht="15" customHeight="1">
      <c r="A84" s="108" t="s">
        <v>8</v>
      </c>
      <c r="B84" s="115">
        <v>1</v>
      </c>
      <c r="C84" s="111">
        <f>SUM(C83/$B$83)</f>
        <v>0.47545228500385833</v>
      </c>
      <c r="D84" s="111">
        <f>SUM(D83/$B$83)</f>
        <v>0.4521135213924376</v>
      </c>
      <c r="E84" s="111">
        <f>SUM(E83/$B$83)</f>
        <v>8.145417131098346E-3</v>
      </c>
      <c r="F84" s="111">
        <f>SUM(F83/$B$83)</f>
        <v>9.1228671868301466E-3</v>
      </c>
      <c r="G84" s="111">
        <f>SUM(G83/$B$83)</f>
        <v>5.4102717997084798E-2</v>
      </c>
    </row>
    <row r="85" spans="1:19" s="108" customFormat="1" ht="15" customHeight="1">
      <c r="A85" s="108" t="s">
        <v>9</v>
      </c>
      <c r="B85" s="46">
        <v>31</v>
      </c>
      <c r="C85" s="108">
        <v>15</v>
      </c>
      <c r="D85" s="108">
        <v>16</v>
      </c>
      <c r="E85" s="108">
        <v>0</v>
      </c>
      <c r="F85" s="108">
        <v>0</v>
      </c>
      <c r="G85" s="108">
        <v>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6"/>
  <dimension ref="A1:S84"/>
  <sheetViews>
    <sheetView workbookViewId="0">
      <selection activeCell="N1" sqref="N1"/>
    </sheetView>
  </sheetViews>
  <sheetFormatPr defaultRowHeight="12.75"/>
  <cols>
    <col min="1" max="1" width="25.28515625" customWidth="1"/>
    <col min="2" max="2" width="7.7109375" customWidth="1"/>
    <col min="3" max="3" width="9.7109375" customWidth="1"/>
    <col min="4" max="18" width="8.7109375" customWidth="1"/>
  </cols>
  <sheetData>
    <row r="1" spans="1:15" s="2" customFormat="1" ht="16.5" customHeight="1">
      <c r="A1" s="1" t="s">
        <v>279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6"/>
      <c r="J3" s="14" t="s">
        <v>6</v>
      </c>
      <c r="K3" s="15">
        <f>(10801/15882)</f>
        <v>0.68007807580909208</v>
      </c>
    </row>
    <row r="4" spans="1:15" s="2" customFormat="1" ht="16.5" customHeight="1" thickBot="1">
      <c r="A4" s="7" t="s">
        <v>131</v>
      </c>
      <c r="B4" s="8" t="s">
        <v>3</v>
      </c>
      <c r="C4" s="9">
        <v>2240</v>
      </c>
      <c r="D4" s="13"/>
      <c r="E4" s="11"/>
      <c r="F4" s="10"/>
      <c r="G4" s="10"/>
      <c r="H4" s="10"/>
      <c r="I4" s="11" t="s">
        <v>85</v>
      </c>
      <c r="J4" s="18"/>
      <c r="K4" s="14" t="s">
        <v>7</v>
      </c>
      <c r="L4" s="14" t="s">
        <v>8</v>
      </c>
      <c r="M4" s="14" t="s">
        <v>9</v>
      </c>
    </row>
    <row r="5" spans="1:15" s="2" customFormat="1" ht="16.5" customHeight="1" thickBot="1">
      <c r="A5" s="7" t="s">
        <v>84</v>
      </c>
      <c r="B5" s="8" t="s">
        <v>3</v>
      </c>
      <c r="C5" s="9">
        <v>1605</v>
      </c>
      <c r="D5" s="13"/>
      <c r="E5" s="13"/>
      <c r="F5" s="9"/>
      <c r="G5" s="13"/>
      <c r="H5" s="9"/>
      <c r="I5" s="11" t="s">
        <v>86</v>
      </c>
      <c r="J5" s="19" t="s">
        <v>3</v>
      </c>
      <c r="K5" s="20">
        <f>SUM(C4+C5+C8+C10)</f>
        <v>6083</v>
      </c>
      <c r="L5" s="21">
        <f>SUM(K5/K7)</f>
        <v>0.56659836065573765</v>
      </c>
      <c r="M5" s="18">
        <v>3</v>
      </c>
    </row>
    <row r="6" spans="1:15" s="2" customFormat="1" ht="16.5" customHeight="1" thickBot="1">
      <c r="A6" s="7" t="s">
        <v>17</v>
      </c>
      <c r="B6" s="12" t="s">
        <v>4</v>
      </c>
      <c r="C6" s="13">
        <v>1386</v>
      </c>
      <c r="D6" s="13">
        <v>1450</v>
      </c>
      <c r="E6" s="9">
        <v>1740</v>
      </c>
      <c r="F6" s="13"/>
      <c r="G6" s="9"/>
      <c r="H6" s="9"/>
      <c r="I6" s="11" t="s">
        <v>87</v>
      </c>
      <c r="J6" s="23" t="s">
        <v>4</v>
      </c>
      <c r="K6" s="20">
        <f>SUM(C6+C7+C9+C11)</f>
        <v>4653</v>
      </c>
      <c r="L6" s="21">
        <f>SUM(K6/K7)</f>
        <v>0.43340163934426229</v>
      </c>
      <c r="M6" s="18">
        <v>3</v>
      </c>
    </row>
    <row r="7" spans="1:15" s="2" customFormat="1" ht="16.5" customHeight="1" thickBot="1">
      <c r="A7" s="7" t="s">
        <v>80</v>
      </c>
      <c r="B7" s="12" t="s">
        <v>4</v>
      </c>
      <c r="C7" s="13">
        <v>1351</v>
      </c>
      <c r="D7" s="13">
        <v>1385</v>
      </c>
      <c r="E7" s="9">
        <v>1612</v>
      </c>
      <c r="F7" s="13"/>
      <c r="G7" s="10"/>
      <c r="H7" s="13"/>
      <c r="I7" s="11" t="s">
        <v>90</v>
      </c>
      <c r="J7" s="24"/>
      <c r="K7" s="28">
        <v>10736</v>
      </c>
      <c r="L7" s="21"/>
    </row>
    <row r="8" spans="1:15" s="2" customFormat="1" ht="16.5" customHeight="1" thickBot="1">
      <c r="A8" s="16" t="s">
        <v>79</v>
      </c>
      <c r="B8" s="17" t="s">
        <v>3</v>
      </c>
      <c r="C8" s="13">
        <v>1192</v>
      </c>
      <c r="D8" s="13">
        <v>1328</v>
      </c>
      <c r="E8" s="13">
        <v>1348</v>
      </c>
      <c r="F8" s="13">
        <v>1355</v>
      </c>
      <c r="G8" s="13">
        <v>1374</v>
      </c>
      <c r="H8" s="13">
        <v>1393</v>
      </c>
      <c r="I8" s="11"/>
    </row>
    <row r="9" spans="1:15" s="2" customFormat="1" ht="16.5" customHeight="1" thickBot="1">
      <c r="A9" s="7" t="s">
        <v>132</v>
      </c>
      <c r="B9" s="12" t="s">
        <v>4</v>
      </c>
      <c r="C9" s="13">
        <v>1089</v>
      </c>
      <c r="D9" s="13">
        <v>1144</v>
      </c>
      <c r="E9" s="13">
        <v>1387</v>
      </c>
      <c r="F9" s="9">
        <v>1568</v>
      </c>
      <c r="G9" s="9"/>
      <c r="H9" s="13"/>
      <c r="I9" s="11" t="s">
        <v>89</v>
      </c>
      <c r="J9" s="14"/>
      <c r="L9" s="15"/>
      <c r="M9" s="18"/>
    </row>
    <row r="10" spans="1:15" s="2" customFormat="1" ht="16.5" customHeight="1" thickBot="1">
      <c r="A10" s="7" t="s">
        <v>133</v>
      </c>
      <c r="B10" s="8" t="s">
        <v>3</v>
      </c>
      <c r="C10" s="13">
        <v>1046</v>
      </c>
      <c r="D10" s="13">
        <v>1366</v>
      </c>
      <c r="E10" s="13">
        <v>1416</v>
      </c>
      <c r="F10" s="13">
        <v>1423</v>
      </c>
      <c r="G10" s="13">
        <v>1466</v>
      </c>
      <c r="H10" s="9">
        <v>1518</v>
      </c>
      <c r="I10" s="11" t="s">
        <v>88</v>
      </c>
    </row>
    <row r="11" spans="1:15" s="2" customFormat="1" ht="16.5" customHeight="1" thickBot="1">
      <c r="A11" s="16" t="s">
        <v>78</v>
      </c>
      <c r="B11" s="22" t="s">
        <v>4</v>
      </c>
      <c r="C11" s="10">
        <v>827</v>
      </c>
      <c r="D11" s="10">
        <v>924</v>
      </c>
      <c r="E11" s="10" t="s">
        <v>10</v>
      </c>
    </row>
    <row r="12" spans="1:15" s="2" customFormat="1" ht="12.75" customHeight="1">
      <c r="A12" s="1"/>
      <c r="C12" s="29"/>
      <c r="D12" s="29"/>
      <c r="E12" s="29"/>
      <c r="F12" s="29"/>
      <c r="G12" s="29"/>
      <c r="H12" s="29"/>
      <c r="I12" s="29"/>
    </row>
    <row r="13" spans="1:15" s="2" customFormat="1" ht="17.45" customHeight="1">
      <c r="A13" s="1" t="s">
        <v>280</v>
      </c>
    </row>
    <row r="14" spans="1:15" s="2" customFormat="1" ht="10.5" customHeight="1" thickBot="1">
      <c r="A14" s="1"/>
    </row>
    <row r="15" spans="1:15" s="2" customFormat="1" ht="16.5" customHeight="1" thickBot="1">
      <c r="A15" s="4" t="s">
        <v>0</v>
      </c>
      <c r="B15" s="5" t="s">
        <v>1</v>
      </c>
      <c r="C15" s="5" t="s">
        <v>2</v>
      </c>
      <c r="D15" s="5">
        <v>2</v>
      </c>
      <c r="E15" s="5">
        <v>3</v>
      </c>
      <c r="F15" s="5">
        <v>4</v>
      </c>
      <c r="G15" s="5">
        <v>5</v>
      </c>
      <c r="H15" s="5">
        <v>6</v>
      </c>
      <c r="I15" s="5">
        <v>7</v>
      </c>
      <c r="J15" s="5">
        <v>8</v>
      </c>
      <c r="K15" s="6"/>
      <c r="L15" s="14" t="s">
        <v>6</v>
      </c>
      <c r="M15" s="15">
        <f>(10575/14250)</f>
        <v>0.74210526315789471</v>
      </c>
    </row>
    <row r="16" spans="1:15" s="2" customFormat="1" ht="16.5" customHeight="1" thickBot="1">
      <c r="A16" s="7" t="s">
        <v>134</v>
      </c>
      <c r="B16" s="37" t="s">
        <v>11</v>
      </c>
      <c r="C16" s="9">
        <v>2053</v>
      </c>
      <c r="D16" s="13"/>
      <c r="E16" s="13"/>
      <c r="F16" s="13"/>
      <c r="G16" s="13"/>
      <c r="H16" s="9"/>
      <c r="I16" s="13"/>
      <c r="J16" s="9"/>
      <c r="K16" s="11" t="s">
        <v>85</v>
      </c>
      <c r="L16" s="18"/>
      <c r="M16" s="14" t="s">
        <v>7</v>
      </c>
      <c r="N16" s="14" t="s">
        <v>8</v>
      </c>
      <c r="O16" s="14" t="s">
        <v>9</v>
      </c>
    </row>
    <row r="17" spans="1:16" s="2" customFormat="1" ht="16.5" customHeight="1" thickBot="1">
      <c r="A17" s="7" t="s">
        <v>135</v>
      </c>
      <c r="B17" s="8" t="s">
        <v>3</v>
      </c>
      <c r="C17" s="9">
        <v>1790</v>
      </c>
      <c r="D17" s="13"/>
      <c r="E17" s="13"/>
      <c r="F17" s="9"/>
      <c r="G17" s="13"/>
      <c r="H17" s="9"/>
      <c r="I17" s="13"/>
      <c r="J17" s="9"/>
      <c r="K17" s="11" t="s">
        <v>86</v>
      </c>
      <c r="L17" s="19" t="s">
        <v>3</v>
      </c>
      <c r="M17" s="20">
        <f>SUM(C17+C20+C21+C23+C25)</f>
        <v>4580</v>
      </c>
      <c r="N17" s="21">
        <f>SUM(M17/M21)</f>
        <v>0.43635670731707316</v>
      </c>
      <c r="O17" s="18">
        <v>2</v>
      </c>
    </row>
    <row r="18" spans="1:16" s="2" customFormat="1" ht="16.5" customHeight="1" thickBot="1">
      <c r="A18" s="7" t="s">
        <v>92</v>
      </c>
      <c r="B18" s="12" t="s">
        <v>4</v>
      </c>
      <c r="C18" s="13">
        <v>1480</v>
      </c>
      <c r="D18" s="13">
        <v>1563</v>
      </c>
      <c r="E18" s="13">
        <v>1574</v>
      </c>
      <c r="F18" s="13">
        <v>1594</v>
      </c>
      <c r="G18" s="9">
        <v>1753</v>
      </c>
      <c r="H18" s="9"/>
      <c r="I18" s="13"/>
      <c r="J18" s="9"/>
      <c r="K18" s="11" t="s">
        <v>87</v>
      </c>
      <c r="L18" s="23" t="s">
        <v>4</v>
      </c>
      <c r="M18" s="20">
        <f>SUM(C18+C19+C22)</f>
        <v>3362</v>
      </c>
      <c r="N18" s="21">
        <f>SUM(M18/M21)</f>
        <v>0.3203125</v>
      </c>
      <c r="O18" s="18">
        <v>2</v>
      </c>
    </row>
    <row r="19" spans="1:16" s="2" customFormat="1" ht="16.5" customHeight="1" thickBot="1">
      <c r="A19" s="7" t="s">
        <v>94</v>
      </c>
      <c r="B19" s="12" t="s">
        <v>4</v>
      </c>
      <c r="C19" s="13">
        <v>1242</v>
      </c>
      <c r="D19" s="13">
        <v>1276</v>
      </c>
      <c r="E19" s="13">
        <v>1286</v>
      </c>
      <c r="F19" s="13">
        <v>1345</v>
      </c>
      <c r="G19" s="13">
        <v>1382</v>
      </c>
      <c r="H19" s="13">
        <v>1384</v>
      </c>
      <c r="I19" s="9">
        <v>1897</v>
      </c>
      <c r="J19" s="9"/>
      <c r="K19" s="11" t="s">
        <v>90</v>
      </c>
      <c r="L19" s="24" t="s">
        <v>12</v>
      </c>
      <c r="M19" s="20">
        <v>501</v>
      </c>
      <c r="N19" s="21">
        <f>SUM(M19/M21)</f>
        <v>4.7732469512195119E-2</v>
      </c>
    </row>
    <row r="20" spans="1:16" s="2" customFormat="1" ht="16.5" customHeight="1" thickBot="1">
      <c r="A20" s="7" t="s">
        <v>93</v>
      </c>
      <c r="B20" s="8" t="s">
        <v>3</v>
      </c>
      <c r="C20" s="13">
        <v>991</v>
      </c>
      <c r="D20" s="13">
        <v>1045</v>
      </c>
      <c r="E20" s="13">
        <v>1066</v>
      </c>
      <c r="F20" s="13">
        <v>1103</v>
      </c>
      <c r="G20" s="13">
        <v>1212</v>
      </c>
      <c r="H20" s="13">
        <v>1239</v>
      </c>
      <c r="I20" s="13">
        <v>1284</v>
      </c>
      <c r="J20" s="9">
        <v>1490</v>
      </c>
      <c r="K20" s="11" t="s">
        <v>89</v>
      </c>
      <c r="L20" s="43" t="s">
        <v>14</v>
      </c>
      <c r="M20" s="29">
        <v>2053</v>
      </c>
      <c r="N20" s="15">
        <f>SUM(M20/M21)</f>
        <v>0.1955983231707317</v>
      </c>
      <c r="O20" s="18">
        <v>1</v>
      </c>
    </row>
    <row r="21" spans="1:16" s="2" customFormat="1" ht="16.5" customHeight="1" thickBot="1">
      <c r="A21" s="16" t="s">
        <v>136</v>
      </c>
      <c r="B21" s="17" t="s">
        <v>3</v>
      </c>
      <c r="C21" s="13">
        <v>863</v>
      </c>
      <c r="D21" s="13">
        <v>869</v>
      </c>
      <c r="E21" s="13">
        <v>870</v>
      </c>
      <c r="F21" s="13">
        <v>938</v>
      </c>
      <c r="G21" s="13">
        <v>955</v>
      </c>
      <c r="H21" s="13">
        <v>957</v>
      </c>
      <c r="I21" s="13">
        <v>969</v>
      </c>
      <c r="J21" s="13">
        <v>1330</v>
      </c>
      <c r="K21" s="11"/>
      <c r="M21" s="28">
        <v>10496</v>
      </c>
      <c r="N21" s="21"/>
    </row>
    <row r="22" spans="1:16" s="2" customFormat="1" ht="16.5" customHeight="1" thickBot="1">
      <c r="A22" s="16" t="s">
        <v>137</v>
      </c>
      <c r="B22" s="22" t="s">
        <v>4</v>
      </c>
      <c r="C22" s="13">
        <v>640</v>
      </c>
      <c r="D22" s="13">
        <v>687</v>
      </c>
      <c r="E22" s="13">
        <v>694</v>
      </c>
      <c r="F22" s="10">
        <v>699</v>
      </c>
      <c r="G22" s="13">
        <v>745</v>
      </c>
      <c r="H22" s="13">
        <v>748</v>
      </c>
      <c r="I22" s="13" t="s">
        <v>10</v>
      </c>
    </row>
    <row r="23" spans="1:16" s="2" customFormat="1" ht="16.5" customHeight="1" thickBot="1">
      <c r="A23" s="16" t="s">
        <v>91</v>
      </c>
      <c r="B23" s="17" t="s">
        <v>3</v>
      </c>
      <c r="C23" s="10">
        <v>598</v>
      </c>
      <c r="D23" s="10">
        <v>606</v>
      </c>
      <c r="E23" s="10">
        <v>611</v>
      </c>
      <c r="F23" s="13">
        <v>737</v>
      </c>
      <c r="G23" s="13">
        <v>750</v>
      </c>
      <c r="H23" s="13">
        <v>756</v>
      </c>
      <c r="I23" s="13">
        <v>769</v>
      </c>
      <c r="J23" s="13" t="s">
        <v>10</v>
      </c>
    </row>
    <row r="24" spans="1:16" s="2" customFormat="1" ht="16.5" customHeight="1" thickBot="1">
      <c r="A24" s="16" t="s">
        <v>95</v>
      </c>
      <c r="B24" s="25" t="s">
        <v>12</v>
      </c>
      <c r="C24" s="10">
        <v>389</v>
      </c>
      <c r="D24" s="10">
        <v>439</v>
      </c>
      <c r="E24" s="10">
        <v>491</v>
      </c>
      <c r="F24" s="13">
        <v>510</v>
      </c>
      <c r="G24" s="13" t="s">
        <v>10</v>
      </c>
    </row>
    <row r="25" spans="1:16" s="2" customFormat="1" ht="16.5" customHeight="1" thickBot="1">
      <c r="A25" s="16" t="s">
        <v>138</v>
      </c>
      <c r="B25" s="17" t="s">
        <v>3</v>
      </c>
      <c r="C25" s="10">
        <v>338</v>
      </c>
      <c r="D25" s="10">
        <v>350</v>
      </c>
      <c r="E25" s="10">
        <v>351</v>
      </c>
      <c r="F25" s="13" t="s">
        <v>10</v>
      </c>
    </row>
    <row r="26" spans="1:16" s="2" customFormat="1" ht="16.5" customHeight="1" thickBot="1">
      <c r="A26" s="16" t="s">
        <v>32</v>
      </c>
      <c r="B26" s="25" t="s">
        <v>12</v>
      </c>
      <c r="C26" s="10">
        <v>112</v>
      </c>
      <c r="D26" s="10">
        <v>121</v>
      </c>
      <c r="E26" s="10" t="s">
        <v>10</v>
      </c>
    </row>
    <row r="27" spans="1:16" s="2" customFormat="1" ht="13.5" customHeight="1">
      <c r="A27" s="35"/>
      <c r="B27" s="36"/>
      <c r="C27" s="40"/>
      <c r="D27" s="40"/>
      <c r="E27" s="40"/>
      <c r="F27" s="40"/>
      <c r="G27" s="40"/>
      <c r="H27" s="40"/>
    </row>
    <row r="28" spans="1:16" s="2" customFormat="1" ht="17.45" customHeight="1">
      <c r="A28" s="1" t="s">
        <v>281</v>
      </c>
    </row>
    <row r="29" spans="1:16" s="2" customFormat="1" ht="8.25" customHeight="1" thickBot="1">
      <c r="A29" s="1"/>
    </row>
    <row r="30" spans="1:16" s="2" customFormat="1" ht="17.45" customHeight="1" thickBot="1">
      <c r="A30" s="4" t="s">
        <v>0</v>
      </c>
      <c r="B30" s="5" t="s">
        <v>1</v>
      </c>
      <c r="C30" s="5" t="s">
        <v>2</v>
      </c>
      <c r="D30" s="5">
        <v>2</v>
      </c>
      <c r="E30" s="5">
        <v>3</v>
      </c>
      <c r="F30" s="5">
        <v>4</v>
      </c>
      <c r="G30" s="5">
        <v>5</v>
      </c>
      <c r="H30" s="5">
        <v>6</v>
      </c>
      <c r="I30" s="5">
        <v>7</v>
      </c>
      <c r="J30" s="5">
        <v>8</v>
      </c>
      <c r="K30" s="5">
        <v>9</v>
      </c>
      <c r="L30" s="5"/>
      <c r="M30" s="14" t="s">
        <v>6</v>
      </c>
      <c r="N30" s="15">
        <f>(13945/18829)</f>
        <v>0.7406128843804769</v>
      </c>
    </row>
    <row r="31" spans="1:16" s="2" customFormat="1" ht="17.45" customHeight="1" thickBot="1">
      <c r="A31" s="7" t="s">
        <v>100</v>
      </c>
      <c r="B31" s="8" t="s">
        <v>3</v>
      </c>
      <c r="C31" s="9">
        <v>1783</v>
      </c>
      <c r="D31" s="13"/>
      <c r="E31" s="44"/>
      <c r="F31" s="45"/>
      <c r="G31" s="45"/>
      <c r="H31" s="13"/>
      <c r="I31" s="13"/>
      <c r="J31" s="13"/>
      <c r="K31" s="13"/>
      <c r="L31" s="11" t="s">
        <v>85</v>
      </c>
      <c r="M31" s="18"/>
      <c r="N31" s="14" t="s">
        <v>7</v>
      </c>
      <c r="O31" s="14" t="s">
        <v>8</v>
      </c>
      <c r="P31" s="14" t="s">
        <v>9</v>
      </c>
    </row>
    <row r="32" spans="1:16" s="2" customFormat="1" ht="17.45" customHeight="1" thickBot="1">
      <c r="A32" s="7" t="s">
        <v>139</v>
      </c>
      <c r="B32" s="37" t="s">
        <v>11</v>
      </c>
      <c r="C32" s="13">
        <v>1725</v>
      </c>
      <c r="D32" s="9">
        <v>1765</v>
      </c>
      <c r="E32" s="44"/>
      <c r="F32" s="45"/>
      <c r="G32" s="45"/>
      <c r="H32" s="10"/>
      <c r="I32" s="10"/>
      <c r="J32" s="10"/>
      <c r="K32" s="10"/>
      <c r="L32" s="11" t="s">
        <v>87</v>
      </c>
      <c r="M32" s="19" t="s">
        <v>3</v>
      </c>
      <c r="N32" s="20">
        <f>SUM(C31+C35+C36+C37+C39+C40)</f>
        <v>6648</v>
      </c>
      <c r="O32" s="21">
        <f>SUM(N32/N35)</f>
        <v>0.48041624512212749</v>
      </c>
      <c r="P32" s="18">
        <v>3</v>
      </c>
    </row>
    <row r="33" spans="1:17" s="2" customFormat="1" ht="17.45" customHeight="1" thickBot="1">
      <c r="A33" s="7" t="s">
        <v>99</v>
      </c>
      <c r="B33" s="12" t="s">
        <v>4</v>
      </c>
      <c r="C33" s="13">
        <v>1717</v>
      </c>
      <c r="D33" s="9">
        <v>1799</v>
      </c>
      <c r="E33" s="44"/>
      <c r="F33" s="44"/>
      <c r="G33" s="45"/>
      <c r="H33" s="9"/>
      <c r="I33" s="13"/>
      <c r="J33" s="9"/>
      <c r="K33" s="11"/>
      <c r="L33" s="11" t="s">
        <v>86</v>
      </c>
      <c r="M33" s="23" t="s">
        <v>4</v>
      </c>
      <c r="N33" s="20">
        <f>SUM(C33+C34+C38+C41+C42+C43)</f>
        <v>5429</v>
      </c>
      <c r="O33" s="21">
        <f>SUM(N33/N35)</f>
        <v>0.39232548056077465</v>
      </c>
      <c r="P33" s="18">
        <v>3</v>
      </c>
    </row>
    <row r="34" spans="1:17" s="2" customFormat="1" ht="17.45" customHeight="1" thickBot="1">
      <c r="A34" s="7" t="s">
        <v>104</v>
      </c>
      <c r="B34" s="12" t="s">
        <v>4</v>
      </c>
      <c r="C34" s="13">
        <v>1423</v>
      </c>
      <c r="D34" s="13">
        <v>1428</v>
      </c>
      <c r="E34" s="13">
        <v>1428</v>
      </c>
      <c r="F34" s="13">
        <v>1428</v>
      </c>
      <c r="G34" s="13">
        <v>1428</v>
      </c>
      <c r="H34" s="13">
        <v>1440</v>
      </c>
      <c r="I34" s="13">
        <v>1444</v>
      </c>
      <c r="J34" s="13">
        <v>1496</v>
      </c>
      <c r="K34" s="9">
        <v>1604</v>
      </c>
      <c r="L34" s="11" t="s">
        <v>111</v>
      </c>
      <c r="M34" s="14" t="s">
        <v>14</v>
      </c>
      <c r="N34" s="29">
        <f>SUM(C32+C44)</f>
        <v>1761</v>
      </c>
      <c r="O34" s="15">
        <f>SUM(N34/N35)</f>
        <v>0.12725827431709785</v>
      </c>
      <c r="P34" s="2">
        <v>1</v>
      </c>
    </row>
    <row r="35" spans="1:17" s="2" customFormat="1" ht="17.45" customHeight="1" thickBot="1">
      <c r="A35" s="7" t="s">
        <v>101</v>
      </c>
      <c r="B35" s="8" t="s">
        <v>3</v>
      </c>
      <c r="C35" s="13">
        <v>1406</v>
      </c>
      <c r="D35" s="13">
        <v>1413</v>
      </c>
      <c r="E35" s="13">
        <v>1413</v>
      </c>
      <c r="F35" s="13">
        <v>1415</v>
      </c>
      <c r="G35" s="13">
        <v>1415</v>
      </c>
      <c r="H35" s="13">
        <v>1421</v>
      </c>
      <c r="I35" s="13">
        <v>1448</v>
      </c>
      <c r="J35" s="13">
        <v>1641</v>
      </c>
      <c r="K35" s="9">
        <v>1667</v>
      </c>
      <c r="L35" s="11" t="s">
        <v>89</v>
      </c>
      <c r="M35" s="42"/>
      <c r="N35" s="28">
        <v>13838</v>
      </c>
      <c r="O35" s="21"/>
      <c r="P35" s="18"/>
    </row>
    <row r="36" spans="1:17" s="2" customFormat="1" ht="17.45" customHeight="1" thickBot="1">
      <c r="A36" s="7" t="s">
        <v>105</v>
      </c>
      <c r="B36" s="8" t="s">
        <v>3</v>
      </c>
      <c r="C36" s="13">
        <v>1074</v>
      </c>
      <c r="D36" s="13">
        <v>1081</v>
      </c>
      <c r="E36" s="13">
        <v>1083</v>
      </c>
      <c r="F36" s="13">
        <v>1097</v>
      </c>
      <c r="G36" s="13">
        <v>1100</v>
      </c>
      <c r="H36" s="13">
        <v>1184</v>
      </c>
      <c r="I36" s="13">
        <v>1509</v>
      </c>
      <c r="J36" s="9">
        <v>1745</v>
      </c>
      <c r="K36" s="10"/>
      <c r="L36" s="11" t="s">
        <v>90</v>
      </c>
      <c r="N36" s="24"/>
      <c r="O36" s="29"/>
      <c r="P36" s="15"/>
    </row>
    <row r="37" spans="1:17" s="2" customFormat="1" ht="17.45" customHeight="1" thickBot="1">
      <c r="A37" s="16" t="s">
        <v>140</v>
      </c>
      <c r="B37" s="17" t="s">
        <v>3</v>
      </c>
      <c r="C37" s="13">
        <v>962</v>
      </c>
      <c r="D37" s="13">
        <v>1012</v>
      </c>
      <c r="E37" s="13">
        <v>1020</v>
      </c>
      <c r="F37" s="13">
        <v>1033</v>
      </c>
      <c r="G37" s="13">
        <v>1049</v>
      </c>
      <c r="H37" s="13">
        <v>1073</v>
      </c>
      <c r="I37" s="13">
        <v>1125</v>
      </c>
      <c r="J37" s="13">
        <v>1257</v>
      </c>
      <c r="K37" s="13">
        <v>1319</v>
      </c>
      <c r="L37" s="11"/>
      <c r="O37" s="14"/>
      <c r="Q37" s="15"/>
    </row>
    <row r="38" spans="1:17" s="2" customFormat="1" ht="17.45" customHeight="1" thickBot="1">
      <c r="A38" s="7" t="s">
        <v>141</v>
      </c>
      <c r="B38" s="12" t="s">
        <v>4</v>
      </c>
      <c r="C38" s="10">
        <v>892</v>
      </c>
      <c r="D38" s="13">
        <v>949</v>
      </c>
      <c r="E38" s="13">
        <v>967</v>
      </c>
      <c r="F38" s="10">
        <v>968</v>
      </c>
      <c r="G38" s="13">
        <v>975</v>
      </c>
      <c r="H38" s="13">
        <v>1132</v>
      </c>
      <c r="I38" s="13">
        <v>1134</v>
      </c>
      <c r="J38" s="13">
        <v>1255</v>
      </c>
      <c r="K38" s="9">
        <v>1648</v>
      </c>
      <c r="L38" s="9" t="s">
        <v>88</v>
      </c>
      <c r="N38" s="18"/>
      <c r="O38" s="14"/>
      <c r="P38" s="14"/>
      <c r="Q38" s="14"/>
    </row>
    <row r="39" spans="1:17" s="2" customFormat="1" ht="17.45" customHeight="1" thickBot="1">
      <c r="A39" s="16" t="s">
        <v>142</v>
      </c>
      <c r="B39" s="17" t="s">
        <v>3</v>
      </c>
      <c r="C39" s="13">
        <v>749</v>
      </c>
      <c r="D39" s="13">
        <v>753</v>
      </c>
      <c r="E39" s="13">
        <v>755</v>
      </c>
      <c r="F39" s="10">
        <v>760</v>
      </c>
      <c r="G39" s="13">
        <v>761</v>
      </c>
      <c r="H39" s="13">
        <v>777</v>
      </c>
      <c r="I39" s="13">
        <v>814</v>
      </c>
      <c r="J39" s="13" t="s">
        <v>10</v>
      </c>
      <c r="N39" s="19"/>
      <c r="O39" s="20"/>
      <c r="P39" s="21"/>
      <c r="Q39" s="18"/>
    </row>
    <row r="40" spans="1:17" s="2" customFormat="1" ht="17.45" customHeight="1" thickBot="1">
      <c r="A40" s="16" t="s">
        <v>143</v>
      </c>
      <c r="B40" s="17" t="s">
        <v>3</v>
      </c>
      <c r="C40" s="13">
        <v>674</v>
      </c>
      <c r="D40" s="13">
        <v>676</v>
      </c>
      <c r="E40" s="13">
        <v>677</v>
      </c>
      <c r="F40" s="13">
        <v>692</v>
      </c>
      <c r="G40" s="13">
        <v>692</v>
      </c>
      <c r="H40" s="13">
        <v>700</v>
      </c>
      <c r="I40" s="13" t="s">
        <v>10</v>
      </c>
      <c r="N40" s="23"/>
      <c r="O40" s="20"/>
      <c r="P40" s="21"/>
      <c r="Q40" s="18"/>
    </row>
    <row r="41" spans="1:17" s="2" customFormat="1" ht="17.45" customHeight="1" thickBot="1">
      <c r="A41" s="16" t="s">
        <v>144</v>
      </c>
      <c r="B41" s="22" t="s">
        <v>4</v>
      </c>
      <c r="C41" s="10">
        <v>636</v>
      </c>
      <c r="D41" s="13">
        <v>648</v>
      </c>
      <c r="E41" s="13">
        <v>660</v>
      </c>
      <c r="F41" s="13">
        <v>662</v>
      </c>
      <c r="G41" s="13">
        <v>663</v>
      </c>
      <c r="H41" s="13">
        <v>850</v>
      </c>
      <c r="I41" s="13">
        <v>1006</v>
      </c>
      <c r="J41" s="13">
        <v>1025</v>
      </c>
      <c r="K41" s="13" t="s">
        <v>10</v>
      </c>
      <c r="N41" s="14"/>
      <c r="O41" s="29"/>
      <c r="P41" s="15"/>
    </row>
    <row r="42" spans="1:17" s="2" customFormat="1" ht="17.45" customHeight="1" thickBot="1">
      <c r="A42" s="16" t="s">
        <v>145</v>
      </c>
      <c r="B42" s="22" t="s">
        <v>4</v>
      </c>
      <c r="C42" s="13">
        <v>467</v>
      </c>
      <c r="D42" s="13">
        <v>521</v>
      </c>
      <c r="E42" s="13">
        <v>547</v>
      </c>
      <c r="F42" s="13">
        <v>548</v>
      </c>
      <c r="G42" s="13">
        <v>551</v>
      </c>
      <c r="H42" s="13" t="s">
        <v>10</v>
      </c>
      <c r="P42" s="28"/>
    </row>
    <row r="43" spans="1:17" s="2" customFormat="1" ht="17.45" customHeight="1" thickBot="1">
      <c r="A43" s="16" t="s">
        <v>192</v>
      </c>
      <c r="B43" s="22" t="s">
        <v>4</v>
      </c>
      <c r="C43" s="10">
        <v>294</v>
      </c>
      <c r="D43" s="10" t="s">
        <v>10</v>
      </c>
      <c r="O43" s="14"/>
      <c r="Q43" s="15"/>
    </row>
    <row r="44" spans="1:17" s="2" customFormat="1" ht="17.45" customHeight="1" thickBot="1">
      <c r="A44" s="16" t="s">
        <v>146</v>
      </c>
      <c r="B44" s="33" t="s">
        <v>11</v>
      </c>
      <c r="C44" s="10">
        <v>36</v>
      </c>
      <c r="D44" s="10" t="s">
        <v>10</v>
      </c>
      <c r="O44" s="14"/>
      <c r="Q44" s="15"/>
    </row>
    <row r="45" spans="1:17">
      <c r="C45" s="41"/>
      <c r="D45" s="41"/>
      <c r="E45" s="41"/>
      <c r="F45" s="41"/>
      <c r="G45" s="41"/>
      <c r="H45" s="41"/>
      <c r="I45" s="41"/>
      <c r="J45" s="41"/>
      <c r="K45" s="41"/>
    </row>
    <row r="46" spans="1:17" s="2" customFormat="1" ht="17.45" customHeight="1">
      <c r="A46" s="1" t="s">
        <v>282</v>
      </c>
    </row>
    <row r="47" spans="1:17" s="2" customFormat="1" ht="10.5" customHeight="1" thickBot="1">
      <c r="A47" s="1"/>
    </row>
    <row r="48" spans="1:17" s="2" customFormat="1" ht="16.5" customHeight="1" thickBot="1">
      <c r="A48" s="4" t="s">
        <v>0</v>
      </c>
      <c r="B48" s="5" t="s">
        <v>1</v>
      </c>
      <c r="C48" s="5" t="s">
        <v>2</v>
      </c>
      <c r="D48" s="5">
        <v>2</v>
      </c>
      <c r="E48" s="5">
        <v>3</v>
      </c>
      <c r="F48" s="5">
        <v>4</v>
      </c>
      <c r="G48" s="5">
        <v>5</v>
      </c>
      <c r="H48" s="6"/>
      <c r="I48" s="14" t="s">
        <v>6</v>
      </c>
      <c r="J48" s="15">
        <f>(7528/10977)</f>
        <v>0.6857975767513893</v>
      </c>
    </row>
    <row r="49" spans="1:12" s="2" customFormat="1" ht="16.5" customHeight="1" thickBot="1">
      <c r="A49" s="7" t="s">
        <v>147</v>
      </c>
      <c r="B49" s="8" t="s">
        <v>3</v>
      </c>
      <c r="C49" s="9">
        <v>1967</v>
      </c>
      <c r="D49" s="13"/>
      <c r="E49" s="13"/>
      <c r="F49" s="13"/>
      <c r="G49" s="13"/>
      <c r="H49" s="11" t="s">
        <v>85</v>
      </c>
      <c r="I49" s="18"/>
      <c r="J49" s="14" t="s">
        <v>7</v>
      </c>
      <c r="K49" s="14" t="s">
        <v>8</v>
      </c>
      <c r="L49" s="14" t="s">
        <v>9</v>
      </c>
    </row>
    <row r="50" spans="1:12" s="2" customFormat="1" ht="16.5" customHeight="1" thickBot="1">
      <c r="A50" s="7" t="s">
        <v>114</v>
      </c>
      <c r="B50" s="8" t="s">
        <v>3</v>
      </c>
      <c r="C50" s="13">
        <v>1289</v>
      </c>
      <c r="D50" s="9">
        <v>1486</v>
      </c>
      <c r="E50" s="13"/>
      <c r="F50" s="9"/>
      <c r="G50" s="9"/>
      <c r="H50" s="11" t="s">
        <v>86</v>
      </c>
      <c r="I50" s="19" t="s">
        <v>3</v>
      </c>
      <c r="J50" s="20">
        <f>SUM(C49+C50+C52)</f>
        <v>4275</v>
      </c>
      <c r="K50" s="21">
        <f>SUM(J50/J53)</f>
        <v>0.57583512931034486</v>
      </c>
      <c r="L50" s="18">
        <v>2</v>
      </c>
    </row>
    <row r="51" spans="1:12" s="2" customFormat="1" ht="16.5" customHeight="1" thickBot="1">
      <c r="A51" s="7" t="s">
        <v>54</v>
      </c>
      <c r="B51" s="12" t="s">
        <v>4</v>
      </c>
      <c r="C51" s="13">
        <v>1153</v>
      </c>
      <c r="D51" s="13">
        <v>1176</v>
      </c>
      <c r="E51" s="13">
        <v>1221</v>
      </c>
      <c r="F51" s="13">
        <v>1394</v>
      </c>
      <c r="G51" s="9">
        <v>1399</v>
      </c>
      <c r="H51" s="11" t="s">
        <v>90</v>
      </c>
      <c r="I51" s="23" t="s">
        <v>4</v>
      </c>
      <c r="J51" s="20">
        <f>SUM(C51+C53+C54)</f>
        <v>2761</v>
      </c>
      <c r="K51" s="21">
        <f>SUM(J51/J53)</f>
        <v>0.37190193965517243</v>
      </c>
      <c r="L51" s="18">
        <v>2</v>
      </c>
    </row>
    <row r="52" spans="1:12" s="2" customFormat="1" ht="16.5" customHeight="1" thickBot="1">
      <c r="A52" s="16" t="s">
        <v>148</v>
      </c>
      <c r="B52" s="17" t="s">
        <v>3</v>
      </c>
      <c r="C52" s="13">
        <v>1019</v>
      </c>
      <c r="D52" s="13">
        <v>1153</v>
      </c>
      <c r="E52" s="13">
        <v>1319</v>
      </c>
      <c r="F52" s="13">
        <v>1389</v>
      </c>
      <c r="G52" s="13">
        <v>1390</v>
      </c>
      <c r="H52" s="11"/>
      <c r="I52" s="26" t="s">
        <v>13</v>
      </c>
      <c r="J52" s="29">
        <v>388</v>
      </c>
      <c r="K52" s="15">
        <f>SUM(J52/J53)</f>
        <v>5.2262931034482756E-2</v>
      </c>
      <c r="L52" s="18"/>
    </row>
    <row r="53" spans="1:12" s="2" customFormat="1" ht="16.5" customHeight="1" thickBot="1">
      <c r="A53" s="7" t="s">
        <v>115</v>
      </c>
      <c r="B53" s="12" t="s">
        <v>4</v>
      </c>
      <c r="C53" s="13">
        <v>910</v>
      </c>
      <c r="D53" s="13">
        <v>972</v>
      </c>
      <c r="E53" s="13">
        <v>1023</v>
      </c>
      <c r="F53" s="9">
        <v>1491</v>
      </c>
      <c r="G53" s="9"/>
      <c r="H53" s="11" t="s">
        <v>87</v>
      </c>
      <c r="I53" s="18"/>
      <c r="J53" s="28">
        <v>7424</v>
      </c>
    </row>
    <row r="54" spans="1:12" s="2" customFormat="1" ht="16.5" customHeight="1" thickBot="1">
      <c r="A54" s="16" t="s">
        <v>149</v>
      </c>
      <c r="B54" s="22" t="s">
        <v>4</v>
      </c>
      <c r="C54" s="13">
        <v>698</v>
      </c>
      <c r="D54" s="13">
        <v>750</v>
      </c>
      <c r="E54" s="13">
        <v>789</v>
      </c>
      <c r="F54" s="13" t="s">
        <v>10</v>
      </c>
      <c r="H54" s="21"/>
    </row>
    <row r="55" spans="1:12" s="2" customFormat="1" ht="16.5" customHeight="1" thickBot="1">
      <c r="A55" s="16" t="s">
        <v>150</v>
      </c>
      <c r="B55" s="27" t="s">
        <v>13</v>
      </c>
      <c r="C55" s="13">
        <v>388</v>
      </c>
      <c r="D55" s="13">
        <v>402</v>
      </c>
      <c r="E55" s="13" t="s">
        <v>10</v>
      </c>
    </row>
    <row r="57" spans="1:12" s="2" customFormat="1" ht="17.45" customHeight="1">
      <c r="A57" s="1" t="s">
        <v>283</v>
      </c>
    </row>
    <row r="58" spans="1:12" s="2" customFormat="1" ht="10.5" customHeight="1" thickBot="1">
      <c r="A58" s="1"/>
    </row>
    <row r="59" spans="1:12" s="2" customFormat="1" ht="16.5" customHeight="1" thickBot="1">
      <c r="A59" s="4" t="s">
        <v>0</v>
      </c>
      <c r="B59" s="5" t="s">
        <v>1</v>
      </c>
      <c r="C59" s="5" t="s">
        <v>2</v>
      </c>
      <c r="D59" s="5">
        <v>2</v>
      </c>
      <c r="E59" s="5">
        <v>3</v>
      </c>
      <c r="F59" s="6"/>
      <c r="G59" s="14" t="s">
        <v>6</v>
      </c>
      <c r="H59" s="15">
        <f>(6908/9434)</f>
        <v>0.73224507101971592</v>
      </c>
    </row>
    <row r="60" spans="1:12" s="2" customFormat="1" ht="16.5" customHeight="1" thickBot="1">
      <c r="A60" s="7" t="s">
        <v>59</v>
      </c>
      <c r="B60" s="8" t="s">
        <v>3</v>
      </c>
      <c r="C60" s="9">
        <v>1490</v>
      </c>
      <c r="D60" s="13"/>
      <c r="E60" s="9"/>
      <c r="F60" s="11" t="s">
        <v>85</v>
      </c>
      <c r="G60" s="18"/>
      <c r="H60" s="14" t="s">
        <v>7</v>
      </c>
      <c r="I60" s="14" t="s">
        <v>8</v>
      </c>
      <c r="J60" s="14" t="s">
        <v>9</v>
      </c>
    </row>
    <row r="61" spans="1:12" s="2" customFormat="1" ht="16.5" customHeight="1" thickBot="1">
      <c r="A61" s="7" t="s">
        <v>151</v>
      </c>
      <c r="B61" s="8" t="s">
        <v>3</v>
      </c>
      <c r="C61" s="13">
        <v>1269</v>
      </c>
      <c r="D61" s="9">
        <v>1453</v>
      </c>
      <c r="E61" s="13"/>
      <c r="F61" s="11" t="s">
        <v>87</v>
      </c>
      <c r="G61" s="19" t="s">
        <v>3</v>
      </c>
      <c r="H61" s="20">
        <f>SUM(C60+C61+C63)</f>
        <v>3844</v>
      </c>
      <c r="I61" s="21">
        <f>SUM(H61/H63)</f>
        <v>0.56182402806197018</v>
      </c>
      <c r="J61" s="18">
        <v>2</v>
      </c>
    </row>
    <row r="62" spans="1:12" s="2" customFormat="1" ht="16.5" customHeight="1" thickBot="1">
      <c r="A62" s="7" t="s">
        <v>121</v>
      </c>
      <c r="B62" s="12" t="s">
        <v>4</v>
      </c>
      <c r="C62" s="13">
        <v>1182</v>
      </c>
      <c r="D62" s="9">
        <v>1671</v>
      </c>
      <c r="E62" s="9"/>
      <c r="F62" s="11" t="s">
        <v>86</v>
      </c>
      <c r="G62" s="23" t="s">
        <v>4</v>
      </c>
      <c r="H62" s="20">
        <f>SUM(C62+C64+C65)</f>
        <v>2998</v>
      </c>
      <c r="I62" s="21">
        <f>SUM(H62/H63)</f>
        <v>0.43817597193802982</v>
      </c>
      <c r="J62" s="18">
        <v>2</v>
      </c>
    </row>
    <row r="63" spans="1:12" s="2" customFormat="1" ht="16.5" customHeight="1" thickBot="1">
      <c r="A63" s="16" t="s">
        <v>152</v>
      </c>
      <c r="B63" s="17" t="s">
        <v>3</v>
      </c>
      <c r="C63" s="13">
        <v>1085</v>
      </c>
      <c r="D63" s="13">
        <v>1103</v>
      </c>
      <c r="E63" s="13">
        <v>1111</v>
      </c>
      <c r="F63" s="9"/>
      <c r="G63" s="14"/>
      <c r="H63" s="28">
        <v>6842</v>
      </c>
      <c r="I63" s="15"/>
    </row>
    <row r="64" spans="1:12" s="2" customFormat="1" ht="16.5" customHeight="1" thickBot="1">
      <c r="A64" s="7" t="s">
        <v>119</v>
      </c>
      <c r="B64" s="12" t="s">
        <v>4</v>
      </c>
      <c r="C64" s="13">
        <v>982</v>
      </c>
      <c r="D64" s="13">
        <v>1055</v>
      </c>
      <c r="E64" s="9">
        <v>1349</v>
      </c>
      <c r="F64" s="11" t="s">
        <v>90</v>
      </c>
      <c r="G64" s="18"/>
      <c r="J64" s="18"/>
    </row>
    <row r="65" spans="1:19" s="2" customFormat="1" ht="16.5" customHeight="1" thickBot="1">
      <c r="A65" s="16" t="s">
        <v>178</v>
      </c>
      <c r="B65" s="22" t="s">
        <v>4</v>
      </c>
      <c r="C65" s="13">
        <v>834</v>
      </c>
      <c r="D65" s="13" t="s">
        <v>10</v>
      </c>
    </row>
    <row r="67" spans="1:19" s="2" customFormat="1" ht="17.45" customHeight="1">
      <c r="A67" s="1" t="s">
        <v>284</v>
      </c>
    </row>
    <row r="68" spans="1:19" s="2" customFormat="1" ht="10.5" customHeight="1" thickBot="1">
      <c r="A68" s="1"/>
    </row>
    <row r="69" spans="1:19" s="2" customFormat="1" ht="16.5" customHeight="1" thickBot="1">
      <c r="A69" s="4" t="s">
        <v>0</v>
      </c>
      <c r="B69" s="5" t="s">
        <v>1</v>
      </c>
      <c r="C69" s="5" t="s">
        <v>2</v>
      </c>
      <c r="D69" s="5">
        <v>2</v>
      </c>
      <c r="E69" s="5">
        <v>3</v>
      </c>
      <c r="F69" s="5">
        <v>4</v>
      </c>
      <c r="G69" s="5">
        <v>5</v>
      </c>
      <c r="H69" s="5">
        <v>6</v>
      </c>
      <c r="I69" s="6"/>
      <c r="J69" s="14" t="s">
        <v>6</v>
      </c>
      <c r="K69" s="15">
        <f>(10866/13881)</f>
        <v>0.78279662848497944</v>
      </c>
    </row>
    <row r="70" spans="1:19" s="2" customFormat="1" ht="16.5" customHeight="1" thickBot="1">
      <c r="A70" s="7" t="s">
        <v>126</v>
      </c>
      <c r="B70" s="8" t="s">
        <v>3</v>
      </c>
      <c r="C70" s="9">
        <v>2191</v>
      </c>
      <c r="D70" s="13"/>
      <c r="E70" s="13"/>
      <c r="F70" s="9"/>
      <c r="G70" s="13"/>
      <c r="H70" s="9"/>
      <c r="I70" s="11" t="s">
        <v>85</v>
      </c>
      <c r="J70" s="18"/>
      <c r="K70" s="14" t="s">
        <v>7</v>
      </c>
      <c r="L70" s="14" t="s">
        <v>8</v>
      </c>
      <c r="M70" s="14" t="s">
        <v>9</v>
      </c>
    </row>
    <row r="71" spans="1:19" s="2" customFormat="1" ht="16.5" customHeight="1" thickBot="1">
      <c r="A71" s="7" t="s">
        <v>69</v>
      </c>
      <c r="B71" s="8" t="s">
        <v>3</v>
      </c>
      <c r="C71" s="13">
        <v>1561</v>
      </c>
      <c r="D71" s="13">
        <v>1637</v>
      </c>
      <c r="E71" s="13">
        <v>1663</v>
      </c>
      <c r="F71" s="13">
        <v>1731</v>
      </c>
      <c r="G71" s="9">
        <v>1816</v>
      </c>
      <c r="H71" s="9"/>
      <c r="I71" s="11" t="s">
        <v>87</v>
      </c>
      <c r="J71" s="19" t="s">
        <v>3</v>
      </c>
      <c r="K71" s="20">
        <f>SUM(C70+C71+C74+C75)</f>
        <v>6185</v>
      </c>
      <c r="L71" s="21">
        <f>SUM(K71/K74)</f>
        <v>0.57476070997119222</v>
      </c>
      <c r="M71" s="18">
        <v>3</v>
      </c>
    </row>
    <row r="72" spans="1:19" s="2" customFormat="1" ht="16.5" customHeight="1" thickBot="1">
      <c r="A72" s="7" t="s">
        <v>154</v>
      </c>
      <c r="B72" s="12" t="s">
        <v>4</v>
      </c>
      <c r="C72" s="13">
        <v>1492</v>
      </c>
      <c r="D72" s="13">
        <v>1540</v>
      </c>
      <c r="E72" s="13">
        <v>1679</v>
      </c>
      <c r="F72" s="13">
        <v>1720</v>
      </c>
      <c r="G72" s="9">
        <v>2367</v>
      </c>
      <c r="H72" s="13"/>
      <c r="I72" s="11" t="s">
        <v>86</v>
      </c>
      <c r="J72" s="23" t="s">
        <v>4</v>
      </c>
      <c r="K72" s="20">
        <f>SUM(C72+C73+C76+C78)</f>
        <v>4199</v>
      </c>
      <c r="L72" s="21">
        <f>SUM(K72/K74)</f>
        <v>0.39020537124802529</v>
      </c>
      <c r="M72" s="18">
        <v>2</v>
      </c>
    </row>
    <row r="73" spans="1:19" s="2" customFormat="1" ht="16.5" customHeight="1" thickBot="1">
      <c r="A73" s="7" t="s">
        <v>62</v>
      </c>
      <c r="B73" s="12" t="s">
        <v>4</v>
      </c>
      <c r="C73" s="13">
        <v>1407</v>
      </c>
      <c r="D73" s="13">
        <v>1411</v>
      </c>
      <c r="E73" s="13">
        <v>1424</v>
      </c>
      <c r="F73" s="13">
        <v>1425</v>
      </c>
      <c r="G73" s="13">
        <v>1564</v>
      </c>
      <c r="H73" s="9">
        <v>1896</v>
      </c>
      <c r="I73" s="11" t="s">
        <v>90</v>
      </c>
      <c r="J73" s="26" t="s">
        <v>13</v>
      </c>
      <c r="K73" s="20">
        <v>377</v>
      </c>
      <c r="L73" s="21">
        <f>SUM(K73/K74)</f>
        <v>3.5033918780782457E-2</v>
      </c>
    </row>
    <row r="74" spans="1:19" s="2" customFormat="1" ht="16.5" customHeight="1" thickBot="1">
      <c r="A74" s="16" t="s">
        <v>155</v>
      </c>
      <c r="B74" s="17" t="s">
        <v>3</v>
      </c>
      <c r="C74" s="13">
        <v>1309</v>
      </c>
      <c r="D74" s="13">
        <v>1325</v>
      </c>
      <c r="E74" s="13">
        <v>1327</v>
      </c>
      <c r="F74" s="13">
        <v>1444</v>
      </c>
      <c r="G74" s="13">
        <v>1460</v>
      </c>
      <c r="H74" s="13">
        <v>1465</v>
      </c>
      <c r="I74" s="11"/>
      <c r="J74" s="34"/>
      <c r="K74" s="28">
        <v>10761</v>
      </c>
      <c r="L74" s="15"/>
    </row>
    <row r="75" spans="1:19" s="2" customFormat="1" ht="16.5" customHeight="1" thickBot="1">
      <c r="A75" s="7" t="s">
        <v>156</v>
      </c>
      <c r="B75" s="8" t="s">
        <v>3</v>
      </c>
      <c r="C75" s="13">
        <v>1124</v>
      </c>
      <c r="D75" s="13">
        <v>1261</v>
      </c>
      <c r="E75" s="13">
        <v>1304</v>
      </c>
      <c r="F75" s="13">
        <v>1399</v>
      </c>
      <c r="G75" s="13">
        <v>1551</v>
      </c>
      <c r="H75" s="9">
        <v>1642</v>
      </c>
      <c r="I75" s="11" t="s">
        <v>89</v>
      </c>
      <c r="J75" s="18"/>
      <c r="M75" s="18"/>
    </row>
    <row r="76" spans="1:19" s="2" customFormat="1" ht="16.5" customHeight="1" thickBot="1">
      <c r="A76" s="16" t="s">
        <v>190</v>
      </c>
      <c r="B76" s="22" t="s">
        <v>4</v>
      </c>
      <c r="C76" s="13">
        <v>1011</v>
      </c>
      <c r="D76" s="13">
        <v>1044</v>
      </c>
      <c r="E76" s="13">
        <v>1127</v>
      </c>
      <c r="F76" s="13">
        <v>1148</v>
      </c>
      <c r="G76" s="13" t="s">
        <v>10</v>
      </c>
    </row>
    <row r="77" spans="1:19" s="2" customFormat="1" ht="16.5" customHeight="1" thickBot="1">
      <c r="A77" s="16" t="s">
        <v>157</v>
      </c>
      <c r="B77" s="27" t="s">
        <v>13</v>
      </c>
      <c r="C77" s="13">
        <v>377</v>
      </c>
      <c r="D77" s="13">
        <v>392</v>
      </c>
      <c r="E77" s="13">
        <v>407</v>
      </c>
      <c r="F77" s="13" t="s">
        <v>10</v>
      </c>
      <c r="H77" s="23"/>
    </row>
    <row r="78" spans="1:19" s="2" customFormat="1" ht="16.5" customHeight="1" thickBot="1">
      <c r="A78" s="16" t="s">
        <v>191</v>
      </c>
      <c r="B78" s="22" t="s">
        <v>4</v>
      </c>
      <c r="C78" s="13">
        <v>289</v>
      </c>
      <c r="D78" s="13">
        <v>357</v>
      </c>
      <c r="E78" s="13" t="s">
        <v>10</v>
      </c>
      <c r="F78" s="23"/>
      <c r="H78" s="23"/>
    </row>
    <row r="79" spans="1:19">
      <c r="C79" s="41"/>
    </row>
    <row r="80" spans="1:19" s="108" customFormat="1" ht="15" customHeight="1">
      <c r="B80" s="46" t="s">
        <v>259</v>
      </c>
      <c r="C80" s="83" t="s">
        <v>3</v>
      </c>
      <c r="D80" s="84" t="s">
        <v>4</v>
      </c>
      <c r="E80" s="85" t="s">
        <v>12</v>
      </c>
      <c r="F80" s="86" t="s">
        <v>13</v>
      </c>
      <c r="G80" s="46" t="s">
        <v>14</v>
      </c>
      <c r="Q80" s="109"/>
      <c r="R80" s="110"/>
      <c r="S80" s="111"/>
    </row>
    <row r="81" spans="1:19" s="108" customFormat="1" ht="15" customHeight="1">
      <c r="A81" s="108" t="s">
        <v>7</v>
      </c>
      <c r="B81" s="112">
        <f>SUM(K74+H63+J53+N35+M21+K7)</f>
        <v>60097</v>
      </c>
      <c r="C81" s="110">
        <f>SUM(K71+H61+J50+N32+M17+K5)</f>
        <v>31615</v>
      </c>
      <c r="D81" s="110">
        <f>SUM(K72+H62+J51+N33+M18+K6)</f>
        <v>23402</v>
      </c>
      <c r="E81" s="110">
        <v>501</v>
      </c>
      <c r="F81" s="110">
        <f>SUM(K73+J52)</f>
        <v>765</v>
      </c>
      <c r="G81" s="110">
        <f>SUM(N34+M20)</f>
        <v>3814</v>
      </c>
      <c r="Q81" s="46"/>
      <c r="R81" s="112"/>
      <c r="S81" s="111"/>
    </row>
    <row r="82" spans="1:19" s="108" customFormat="1" ht="15" customHeight="1">
      <c r="A82" s="108" t="s">
        <v>8</v>
      </c>
      <c r="B82" s="115">
        <v>1</v>
      </c>
      <c r="C82" s="111">
        <f>SUM(C81/$B$81)</f>
        <v>0.52606619298800272</v>
      </c>
      <c r="D82" s="111">
        <f>SUM(D81/$B$81)</f>
        <v>0.38940379719453549</v>
      </c>
      <c r="E82" s="111">
        <f>SUM(E81/$B$81)</f>
        <v>8.336522621761485E-3</v>
      </c>
      <c r="F82" s="111">
        <f>SUM(F81/$B$81)</f>
        <v>1.2729420769755561E-2</v>
      </c>
      <c r="G82" s="111">
        <f>SUM(G81/$B$81)</f>
        <v>6.3464066425944723E-2</v>
      </c>
    </row>
    <row r="83" spans="1:19" s="108" customFormat="1" ht="15" customHeight="1">
      <c r="A83" s="108" t="s">
        <v>9</v>
      </c>
      <c r="B83" s="46">
        <v>31</v>
      </c>
      <c r="C83" s="108">
        <v>15</v>
      </c>
      <c r="D83" s="108">
        <v>14</v>
      </c>
      <c r="E83" s="108">
        <v>0</v>
      </c>
      <c r="F83" s="108">
        <v>0</v>
      </c>
      <c r="G83" s="108">
        <v>2</v>
      </c>
    </row>
    <row r="84" spans="1:19" s="108" customFormat="1" ht="15" customHeight="1"/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7"/>
  <dimension ref="A1:S83"/>
  <sheetViews>
    <sheetView workbookViewId="0">
      <selection activeCell="O1" sqref="O1"/>
    </sheetView>
  </sheetViews>
  <sheetFormatPr defaultRowHeight="12.75"/>
  <cols>
    <col min="1" max="1" width="25.28515625" customWidth="1"/>
    <col min="2" max="2" width="7.7109375" customWidth="1"/>
    <col min="3" max="3" width="9.7109375" customWidth="1"/>
    <col min="4" max="18" width="8.7109375" customWidth="1"/>
  </cols>
  <sheetData>
    <row r="1" spans="1:14" s="2" customFormat="1" ht="16.5" customHeight="1">
      <c r="A1" s="1" t="s">
        <v>504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4" t="s">
        <v>6</v>
      </c>
      <c r="L3" s="15">
        <f>(10188/15551)</f>
        <v>0.65513471802456436</v>
      </c>
    </row>
    <row r="4" spans="1:14" s="2" customFormat="1" ht="16.5" customHeight="1" thickBot="1">
      <c r="A4" s="7" t="s">
        <v>77</v>
      </c>
      <c r="B4" s="8" t="s">
        <v>3</v>
      </c>
      <c r="C4" s="9">
        <v>1578</v>
      </c>
      <c r="D4" s="13"/>
      <c r="E4" s="11"/>
      <c r="F4" s="10"/>
      <c r="G4" s="10"/>
      <c r="H4" s="10"/>
      <c r="I4" s="11"/>
      <c r="J4" s="11" t="s">
        <v>85</v>
      </c>
      <c r="K4" s="18"/>
      <c r="L4" s="14" t="s">
        <v>7</v>
      </c>
      <c r="M4" s="14" t="s">
        <v>8</v>
      </c>
      <c r="N4" s="14" t="s">
        <v>9</v>
      </c>
    </row>
    <row r="5" spans="1:14" s="2" customFormat="1" ht="16.5" customHeight="1" thickBot="1">
      <c r="A5" s="7" t="s">
        <v>78</v>
      </c>
      <c r="B5" s="12" t="s">
        <v>4</v>
      </c>
      <c r="C5" s="13">
        <v>1284</v>
      </c>
      <c r="D5" s="13">
        <v>1346</v>
      </c>
      <c r="E5" s="13">
        <v>1376</v>
      </c>
      <c r="F5" s="9">
        <v>1504</v>
      </c>
      <c r="G5" s="13"/>
      <c r="H5" s="9"/>
      <c r="I5" s="11"/>
      <c r="J5" s="11" t="s">
        <v>86</v>
      </c>
      <c r="K5" s="19" t="s">
        <v>3</v>
      </c>
      <c r="L5" s="20">
        <f>SUM(C4+C6+C7+C10)</f>
        <v>4879</v>
      </c>
      <c r="M5" s="21">
        <f>SUM(L5/L9)</f>
        <v>0.48273473830018798</v>
      </c>
      <c r="N5" s="18">
        <v>3</v>
      </c>
    </row>
    <row r="6" spans="1:14" s="2" customFormat="1" ht="16.5" customHeight="1" thickBot="1">
      <c r="A6" s="7" t="s">
        <v>84</v>
      </c>
      <c r="B6" s="8" t="s">
        <v>3</v>
      </c>
      <c r="C6" s="13">
        <v>1244</v>
      </c>
      <c r="D6" s="13">
        <v>1267</v>
      </c>
      <c r="E6" s="13">
        <v>1314</v>
      </c>
      <c r="F6" s="13">
        <v>1371</v>
      </c>
      <c r="G6" s="9">
        <v>1571</v>
      </c>
      <c r="H6" s="9"/>
      <c r="I6" s="10"/>
      <c r="J6" s="11" t="s">
        <v>87</v>
      </c>
      <c r="K6" s="23" t="s">
        <v>4</v>
      </c>
      <c r="L6" s="20">
        <f>SUM(C5+C8+C9+C11)</f>
        <v>4377</v>
      </c>
      <c r="M6" s="21">
        <f>SUM(L6/L9)</f>
        <v>0.43306619174829325</v>
      </c>
      <c r="N6" s="18">
        <v>3</v>
      </c>
    </row>
    <row r="7" spans="1:14" s="2" customFormat="1" ht="16.5" customHeight="1" thickBot="1">
      <c r="A7" s="7" t="s">
        <v>79</v>
      </c>
      <c r="B7" s="8" t="s">
        <v>3</v>
      </c>
      <c r="C7" s="13">
        <v>1200</v>
      </c>
      <c r="D7" s="13">
        <v>1206</v>
      </c>
      <c r="E7" s="13">
        <v>1218</v>
      </c>
      <c r="F7" s="13">
        <v>1238</v>
      </c>
      <c r="G7" s="13">
        <v>1253</v>
      </c>
      <c r="H7" s="13">
        <v>1275</v>
      </c>
      <c r="I7" s="9">
        <v>1290</v>
      </c>
      <c r="J7" s="11" t="s">
        <v>88</v>
      </c>
      <c r="K7" s="24" t="s">
        <v>12</v>
      </c>
      <c r="L7" s="18">
        <v>221</v>
      </c>
      <c r="M7" s="21">
        <f>SUM(L7/L9)</f>
        <v>2.1866033442168795E-2</v>
      </c>
    </row>
    <row r="8" spans="1:14" s="2" customFormat="1" ht="16.5" customHeight="1" thickBot="1">
      <c r="A8" s="7" t="s">
        <v>80</v>
      </c>
      <c r="B8" s="12" t="s">
        <v>4</v>
      </c>
      <c r="C8" s="13">
        <v>1160</v>
      </c>
      <c r="D8" s="13">
        <v>1169</v>
      </c>
      <c r="E8" s="13">
        <v>1172</v>
      </c>
      <c r="F8" s="13">
        <v>1216</v>
      </c>
      <c r="G8" s="13">
        <v>1414</v>
      </c>
      <c r="H8" s="9">
        <v>1459</v>
      </c>
      <c r="I8" s="13"/>
      <c r="J8" s="11" t="s">
        <v>89</v>
      </c>
      <c r="K8" s="14" t="s">
        <v>14</v>
      </c>
      <c r="L8" s="2">
        <v>630</v>
      </c>
      <c r="M8" s="15">
        <f>SUM(L8/L9)</f>
        <v>6.2333036509349952E-2</v>
      </c>
      <c r="N8" s="18"/>
    </row>
    <row r="9" spans="1:14" s="2" customFormat="1" ht="16.5" customHeight="1" thickBot="1">
      <c r="A9" s="7" t="s">
        <v>17</v>
      </c>
      <c r="B9" s="12" t="s">
        <v>4</v>
      </c>
      <c r="C9" s="13">
        <v>1132</v>
      </c>
      <c r="D9" s="13">
        <v>1148</v>
      </c>
      <c r="E9" s="13">
        <v>1153</v>
      </c>
      <c r="F9" s="13">
        <v>1203</v>
      </c>
      <c r="G9" s="9">
        <v>1530</v>
      </c>
      <c r="H9" s="13"/>
      <c r="I9" s="13"/>
      <c r="J9" s="11" t="s">
        <v>90</v>
      </c>
      <c r="L9" s="28">
        <v>10107</v>
      </c>
    </row>
    <row r="10" spans="1:14" s="2" customFormat="1" ht="16.5" customHeight="1" thickBot="1">
      <c r="A10" s="16" t="s">
        <v>289</v>
      </c>
      <c r="B10" s="17" t="s">
        <v>3</v>
      </c>
      <c r="C10" s="10">
        <v>857</v>
      </c>
      <c r="D10" s="13">
        <v>879</v>
      </c>
      <c r="E10" s="13">
        <v>903</v>
      </c>
      <c r="F10" s="13">
        <v>1125</v>
      </c>
      <c r="G10" s="13">
        <v>1162</v>
      </c>
      <c r="H10" s="13">
        <v>1189</v>
      </c>
      <c r="I10" s="13">
        <v>1200</v>
      </c>
      <c r="J10" s="11"/>
    </row>
    <row r="11" spans="1:14" s="2" customFormat="1" ht="16.5" customHeight="1" thickBot="1">
      <c r="A11" s="16" t="s">
        <v>830</v>
      </c>
      <c r="B11" s="22" t="s">
        <v>4</v>
      </c>
      <c r="C11" s="10">
        <v>801</v>
      </c>
      <c r="D11" s="10">
        <v>813</v>
      </c>
      <c r="E11" s="10">
        <v>819</v>
      </c>
      <c r="F11" s="13">
        <v>873</v>
      </c>
      <c r="G11" s="10" t="s">
        <v>10</v>
      </c>
      <c r="L11" s="29"/>
    </row>
    <row r="12" spans="1:14" s="2" customFormat="1" ht="16.5" customHeight="1" thickBot="1">
      <c r="A12" s="16" t="s">
        <v>82</v>
      </c>
      <c r="B12" s="33" t="s">
        <v>11</v>
      </c>
      <c r="C12" s="10">
        <v>630</v>
      </c>
      <c r="D12" s="10">
        <v>687</v>
      </c>
      <c r="E12" s="10">
        <v>694</v>
      </c>
      <c r="F12" s="10" t="s">
        <v>10</v>
      </c>
    </row>
    <row r="13" spans="1:14" s="2" customFormat="1" ht="16.5" customHeight="1" thickBot="1">
      <c r="A13" s="16" t="s">
        <v>83</v>
      </c>
      <c r="B13" s="25" t="s">
        <v>12</v>
      </c>
      <c r="C13" s="10">
        <v>221</v>
      </c>
      <c r="D13" s="10" t="s">
        <v>10</v>
      </c>
    </row>
    <row r="14" spans="1:14" s="2" customFormat="1" ht="12.75" customHeight="1">
      <c r="A14" s="1"/>
      <c r="C14" s="29"/>
      <c r="D14" s="29"/>
      <c r="E14" s="29"/>
      <c r="F14" s="29"/>
      <c r="G14" s="29"/>
      <c r="H14" s="29"/>
      <c r="I14" s="29"/>
    </row>
    <row r="15" spans="1:14" s="2" customFormat="1" ht="17.45" customHeight="1">
      <c r="A15" s="1" t="s">
        <v>505</v>
      </c>
    </row>
    <row r="16" spans="1:14" s="2" customFormat="1" ht="10.5" customHeight="1" thickBot="1">
      <c r="A16" s="1"/>
    </row>
    <row r="17" spans="1:16" s="2" customFormat="1" ht="16.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>
        <v>5</v>
      </c>
      <c r="H17" s="5">
        <v>6</v>
      </c>
      <c r="I17" s="6"/>
      <c r="J17" s="14" t="s">
        <v>6</v>
      </c>
      <c r="K17" s="15">
        <f>(9471/14146)</f>
        <v>0.6695178849144634</v>
      </c>
    </row>
    <row r="18" spans="1:16" s="2" customFormat="1" ht="16.5" customHeight="1" thickBot="1">
      <c r="A18" s="7" t="s">
        <v>31</v>
      </c>
      <c r="B18" s="8" t="s">
        <v>3</v>
      </c>
      <c r="C18" s="9">
        <v>1851</v>
      </c>
      <c r="D18" s="13"/>
      <c r="E18" s="13"/>
      <c r="F18" s="13"/>
      <c r="G18" s="13"/>
      <c r="H18" s="9"/>
      <c r="I18" s="11" t="s">
        <v>85</v>
      </c>
      <c r="J18" s="18"/>
      <c r="K18" s="14" t="s">
        <v>7</v>
      </c>
      <c r="L18" s="14" t="s">
        <v>8</v>
      </c>
      <c r="M18" s="14" t="s">
        <v>9</v>
      </c>
    </row>
    <row r="19" spans="1:16" s="2" customFormat="1" ht="16.5" customHeight="1" thickBot="1">
      <c r="A19" s="7" t="s">
        <v>92</v>
      </c>
      <c r="B19" s="12" t="s">
        <v>4</v>
      </c>
      <c r="C19" s="13">
        <v>1327</v>
      </c>
      <c r="D19" s="13">
        <v>1343</v>
      </c>
      <c r="E19" s="13">
        <v>1497</v>
      </c>
      <c r="F19" s="9">
        <v>1628</v>
      </c>
      <c r="G19" s="13"/>
      <c r="H19" s="9"/>
      <c r="I19" s="11" t="s">
        <v>86</v>
      </c>
      <c r="J19" s="19" t="s">
        <v>3</v>
      </c>
      <c r="K19" s="20">
        <f>SUM(C18+C20+C23+C25)</f>
        <v>4602</v>
      </c>
      <c r="L19" s="21">
        <f>SUM(K19/K23)</f>
        <v>0.48988716201830956</v>
      </c>
      <c r="M19" s="18">
        <v>2</v>
      </c>
    </row>
    <row r="20" spans="1:16" s="2" customFormat="1" ht="16.5" customHeight="1" thickBot="1">
      <c r="A20" s="7" t="s">
        <v>93</v>
      </c>
      <c r="B20" s="8" t="s">
        <v>3</v>
      </c>
      <c r="C20" s="13">
        <v>1204</v>
      </c>
      <c r="D20" s="13">
        <v>1284</v>
      </c>
      <c r="E20" s="13">
        <v>1362</v>
      </c>
      <c r="F20" s="9">
        <v>1565</v>
      </c>
      <c r="G20" s="13"/>
      <c r="H20" s="9"/>
      <c r="I20" s="11" t="s">
        <v>87</v>
      </c>
      <c r="J20" s="23" t="s">
        <v>4</v>
      </c>
      <c r="K20" s="20">
        <f>SUM(C19+C21+C24)</f>
        <v>3180</v>
      </c>
      <c r="L20" s="21">
        <f>SUM(K20/K23)</f>
        <v>0.3385139450713221</v>
      </c>
      <c r="M20" s="18">
        <v>2</v>
      </c>
    </row>
    <row r="21" spans="1:16" s="2" customFormat="1" ht="16.5" customHeight="1" thickBot="1">
      <c r="A21" s="7" t="s">
        <v>94</v>
      </c>
      <c r="B21" s="12" t="s">
        <v>4</v>
      </c>
      <c r="C21" s="13">
        <v>1047</v>
      </c>
      <c r="D21" s="13">
        <v>1097</v>
      </c>
      <c r="E21" s="13">
        <v>1178</v>
      </c>
      <c r="F21" s="13">
        <v>1236</v>
      </c>
      <c r="G21" s="9">
        <v>1646</v>
      </c>
      <c r="H21" s="9"/>
      <c r="I21" s="11" t="s">
        <v>90</v>
      </c>
      <c r="J21" s="24" t="s">
        <v>12</v>
      </c>
      <c r="K21" s="20">
        <v>999</v>
      </c>
      <c r="L21" s="21">
        <f>SUM(K21/K23)</f>
        <v>0.10634447519693421</v>
      </c>
      <c r="M21" s="2">
        <v>1</v>
      </c>
    </row>
    <row r="22" spans="1:16" s="2" customFormat="1" ht="16.5" customHeight="1" thickBot="1">
      <c r="A22" s="7" t="s">
        <v>95</v>
      </c>
      <c r="B22" s="30" t="s">
        <v>12</v>
      </c>
      <c r="C22" s="13">
        <v>999</v>
      </c>
      <c r="D22" s="13">
        <v>1006</v>
      </c>
      <c r="E22" s="13">
        <v>1161</v>
      </c>
      <c r="F22" s="13">
        <v>1210</v>
      </c>
      <c r="G22" s="13">
        <v>1441</v>
      </c>
      <c r="H22" s="9">
        <v>1508</v>
      </c>
      <c r="I22" s="11" t="s">
        <v>89</v>
      </c>
      <c r="J22" s="34" t="s">
        <v>23</v>
      </c>
      <c r="K22" s="29">
        <v>613</v>
      </c>
      <c r="L22" s="15">
        <f>SUM(K22/K23)</f>
        <v>6.5254417713434112E-2</v>
      </c>
      <c r="M22" s="18"/>
    </row>
    <row r="23" spans="1:16" s="2" customFormat="1" ht="16.5" customHeight="1" thickBot="1">
      <c r="A23" s="16" t="s">
        <v>37</v>
      </c>
      <c r="B23" s="17" t="s">
        <v>3</v>
      </c>
      <c r="C23" s="13">
        <v>834</v>
      </c>
      <c r="D23" s="13">
        <v>886</v>
      </c>
      <c r="E23" s="13">
        <v>920</v>
      </c>
      <c r="F23" s="13">
        <v>1146</v>
      </c>
      <c r="G23" s="13">
        <v>1233</v>
      </c>
      <c r="H23" s="13">
        <v>1246</v>
      </c>
      <c r="I23" s="11"/>
      <c r="K23" s="28">
        <v>9394</v>
      </c>
      <c r="L23" s="21"/>
    </row>
    <row r="24" spans="1:16" s="2" customFormat="1" ht="16.5" customHeight="1" thickBot="1">
      <c r="A24" s="16" t="s">
        <v>96</v>
      </c>
      <c r="B24" s="22" t="s">
        <v>4</v>
      </c>
      <c r="C24" s="13">
        <v>806</v>
      </c>
      <c r="D24" s="13">
        <v>813</v>
      </c>
      <c r="E24" s="13">
        <v>873</v>
      </c>
      <c r="F24" s="10">
        <v>886</v>
      </c>
      <c r="G24" s="13" t="s">
        <v>10</v>
      </c>
    </row>
    <row r="25" spans="1:16" s="2" customFormat="1" ht="16.5" customHeight="1" thickBot="1">
      <c r="A25" s="16" t="s">
        <v>97</v>
      </c>
      <c r="B25" s="17" t="s">
        <v>3</v>
      </c>
      <c r="C25" s="10">
        <v>713</v>
      </c>
      <c r="D25" s="10">
        <v>772</v>
      </c>
      <c r="E25" s="10">
        <v>797</v>
      </c>
      <c r="F25" s="13" t="s">
        <v>10</v>
      </c>
    </row>
    <row r="26" spans="1:16" s="2" customFormat="1" ht="16.5" customHeight="1" thickBot="1">
      <c r="A26" s="16" t="s">
        <v>98</v>
      </c>
      <c r="B26" s="32" t="s">
        <v>23</v>
      </c>
      <c r="C26" s="10">
        <v>613</v>
      </c>
      <c r="D26" s="10">
        <v>627</v>
      </c>
      <c r="E26" s="10" t="s">
        <v>10</v>
      </c>
    </row>
    <row r="27" spans="1:16" s="2" customFormat="1" ht="13.5" customHeight="1">
      <c r="A27" s="35"/>
      <c r="B27" s="36"/>
      <c r="C27" s="40"/>
      <c r="D27" s="40"/>
      <c r="E27" s="40"/>
      <c r="F27" s="40"/>
      <c r="G27" s="40"/>
      <c r="H27" s="40"/>
    </row>
    <row r="28" spans="1:16" s="2" customFormat="1" ht="17.45" customHeight="1">
      <c r="A28" s="1" t="s">
        <v>506</v>
      </c>
    </row>
    <row r="29" spans="1:16" s="2" customFormat="1" ht="8.25" customHeight="1" thickBot="1">
      <c r="A29" s="1"/>
    </row>
    <row r="30" spans="1:16" s="2" customFormat="1" ht="17.45" customHeight="1" thickBot="1">
      <c r="A30" s="4" t="s">
        <v>0</v>
      </c>
      <c r="B30" s="5" t="s">
        <v>1</v>
      </c>
      <c r="C30" s="5" t="s">
        <v>2</v>
      </c>
      <c r="D30" s="5">
        <v>2</v>
      </c>
      <c r="E30" s="5">
        <v>3</v>
      </c>
      <c r="F30" s="5">
        <v>4</v>
      </c>
      <c r="G30" s="5">
        <v>5</v>
      </c>
      <c r="H30" s="5">
        <v>6</v>
      </c>
      <c r="I30" s="5">
        <v>7</v>
      </c>
      <c r="J30" s="5">
        <v>8</v>
      </c>
      <c r="K30" s="5">
        <v>9</v>
      </c>
      <c r="L30" s="5"/>
      <c r="M30" s="14" t="s">
        <v>6</v>
      </c>
      <c r="N30" s="15">
        <f>(12666/18132)</f>
        <v>0.69854401058901394</v>
      </c>
    </row>
    <row r="31" spans="1:16" s="2" customFormat="1" ht="17.45" customHeight="1" thickBot="1">
      <c r="A31" s="7" t="s">
        <v>99</v>
      </c>
      <c r="B31" s="12" t="s">
        <v>4</v>
      </c>
      <c r="C31" s="9">
        <v>1862</v>
      </c>
      <c r="D31" s="13"/>
      <c r="E31" s="9"/>
      <c r="F31" s="13"/>
      <c r="G31" s="13"/>
      <c r="H31" s="13"/>
      <c r="I31" s="13"/>
      <c r="J31" s="13"/>
      <c r="K31" s="13"/>
      <c r="L31" s="11" t="s">
        <v>85</v>
      </c>
      <c r="M31" s="18"/>
      <c r="N31" s="14" t="s">
        <v>7</v>
      </c>
      <c r="O31" s="14" t="s">
        <v>8</v>
      </c>
      <c r="P31" s="14" t="s">
        <v>9</v>
      </c>
    </row>
    <row r="32" spans="1:16" s="2" customFormat="1" ht="17.45" customHeight="1" thickBot="1">
      <c r="A32" s="7" t="s">
        <v>100</v>
      </c>
      <c r="B32" s="8" t="s">
        <v>3</v>
      </c>
      <c r="C32" s="13">
        <v>1517</v>
      </c>
      <c r="D32" s="9">
        <v>1580</v>
      </c>
      <c r="E32" s="9"/>
      <c r="F32" s="10"/>
      <c r="G32" s="10"/>
      <c r="H32" s="10"/>
      <c r="I32" s="10"/>
      <c r="J32" s="10"/>
      <c r="K32" s="10"/>
      <c r="L32" s="11" t="s">
        <v>86</v>
      </c>
      <c r="M32" s="19" t="s">
        <v>3</v>
      </c>
      <c r="N32" s="20">
        <f>SUM(C32+C33+C34+C38)</f>
        <v>4893</v>
      </c>
      <c r="O32" s="21">
        <f>SUM(N32/N37)</f>
        <v>0.38876529477196886</v>
      </c>
      <c r="P32" s="18">
        <v>3</v>
      </c>
    </row>
    <row r="33" spans="1:17" s="2" customFormat="1" ht="17.45" customHeight="1" thickBot="1">
      <c r="A33" s="7" t="s">
        <v>46</v>
      </c>
      <c r="B33" s="8" t="s">
        <v>3</v>
      </c>
      <c r="C33" s="13">
        <v>1254</v>
      </c>
      <c r="D33" s="13">
        <v>1260</v>
      </c>
      <c r="E33" s="13">
        <v>1271</v>
      </c>
      <c r="F33" s="13">
        <v>1292</v>
      </c>
      <c r="G33" s="13">
        <v>1370</v>
      </c>
      <c r="H33" s="9">
        <v>1801</v>
      </c>
      <c r="I33" s="13"/>
      <c r="J33" s="9"/>
      <c r="K33" s="9"/>
      <c r="L33" s="11" t="s">
        <v>87</v>
      </c>
      <c r="M33" s="23" t="s">
        <v>4</v>
      </c>
      <c r="N33" s="20">
        <f>SUM(C31+C36+C37+C39+C40)</f>
        <v>5520</v>
      </c>
      <c r="O33" s="21">
        <f>SUM(N33/N37)</f>
        <v>0.4385825520419514</v>
      </c>
      <c r="P33" s="18">
        <v>3</v>
      </c>
    </row>
    <row r="34" spans="1:17" s="2" customFormat="1" ht="17.45" customHeight="1" thickBot="1">
      <c r="A34" s="7" t="s">
        <v>101</v>
      </c>
      <c r="B34" s="8" t="s">
        <v>3</v>
      </c>
      <c r="C34" s="13">
        <v>1209</v>
      </c>
      <c r="D34" s="13">
        <v>1211</v>
      </c>
      <c r="E34" s="13">
        <v>1236</v>
      </c>
      <c r="F34" s="13">
        <v>1377</v>
      </c>
      <c r="G34" s="13">
        <v>1388</v>
      </c>
      <c r="H34" s="13">
        <v>1541</v>
      </c>
      <c r="I34" s="9">
        <v>1709</v>
      </c>
      <c r="J34" s="9"/>
      <c r="K34" s="9"/>
      <c r="L34" s="11" t="s">
        <v>89</v>
      </c>
      <c r="M34" s="14" t="s">
        <v>14</v>
      </c>
      <c r="N34" s="29">
        <v>1185</v>
      </c>
      <c r="O34" s="15">
        <f>SUM(N34/N37)</f>
        <v>9.4152232639440642E-2</v>
      </c>
      <c r="P34" s="2">
        <v>1</v>
      </c>
    </row>
    <row r="35" spans="1:17" s="2" customFormat="1" ht="17.45" customHeight="1" thickBot="1">
      <c r="A35" s="7" t="s">
        <v>102</v>
      </c>
      <c r="B35" s="37" t="s">
        <v>11</v>
      </c>
      <c r="C35" s="13">
        <v>1141</v>
      </c>
      <c r="D35" s="13">
        <v>1179</v>
      </c>
      <c r="E35" s="13">
        <v>1239</v>
      </c>
      <c r="F35" s="13">
        <v>1291</v>
      </c>
      <c r="G35" s="13">
        <v>1504</v>
      </c>
      <c r="H35" s="9">
        <v>1726</v>
      </c>
      <c r="I35" s="13"/>
      <c r="J35" s="13"/>
      <c r="K35" s="13"/>
      <c r="L35" s="11" t="s">
        <v>90</v>
      </c>
      <c r="M35" s="42" t="s">
        <v>23</v>
      </c>
      <c r="N35" s="20">
        <v>691</v>
      </c>
      <c r="O35" s="21">
        <f>SUM(N35/N37)</f>
        <v>5.4902272366121087E-2</v>
      </c>
      <c r="P35" s="18"/>
    </row>
    <row r="36" spans="1:17" s="2" customFormat="1" ht="17.45" customHeight="1" thickBot="1">
      <c r="A36" s="7" t="s">
        <v>103</v>
      </c>
      <c r="B36" s="12" t="s">
        <v>4</v>
      </c>
      <c r="C36" s="13">
        <v>1095</v>
      </c>
      <c r="D36" s="13">
        <v>1122</v>
      </c>
      <c r="E36" s="13">
        <v>1156</v>
      </c>
      <c r="F36" s="13">
        <v>1243</v>
      </c>
      <c r="G36" s="13">
        <v>1482</v>
      </c>
      <c r="H36" s="13">
        <v>1557</v>
      </c>
      <c r="I36" s="9">
        <v>1599</v>
      </c>
      <c r="J36" s="10"/>
      <c r="K36" s="10"/>
      <c r="L36" s="11" t="s">
        <v>88</v>
      </c>
      <c r="M36" s="24" t="s">
        <v>12</v>
      </c>
      <c r="N36" s="29">
        <v>297</v>
      </c>
      <c r="O36" s="15">
        <f>SUM(N36/N37)</f>
        <v>2.3597648180518037E-2</v>
      </c>
    </row>
    <row r="37" spans="1:17" s="2" customFormat="1" ht="17.45" customHeight="1" thickBot="1">
      <c r="A37" s="7" t="s">
        <v>104</v>
      </c>
      <c r="B37" s="12" t="s">
        <v>4</v>
      </c>
      <c r="C37" s="10">
        <v>942</v>
      </c>
      <c r="D37" s="10">
        <v>946</v>
      </c>
      <c r="E37" s="10">
        <v>970</v>
      </c>
      <c r="F37" s="13">
        <v>1205</v>
      </c>
      <c r="G37" s="13">
        <v>1237</v>
      </c>
      <c r="H37" s="13">
        <v>1244</v>
      </c>
      <c r="I37" s="13">
        <v>1248</v>
      </c>
      <c r="J37" s="13">
        <v>1252</v>
      </c>
      <c r="K37" s="9">
        <v>1257</v>
      </c>
      <c r="L37" s="11" t="s">
        <v>111</v>
      </c>
      <c r="N37" s="28">
        <v>12586</v>
      </c>
      <c r="P37" s="15"/>
    </row>
    <row r="38" spans="1:17" s="2" customFormat="1" ht="17.45" customHeight="1" thickBot="1">
      <c r="A38" s="16" t="s">
        <v>105</v>
      </c>
      <c r="B38" s="17" t="s">
        <v>3</v>
      </c>
      <c r="C38" s="13">
        <v>913</v>
      </c>
      <c r="D38" s="13">
        <v>916</v>
      </c>
      <c r="E38" s="13">
        <v>949</v>
      </c>
      <c r="F38" s="10">
        <v>975</v>
      </c>
      <c r="G38" s="13">
        <v>1085</v>
      </c>
      <c r="H38" s="13" t="s">
        <v>10</v>
      </c>
      <c r="N38" s="18"/>
      <c r="O38" s="14"/>
      <c r="P38" s="14"/>
      <c r="Q38" s="14"/>
    </row>
    <row r="39" spans="1:17" s="2" customFormat="1" ht="17.45" customHeight="1" thickBot="1">
      <c r="A39" s="16" t="s">
        <v>106</v>
      </c>
      <c r="B39" s="22" t="s">
        <v>4</v>
      </c>
      <c r="C39" s="13">
        <v>860</v>
      </c>
      <c r="D39" s="13">
        <v>946</v>
      </c>
      <c r="E39" s="13">
        <v>962</v>
      </c>
      <c r="F39" s="10">
        <v>975</v>
      </c>
      <c r="G39" s="13">
        <v>1102</v>
      </c>
      <c r="H39" s="13">
        <v>1138</v>
      </c>
      <c r="I39" s="13">
        <v>1149</v>
      </c>
      <c r="J39" s="13">
        <v>1174</v>
      </c>
      <c r="K39" s="13">
        <v>1188</v>
      </c>
      <c r="L39" s="11"/>
      <c r="N39" s="19"/>
      <c r="O39" s="20"/>
      <c r="P39" s="21"/>
      <c r="Q39" s="18"/>
    </row>
    <row r="40" spans="1:17" s="2" customFormat="1" ht="17.45" customHeight="1" thickBot="1">
      <c r="A40" s="16" t="s">
        <v>107</v>
      </c>
      <c r="B40" s="22" t="s">
        <v>4</v>
      </c>
      <c r="C40" s="13">
        <v>761</v>
      </c>
      <c r="D40" s="13">
        <v>812</v>
      </c>
      <c r="E40" s="13">
        <v>862</v>
      </c>
      <c r="F40" s="13">
        <v>891</v>
      </c>
      <c r="G40" s="13" t="s">
        <v>10</v>
      </c>
      <c r="N40" s="23"/>
      <c r="O40" s="20"/>
      <c r="P40" s="21"/>
      <c r="Q40" s="18"/>
    </row>
    <row r="41" spans="1:17" s="2" customFormat="1" ht="17.45" customHeight="1" thickBot="1">
      <c r="A41" s="16" t="s">
        <v>108</v>
      </c>
      <c r="B41" s="32" t="s">
        <v>23</v>
      </c>
      <c r="C41" s="13">
        <v>691</v>
      </c>
      <c r="D41" s="13">
        <v>694</v>
      </c>
      <c r="E41" s="13">
        <v>739</v>
      </c>
      <c r="F41" s="9" t="s">
        <v>10</v>
      </c>
      <c r="N41" s="14"/>
      <c r="O41" s="29"/>
      <c r="P41" s="15"/>
    </row>
    <row r="42" spans="1:17" s="2" customFormat="1" ht="17.45" customHeight="1" thickBot="1">
      <c r="A42" s="16" t="s">
        <v>109</v>
      </c>
      <c r="B42" s="25" t="s">
        <v>12</v>
      </c>
      <c r="C42" s="13">
        <v>297</v>
      </c>
      <c r="D42" s="13">
        <v>300</v>
      </c>
      <c r="E42" s="13" t="s">
        <v>10</v>
      </c>
      <c r="P42" s="28"/>
    </row>
    <row r="43" spans="1:17" s="2" customFormat="1" ht="17.45" customHeight="1" thickBot="1">
      <c r="A43" s="16" t="s">
        <v>110</v>
      </c>
      <c r="B43" s="33" t="s">
        <v>11</v>
      </c>
      <c r="C43" s="10">
        <v>44</v>
      </c>
      <c r="D43" s="10">
        <v>46</v>
      </c>
      <c r="E43" s="10" t="s">
        <v>10</v>
      </c>
      <c r="O43" s="14"/>
      <c r="Q43" s="15"/>
    </row>
    <row r="44" spans="1:17">
      <c r="C44" s="41"/>
      <c r="D44" s="41"/>
      <c r="E44" s="41"/>
      <c r="F44" s="41"/>
      <c r="G44" s="41"/>
      <c r="H44" s="41"/>
      <c r="I44" s="41"/>
      <c r="J44" s="41"/>
      <c r="K44" s="41"/>
    </row>
    <row r="45" spans="1:17" s="2" customFormat="1" ht="17.45" customHeight="1">
      <c r="A45" s="1" t="s">
        <v>507</v>
      </c>
    </row>
    <row r="46" spans="1:17" s="2" customFormat="1" ht="10.5" customHeight="1" thickBot="1">
      <c r="A46" s="1"/>
    </row>
    <row r="47" spans="1:17" s="2" customFormat="1" ht="16.5" customHeight="1" thickBot="1">
      <c r="A47" s="4" t="s">
        <v>0</v>
      </c>
      <c r="B47" s="5" t="s">
        <v>1</v>
      </c>
      <c r="C47" s="5" t="s">
        <v>2</v>
      </c>
      <c r="D47" s="5">
        <v>2</v>
      </c>
      <c r="E47" s="5">
        <v>3</v>
      </c>
      <c r="F47" s="5">
        <v>4</v>
      </c>
      <c r="G47" s="6"/>
      <c r="H47" s="14" t="s">
        <v>6</v>
      </c>
      <c r="I47" s="15">
        <f>(6505/9877)</f>
        <v>0.6586007897134758</v>
      </c>
    </row>
    <row r="48" spans="1:17" s="2" customFormat="1" ht="16.5" customHeight="1" thickBot="1">
      <c r="A48" s="7" t="s">
        <v>112</v>
      </c>
      <c r="B48" s="8" t="s">
        <v>3</v>
      </c>
      <c r="C48" s="9">
        <v>1423</v>
      </c>
      <c r="D48" s="13"/>
      <c r="E48" s="13"/>
      <c r="F48" s="13"/>
      <c r="G48" s="11" t="s">
        <v>85</v>
      </c>
      <c r="H48" s="18"/>
      <c r="I48" s="14" t="s">
        <v>7</v>
      </c>
      <c r="J48" s="14" t="s">
        <v>8</v>
      </c>
      <c r="K48" s="14" t="s">
        <v>9</v>
      </c>
    </row>
    <row r="49" spans="1:13" s="2" customFormat="1" ht="16.5" customHeight="1" thickBot="1">
      <c r="A49" s="7" t="s">
        <v>54</v>
      </c>
      <c r="B49" s="12" t="s">
        <v>4</v>
      </c>
      <c r="C49" s="13">
        <v>1200</v>
      </c>
      <c r="D49" s="13">
        <v>1211</v>
      </c>
      <c r="E49" s="13">
        <v>1215</v>
      </c>
      <c r="F49" s="9">
        <v>1383</v>
      </c>
      <c r="G49" s="11" t="s">
        <v>86</v>
      </c>
      <c r="H49" s="19" t="s">
        <v>3</v>
      </c>
      <c r="I49" s="20">
        <f>SUM(C48+C50+C51)</f>
        <v>3391</v>
      </c>
      <c r="J49" s="21">
        <f>SUM(I49/I52)</f>
        <v>0.52630762067359926</v>
      </c>
      <c r="K49" s="18">
        <v>2</v>
      </c>
    </row>
    <row r="50" spans="1:13" s="2" customFormat="1" ht="16.5" customHeight="1" thickBot="1">
      <c r="A50" s="7" t="s">
        <v>113</v>
      </c>
      <c r="B50" s="8" t="s">
        <v>3</v>
      </c>
      <c r="C50" s="13">
        <v>1009</v>
      </c>
      <c r="D50" s="13">
        <v>1035</v>
      </c>
      <c r="E50" s="13">
        <v>1087</v>
      </c>
      <c r="F50" s="9">
        <v>1318</v>
      </c>
      <c r="G50" s="11" t="s">
        <v>90</v>
      </c>
      <c r="H50" s="23" t="s">
        <v>4</v>
      </c>
      <c r="I50" s="20">
        <f>SUM(C49+C52+C53)</f>
        <v>2931</v>
      </c>
      <c r="J50" s="21">
        <f>SUM(I50/I52)</f>
        <v>0.454912307931088</v>
      </c>
      <c r="K50" s="18">
        <v>2</v>
      </c>
    </row>
    <row r="51" spans="1:13" s="2" customFormat="1" ht="16.5" customHeight="1" thickBot="1">
      <c r="A51" s="16" t="s">
        <v>114</v>
      </c>
      <c r="B51" s="17" t="s">
        <v>3</v>
      </c>
      <c r="C51" s="13">
        <v>959</v>
      </c>
      <c r="D51" s="13">
        <v>967</v>
      </c>
      <c r="E51" s="13">
        <v>1006</v>
      </c>
      <c r="F51" s="13">
        <v>1040</v>
      </c>
      <c r="G51" s="11"/>
      <c r="H51" s="14" t="s">
        <v>14</v>
      </c>
      <c r="I51" s="29">
        <v>121</v>
      </c>
      <c r="J51" s="15">
        <f>SUM(I51/I52)</f>
        <v>1.8780071395312743E-2</v>
      </c>
      <c r="K51" s="18"/>
    </row>
    <row r="52" spans="1:13" s="2" customFormat="1" ht="16.5" customHeight="1" thickBot="1">
      <c r="A52" s="7" t="s">
        <v>115</v>
      </c>
      <c r="B52" s="12" t="s">
        <v>4</v>
      </c>
      <c r="C52" s="13">
        <v>901</v>
      </c>
      <c r="D52" s="13">
        <v>924</v>
      </c>
      <c r="E52" s="13">
        <v>956</v>
      </c>
      <c r="F52" s="9">
        <v>1342</v>
      </c>
      <c r="G52" s="11" t="s">
        <v>87</v>
      </c>
      <c r="H52" s="18"/>
      <c r="I52" s="28">
        <v>6443</v>
      </c>
    </row>
    <row r="53" spans="1:13" s="2" customFormat="1" ht="16.5" customHeight="1" thickBot="1">
      <c r="A53" s="16" t="s">
        <v>116</v>
      </c>
      <c r="B53" s="22" t="s">
        <v>4</v>
      </c>
      <c r="C53" s="13">
        <v>830</v>
      </c>
      <c r="D53" s="13">
        <v>861</v>
      </c>
      <c r="E53" s="13">
        <v>868</v>
      </c>
      <c r="F53" s="13" t="s">
        <v>10</v>
      </c>
      <c r="G53" s="21"/>
    </row>
    <row r="54" spans="1:13" s="2" customFormat="1" ht="16.5" customHeight="1" thickBot="1">
      <c r="A54" s="16" t="s">
        <v>117</v>
      </c>
      <c r="B54" s="33" t="s">
        <v>11</v>
      </c>
      <c r="C54" s="13">
        <v>121</v>
      </c>
      <c r="D54" s="13" t="s">
        <v>10</v>
      </c>
    </row>
    <row r="56" spans="1:13" s="2" customFormat="1" ht="17.45" customHeight="1">
      <c r="A56" s="1" t="s">
        <v>508</v>
      </c>
    </row>
    <row r="57" spans="1:13" s="2" customFormat="1" ht="10.5" customHeight="1" thickBot="1">
      <c r="A57" s="1"/>
    </row>
    <row r="58" spans="1:13" s="2" customFormat="1" ht="16.5" customHeight="1" thickBot="1">
      <c r="A58" s="4" t="s">
        <v>0</v>
      </c>
      <c r="B58" s="5" t="s">
        <v>1</v>
      </c>
      <c r="C58" s="5" t="s">
        <v>2</v>
      </c>
      <c r="D58" s="5">
        <v>2</v>
      </c>
      <c r="E58" s="5">
        <v>3</v>
      </c>
      <c r="F58" s="5">
        <v>4</v>
      </c>
      <c r="G58" s="5">
        <v>5</v>
      </c>
      <c r="H58" s="5">
        <v>6</v>
      </c>
      <c r="I58" s="6"/>
      <c r="J58" s="14" t="s">
        <v>6</v>
      </c>
      <c r="K58" s="15">
        <f>(6044/9176)</f>
        <v>0.65867480383609411</v>
      </c>
    </row>
    <row r="59" spans="1:13" s="2" customFormat="1" ht="16.5" customHeight="1" thickBot="1">
      <c r="A59" s="7" t="s">
        <v>118</v>
      </c>
      <c r="B59" s="37" t="s">
        <v>11</v>
      </c>
      <c r="C59" s="9">
        <v>1350</v>
      </c>
      <c r="D59" s="13"/>
      <c r="E59" s="9"/>
      <c r="F59" s="13"/>
      <c r="G59" s="13"/>
      <c r="H59" s="13"/>
      <c r="I59" s="11" t="s">
        <v>85</v>
      </c>
      <c r="J59" s="18"/>
      <c r="K59" s="14" t="s">
        <v>7</v>
      </c>
      <c r="L59" s="14" t="s">
        <v>8</v>
      </c>
      <c r="M59" s="14" t="s">
        <v>9</v>
      </c>
    </row>
    <row r="60" spans="1:13" s="2" customFormat="1" ht="16.5" customHeight="1" thickBot="1">
      <c r="A60" s="16" t="s">
        <v>119</v>
      </c>
      <c r="B60" s="22" t="s">
        <v>4</v>
      </c>
      <c r="C60" s="13">
        <v>1039</v>
      </c>
      <c r="D60" s="13">
        <v>1069</v>
      </c>
      <c r="E60" s="13">
        <v>1077</v>
      </c>
      <c r="F60" s="13">
        <v>1086</v>
      </c>
      <c r="G60" s="13">
        <v>1087</v>
      </c>
      <c r="H60" s="13">
        <v>1104</v>
      </c>
      <c r="I60" s="11"/>
      <c r="J60" s="19" t="s">
        <v>3</v>
      </c>
      <c r="K60" s="20">
        <f>SUM(C61+C62+C64)</f>
        <v>2439</v>
      </c>
      <c r="L60" s="21">
        <f>SUM(K60/K63)</f>
        <v>0.40847429241333111</v>
      </c>
      <c r="M60" s="18">
        <v>2</v>
      </c>
    </row>
    <row r="61" spans="1:13" s="2" customFormat="1" ht="16.5" customHeight="1" thickBot="1">
      <c r="A61" s="7" t="s">
        <v>59</v>
      </c>
      <c r="B61" s="8" t="s">
        <v>3</v>
      </c>
      <c r="C61" s="13">
        <v>994</v>
      </c>
      <c r="D61" s="13">
        <v>1041</v>
      </c>
      <c r="E61" s="9">
        <v>1309</v>
      </c>
      <c r="F61" s="13"/>
      <c r="G61" s="9"/>
      <c r="H61" s="9"/>
      <c r="I61" s="11" t="s">
        <v>86</v>
      </c>
      <c r="J61" s="23" t="s">
        <v>4</v>
      </c>
      <c r="K61" s="20">
        <f>SUM(C60+C63)</f>
        <v>1984</v>
      </c>
      <c r="L61" s="21">
        <f>SUM(K61/K63)</f>
        <v>0.3322726511472115</v>
      </c>
      <c r="M61" s="18">
        <v>1</v>
      </c>
    </row>
    <row r="62" spans="1:13" s="2" customFormat="1" ht="16.5" customHeight="1" thickBot="1">
      <c r="A62" s="7" t="s">
        <v>120</v>
      </c>
      <c r="B62" s="8" t="s">
        <v>3</v>
      </c>
      <c r="C62" s="13">
        <v>949</v>
      </c>
      <c r="D62" s="13">
        <v>963</v>
      </c>
      <c r="E62" s="13">
        <v>1005</v>
      </c>
      <c r="F62" s="13">
        <v>1019</v>
      </c>
      <c r="G62" s="13">
        <v>1127</v>
      </c>
      <c r="H62" s="9">
        <v>1139</v>
      </c>
      <c r="I62" s="9" t="s">
        <v>90</v>
      </c>
      <c r="J62" s="14" t="s">
        <v>14</v>
      </c>
      <c r="K62" s="29">
        <f>SUM(C59+C65+C66)</f>
        <v>1548</v>
      </c>
      <c r="L62" s="15">
        <f>SUM(K62/K63)</f>
        <v>0.2592530564394574</v>
      </c>
      <c r="M62" s="2">
        <v>1</v>
      </c>
    </row>
    <row r="63" spans="1:13" s="2" customFormat="1" ht="16.5" customHeight="1" thickBot="1">
      <c r="A63" s="7" t="s">
        <v>121</v>
      </c>
      <c r="B63" s="12" t="s">
        <v>4</v>
      </c>
      <c r="C63" s="13">
        <v>945</v>
      </c>
      <c r="D63" s="13">
        <v>1000</v>
      </c>
      <c r="E63" s="13">
        <v>1122</v>
      </c>
      <c r="F63" s="9">
        <v>1254</v>
      </c>
      <c r="G63" s="9"/>
      <c r="H63" s="9"/>
      <c r="I63" s="11" t="s">
        <v>87</v>
      </c>
      <c r="J63" s="18"/>
      <c r="K63" s="28">
        <v>5971</v>
      </c>
      <c r="M63" s="18"/>
    </row>
    <row r="64" spans="1:13" s="2" customFormat="1" ht="16.5" customHeight="1" thickBot="1">
      <c r="A64" s="16" t="s">
        <v>122</v>
      </c>
      <c r="B64" s="17" t="s">
        <v>3</v>
      </c>
      <c r="C64" s="13">
        <v>496</v>
      </c>
      <c r="D64" s="13">
        <v>511</v>
      </c>
      <c r="E64" s="13" t="s">
        <v>10</v>
      </c>
    </row>
    <row r="65" spans="1:19" s="2" customFormat="1" ht="16.5" customHeight="1" thickBot="1">
      <c r="A65" s="16" t="s">
        <v>123</v>
      </c>
      <c r="B65" s="33" t="s">
        <v>11</v>
      </c>
      <c r="C65" s="13">
        <v>169</v>
      </c>
      <c r="D65" s="13" t="s">
        <v>10</v>
      </c>
      <c r="F65" s="23"/>
      <c r="H65"/>
      <c r="I65"/>
      <c r="J65"/>
    </row>
    <row r="66" spans="1:19" s="2" customFormat="1" ht="16.5" customHeight="1" thickBot="1">
      <c r="A66" s="16" t="s">
        <v>124</v>
      </c>
      <c r="B66" s="33" t="s">
        <v>11</v>
      </c>
      <c r="C66" s="10">
        <v>29</v>
      </c>
      <c r="D66" s="10" t="s">
        <v>10</v>
      </c>
      <c r="G66" s="29"/>
      <c r="H66"/>
      <c r="I66"/>
      <c r="J66"/>
    </row>
    <row r="68" spans="1:19" s="2" customFormat="1" ht="17.45" customHeight="1">
      <c r="A68" s="1" t="s">
        <v>278</v>
      </c>
    </row>
    <row r="69" spans="1:19" s="2" customFormat="1" ht="10.5" customHeight="1" thickBot="1">
      <c r="A69" s="1"/>
    </row>
    <row r="70" spans="1:19" s="2" customFormat="1" ht="16.5" customHeight="1" thickBot="1">
      <c r="A70" s="4" t="s">
        <v>0</v>
      </c>
      <c r="B70" s="5" t="s">
        <v>1</v>
      </c>
      <c r="C70" s="5" t="s">
        <v>2</v>
      </c>
      <c r="D70" s="5">
        <v>2</v>
      </c>
      <c r="E70" s="5">
        <v>3</v>
      </c>
      <c r="F70" s="5">
        <v>4</v>
      </c>
      <c r="G70" s="6"/>
      <c r="H70" s="14" t="s">
        <v>6</v>
      </c>
      <c r="I70" s="15">
        <f>(9899/13691)</f>
        <v>0.7230297275582499</v>
      </c>
    </row>
    <row r="71" spans="1:19" s="2" customFormat="1" ht="16.5" customHeight="1" thickBot="1">
      <c r="A71" s="7" t="s">
        <v>125</v>
      </c>
      <c r="B71" s="12" t="s">
        <v>4</v>
      </c>
      <c r="C71" s="9">
        <v>2063</v>
      </c>
      <c r="D71" s="13"/>
      <c r="E71" s="13"/>
      <c r="F71" s="9"/>
      <c r="G71" s="11" t="s">
        <v>85</v>
      </c>
      <c r="H71" s="18"/>
      <c r="I71" s="14" t="s">
        <v>7</v>
      </c>
      <c r="J71" s="14" t="s">
        <v>8</v>
      </c>
      <c r="K71" s="14" t="s">
        <v>9</v>
      </c>
    </row>
    <row r="72" spans="1:19" s="2" customFormat="1" ht="16.5" customHeight="1" thickBot="1">
      <c r="A72" s="7" t="s">
        <v>126</v>
      </c>
      <c r="B72" s="8" t="s">
        <v>3</v>
      </c>
      <c r="C72" s="9">
        <v>1697</v>
      </c>
      <c r="D72" s="13"/>
      <c r="E72" s="13"/>
      <c r="F72" s="9"/>
      <c r="G72" s="11" t="s">
        <v>86</v>
      </c>
      <c r="H72" s="19" t="s">
        <v>3</v>
      </c>
      <c r="I72" s="20">
        <f>SUM(C72+C74+C75+C76)</f>
        <v>5468</v>
      </c>
      <c r="J72" s="21">
        <f>SUM(I72/I76)</f>
        <v>0.55847206618322953</v>
      </c>
      <c r="K72" s="18">
        <v>3</v>
      </c>
    </row>
    <row r="73" spans="1:19" s="2" customFormat="1" ht="16.5" customHeight="1" thickBot="1">
      <c r="A73" s="7" t="s">
        <v>62</v>
      </c>
      <c r="B73" s="12" t="s">
        <v>4</v>
      </c>
      <c r="C73" s="13">
        <v>1601</v>
      </c>
      <c r="D73" s="9">
        <v>1774</v>
      </c>
      <c r="E73" s="13"/>
      <c r="F73" s="13"/>
      <c r="G73" s="11" t="s">
        <v>87</v>
      </c>
      <c r="H73" s="23" t="s">
        <v>4</v>
      </c>
      <c r="I73" s="20">
        <f>SUM(C71+C73)</f>
        <v>3664</v>
      </c>
      <c r="J73" s="21">
        <f>SUM(I73/I76)</f>
        <v>0.37422122357266879</v>
      </c>
      <c r="K73" s="18">
        <v>2</v>
      </c>
    </row>
    <row r="74" spans="1:19" s="2" customFormat="1" ht="16.5" customHeight="1" thickBot="1">
      <c r="A74" s="7" t="s">
        <v>69</v>
      </c>
      <c r="B74" s="8" t="s">
        <v>3</v>
      </c>
      <c r="C74" s="13">
        <v>1538</v>
      </c>
      <c r="D74" s="13">
        <v>1564</v>
      </c>
      <c r="E74" s="13">
        <v>1584</v>
      </c>
      <c r="F74" s="9">
        <v>1662</v>
      </c>
      <c r="G74" s="11" t="s">
        <v>90</v>
      </c>
      <c r="H74" s="24" t="s">
        <v>12</v>
      </c>
      <c r="I74" s="20">
        <v>432</v>
      </c>
      <c r="J74" s="21">
        <f>SUM(I74/I76)</f>
        <v>4.4122152997650904E-2</v>
      </c>
    </row>
    <row r="75" spans="1:19" s="2" customFormat="1" ht="16.5" customHeight="1" thickBot="1">
      <c r="A75" s="7" t="s">
        <v>130</v>
      </c>
      <c r="B75" s="8" t="s">
        <v>3</v>
      </c>
      <c r="C75" s="13">
        <v>1244</v>
      </c>
      <c r="D75" s="13">
        <v>1364</v>
      </c>
      <c r="E75" s="13">
        <v>1410</v>
      </c>
      <c r="F75" s="9">
        <v>1576</v>
      </c>
      <c r="G75" s="11" t="s">
        <v>89</v>
      </c>
      <c r="H75" s="34" t="s">
        <v>23</v>
      </c>
      <c r="I75" s="29">
        <v>227</v>
      </c>
      <c r="J75" s="15">
        <f>SUM(I75/I76)</f>
        <v>2.3184557246450823E-2</v>
      </c>
    </row>
    <row r="76" spans="1:19" s="2" customFormat="1" ht="16.5" customHeight="1" thickBot="1">
      <c r="A76" s="16" t="s">
        <v>127</v>
      </c>
      <c r="B76" s="17" t="s">
        <v>3</v>
      </c>
      <c r="C76" s="13">
        <v>989</v>
      </c>
      <c r="D76" s="13">
        <v>1007</v>
      </c>
      <c r="E76" s="13">
        <v>1035</v>
      </c>
      <c r="F76" s="13">
        <v>1130</v>
      </c>
      <c r="G76" s="11"/>
      <c r="H76" s="18"/>
      <c r="I76" s="28">
        <v>9791</v>
      </c>
      <c r="K76" s="18"/>
    </row>
    <row r="77" spans="1:19" s="2" customFormat="1" ht="16.5" customHeight="1" thickBot="1">
      <c r="A77" s="16" t="s">
        <v>128</v>
      </c>
      <c r="B77" s="25" t="s">
        <v>12</v>
      </c>
      <c r="C77" s="13">
        <v>432</v>
      </c>
      <c r="D77" s="13">
        <v>499</v>
      </c>
      <c r="E77" s="13">
        <v>558</v>
      </c>
      <c r="F77" s="13" t="s">
        <v>10</v>
      </c>
    </row>
    <row r="78" spans="1:19" s="2" customFormat="1" ht="16.5" customHeight="1" thickBot="1">
      <c r="A78" s="16" t="s">
        <v>129</v>
      </c>
      <c r="B78" s="32" t="s">
        <v>23</v>
      </c>
      <c r="C78" s="13">
        <v>227</v>
      </c>
      <c r="D78" s="13">
        <v>254</v>
      </c>
      <c r="E78" s="13" t="s">
        <v>10</v>
      </c>
      <c r="F78" s="23"/>
    </row>
    <row r="80" spans="1:19" s="108" customFormat="1" ht="15" customHeight="1">
      <c r="B80" s="46" t="s">
        <v>259</v>
      </c>
      <c r="C80" s="83" t="s">
        <v>3</v>
      </c>
      <c r="D80" s="84" t="s">
        <v>4</v>
      </c>
      <c r="E80" s="85" t="s">
        <v>12</v>
      </c>
      <c r="F80" s="113" t="s">
        <v>23</v>
      </c>
      <c r="G80" s="46" t="s">
        <v>14</v>
      </c>
      <c r="Q80" s="109"/>
      <c r="R80" s="110"/>
      <c r="S80" s="111"/>
    </row>
    <row r="81" spans="1:19" s="108" customFormat="1" ht="15" customHeight="1">
      <c r="A81" s="108" t="s">
        <v>7</v>
      </c>
      <c r="B81" s="112">
        <f>SUM(L9+K23+N37+I52+K63+I76)</f>
        <v>54292</v>
      </c>
      <c r="C81" s="110">
        <f>SUM(L5+K19+N32+I49+K60+I72)</f>
        <v>25672</v>
      </c>
      <c r="D81" s="110">
        <f>SUM(I73+K61+I50+N33+K20+L6)</f>
        <v>21656</v>
      </c>
      <c r="E81" s="110">
        <f>SUM(I74+N36+K21+L7)</f>
        <v>1949</v>
      </c>
      <c r="F81" s="110">
        <f>SUM(I75+N35+K22)</f>
        <v>1531</v>
      </c>
      <c r="G81" s="110">
        <f>SUM(K62+I51+N34+L8)</f>
        <v>3484</v>
      </c>
      <c r="Q81" s="46"/>
      <c r="R81" s="112"/>
      <c r="S81" s="111"/>
    </row>
    <row r="82" spans="1:19" s="108" customFormat="1" ht="15" customHeight="1">
      <c r="A82" s="108" t="s">
        <v>8</v>
      </c>
      <c r="B82" s="115">
        <v>1</v>
      </c>
      <c r="C82" s="111">
        <f>SUM(C81/$B$81)</f>
        <v>0.47285051204597361</v>
      </c>
      <c r="D82" s="111">
        <f>SUM(D81/$B$81)</f>
        <v>0.39888012966919617</v>
      </c>
      <c r="E82" s="111">
        <f>SUM(E81/$B$81)</f>
        <v>3.5898474913431073E-2</v>
      </c>
      <c r="F82" s="111">
        <f>SUM(F81/$B$81)</f>
        <v>2.8199366389154941E-2</v>
      </c>
      <c r="G82" s="111">
        <f>SUM(G81/$B$81)</f>
        <v>6.4171516982244159E-2</v>
      </c>
    </row>
    <row r="83" spans="1:19" s="108" customFormat="1" ht="15" customHeight="1">
      <c r="A83" s="108" t="s">
        <v>9</v>
      </c>
      <c r="B83" s="46">
        <v>31</v>
      </c>
      <c r="C83" s="108">
        <v>15</v>
      </c>
      <c r="D83" s="108">
        <v>13</v>
      </c>
      <c r="E83" s="108">
        <v>1</v>
      </c>
      <c r="F83" s="108">
        <v>0</v>
      </c>
      <c r="G83" s="108">
        <v>2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8"/>
  <dimension ref="A1:S90"/>
  <sheetViews>
    <sheetView workbookViewId="0">
      <selection activeCell="N1" sqref="N1"/>
    </sheetView>
  </sheetViews>
  <sheetFormatPr defaultRowHeight="12.75"/>
  <cols>
    <col min="1" max="1" width="25.28515625" customWidth="1"/>
    <col min="2" max="2" width="8.7109375" customWidth="1"/>
    <col min="3" max="3" width="9.7109375" customWidth="1"/>
    <col min="4" max="18" width="8.7109375" customWidth="1"/>
  </cols>
  <sheetData>
    <row r="1" spans="1:14" s="2" customFormat="1" ht="16.5" customHeight="1">
      <c r="A1" s="48" t="s">
        <v>465</v>
      </c>
      <c r="B1" s="29"/>
      <c r="C1" s="29"/>
      <c r="D1" s="29"/>
      <c r="E1" s="29"/>
      <c r="F1" s="29"/>
      <c r="G1" s="29"/>
      <c r="H1" s="29"/>
      <c r="I1" s="29"/>
      <c r="J1" s="29"/>
    </row>
    <row r="2" spans="1:14" s="2" customFormat="1" ht="9.75" customHeight="1" thickBot="1">
      <c r="A2" s="49"/>
      <c r="B2" s="29"/>
      <c r="C2" s="29"/>
      <c r="D2" s="29"/>
      <c r="E2" s="29"/>
      <c r="F2" s="29"/>
      <c r="G2" s="29"/>
      <c r="H2" s="29"/>
      <c r="I2" s="29"/>
      <c r="J2" s="29"/>
    </row>
    <row r="3" spans="1:14" s="2" customFormat="1" ht="16.5" customHeight="1" thickBot="1">
      <c r="A3" s="53" t="s">
        <v>0</v>
      </c>
      <c r="B3" s="54" t="s">
        <v>1</v>
      </c>
      <c r="C3" s="54" t="s">
        <v>2</v>
      </c>
      <c r="D3" s="54">
        <v>2</v>
      </c>
      <c r="E3" s="54">
        <v>3</v>
      </c>
      <c r="F3" s="54">
        <v>4</v>
      </c>
      <c r="G3" s="54">
        <v>5</v>
      </c>
      <c r="H3" s="54">
        <v>6</v>
      </c>
      <c r="I3" s="54">
        <v>7</v>
      </c>
      <c r="J3" s="6"/>
      <c r="K3" s="14" t="s">
        <v>6</v>
      </c>
      <c r="L3" s="15">
        <f>SUM(11257/18303)</f>
        <v>0.61503578648309021</v>
      </c>
    </row>
    <row r="4" spans="1:14" s="2" customFormat="1" ht="16.5" customHeight="1" thickBot="1">
      <c r="A4" s="55" t="s">
        <v>15</v>
      </c>
      <c r="B4" s="56" t="s">
        <v>3</v>
      </c>
      <c r="C4" s="9">
        <v>1818</v>
      </c>
      <c r="D4" s="13"/>
      <c r="E4" s="9"/>
      <c r="F4" s="13"/>
      <c r="G4" s="13"/>
      <c r="H4" s="13"/>
      <c r="I4" s="9"/>
      <c r="J4" s="11" t="s">
        <v>85</v>
      </c>
      <c r="K4" s="18"/>
      <c r="L4" s="14" t="s">
        <v>7</v>
      </c>
      <c r="M4" s="14" t="s">
        <v>8</v>
      </c>
      <c r="N4" s="14" t="s">
        <v>9</v>
      </c>
    </row>
    <row r="5" spans="1:14" s="2" customFormat="1" ht="16.5" customHeight="1" thickBot="1">
      <c r="A5" s="55" t="s">
        <v>194</v>
      </c>
      <c r="B5" s="57" t="s">
        <v>4</v>
      </c>
      <c r="C5" s="9">
        <v>1629</v>
      </c>
      <c r="D5" s="13"/>
      <c r="E5" s="9"/>
      <c r="F5" s="13"/>
      <c r="G5" s="13"/>
      <c r="H5" s="9"/>
      <c r="I5" s="9"/>
      <c r="J5" s="11" t="s">
        <v>86</v>
      </c>
      <c r="K5" s="19" t="s">
        <v>3</v>
      </c>
      <c r="L5" s="20">
        <f>SUM(C4+C7+C9+C10)</f>
        <v>5200</v>
      </c>
      <c r="M5" s="21">
        <f>SUM(L5/L9)</f>
        <v>0.46867958539882831</v>
      </c>
      <c r="N5" s="18">
        <v>3</v>
      </c>
    </row>
    <row r="6" spans="1:14" s="2" customFormat="1" ht="16.5" customHeight="1" thickBot="1">
      <c r="A6" s="55" t="s">
        <v>195</v>
      </c>
      <c r="B6" s="57" t="s">
        <v>4</v>
      </c>
      <c r="C6" s="13">
        <v>1260</v>
      </c>
      <c r="D6" s="13">
        <v>1288</v>
      </c>
      <c r="E6" s="13">
        <v>1369</v>
      </c>
      <c r="F6" s="13">
        <v>1430</v>
      </c>
      <c r="G6" s="13">
        <v>1541</v>
      </c>
      <c r="H6" s="9">
        <v>1644</v>
      </c>
      <c r="I6" s="13"/>
      <c r="J6" s="11" t="s">
        <v>90</v>
      </c>
      <c r="K6" s="23" t="s">
        <v>4</v>
      </c>
      <c r="L6" s="20">
        <f>SUM(C5+C6+C8+C11)</f>
        <v>4951</v>
      </c>
      <c r="M6" s="21">
        <f>SUM(L6/L9)</f>
        <v>0.44623704371338441</v>
      </c>
      <c r="N6" s="18">
        <v>3</v>
      </c>
    </row>
    <row r="7" spans="1:14" s="2" customFormat="1" ht="16.5" customHeight="1" thickBot="1">
      <c r="A7" s="55" t="s">
        <v>19</v>
      </c>
      <c r="B7" s="56" t="s">
        <v>3</v>
      </c>
      <c r="C7" s="13">
        <v>1206</v>
      </c>
      <c r="D7" s="13">
        <v>1235</v>
      </c>
      <c r="E7" s="13">
        <v>1287</v>
      </c>
      <c r="F7" s="13">
        <v>1353</v>
      </c>
      <c r="G7" s="13">
        <v>1381</v>
      </c>
      <c r="H7" s="13">
        <v>1385</v>
      </c>
      <c r="I7" s="9">
        <v>1386</v>
      </c>
      <c r="J7" s="11" t="s">
        <v>88</v>
      </c>
      <c r="K7" s="26" t="s">
        <v>13</v>
      </c>
      <c r="L7" s="18">
        <v>610</v>
      </c>
      <c r="M7" s="21">
        <f>SUM(L7/L9)</f>
        <v>5.4979720594862551E-2</v>
      </c>
    </row>
    <row r="8" spans="1:14" s="2" customFormat="1" ht="16.5" customHeight="1" thickBot="1">
      <c r="A8" s="55" t="s">
        <v>17</v>
      </c>
      <c r="B8" s="57" t="s">
        <v>4</v>
      </c>
      <c r="C8" s="13">
        <v>1176</v>
      </c>
      <c r="D8" s="13">
        <v>1195</v>
      </c>
      <c r="E8" s="13">
        <v>1285</v>
      </c>
      <c r="F8" s="13">
        <v>1325</v>
      </c>
      <c r="G8" s="9">
        <v>1721</v>
      </c>
      <c r="H8" s="13"/>
      <c r="I8" s="13"/>
      <c r="J8" s="11" t="s">
        <v>87</v>
      </c>
      <c r="K8" s="14" t="s">
        <v>14</v>
      </c>
      <c r="L8" s="2">
        <v>334</v>
      </c>
      <c r="M8" s="15">
        <f>SUM(L8/L9)</f>
        <v>3.0103650292924739E-2</v>
      </c>
      <c r="N8" s="18"/>
    </row>
    <row r="9" spans="1:14" s="2" customFormat="1" ht="16.5" customHeight="1" thickBot="1">
      <c r="A9" s="58" t="s">
        <v>196</v>
      </c>
      <c r="B9" s="59" t="s">
        <v>3</v>
      </c>
      <c r="C9" s="13">
        <v>1107</v>
      </c>
      <c r="D9" s="13">
        <v>1199</v>
      </c>
      <c r="E9" s="13">
        <v>1218</v>
      </c>
      <c r="F9" s="13">
        <v>1322</v>
      </c>
      <c r="G9" s="13">
        <v>1333</v>
      </c>
      <c r="H9" s="13">
        <v>1334</v>
      </c>
      <c r="I9" s="13">
        <v>1339</v>
      </c>
      <c r="J9" s="11"/>
      <c r="L9" s="28">
        <v>11095</v>
      </c>
    </row>
    <row r="10" spans="1:14" s="2" customFormat="1" ht="16.5" customHeight="1" thickBot="1">
      <c r="A10" s="55" t="s">
        <v>24</v>
      </c>
      <c r="B10" s="56" t="s">
        <v>3</v>
      </c>
      <c r="C10" s="13">
        <v>1069</v>
      </c>
      <c r="D10" s="13">
        <v>1094</v>
      </c>
      <c r="E10" s="13">
        <v>1118</v>
      </c>
      <c r="F10" s="13">
        <v>1217</v>
      </c>
      <c r="G10" s="13">
        <v>1504</v>
      </c>
      <c r="H10" s="13">
        <v>1531</v>
      </c>
      <c r="I10" s="9">
        <v>1545</v>
      </c>
      <c r="J10" s="11" t="s">
        <v>89</v>
      </c>
    </row>
    <row r="11" spans="1:14" s="2" customFormat="1" ht="16.5" customHeight="1" thickBot="1">
      <c r="A11" s="58" t="s">
        <v>153</v>
      </c>
      <c r="B11" s="60" t="s">
        <v>4</v>
      </c>
      <c r="C11" s="13">
        <v>886</v>
      </c>
      <c r="D11" s="13">
        <v>893</v>
      </c>
      <c r="E11" s="13">
        <v>906</v>
      </c>
      <c r="F11" s="13">
        <v>984</v>
      </c>
      <c r="G11" s="13" t="s">
        <v>10</v>
      </c>
      <c r="H11" s="29"/>
      <c r="I11" s="29"/>
    </row>
    <row r="12" spans="1:14" s="2" customFormat="1" ht="16.5" customHeight="1" thickBot="1">
      <c r="A12" s="58" t="s">
        <v>197</v>
      </c>
      <c r="B12" s="61" t="s">
        <v>13</v>
      </c>
      <c r="C12" s="13">
        <v>610</v>
      </c>
      <c r="D12" s="13">
        <v>633</v>
      </c>
      <c r="E12" s="13">
        <v>649</v>
      </c>
      <c r="F12" s="13" t="s">
        <v>10</v>
      </c>
      <c r="G12" s="29"/>
      <c r="H12" s="29"/>
      <c r="I12" s="29"/>
    </row>
    <row r="13" spans="1:14" s="2" customFormat="1" ht="16.5" customHeight="1" thickBot="1">
      <c r="A13" s="58" t="s">
        <v>198</v>
      </c>
      <c r="B13" s="62" t="s">
        <v>11</v>
      </c>
      <c r="C13" s="13">
        <v>334</v>
      </c>
      <c r="D13" s="13">
        <v>343</v>
      </c>
      <c r="E13" s="13" t="s">
        <v>10</v>
      </c>
      <c r="F13" s="29"/>
      <c r="G13" s="29"/>
      <c r="H13" s="29"/>
      <c r="I13" s="29"/>
    </row>
    <row r="14" spans="1:14" s="2" customFormat="1" ht="10.5" customHeight="1">
      <c r="A14" s="48"/>
      <c r="B14" s="29"/>
      <c r="C14" s="29"/>
      <c r="D14" s="29"/>
      <c r="E14" s="29"/>
      <c r="F14" s="29"/>
      <c r="G14" s="29"/>
      <c r="H14" s="29"/>
      <c r="I14" s="29"/>
      <c r="J14" s="29"/>
    </row>
    <row r="15" spans="1:14" s="2" customFormat="1" ht="17.45" customHeight="1">
      <c r="A15" s="48" t="s">
        <v>260</v>
      </c>
      <c r="B15" s="29"/>
      <c r="C15" s="29"/>
      <c r="D15" s="29"/>
      <c r="E15" s="29"/>
      <c r="F15" s="29"/>
      <c r="G15" s="29"/>
      <c r="H15" s="29"/>
      <c r="I15" s="29"/>
      <c r="J15" s="29"/>
    </row>
    <row r="16" spans="1:14" s="2" customFormat="1" ht="10.5" customHeight="1" thickBot="1">
      <c r="A16" s="48"/>
      <c r="B16" s="29"/>
      <c r="C16" s="29"/>
      <c r="D16" s="29"/>
      <c r="E16" s="29"/>
      <c r="F16" s="29"/>
      <c r="G16" s="29"/>
      <c r="H16" s="29"/>
      <c r="I16" s="29"/>
      <c r="J16" s="29"/>
    </row>
    <row r="17" spans="1:14" s="2" customFormat="1" ht="16.5" customHeight="1" thickBot="1">
      <c r="A17" s="53" t="s">
        <v>0</v>
      </c>
      <c r="B17" s="54" t="s">
        <v>1</v>
      </c>
      <c r="C17" s="54" t="s">
        <v>2</v>
      </c>
      <c r="D17" s="54">
        <v>2</v>
      </c>
      <c r="E17" s="54">
        <v>3</v>
      </c>
      <c r="F17" s="54">
        <v>4</v>
      </c>
      <c r="G17" s="54">
        <v>5</v>
      </c>
      <c r="H17" s="54">
        <v>6</v>
      </c>
      <c r="I17" s="54">
        <v>7</v>
      </c>
      <c r="J17" s="63"/>
      <c r="K17" s="14" t="s">
        <v>6</v>
      </c>
      <c r="L17" s="15">
        <f>SUM(11362/19200)</f>
        <v>0.59177083333333336</v>
      </c>
    </row>
    <row r="18" spans="1:14" s="2" customFormat="1" ht="16.5" customHeight="1" thickBot="1">
      <c r="A18" s="55" t="s">
        <v>379</v>
      </c>
      <c r="B18" s="56" t="s">
        <v>3</v>
      </c>
      <c r="C18" s="9">
        <v>2047</v>
      </c>
      <c r="D18" s="13"/>
      <c r="E18" s="13"/>
      <c r="F18" s="13"/>
      <c r="G18" s="13"/>
      <c r="H18" s="9"/>
      <c r="I18" s="9"/>
      <c r="J18" s="9" t="s">
        <v>85</v>
      </c>
      <c r="K18" s="18"/>
      <c r="L18" s="14" t="s">
        <v>7</v>
      </c>
      <c r="M18" s="14" t="s">
        <v>8</v>
      </c>
      <c r="N18" s="14" t="s">
        <v>9</v>
      </c>
    </row>
    <row r="19" spans="1:14" s="2" customFormat="1" ht="16.5" customHeight="1" thickBot="1">
      <c r="A19" s="55" t="s">
        <v>31</v>
      </c>
      <c r="B19" s="56" t="s">
        <v>3</v>
      </c>
      <c r="C19" s="13">
        <v>1326</v>
      </c>
      <c r="D19" s="13">
        <v>1404</v>
      </c>
      <c r="E19" s="13">
        <v>1439</v>
      </c>
      <c r="F19" s="13">
        <v>1489</v>
      </c>
      <c r="G19" s="13">
        <v>1530</v>
      </c>
      <c r="H19" s="9">
        <v>1721</v>
      </c>
      <c r="I19" s="9"/>
      <c r="J19" s="9" t="s">
        <v>87</v>
      </c>
      <c r="K19" s="19" t="s">
        <v>3</v>
      </c>
      <c r="L19" s="20">
        <f>SUM(C18+C19+C21+C25+C27)</f>
        <v>5873</v>
      </c>
      <c r="M19" s="21">
        <f>SUM(L19/L24)</f>
        <v>0.52334699697023701</v>
      </c>
      <c r="N19" s="18">
        <v>3</v>
      </c>
    </row>
    <row r="20" spans="1:14" s="2" customFormat="1" ht="16.5" customHeight="1" thickBot="1">
      <c r="A20" s="55" t="s">
        <v>94</v>
      </c>
      <c r="B20" s="57" t="s">
        <v>4</v>
      </c>
      <c r="C20" s="13">
        <v>1309</v>
      </c>
      <c r="D20" s="13">
        <v>1337</v>
      </c>
      <c r="E20" s="13">
        <v>1360</v>
      </c>
      <c r="F20" s="13">
        <v>1375</v>
      </c>
      <c r="G20" s="13">
        <v>1562</v>
      </c>
      <c r="H20" s="9">
        <v>1688</v>
      </c>
      <c r="I20" s="13"/>
      <c r="J20" s="9" t="s">
        <v>90</v>
      </c>
      <c r="K20" s="23" t="s">
        <v>4</v>
      </c>
      <c r="L20" s="20">
        <f>SUM(C20+C22+C24+C26)</f>
        <v>3981</v>
      </c>
      <c r="M20" s="21">
        <f>SUM(L20/L24)</f>
        <v>0.35474959900196046</v>
      </c>
      <c r="N20" s="18">
        <v>2</v>
      </c>
    </row>
    <row r="21" spans="1:14" s="2" customFormat="1" ht="16.5" customHeight="1" thickBot="1">
      <c r="A21" s="55" t="s">
        <v>201</v>
      </c>
      <c r="B21" s="56" t="s">
        <v>3</v>
      </c>
      <c r="C21" s="13">
        <v>1207</v>
      </c>
      <c r="D21" s="13">
        <v>1373</v>
      </c>
      <c r="E21" s="13">
        <v>1418</v>
      </c>
      <c r="F21" s="13">
        <v>1538</v>
      </c>
      <c r="G21" s="13">
        <v>1597</v>
      </c>
      <c r="H21" s="9">
        <v>1835</v>
      </c>
      <c r="I21" s="13"/>
      <c r="J21" s="9" t="s">
        <v>86</v>
      </c>
      <c r="K21" s="24" t="s">
        <v>12</v>
      </c>
      <c r="L21" s="20">
        <v>1063</v>
      </c>
      <c r="M21" s="21">
        <f>SUM(L21/L24)</f>
        <v>9.4724648012831938E-2</v>
      </c>
      <c r="N21" s="2">
        <v>1</v>
      </c>
    </row>
    <row r="22" spans="1:14" s="2" customFormat="1" ht="16.5" customHeight="1" thickBot="1">
      <c r="A22" s="55" t="s">
        <v>28</v>
      </c>
      <c r="B22" s="57" t="s">
        <v>4</v>
      </c>
      <c r="C22" s="13">
        <v>1116</v>
      </c>
      <c r="D22" s="13">
        <v>1140</v>
      </c>
      <c r="E22" s="13">
        <v>1170</v>
      </c>
      <c r="F22" s="13">
        <v>1217</v>
      </c>
      <c r="G22" s="13">
        <v>1396</v>
      </c>
      <c r="H22" s="13">
        <v>1492</v>
      </c>
      <c r="I22" s="9">
        <v>1517</v>
      </c>
      <c r="J22" s="9" t="s">
        <v>88</v>
      </c>
      <c r="K22" s="26" t="s">
        <v>13</v>
      </c>
      <c r="L22" s="20">
        <v>250</v>
      </c>
      <c r="M22" s="21">
        <f>SUM(L22/L24)</f>
        <v>2.2277668864729993E-2</v>
      </c>
    </row>
    <row r="23" spans="1:14" s="2" customFormat="1" ht="16.5" customHeight="1" thickBot="1">
      <c r="A23" s="55" t="s">
        <v>33</v>
      </c>
      <c r="B23" s="64" t="s">
        <v>12</v>
      </c>
      <c r="C23" s="13">
        <v>1021</v>
      </c>
      <c r="D23" s="13">
        <v>1058</v>
      </c>
      <c r="E23" s="13">
        <v>1151</v>
      </c>
      <c r="F23" s="13">
        <v>1191</v>
      </c>
      <c r="G23" s="13">
        <v>1312</v>
      </c>
      <c r="H23" s="13">
        <v>1499</v>
      </c>
      <c r="I23" s="9">
        <v>1559</v>
      </c>
      <c r="J23" s="9" t="s">
        <v>89</v>
      </c>
      <c r="K23" s="38" t="s">
        <v>67</v>
      </c>
      <c r="L23" s="20">
        <v>97</v>
      </c>
      <c r="M23" s="21">
        <f>SUM(L23/L24)</f>
        <v>8.6437355195152377E-3</v>
      </c>
    </row>
    <row r="24" spans="1:14" s="2" customFormat="1" ht="16.5" customHeight="1" thickBot="1">
      <c r="A24" s="58" t="s">
        <v>202</v>
      </c>
      <c r="B24" s="60" t="s">
        <v>4</v>
      </c>
      <c r="C24" s="13">
        <v>873</v>
      </c>
      <c r="D24" s="13">
        <v>881</v>
      </c>
      <c r="E24" s="13">
        <v>897</v>
      </c>
      <c r="F24" s="13">
        <v>1080</v>
      </c>
      <c r="G24" s="13">
        <v>1126</v>
      </c>
      <c r="H24" s="13">
        <v>1149</v>
      </c>
      <c r="I24" s="13">
        <v>1160</v>
      </c>
      <c r="J24" s="9"/>
      <c r="K24" s="14"/>
      <c r="L24" s="28">
        <v>11222</v>
      </c>
      <c r="M24" s="15"/>
      <c r="N24" s="18"/>
    </row>
    <row r="25" spans="1:14" s="2" customFormat="1" ht="16.5" customHeight="1" thickBot="1">
      <c r="A25" s="58" t="s">
        <v>35</v>
      </c>
      <c r="B25" s="59" t="s">
        <v>3</v>
      </c>
      <c r="C25" s="13">
        <v>786</v>
      </c>
      <c r="D25" s="13">
        <v>842</v>
      </c>
      <c r="E25" s="13">
        <v>872</v>
      </c>
      <c r="F25" s="13">
        <v>907</v>
      </c>
      <c r="G25" s="13">
        <v>963</v>
      </c>
      <c r="H25" s="13" t="s">
        <v>10</v>
      </c>
      <c r="I25" s="29"/>
      <c r="J25" s="29"/>
    </row>
    <row r="26" spans="1:14" s="2" customFormat="1" ht="16.5" customHeight="1" thickBot="1">
      <c r="A26" s="58" t="s">
        <v>203</v>
      </c>
      <c r="B26" s="60" t="s">
        <v>4</v>
      </c>
      <c r="C26" s="13">
        <v>683</v>
      </c>
      <c r="D26" s="13">
        <v>702</v>
      </c>
      <c r="E26" s="13">
        <v>719</v>
      </c>
      <c r="F26" s="13">
        <v>727</v>
      </c>
      <c r="G26" s="13" t="s">
        <v>10</v>
      </c>
      <c r="H26" s="29"/>
      <c r="I26" s="29"/>
      <c r="J26" s="29"/>
    </row>
    <row r="27" spans="1:14" s="2" customFormat="1" ht="16.5" customHeight="1" thickBot="1">
      <c r="A27" s="58" t="s">
        <v>204</v>
      </c>
      <c r="B27" s="59" t="s">
        <v>3</v>
      </c>
      <c r="C27" s="13">
        <v>507</v>
      </c>
      <c r="D27" s="13">
        <v>522</v>
      </c>
      <c r="E27" s="13">
        <v>538</v>
      </c>
      <c r="F27" s="13" t="s">
        <v>10</v>
      </c>
      <c r="G27" s="29"/>
      <c r="H27" s="29"/>
      <c r="I27" s="29"/>
      <c r="J27" s="29"/>
    </row>
    <row r="28" spans="1:14" s="2" customFormat="1" ht="16.5" customHeight="1" thickBot="1">
      <c r="A28" s="58" t="s">
        <v>150</v>
      </c>
      <c r="B28" s="61" t="s">
        <v>13</v>
      </c>
      <c r="C28" s="13">
        <v>250</v>
      </c>
      <c r="D28" s="13">
        <v>258</v>
      </c>
      <c r="E28" s="13" t="s">
        <v>10</v>
      </c>
      <c r="F28" s="29"/>
      <c r="G28" s="29"/>
      <c r="H28" s="29"/>
      <c r="I28" s="29"/>
      <c r="J28" s="29"/>
    </row>
    <row r="29" spans="1:14" s="2" customFormat="1" ht="16.5" customHeight="1" thickBot="1">
      <c r="A29" s="58" t="s">
        <v>205</v>
      </c>
      <c r="B29" s="65" t="s">
        <v>67</v>
      </c>
      <c r="C29" s="13">
        <v>97</v>
      </c>
      <c r="D29" s="13">
        <v>101</v>
      </c>
      <c r="E29" s="13" t="s">
        <v>10</v>
      </c>
      <c r="F29" s="29"/>
      <c r="G29" s="29"/>
      <c r="H29" s="29"/>
      <c r="I29" s="29"/>
      <c r="J29" s="29"/>
    </row>
    <row r="30" spans="1:14" s="2" customFormat="1" ht="11.25" customHeight="1">
      <c r="A30" s="40"/>
      <c r="B30" s="66"/>
      <c r="C30" s="40"/>
      <c r="D30" s="40"/>
      <c r="E30" s="40"/>
      <c r="F30" s="29"/>
      <c r="G30" s="29"/>
      <c r="H30" s="29"/>
      <c r="I30" s="29"/>
      <c r="J30" s="29"/>
      <c r="N30" s="21"/>
    </row>
    <row r="31" spans="1:14" s="2" customFormat="1" ht="17.45" customHeight="1">
      <c r="A31" s="48" t="s">
        <v>261</v>
      </c>
      <c r="B31" s="29"/>
      <c r="C31" s="29"/>
      <c r="D31" s="29"/>
      <c r="E31" s="29"/>
      <c r="F31" s="29"/>
      <c r="G31" s="29"/>
      <c r="H31" s="29"/>
      <c r="I31" s="29"/>
      <c r="J31" s="29"/>
    </row>
    <row r="32" spans="1:14" s="2" customFormat="1" ht="8.25" customHeight="1" thickBot="1">
      <c r="A32" s="48"/>
      <c r="B32" s="29"/>
      <c r="C32" s="29"/>
      <c r="D32" s="29"/>
      <c r="E32" s="29"/>
      <c r="F32" s="29"/>
      <c r="G32" s="29"/>
      <c r="H32" s="29"/>
      <c r="I32" s="29"/>
      <c r="J32" s="29"/>
    </row>
    <row r="33" spans="1:12" s="2" customFormat="1" ht="17.45" customHeight="1" thickBot="1">
      <c r="A33" s="53" t="s">
        <v>0</v>
      </c>
      <c r="B33" s="54" t="s">
        <v>1</v>
      </c>
      <c r="C33" s="54" t="s">
        <v>2</v>
      </c>
      <c r="D33" s="54">
        <v>2</v>
      </c>
      <c r="E33" s="54">
        <v>3</v>
      </c>
      <c r="F33" s="54">
        <v>4</v>
      </c>
      <c r="G33" s="54">
        <v>5</v>
      </c>
      <c r="H33" s="54"/>
      <c r="I33" s="28" t="s">
        <v>6</v>
      </c>
      <c r="J33" s="15">
        <f>SUM(5685/8507)</f>
        <v>0.66827318678735159</v>
      </c>
      <c r="L33" s="15"/>
    </row>
    <row r="34" spans="1:12" s="2" customFormat="1" ht="17.45" customHeight="1" thickBot="1">
      <c r="A34" s="55" t="s">
        <v>41</v>
      </c>
      <c r="B34" s="57" t="s">
        <v>4</v>
      </c>
      <c r="C34" s="13">
        <v>1218</v>
      </c>
      <c r="D34" s="13">
        <v>1289</v>
      </c>
      <c r="E34" s="9">
        <v>1460</v>
      </c>
      <c r="F34" s="13"/>
      <c r="G34" s="13"/>
      <c r="H34" s="9" t="s">
        <v>86</v>
      </c>
      <c r="I34" s="20"/>
      <c r="J34" s="14" t="s">
        <v>7</v>
      </c>
      <c r="K34" s="14" t="s">
        <v>8</v>
      </c>
      <c r="L34" s="14" t="s">
        <v>9</v>
      </c>
    </row>
    <row r="35" spans="1:12" s="2" customFormat="1" ht="17.45" customHeight="1" thickBot="1">
      <c r="A35" s="58" t="s">
        <v>40</v>
      </c>
      <c r="B35" s="62" t="s">
        <v>11</v>
      </c>
      <c r="C35" s="13">
        <v>1079</v>
      </c>
      <c r="D35" s="13">
        <v>1197</v>
      </c>
      <c r="E35" s="13">
        <v>1253</v>
      </c>
      <c r="F35" s="13">
        <v>1291</v>
      </c>
      <c r="G35" s="13">
        <v>1306</v>
      </c>
      <c r="H35" s="9"/>
      <c r="I35" s="67" t="s">
        <v>3</v>
      </c>
      <c r="J35" s="20">
        <f>SUM(C37:C39)</f>
        <v>2215</v>
      </c>
      <c r="K35" s="21">
        <f>SUM(J35/J39)</f>
        <v>0.39525339043540331</v>
      </c>
      <c r="L35" s="18">
        <v>1</v>
      </c>
    </row>
    <row r="36" spans="1:12" s="2" customFormat="1" ht="17.45" customHeight="1" thickBot="1">
      <c r="A36" s="55" t="s">
        <v>103</v>
      </c>
      <c r="B36" s="57" t="s">
        <v>4</v>
      </c>
      <c r="C36" s="13">
        <v>1003</v>
      </c>
      <c r="D36" s="13">
        <v>1134</v>
      </c>
      <c r="E36" s="13">
        <v>1296</v>
      </c>
      <c r="F36" s="13">
        <v>1322</v>
      </c>
      <c r="G36" s="9">
        <v>1365</v>
      </c>
      <c r="H36" s="9" t="s">
        <v>87</v>
      </c>
      <c r="I36" s="68" t="s">
        <v>4</v>
      </c>
      <c r="J36" s="20">
        <f>SUM(C34+C36)</f>
        <v>2221</v>
      </c>
      <c r="K36" s="21">
        <f>SUM(J36/J39)</f>
        <v>0.39632405424696643</v>
      </c>
      <c r="L36" s="18">
        <v>2</v>
      </c>
    </row>
    <row r="37" spans="1:12" s="2" customFormat="1" ht="17.45" customHeight="1" thickBot="1">
      <c r="A37" s="55" t="s">
        <v>206</v>
      </c>
      <c r="B37" s="56" t="s">
        <v>3</v>
      </c>
      <c r="C37" s="13">
        <v>932</v>
      </c>
      <c r="D37" s="13">
        <v>1062</v>
      </c>
      <c r="E37" s="9">
        <v>1466</v>
      </c>
      <c r="F37" s="13"/>
      <c r="G37" s="13"/>
      <c r="H37" s="9" t="s">
        <v>85</v>
      </c>
      <c r="I37" s="69" t="s">
        <v>67</v>
      </c>
      <c r="J37" s="29">
        <v>89</v>
      </c>
      <c r="K37" s="15">
        <f>SUM(J37/J39)</f>
        <v>1.5881513204853676E-2</v>
      </c>
    </row>
    <row r="38" spans="1:12" s="2" customFormat="1" ht="17.45" customHeight="1" thickBot="1">
      <c r="A38" s="58" t="s">
        <v>42</v>
      </c>
      <c r="B38" s="59" t="s">
        <v>3</v>
      </c>
      <c r="C38" s="13">
        <v>717</v>
      </c>
      <c r="D38" s="13">
        <v>894</v>
      </c>
      <c r="E38" s="13" t="s">
        <v>10</v>
      </c>
      <c r="F38" s="29"/>
      <c r="G38" s="29"/>
      <c r="H38" s="29"/>
      <c r="I38" s="28" t="s">
        <v>14</v>
      </c>
      <c r="J38" s="29">
        <v>1079</v>
      </c>
      <c r="K38" s="15">
        <f>SUM(J38/J39)</f>
        <v>0.19254104211277659</v>
      </c>
    </row>
    <row r="39" spans="1:12" s="2" customFormat="1" ht="17.45" customHeight="1" thickBot="1">
      <c r="A39" s="58" t="s">
        <v>207</v>
      </c>
      <c r="B39" s="59" t="s">
        <v>3</v>
      </c>
      <c r="C39" s="13">
        <v>566</v>
      </c>
      <c r="D39" s="13" t="s">
        <v>10</v>
      </c>
      <c r="E39" s="29"/>
      <c r="F39" s="29"/>
      <c r="G39" s="29"/>
      <c r="H39" s="29"/>
      <c r="I39" s="29"/>
      <c r="J39" s="28">
        <v>5604</v>
      </c>
    </row>
    <row r="40" spans="1:12" s="2" customFormat="1" ht="17.45" customHeight="1" thickBot="1">
      <c r="A40" s="58" t="s">
        <v>208</v>
      </c>
      <c r="B40" s="65" t="s">
        <v>67</v>
      </c>
      <c r="C40" s="13">
        <v>89</v>
      </c>
      <c r="D40" s="13" t="s">
        <v>10</v>
      </c>
      <c r="E40" s="29"/>
      <c r="F40" s="29"/>
      <c r="G40" s="29"/>
      <c r="H40" s="29"/>
      <c r="I40" s="29"/>
    </row>
    <row r="41" spans="1:12" s="2" customFormat="1" ht="12" customHeight="1">
      <c r="A41" s="29"/>
      <c r="B41" s="29"/>
      <c r="C41" s="29"/>
      <c r="D41" s="29"/>
      <c r="E41" s="29"/>
      <c r="F41" s="41"/>
      <c r="G41" s="41"/>
      <c r="H41" s="41"/>
      <c r="I41" s="29"/>
      <c r="J41" s="29"/>
    </row>
    <row r="42" spans="1:12">
      <c r="A42" s="41"/>
      <c r="B42" s="41"/>
      <c r="C42" s="41"/>
      <c r="D42" s="41"/>
      <c r="E42" s="41"/>
      <c r="F42" s="41"/>
      <c r="G42" s="41"/>
      <c r="H42" s="41"/>
      <c r="I42" s="41"/>
      <c r="J42" s="41"/>
    </row>
    <row r="43" spans="1:12" s="2" customFormat="1" ht="17.45" customHeight="1">
      <c r="A43" s="1" t="s">
        <v>262</v>
      </c>
    </row>
    <row r="44" spans="1:12" s="2" customFormat="1" ht="8.25" customHeight="1" thickBot="1">
      <c r="A44" s="1"/>
    </row>
    <row r="45" spans="1:12" s="2" customFormat="1" ht="17.45" customHeight="1" thickBot="1">
      <c r="A45" s="4" t="s">
        <v>0</v>
      </c>
      <c r="B45" s="5" t="s">
        <v>1</v>
      </c>
      <c r="C45" s="5" t="s">
        <v>2</v>
      </c>
      <c r="D45" s="5">
        <v>2</v>
      </c>
      <c r="E45" s="5"/>
      <c r="F45" s="14" t="s">
        <v>6</v>
      </c>
      <c r="G45" s="15">
        <f>SUM(7050/11222)</f>
        <v>0.6282302619853859</v>
      </c>
    </row>
    <row r="46" spans="1:12" s="2" customFormat="1" ht="17.45" customHeight="1" thickBot="1">
      <c r="A46" s="7" t="s">
        <v>209</v>
      </c>
      <c r="B46" s="8" t="s">
        <v>3</v>
      </c>
      <c r="C46" s="9">
        <v>1758</v>
      </c>
      <c r="D46" s="13"/>
      <c r="E46" s="11" t="s">
        <v>85</v>
      </c>
      <c r="F46" s="18"/>
      <c r="G46" s="14" t="s">
        <v>7</v>
      </c>
      <c r="H46" s="14" t="s">
        <v>8</v>
      </c>
      <c r="I46" s="14" t="s">
        <v>9</v>
      </c>
    </row>
    <row r="47" spans="1:12" s="2" customFormat="1" ht="17.45" customHeight="1" thickBot="1">
      <c r="A47" s="7" t="s">
        <v>48</v>
      </c>
      <c r="B47" s="37" t="s">
        <v>11</v>
      </c>
      <c r="C47" s="9">
        <v>1426</v>
      </c>
      <c r="D47" s="9"/>
      <c r="E47" s="11" t="s">
        <v>86</v>
      </c>
      <c r="F47" s="19" t="s">
        <v>3</v>
      </c>
      <c r="G47" s="20">
        <f>SUM(C46+C49)</f>
        <v>3041</v>
      </c>
      <c r="H47" s="21">
        <f>SUM(G47/G50)</f>
        <v>0.43692528735632186</v>
      </c>
      <c r="I47" s="18">
        <v>2</v>
      </c>
    </row>
    <row r="48" spans="1:12" s="2" customFormat="1" ht="17.45" customHeight="1" thickBot="1">
      <c r="A48" s="7" t="s">
        <v>210</v>
      </c>
      <c r="B48" s="12" t="s">
        <v>4</v>
      </c>
      <c r="C48" s="13">
        <v>1350</v>
      </c>
      <c r="D48" s="9">
        <v>1442</v>
      </c>
      <c r="E48" s="11" t="s">
        <v>90</v>
      </c>
      <c r="F48" s="23" t="s">
        <v>4</v>
      </c>
      <c r="G48" s="20">
        <f>SUM(C48+C50)</f>
        <v>2493</v>
      </c>
      <c r="H48" s="21">
        <f>SUM(G48/G50)</f>
        <v>0.3581896551724138</v>
      </c>
      <c r="I48" s="18">
        <v>1</v>
      </c>
    </row>
    <row r="49" spans="1:12" s="2" customFormat="1" ht="17.45" customHeight="1" thickBot="1">
      <c r="A49" s="7" t="s">
        <v>46</v>
      </c>
      <c r="B49" s="8" t="s">
        <v>3</v>
      </c>
      <c r="C49" s="13">
        <v>1283</v>
      </c>
      <c r="D49" s="9">
        <v>1508</v>
      </c>
      <c r="E49" s="11" t="s">
        <v>87</v>
      </c>
      <c r="F49" s="14" t="s">
        <v>14</v>
      </c>
      <c r="G49" s="29">
        <v>1426</v>
      </c>
      <c r="H49" s="15">
        <f>SUM(G49/G50)</f>
        <v>0.20488505747126437</v>
      </c>
      <c r="I49" s="2">
        <v>1</v>
      </c>
    </row>
    <row r="50" spans="1:12" s="2" customFormat="1" ht="17.45" customHeight="1" thickBot="1">
      <c r="A50" s="16" t="s">
        <v>45</v>
      </c>
      <c r="B50" s="22" t="s">
        <v>4</v>
      </c>
      <c r="C50" s="13">
        <v>1143</v>
      </c>
      <c r="D50" s="13">
        <v>1191</v>
      </c>
      <c r="E50" s="10"/>
      <c r="G50" s="28">
        <v>6960</v>
      </c>
    </row>
    <row r="51" spans="1:12">
      <c r="A51" s="46"/>
    </row>
    <row r="52" spans="1:12" s="2" customFormat="1" ht="17.45" customHeight="1">
      <c r="A52" s="1" t="s">
        <v>263</v>
      </c>
    </row>
    <row r="53" spans="1:12" s="2" customFormat="1" ht="10.5" customHeight="1" thickBot="1">
      <c r="A53" s="1"/>
    </row>
    <row r="54" spans="1:12" s="2" customFormat="1" ht="16.5" customHeight="1" thickBot="1">
      <c r="A54" s="4" t="s">
        <v>0</v>
      </c>
      <c r="B54" s="5" t="s">
        <v>1</v>
      </c>
      <c r="C54" s="5" t="s">
        <v>2</v>
      </c>
      <c r="D54" s="5">
        <v>2</v>
      </c>
      <c r="E54" s="5">
        <v>3</v>
      </c>
      <c r="F54" s="5">
        <v>4</v>
      </c>
      <c r="G54" s="6"/>
      <c r="H54" s="14" t="s">
        <v>6</v>
      </c>
      <c r="I54" s="15">
        <f>SUM(7049/11707)</f>
        <v>0.60211839070641493</v>
      </c>
    </row>
    <row r="55" spans="1:12" s="2" customFormat="1" ht="16.5" customHeight="1" thickBot="1">
      <c r="A55" s="7" t="s">
        <v>52</v>
      </c>
      <c r="B55" s="8" t="s">
        <v>3</v>
      </c>
      <c r="C55" s="9">
        <v>1430</v>
      </c>
      <c r="D55" s="13"/>
      <c r="E55" s="13"/>
      <c r="F55" s="13"/>
      <c r="G55" s="11" t="s">
        <v>85</v>
      </c>
      <c r="H55" s="18"/>
      <c r="I55" s="14" t="s">
        <v>7</v>
      </c>
      <c r="J55" s="14" t="s">
        <v>8</v>
      </c>
      <c r="K55" s="14" t="s">
        <v>9</v>
      </c>
    </row>
    <row r="56" spans="1:12" s="2" customFormat="1" ht="16.5" customHeight="1" thickBot="1">
      <c r="A56" s="7" t="s">
        <v>54</v>
      </c>
      <c r="B56" s="12" t="s">
        <v>4</v>
      </c>
      <c r="C56" s="13">
        <v>1330</v>
      </c>
      <c r="D56" s="9">
        <v>1620</v>
      </c>
      <c r="E56" s="13"/>
      <c r="F56" s="9"/>
      <c r="G56" s="11" t="s">
        <v>86</v>
      </c>
      <c r="H56" s="19" t="s">
        <v>3</v>
      </c>
      <c r="I56" s="20">
        <f>SUM(C55+C57+C59)</f>
        <v>3681</v>
      </c>
      <c r="J56" s="21">
        <f>SUM(I56/I58)</f>
        <v>0.53147559919145249</v>
      </c>
      <c r="K56" s="18">
        <v>2</v>
      </c>
    </row>
    <row r="57" spans="1:12" s="2" customFormat="1" ht="16.5" customHeight="1" thickBot="1">
      <c r="A57" s="7" t="s">
        <v>211</v>
      </c>
      <c r="B57" s="8" t="s">
        <v>3</v>
      </c>
      <c r="C57" s="13">
        <v>1255</v>
      </c>
      <c r="D57" s="13">
        <v>1301</v>
      </c>
      <c r="E57" s="13">
        <v>1311</v>
      </c>
      <c r="F57" s="9">
        <v>1327</v>
      </c>
      <c r="G57" s="11" t="s">
        <v>90</v>
      </c>
      <c r="H57" s="23" t="s">
        <v>4</v>
      </c>
      <c r="I57" s="20">
        <f>SUM(C56+C58+C60)</f>
        <v>3245</v>
      </c>
      <c r="J57" s="21">
        <f>SUM(I57/I58)</f>
        <v>0.46852440080854751</v>
      </c>
      <c r="K57" s="18">
        <v>2</v>
      </c>
    </row>
    <row r="58" spans="1:12" s="2" customFormat="1" ht="16.5" customHeight="1" thickBot="1">
      <c r="A58" s="7" t="s">
        <v>116</v>
      </c>
      <c r="B58" s="12" t="s">
        <v>4</v>
      </c>
      <c r="C58" s="13">
        <v>1025</v>
      </c>
      <c r="D58" s="13">
        <v>1377</v>
      </c>
      <c r="E58" s="9">
        <v>1560</v>
      </c>
      <c r="F58" s="13"/>
      <c r="G58" s="11" t="s">
        <v>87</v>
      </c>
      <c r="H58" s="14"/>
      <c r="I58" s="28">
        <v>6926</v>
      </c>
      <c r="J58" s="15"/>
      <c r="K58" s="18"/>
    </row>
    <row r="59" spans="1:12" s="2" customFormat="1" ht="16.5" customHeight="1" thickBot="1">
      <c r="A59" s="16" t="s">
        <v>212</v>
      </c>
      <c r="B59" s="17" t="s">
        <v>3</v>
      </c>
      <c r="C59" s="13">
        <v>996</v>
      </c>
      <c r="D59" s="13">
        <v>1124</v>
      </c>
      <c r="E59" s="13">
        <v>1147</v>
      </c>
      <c r="F59" s="13">
        <v>1165</v>
      </c>
      <c r="G59" s="11"/>
      <c r="H59" s="18"/>
    </row>
    <row r="60" spans="1:12" s="2" customFormat="1" ht="16.5" customHeight="1" thickBot="1">
      <c r="A60" s="16" t="s">
        <v>115</v>
      </c>
      <c r="B60" s="22" t="s">
        <v>4</v>
      </c>
      <c r="C60" s="13">
        <v>890</v>
      </c>
      <c r="D60" s="13" t="s">
        <v>10</v>
      </c>
      <c r="G60" s="21"/>
    </row>
    <row r="62" spans="1:12" s="2" customFormat="1" ht="17.45" customHeight="1">
      <c r="A62" s="1" t="s">
        <v>264</v>
      </c>
    </row>
    <row r="63" spans="1:12" s="2" customFormat="1" ht="10.5" customHeight="1" thickBot="1">
      <c r="A63" s="1"/>
    </row>
    <row r="64" spans="1:12" s="2" customFormat="1" ht="16.5" customHeight="1" thickBot="1">
      <c r="A64" s="4" t="s">
        <v>0</v>
      </c>
      <c r="B64" s="5" t="s">
        <v>1</v>
      </c>
      <c r="C64" s="5" t="s">
        <v>2</v>
      </c>
      <c r="D64" s="5">
        <v>2</v>
      </c>
      <c r="E64" s="5">
        <v>3</v>
      </c>
      <c r="F64" s="5">
        <v>4</v>
      </c>
      <c r="G64" s="5">
        <v>5</v>
      </c>
      <c r="H64" s="5">
        <v>6</v>
      </c>
      <c r="I64" s="5">
        <v>7</v>
      </c>
      <c r="J64" s="6"/>
      <c r="K64" s="14" t="s">
        <v>6</v>
      </c>
      <c r="L64" s="15">
        <f>SUM(7289/11374)</f>
        <v>0.64084754703710212</v>
      </c>
    </row>
    <row r="65" spans="1:14" s="2" customFormat="1" ht="16.5" customHeight="1" thickBot="1">
      <c r="A65" s="7" t="s">
        <v>59</v>
      </c>
      <c r="B65" s="8" t="s">
        <v>3</v>
      </c>
      <c r="C65" s="13">
        <v>1338</v>
      </c>
      <c r="D65" s="13">
        <v>1379</v>
      </c>
      <c r="E65" s="9">
        <v>1476</v>
      </c>
      <c r="F65" s="13"/>
      <c r="G65" s="13"/>
      <c r="H65" s="13"/>
      <c r="I65" s="13"/>
      <c r="J65" s="11" t="s">
        <v>85</v>
      </c>
      <c r="K65" s="18"/>
      <c r="L65" s="14" t="s">
        <v>7</v>
      </c>
      <c r="M65" s="14" t="s">
        <v>8</v>
      </c>
      <c r="N65" s="14" t="s">
        <v>9</v>
      </c>
    </row>
    <row r="66" spans="1:14" s="2" customFormat="1" ht="16.5" customHeight="1" thickBot="1">
      <c r="A66" s="7" t="s">
        <v>62</v>
      </c>
      <c r="B66" s="12" t="s">
        <v>4</v>
      </c>
      <c r="C66" s="13">
        <v>1153</v>
      </c>
      <c r="D66" s="13">
        <v>1159</v>
      </c>
      <c r="E66" s="13">
        <v>1164</v>
      </c>
      <c r="F66" s="9">
        <v>1448</v>
      </c>
      <c r="G66" s="9"/>
      <c r="H66" s="9"/>
      <c r="I66" s="9"/>
      <c r="J66" s="11" t="s">
        <v>86</v>
      </c>
      <c r="K66" s="19" t="s">
        <v>3</v>
      </c>
      <c r="L66" s="20">
        <f>SUM(C65+C70+C71)</f>
        <v>2571</v>
      </c>
      <c r="M66" s="21">
        <f>SUM(L66/L69)</f>
        <v>0.35797827903091062</v>
      </c>
      <c r="N66" s="18">
        <v>2</v>
      </c>
    </row>
    <row r="67" spans="1:14" s="2" customFormat="1" ht="16.5" customHeight="1" thickBot="1">
      <c r="A67" s="16" t="s">
        <v>213</v>
      </c>
      <c r="B67" s="22" t="s">
        <v>4</v>
      </c>
      <c r="C67" s="13">
        <v>1012</v>
      </c>
      <c r="D67" s="13">
        <v>1033</v>
      </c>
      <c r="E67" s="13">
        <v>1112</v>
      </c>
      <c r="F67" s="13">
        <v>1114</v>
      </c>
      <c r="G67" s="13">
        <v>1126</v>
      </c>
      <c r="H67" s="13">
        <v>1127</v>
      </c>
      <c r="I67" s="13">
        <v>1194</v>
      </c>
      <c r="J67" s="11"/>
      <c r="K67" s="23" t="s">
        <v>4</v>
      </c>
      <c r="L67" s="20">
        <f>SUM(C66:C68)</f>
        <v>3174</v>
      </c>
      <c r="M67" s="21">
        <f>SUM(L67/L69)</f>
        <v>0.44193817878028402</v>
      </c>
      <c r="N67" s="18">
        <v>2</v>
      </c>
    </row>
    <row r="68" spans="1:14" s="2" customFormat="1" ht="16.5" customHeight="1" thickBot="1">
      <c r="A68" s="7" t="s">
        <v>214</v>
      </c>
      <c r="B68" s="12" t="s">
        <v>4</v>
      </c>
      <c r="C68" s="13">
        <v>1009</v>
      </c>
      <c r="D68" s="13">
        <v>1059</v>
      </c>
      <c r="E68" s="13">
        <v>1203</v>
      </c>
      <c r="F68" s="13">
        <v>1205</v>
      </c>
      <c r="G68" s="13">
        <v>1213</v>
      </c>
      <c r="H68" s="13">
        <v>1213</v>
      </c>
      <c r="I68" s="9">
        <v>1309</v>
      </c>
      <c r="J68" s="11" t="s">
        <v>90</v>
      </c>
      <c r="K68" s="14" t="s">
        <v>14</v>
      </c>
      <c r="L68" s="29">
        <f>SUM(C69+C72+C73)</f>
        <v>1437</v>
      </c>
      <c r="M68" s="15">
        <f>SUM(L68/L69)</f>
        <v>0.20008354218880534</v>
      </c>
    </row>
    <row r="69" spans="1:14" s="2" customFormat="1" ht="16.5" customHeight="1" thickBot="1">
      <c r="A69" s="16" t="s">
        <v>61</v>
      </c>
      <c r="B69" s="33" t="s">
        <v>11</v>
      </c>
      <c r="C69" s="13">
        <v>789</v>
      </c>
      <c r="D69" s="13">
        <v>801</v>
      </c>
      <c r="E69" s="13">
        <v>843</v>
      </c>
      <c r="F69" s="13">
        <v>933</v>
      </c>
      <c r="G69" s="13">
        <v>938</v>
      </c>
      <c r="H69" s="13">
        <v>944</v>
      </c>
      <c r="I69" s="9" t="s">
        <v>10</v>
      </c>
      <c r="K69" s="18"/>
      <c r="L69" s="28">
        <v>7182</v>
      </c>
      <c r="N69" s="18"/>
    </row>
    <row r="70" spans="1:14" s="2" customFormat="1" ht="16.5" customHeight="1" thickBot="1">
      <c r="A70" s="16" t="s">
        <v>215</v>
      </c>
      <c r="B70" s="17" t="s">
        <v>3</v>
      </c>
      <c r="C70" s="13">
        <v>619</v>
      </c>
      <c r="D70" s="13">
        <v>621</v>
      </c>
      <c r="E70" s="13">
        <v>623</v>
      </c>
      <c r="F70" s="13" t="s">
        <v>10</v>
      </c>
    </row>
    <row r="71" spans="1:14" s="2" customFormat="1" ht="16.5" customHeight="1" thickBot="1">
      <c r="A71" s="7" t="s">
        <v>216</v>
      </c>
      <c r="B71" s="8" t="s">
        <v>3</v>
      </c>
      <c r="C71" s="13">
        <v>614</v>
      </c>
      <c r="D71" s="13">
        <v>632</v>
      </c>
      <c r="E71" s="13">
        <v>715</v>
      </c>
      <c r="F71" s="13">
        <v>927</v>
      </c>
      <c r="G71" s="13">
        <v>941</v>
      </c>
      <c r="H71" s="13">
        <v>945</v>
      </c>
      <c r="I71" s="9">
        <v>1333</v>
      </c>
      <c r="J71" s="9" t="s">
        <v>87</v>
      </c>
      <c r="K71"/>
    </row>
    <row r="72" spans="1:14" s="2" customFormat="1" ht="16.5" customHeight="1" thickBot="1">
      <c r="A72" s="16" t="s">
        <v>118</v>
      </c>
      <c r="B72" s="33" t="s">
        <v>11</v>
      </c>
      <c r="C72" s="10">
        <v>449</v>
      </c>
      <c r="D72" s="10">
        <v>480</v>
      </c>
      <c r="E72" s="13" t="s">
        <v>10</v>
      </c>
      <c r="G72" s="29"/>
      <c r="H72"/>
      <c r="I72"/>
      <c r="J72"/>
    </row>
    <row r="73" spans="1:14" s="2" customFormat="1" ht="16.5" customHeight="1" thickBot="1">
      <c r="A73" s="16" t="s">
        <v>123</v>
      </c>
      <c r="B73" s="33" t="s">
        <v>11</v>
      </c>
      <c r="C73" s="10">
        <v>199</v>
      </c>
      <c r="D73" s="10" t="s">
        <v>10</v>
      </c>
      <c r="G73" s="29"/>
      <c r="H73"/>
      <c r="I73"/>
      <c r="J73"/>
    </row>
    <row r="75" spans="1:14" s="2" customFormat="1" ht="17.45" customHeight="1">
      <c r="A75" s="1" t="s">
        <v>265</v>
      </c>
    </row>
    <row r="76" spans="1:14" s="2" customFormat="1" ht="10.5" customHeight="1" thickBot="1">
      <c r="A76" s="1"/>
    </row>
    <row r="77" spans="1:14" s="2" customFormat="1" ht="16.5" customHeight="1" thickBot="1">
      <c r="A77" s="4" t="s">
        <v>0</v>
      </c>
      <c r="B77" s="5" t="s">
        <v>1</v>
      </c>
      <c r="C77" s="5" t="s">
        <v>2</v>
      </c>
      <c r="D77" s="5">
        <v>2</v>
      </c>
      <c r="E77" s="5">
        <v>3</v>
      </c>
      <c r="F77" s="6"/>
      <c r="G77" s="14" t="s">
        <v>6</v>
      </c>
      <c r="H77" s="15">
        <f>SUM(7668/11248)</f>
        <v>0.68172119487908966</v>
      </c>
    </row>
    <row r="78" spans="1:14" s="2" customFormat="1" ht="16.5" customHeight="1" thickBot="1">
      <c r="A78" s="7" t="s">
        <v>217</v>
      </c>
      <c r="B78" s="12" t="s">
        <v>4</v>
      </c>
      <c r="C78" s="9">
        <v>2694</v>
      </c>
      <c r="D78" s="13"/>
      <c r="E78" s="13"/>
      <c r="F78" s="11" t="s">
        <v>85</v>
      </c>
      <c r="G78" s="18"/>
      <c r="H78" s="14" t="s">
        <v>7</v>
      </c>
      <c r="I78" s="14" t="s">
        <v>8</v>
      </c>
      <c r="J78" s="14" t="s">
        <v>9</v>
      </c>
    </row>
    <row r="79" spans="1:14" s="2" customFormat="1" ht="16.5" customHeight="1" thickBot="1">
      <c r="A79" s="7" t="s">
        <v>218</v>
      </c>
      <c r="B79" s="8" t="s">
        <v>3</v>
      </c>
      <c r="C79" s="13">
        <v>1304</v>
      </c>
      <c r="D79" s="13">
        <v>1432</v>
      </c>
      <c r="E79" s="9">
        <v>1549</v>
      </c>
      <c r="F79" s="11" t="s">
        <v>87</v>
      </c>
      <c r="G79" s="19" t="s">
        <v>3</v>
      </c>
      <c r="H79" s="20">
        <f>SUM(C79:C81)</f>
        <v>3538</v>
      </c>
      <c r="I79" s="21">
        <f>SUM(H79/H83)</f>
        <v>0.46706270627062707</v>
      </c>
      <c r="J79" s="18">
        <v>3</v>
      </c>
    </row>
    <row r="80" spans="1:14" s="2" customFormat="1" ht="16.5" customHeight="1" thickBot="1">
      <c r="A80" s="7" t="s">
        <v>69</v>
      </c>
      <c r="B80" s="8" t="s">
        <v>3</v>
      </c>
      <c r="C80" s="13">
        <v>1171</v>
      </c>
      <c r="D80" s="13">
        <v>1278</v>
      </c>
      <c r="E80" s="9">
        <v>1445</v>
      </c>
      <c r="F80" s="11" t="s">
        <v>90</v>
      </c>
      <c r="G80" s="23" t="s">
        <v>4</v>
      </c>
      <c r="H80" s="20">
        <f>SUM(C78+C82)</f>
        <v>3349</v>
      </c>
      <c r="I80" s="21">
        <f>SUM(H80/H83)</f>
        <v>0.4421122112211221</v>
      </c>
      <c r="J80" s="18">
        <v>1</v>
      </c>
    </row>
    <row r="81" spans="1:19" s="2" customFormat="1" ht="16.5" customHeight="1" thickBot="1">
      <c r="A81" s="7" t="s">
        <v>219</v>
      </c>
      <c r="B81" s="8" t="s">
        <v>3</v>
      </c>
      <c r="C81" s="13">
        <v>1063</v>
      </c>
      <c r="D81" s="13">
        <v>1337</v>
      </c>
      <c r="E81" s="9">
        <v>1604</v>
      </c>
      <c r="F81" s="11" t="s">
        <v>86</v>
      </c>
      <c r="G81" s="38" t="s">
        <v>67</v>
      </c>
      <c r="H81" s="20">
        <v>150</v>
      </c>
      <c r="I81" s="21">
        <f>SUM(H81/H83)</f>
        <v>1.9801980198019802E-2</v>
      </c>
    </row>
    <row r="82" spans="1:19" s="2" customFormat="1" ht="16.5" customHeight="1" thickBot="1">
      <c r="A82" s="16" t="s">
        <v>220</v>
      </c>
      <c r="B82" s="22" t="s">
        <v>4</v>
      </c>
      <c r="C82" s="13">
        <v>655</v>
      </c>
      <c r="D82" s="13">
        <v>1073</v>
      </c>
      <c r="E82" s="13">
        <v>1277</v>
      </c>
      <c r="F82" s="11"/>
      <c r="G82" s="14" t="s">
        <v>14</v>
      </c>
      <c r="H82" s="29">
        <f>SUM(C83+C85)</f>
        <v>538</v>
      </c>
      <c r="I82" s="15">
        <f>SUM(H82/H83)</f>
        <v>7.1023102310231026E-2</v>
      </c>
    </row>
    <row r="83" spans="1:19" s="2" customFormat="1" ht="16.5" customHeight="1" thickBot="1">
      <c r="A83" s="16" t="s">
        <v>221</v>
      </c>
      <c r="B83" s="33" t="s">
        <v>11</v>
      </c>
      <c r="C83" s="13">
        <v>453</v>
      </c>
      <c r="D83" s="13">
        <v>665</v>
      </c>
      <c r="E83" s="13" t="s">
        <v>10</v>
      </c>
      <c r="G83" s="18"/>
      <c r="H83" s="28">
        <v>7575</v>
      </c>
      <c r="J83" s="18"/>
    </row>
    <row r="84" spans="1:19" s="2" customFormat="1" ht="16.5" customHeight="1" thickBot="1">
      <c r="A84" s="16" t="s">
        <v>222</v>
      </c>
      <c r="B84" s="39" t="s">
        <v>67</v>
      </c>
      <c r="C84" s="13">
        <v>150</v>
      </c>
      <c r="D84" s="13">
        <v>171</v>
      </c>
      <c r="E84" s="13" t="s">
        <v>10</v>
      </c>
    </row>
    <row r="85" spans="1:19" s="2" customFormat="1" ht="16.5" customHeight="1" thickBot="1">
      <c r="A85" s="16" t="s">
        <v>76</v>
      </c>
      <c r="B85" s="33" t="s">
        <v>11</v>
      </c>
      <c r="C85" s="10">
        <v>85</v>
      </c>
      <c r="D85" s="10">
        <v>103</v>
      </c>
      <c r="E85" s="13" t="s">
        <v>10</v>
      </c>
      <c r="G85"/>
      <c r="H85"/>
      <c r="I85"/>
      <c r="J85"/>
    </row>
    <row r="87" spans="1:19" s="108" customFormat="1" ht="15" customHeight="1">
      <c r="B87" s="46" t="s">
        <v>259</v>
      </c>
      <c r="C87" s="83" t="s">
        <v>3</v>
      </c>
      <c r="D87" s="84" t="s">
        <v>4</v>
      </c>
      <c r="E87" s="85" t="s">
        <v>12</v>
      </c>
      <c r="F87" s="86" t="s">
        <v>13</v>
      </c>
      <c r="G87" s="101" t="s">
        <v>67</v>
      </c>
      <c r="H87" s="46" t="s">
        <v>14</v>
      </c>
      <c r="Q87" s="109"/>
      <c r="R87" s="110"/>
      <c r="S87" s="111"/>
    </row>
    <row r="88" spans="1:19" s="108" customFormat="1" ht="15" customHeight="1">
      <c r="A88" s="108" t="s">
        <v>7</v>
      </c>
      <c r="B88" s="112">
        <f>SUM(L9+L24+J39+G50+I58+L69+H83)</f>
        <v>56564</v>
      </c>
      <c r="C88" s="110">
        <f>SUM(L5+L19+J35+G47+I56+L66+H79)</f>
        <v>26119</v>
      </c>
      <c r="D88" s="110">
        <f>SUM(L6+L20+J36+G48+I57+L67+H80)</f>
        <v>23414</v>
      </c>
      <c r="E88" s="110">
        <v>1063</v>
      </c>
      <c r="F88" s="110">
        <f>SUM(L7+L22)</f>
        <v>860</v>
      </c>
      <c r="G88" s="110">
        <f>SUM(H81+J37+L23)</f>
        <v>336</v>
      </c>
      <c r="H88" s="110">
        <f>SUM(H82+L68+G49+J38+L8)</f>
        <v>4814</v>
      </c>
      <c r="Q88" s="46"/>
      <c r="R88" s="112"/>
      <c r="S88" s="111"/>
    </row>
    <row r="89" spans="1:19" s="108" customFormat="1" ht="15" customHeight="1">
      <c r="A89" s="108" t="s">
        <v>8</v>
      </c>
      <c r="B89" s="107">
        <v>1</v>
      </c>
      <c r="C89" s="111">
        <f t="shared" ref="C89:H89" si="0">SUM(C88/$B$88)</f>
        <v>0.4617601301180963</v>
      </c>
      <c r="D89" s="111">
        <f t="shared" si="0"/>
        <v>0.41393819390425007</v>
      </c>
      <c r="E89" s="111">
        <f t="shared" si="0"/>
        <v>1.8792871791245315E-2</v>
      </c>
      <c r="F89" s="111">
        <f t="shared" si="0"/>
        <v>1.5204016689060179E-2</v>
      </c>
      <c r="G89" s="111">
        <f t="shared" si="0"/>
        <v>5.9401739622374659E-3</v>
      </c>
      <c r="H89" s="111">
        <f t="shared" si="0"/>
        <v>8.510713528039035E-2</v>
      </c>
    </row>
    <row r="90" spans="1:19" s="108" customFormat="1" ht="15" customHeight="1">
      <c r="A90" s="108" t="s">
        <v>9</v>
      </c>
      <c r="B90" s="46">
        <v>31</v>
      </c>
      <c r="C90" s="108">
        <v>16</v>
      </c>
      <c r="D90" s="108">
        <v>13</v>
      </c>
      <c r="E90" s="108">
        <v>1</v>
      </c>
      <c r="F90" s="108">
        <v>0</v>
      </c>
      <c r="G90" s="108">
        <v>0</v>
      </c>
      <c r="H90" s="108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9"/>
  <dimension ref="A1:S94"/>
  <sheetViews>
    <sheetView workbookViewId="0">
      <selection activeCell="N1" sqref="N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7109375" customWidth="1"/>
  </cols>
  <sheetData>
    <row r="1" spans="1:15" s="2" customFormat="1" ht="16.5" customHeight="1">
      <c r="A1" s="1" t="s">
        <v>267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6"/>
      <c r="L3" s="14" t="s">
        <v>6</v>
      </c>
      <c r="M3" s="15">
        <f>SUM(12458/19834)</f>
        <v>0.6281133407280427</v>
      </c>
    </row>
    <row r="4" spans="1:15" s="2" customFormat="1" ht="16.5" customHeight="1" thickBot="1">
      <c r="A4" s="7" t="s">
        <v>15</v>
      </c>
      <c r="B4" s="8" t="s">
        <v>3</v>
      </c>
      <c r="C4" s="9">
        <v>1925</v>
      </c>
      <c r="D4" s="10"/>
      <c r="E4" s="11"/>
      <c r="F4" s="10"/>
      <c r="G4" s="10"/>
      <c r="H4" s="10"/>
      <c r="I4" s="11"/>
      <c r="J4" s="10"/>
      <c r="K4" s="11" t="s">
        <v>85</v>
      </c>
      <c r="L4" s="18"/>
      <c r="M4" s="14" t="s">
        <v>7</v>
      </c>
      <c r="N4" s="14" t="s">
        <v>8</v>
      </c>
      <c r="O4" s="14" t="s">
        <v>9</v>
      </c>
    </row>
    <row r="5" spans="1:15" s="2" customFormat="1" ht="16.5" customHeight="1" thickBot="1">
      <c r="A5" s="7" t="s">
        <v>16</v>
      </c>
      <c r="B5" s="12" t="s">
        <v>4</v>
      </c>
      <c r="C5" s="13">
        <v>1688</v>
      </c>
      <c r="D5" s="13">
        <v>1710</v>
      </c>
      <c r="E5" s="9">
        <v>1775</v>
      </c>
      <c r="F5" s="13"/>
      <c r="G5" s="13"/>
      <c r="H5" s="9"/>
      <c r="I5" s="11"/>
      <c r="J5" s="10"/>
      <c r="K5" s="11" t="s">
        <v>86</v>
      </c>
      <c r="L5" s="19" t="s">
        <v>3</v>
      </c>
      <c r="M5" s="20">
        <f>SUM(C4+C8+C10+C12)</f>
        <v>4845</v>
      </c>
      <c r="N5" s="21">
        <f>SUM(M5/M9)</f>
        <v>0.39476900513321928</v>
      </c>
      <c r="O5" s="18">
        <v>2</v>
      </c>
    </row>
    <row r="6" spans="1:15" s="2" customFormat="1" ht="16.5" customHeight="1" thickBot="1">
      <c r="A6" s="7" t="s">
        <v>17</v>
      </c>
      <c r="B6" s="12" t="s">
        <v>4</v>
      </c>
      <c r="C6" s="13">
        <v>1510</v>
      </c>
      <c r="D6" s="13">
        <v>1514</v>
      </c>
      <c r="E6" s="13">
        <v>1561</v>
      </c>
      <c r="F6" s="13">
        <v>1622</v>
      </c>
      <c r="G6" s="13">
        <v>1700</v>
      </c>
      <c r="H6" s="9">
        <v>1778</v>
      </c>
      <c r="I6" s="10"/>
      <c r="J6" s="9"/>
      <c r="K6" s="11" t="s">
        <v>90</v>
      </c>
      <c r="L6" s="23" t="s">
        <v>4</v>
      </c>
      <c r="M6" s="20">
        <f>SUM(C5+C6+C7+C14+C9)</f>
        <v>5819</v>
      </c>
      <c r="N6" s="21">
        <f>SUM(M6/M9)</f>
        <v>0.47413020451397375</v>
      </c>
      <c r="O6" s="18">
        <v>4</v>
      </c>
    </row>
    <row r="7" spans="1:15" s="2" customFormat="1" ht="16.5" customHeight="1" thickBot="1">
      <c r="A7" s="7" t="s">
        <v>18</v>
      </c>
      <c r="B7" s="12" t="s">
        <v>4</v>
      </c>
      <c r="C7" s="13">
        <v>1202</v>
      </c>
      <c r="D7" s="13">
        <v>1224</v>
      </c>
      <c r="E7" s="13">
        <v>1316</v>
      </c>
      <c r="F7" s="13">
        <v>1456</v>
      </c>
      <c r="G7" s="13">
        <v>1508</v>
      </c>
      <c r="H7" s="9">
        <v>1906</v>
      </c>
      <c r="I7" s="13"/>
      <c r="J7" s="9"/>
      <c r="K7" s="11" t="s">
        <v>87</v>
      </c>
      <c r="L7" s="34" t="s">
        <v>23</v>
      </c>
      <c r="M7" s="18">
        <v>881</v>
      </c>
      <c r="N7" s="21">
        <f>SUM(M7/M9)</f>
        <v>7.1783589994296418E-2</v>
      </c>
    </row>
    <row r="8" spans="1:15" s="2" customFormat="1" ht="16.5" customHeight="1" thickBot="1">
      <c r="A8" s="16" t="s">
        <v>19</v>
      </c>
      <c r="B8" s="17" t="s">
        <v>3</v>
      </c>
      <c r="C8" s="13">
        <v>1171</v>
      </c>
      <c r="D8" s="13">
        <v>1185</v>
      </c>
      <c r="E8" s="13">
        <v>1192</v>
      </c>
      <c r="F8" s="13">
        <v>1236</v>
      </c>
      <c r="G8" s="13">
        <v>1463</v>
      </c>
      <c r="H8" s="13">
        <v>1528</v>
      </c>
      <c r="I8" s="13">
        <v>1544</v>
      </c>
      <c r="J8" s="13">
        <v>1549</v>
      </c>
      <c r="K8" s="11"/>
      <c r="L8" s="14" t="s">
        <v>14</v>
      </c>
      <c r="M8" s="2">
        <v>728</v>
      </c>
      <c r="N8" s="15">
        <f>SUM(M8/M9)</f>
        <v>5.9317200358510555E-2</v>
      </c>
      <c r="O8" s="18"/>
    </row>
    <row r="9" spans="1:15" s="2" customFormat="1" ht="16.5" customHeight="1" thickBot="1">
      <c r="A9" s="7" t="s">
        <v>20</v>
      </c>
      <c r="B9" s="12" t="s">
        <v>4</v>
      </c>
      <c r="C9" s="13">
        <v>1067</v>
      </c>
      <c r="D9" s="13">
        <v>1071</v>
      </c>
      <c r="E9" s="13">
        <v>1105</v>
      </c>
      <c r="F9" s="13">
        <v>1171</v>
      </c>
      <c r="G9" s="13">
        <v>1433</v>
      </c>
      <c r="H9" s="13">
        <v>1515</v>
      </c>
      <c r="I9" s="13">
        <v>1568</v>
      </c>
      <c r="J9" s="9">
        <v>1577</v>
      </c>
      <c r="K9" s="11" t="s">
        <v>88</v>
      </c>
      <c r="M9" s="28">
        <v>12273</v>
      </c>
    </row>
    <row r="10" spans="1:15" s="2" customFormat="1" ht="16.5" customHeight="1" thickBot="1">
      <c r="A10" s="7" t="s">
        <v>21</v>
      </c>
      <c r="B10" s="8" t="s">
        <v>3</v>
      </c>
      <c r="C10" s="10">
        <v>972</v>
      </c>
      <c r="D10" s="13">
        <v>1030</v>
      </c>
      <c r="E10" s="13">
        <v>1079</v>
      </c>
      <c r="F10" s="13">
        <v>1180</v>
      </c>
      <c r="G10" s="13">
        <v>1271</v>
      </c>
      <c r="H10" s="13">
        <v>1550</v>
      </c>
      <c r="I10" s="13">
        <v>1633</v>
      </c>
      <c r="J10" s="9">
        <v>1643</v>
      </c>
      <c r="K10" s="11" t="s">
        <v>89</v>
      </c>
    </row>
    <row r="11" spans="1:15" s="2" customFormat="1" ht="16.5" customHeight="1" thickBot="1">
      <c r="A11" s="16" t="s">
        <v>22</v>
      </c>
      <c r="B11" s="32" t="s">
        <v>23</v>
      </c>
      <c r="C11" s="10">
        <v>881</v>
      </c>
      <c r="D11" s="10">
        <v>895</v>
      </c>
      <c r="E11" s="10">
        <v>915</v>
      </c>
      <c r="F11" s="13">
        <v>1043</v>
      </c>
      <c r="G11" s="13">
        <v>1090</v>
      </c>
      <c r="H11" s="10" t="s">
        <v>10</v>
      </c>
    </row>
    <row r="12" spans="1:15" s="2" customFormat="1" ht="16.5" customHeight="1" thickBot="1">
      <c r="A12" s="16" t="s">
        <v>24</v>
      </c>
      <c r="B12" s="17" t="s">
        <v>3</v>
      </c>
      <c r="C12" s="10">
        <v>777</v>
      </c>
      <c r="D12" s="10">
        <v>786</v>
      </c>
      <c r="E12" s="10">
        <v>792</v>
      </c>
      <c r="F12" s="10">
        <v>869</v>
      </c>
      <c r="G12" s="10" t="s">
        <v>10</v>
      </c>
    </row>
    <row r="13" spans="1:15" s="2" customFormat="1" ht="16.5" customHeight="1" thickBot="1">
      <c r="A13" s="16" t="s">
        <v>25</v>
      </c>
      <c r="B13" s="33" t="s">
        <v>11</v>
      </c>
      <c r="C13" s="10">
        <v>728</v>
      </c>
      <c r="D13" s="10">
        <v>743</v>
      </c>
      <c r="E13" s="10">
        <v>768</v>
      </c>
      <c r="F13" s="10" t="s">
        <v>10</v>
      </c>
    </row>
    <row r="14" spans="1:15" s="2" customFormat="1" ht="16.5" customHeight="1" thickBot="1">
      <c r="A14" s="16" t="s">
        <v>26</v>
      </c>
      <c r="B14" s="22" t="s">
        <v>4</v>
      </c>
      <c r="C14" s="10">
        <v>352</v>
      </c>
      <c r="D14" s="10">
        <v>361</v>
      </c>
      <c r="E14" s="10" t="s">
        <v>10</v>
      </c>
      <c r="N14" s="21"/>
    </row>
    <row r="15" spans="1:15" s="2" customFormat="1" ht="10.5" customHeight="1">
      <c r="A15" s="1"/>
    </row>
    <row r="16" spans="1:15" s="2" customFormat="1" ht="17.45" customHeight="1">
      <c r="A16" s="1" t="s">
        <v>268</v>
      </c>
    </row>
    <row r="17" spans="1:15" s="2" customFormat="1" ht="10.5" customHeight="1" thickBot="1">
      <c r="A17" s="1"/>
    </row>
    <row r="18" spans="1:15" s="2" customFormat="1" ht="16.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>
        <v>7</v>
      </c>
      <c r="J18" s="5">
        <v>8</v>
      </c>
      <c r="K18" s="6"/>
      <c r="L18" s="14" t="s">
        <v>6</v>
      </c>
      <c r="M18" s="15">
        <f>SUM(13159/22245)</f>
        <v>0.59154866262081363</v>
      </c>
    </row>
    <row r="19" spans="1:15" s="2" customFormat="1" ht="16.5" customHeight="1" thickBot="1">
      <c r="A19" s="7" t="s">
        <v>27</v>
      </c>
      <c r="B19" s="12" t="s">
        <v>4</v>
      </c>
      <c r="C19" s="13">
        <v>1611</v>
      </c>
      <c r="D19" s="13">
        <v>1652</v>
      </c>
      <c r="E19" s="13">
        <v>1688</v>
      </c>
      <c r="F19" s="13">
        <v>1793</v>
      </c>
      <c r="G19" s="13">
        <v>1809</v>
      </c>
      <c r="H19" s="9">
        <v>1876</v>
      </c>
      <c r="I19" s="11"/>
      <c r="J19" s="10"/>
      <c r="K19" s="11" t="s">
        <v>90</v>
      </c>
      <c r="L19" s="18"/>
      <c r="M19" s="14" t="s">
        <v>7</v>
      </c>
      <c r="N19" s="14" t="s">
        <v>8</v>
      </c>
      <c r="O19" s="14" t="s">
        <v>9</v>
      </c>
    </row>
    <row r="20" spans="1:15" s="2" customFormat="1" ht="16.5" customHeight="1" thickBot="1">
      <c r="A20" s="7" t="s">
        <v>28</v>
      </c>
      <c r="B20" s="12" t="s">
        <v>4</v>
      </c>
      <c r="C20" s="13">
        <v>1581</v>
      </c>
      <c r="D20" s="13">
        <v>1640</v>
      </c>
      <c r="E20" s="13">
        <v>1674</v>
      </c>
      <c r="F20" s="9">
        <v>1950</v>
      </c>
      <c r="G20" s="13"/>
      <c r="H20" s="9"/>
      <c r="I20" s="11"/>
      <c r="J20" s="10"/>
      <c r="K20" s="11" t="s">
        <v>86</v>
      </c>
      <c r="L20" s="19" t="s">
        <v>3</v>
      </c>
      <c r="M20" s="20">
        <f>SUM(C22+C23+C27+C28+C29)</f>
        <v>5051</v>
      </c>
      <c r="N20" s="21">
        <f>SUM(M20/M24)</f>
        <v>0.39127740336199551</v>
      </c>
      <c r="O20" s="18">
        <v>2</v>
      </c>
    </row>
    <row r="21" spans="1:15" s="2" customFormat="1" ht="16.5" customHeight="1" thickBot="1">
      <c r="A21" s="7" t="s">
        <v>29</v>
      </c>
      <c r="B21" s="12" t="s">
        <v>4</v>
      </c>
      <c r="C21" s="13">
        <v>1575</v>
      </c>
      <c r="D21" s="13">
        <v>1655</v>
      </c>
      <c r="E21" s="13">
        <v>1780</v>
      </c>
      <c r="F21" s="9">
        <v>1853</v>
      </c>
      <c r="G21" s="13"/>
      <c r="H21" s="9"/>
      <c r="I21" s="10"/>
      <c r="J21" s="9"/>
      <c r="K21" s="11" t="s">
        <v>87</v>
      </c>
      <c r="L21" s="23" t="s">
        <v>4</v>
      </c>
      <c r="M21" s="20">
        <f>SUM(C19+C20+C21+C26)</f>
        <v>5631</v>
      </c>
      <c r="N21" s="21">
        <f>SUM(M21/M24)</f>
        <v>0.43620729723448759</v>
      </c>
      <c r="O21" s="18">
        <v>3</v>
      </c>
    </row>
    <row r="22" spans="1:15" s="2" customFormat="1" ht="16.5" customHeight="1" thickBot="1">
      <c r="A22" s="7" t="s">
        <v>30</v>
      </c>
      <c r="B22" s="8" t="s">
        <v>3</v>
      </c>
      <c r="C22" s="13">
        <v>1527</v>
      </c>
      <c r="D22" s="13">
        <v>1625</v>
      </c>
      <c r="E22" s="13">
        <v>1801</v>
      </c>
      <c r="F22" s="9">
        <v>2013</v>
      </c>
      <c r="G22" s="13"/>
      <c r="H22" s="9"/>
      <c r="I22" s="13"/>
      <c r="J22" s="9"/>
      <c r="K22" s="11" t="s">
        <v>85</v>
      </c>
      <c r="L22" s="24" t="s">
        <v>12</v>
      </c>
      <c r="M22" s="20">
        <v>1063</v>
      </c>
      <c r="N22" s="21">
        <f>SUM(M22/M24)</f>
        <v>8.234565032148114E-2</v>
      </c>
      <c r="O22" s="2">
        <v>1</v>
      </c>
    </row>
    <row r="23" spans="1:15" s="2" customFormat="1" ht="16.5" customHeight="1" thickBot="1">
      <c r="A23" s="7" t="s">
        <v>31</v>
      </c>
      <c r="B23" s="8" t="s">
        <v>3</v>
      </c>
      <c r="C23" s="13">
        <v>1357</v>
      </c>
      <c r="D23" s="13">
        <v>1495</v>
      </c>
      <c r="E23" s="13">
        <v>1573</v>
      </c>
      <c r="F23" s="13">
        <v>1601</v>
      </c>
      <c r="G23" s="13">
        <v>1643</v>
      </c>
      <c r="H23" s="13">
        <v>1647</v>
      </c>
      <c r="I23" s="9">
        <v>1919</v>
      </c>
      <c r="J23" s="13"/>
      <c r="K23" s="11" t="s">
        <v>89</v>
      </c>
      <c r="L23" s="14" t="s">
        <v>14</v>
      </c>
      <c r="M23" s="29">
        <v>1204</v>
      </c>
      <c r="N23" s="15">
        <f>SUM(M23/M24)</f>
        <v>9.3268262452552486E-2</v>
      </c>
      <c r="O23" s="18"/>
    </row>
    <row r="24" spans="1:15" s="2" customFormat="1" ht="16.5" customHeight="1" thickBot="1">
      <c r="A24" s="16" t="s">
        <v>32</v>
      </c>
      <c r="B24" s="33" t="s">
        <v>11</v>
      </c>
      <c r="C24" s="13">
        <v>1204</v>
      </c>
      <c r="D24" s="13">
        <v>1228</v>
      </c>
      <c r="E24" s="13">
        <v>1303</v>
      </c>
      <c r="F24" s="13">
        <v>1339</v>
      </c>
      <c r="G24" s="13">
        <v>1361</v>
      </c>
      <c r="H24" s="13">
        <v>1374</v>
      </c>
      <c r="I24" s="13">
        <v>1550</v>
      </c>
      <c r="J24" s="13">
        <v>1570</v>
      </c>
      <c r="K24" s="11"/>
      <c r="M24" s="28">
        <v>12909</v>
      </c>
    </row>
    <row r="25" spans="1:15" s="2" customFormat="1" ht="16.5" customHeight="1" thickBot="1">
      <c r="A25" s="7" t="s">
        <v>33</v>
      </c>
      <c r="B25" s="30" t="s">
        <v>12</v>
      </c>
      <c r="C25" s="13">
        <v>1063</v>
      </c>
      <c r="D25" s="13">
        <v>1134</v>
      </c>
      <c r="E25" s="13">
        <v>1238</v>
      </c>
      <c r="F25" s="13">
        <v>1279</v>
      </c>
      <c r="G25" s="13">
        <v>1289</v>
      </c>
      <c r="H25" s="13">
        <v>1304</v>
      </c>
      <c r="I25" s="13">
        <v>1576</v>
      </c>
      <c r="J25" s="9">
        <v>1625</v>
      </c>
      <c r="K25" s="11" t="s">
        <v>88</v>
      </c>
    </row>
    <row r="26" spans="1:15" s="2" customFormat="1" ht="16.5" customHeight="1" thickBot="1">
      <c r="A26" s="16" t="s">
        <v>34</v>
      </c>
      <c r="B26" s="22" t="s">
        <v>4</v>
      </c>
      <c r="C26" s="10">
        <v>864</v>
      </c>
      <c r="D26" s="10">
        <v>881</v>
      </c>
      <c r="E26" s="10">
        <v>891</v>
      </c>
      <c r="F26" s="13" t="s">
        <v>10</v>
      </c>
    </row>
    <row r="27" spans="1:15" s="2" customFormat="1" ht="16.5" customHeight="1" thickBot="1">
      <c r="A27" s="16" t="s">
        <v>35</v>
      </c>
      <c r="B27" s="17" t="s">
        <v>3</v>
      </c>
      <c r="C27" s="10">
        <v>794</v>
      </c>
      <c r="D27" s="10">
        <v>839</v>
      </c>
      <c r="E27" s="10">
        <v>937</v>
      </c>
      <c r="F27" s="10">
        <v>965</v>
      </c>
      <c r="G27" s="13">
        <v>981</v>
      </c>
      <c r="H27" s="10">
        <v>982</v>
      </c>
      <c r="I27" s="10" t="s">
        <v>10</v>
      </c>
    </row>
    <row r="28" spans="1:15" s="2" customFormat="1" ht="16.5" customHeight="1" thickBot="1">
      <c r="A28" s="16" t="s">
        <v>36</v>
      </c>
      <c r="B28" s="17" t="s">
        <v>3</v>
      </c>
      <c r="C28" s="10">
        <v>704</v>
      </c>
      <c r="D28" s="10">
        <v>771</v>
      </c>
      <c r="E28" s="10" t="s">
        <v>10</v>
      </c>
    </row>
    <row r="29" spans="1:15" s="2" customFormat="1" ht="16.5" customHeight="1" thickBot="1">
      <c r="A29" s="16" t="s">
        <v>37</v>
      </c>
      <c r="B29" s="17" t="s">
        <v>3</v>
      </c>
      <c r="C29" s="10">
        <v>669</v>
      </c>
      <c r="D29" s="10" t="s">
        <v>10</v>
      </c>
      <c r="M29" s="21"/>
    </row>
    <row r="30" spans="1:15" s="2" customFormat="1" ht="11.25" customHeight="1">
      <c r="A30" s="35"/>
      <c r="B30" s="36"/>
      <c r="C30" s="35"/>
      <c r="D30" s="35"/>
      <c r="E30" s="35"/>
      <c r="N30" s="21"/>
    </row>
    <row r="31" spans="1:15" s="2" customFormat="1" ht="17.45" customHeight="1">
      <c r="A31" s="1" t="s">
        <v>269</v>
      </c>
    </row>
    <row r="32" spans="1:15" s="2" customFormat="1" ht="8.25" customHeight="1" thickBot="1">
      <c r="A32" s="1"/>
    </row>
    <row r="33" spans="1:11" s="2" customFormat="1" ht="17.45" customHeight="1" thickBot="1">
      <c r="A33" s="4" t="s">
        <v>0</v>
      </c>
      <c r="B33" s="5" t="s">
        <v>1</v>
      </c>
      <c r="C33" s="5" t="s">
        <v>2</v>
      </c>
      <c r="D33" s="5">
        <v>2</v>
      </c>
      <c r="E33" s="5">
        <v>3</v>
      </c>
      <c r="F33" s="5">
        <v>4</v>
      </c>
      <c r="G33" s="5"/>
      <c r="H33" s="14" t="s">
        <v>6</v>
      </c>
      <c r="I33" s="15">
        <f>SUM(6782/9957)</f>
        <v>0.68112885407251178</v>
      </c>
    </row>
    <row r="34" spans="1:11" s="2" customFormat="1" ht="17.45" customHeight="1" thickBot="1">
      <c r="A34" s="7" t="s">
        <v>38</v>
      </c>
      <c r="B34" s="8" t="s">
        <v>3</v>
      </c>
      <c r="C34" s="13">
        <v>1551</v>
      </c>
      <c r="D34" s="13">
        <v>1584</v>
      </c>
      <c r="E34" s="9">
        <v>1986</v>
      </c>
      <c r="F34" s="10"/>
      <c r="G34" s="11" t="s">
        <v>86</v>
      </c>
      <c r="H34" s="18"/>
      <c r="I34" s="14" t="s">
        <v>7</v>
      </c>
      <c r="J34" s="14" t="s">
        <v>8</v>
      </c>
      <c r="K34" s="14" t="s">
        <v>9</v>
      </c>
    </row>
    <row r="35" spans="1:11" s="2" customFormat="1" ht="17.45" customHeight="1" thickBot="1">
      <c r="A35" s="7" t="s">
        <v>39</v>
      </c>
      <c r="B35" s="12" t="s">
        <v>4</v>
      </c>
      <c r="C35" s="13">
        <v>1549</v>
      </c>
      <c r="D35" s="9">
        <v>1731</v>
      </c>
      <c r="E35" s="9"/>
      <c r="F35" s="11"/>
      <c r="G35" s="11" t="s">
        <v>85</v>
      </c>
      <c r="H35" s="19" t="s">
        <v>3</v>
      </c>
      <c r="I35" s="20">
        <f>SUM(C34+C38)</f>
        <v>2319</v>
      </c>
      <c r="J35" s="21">
        <f>SUM(I35/I38)</f>
        <v>0.34627445124682693</v>
      </c>
      <c r="K35" s="18">
        <v>1</v>
      </c>
    </row>
    <row r="36" spans="1:11" s="2" customFormat="1" ht="17.45" customHeight="1" thickBot="1">
      <c r="A36" s="7" t="s">
        <v>40</v>
      </c>
      <c r="B36" s="37" t="s">
        <v>11</v>
      </c>
      <c r="C36" s="13">
        <v>1219</v>
      </c>
      <c r="D36" s="13">
        <v>1342</v>
      </c>
      <c r="E36" s="13">
        <v>1484</v>
      </c>
      <c r="F36" s="9">
        <v>1632</v>
      </c>
      <c r="G36" s="11" t="s">
        <v>87</v>
      </c>
      <c r="H36" s="23" t="s">
        <v>4</v>
      </c>
      <c r="I36" s="20">
        <f>SUM(C35+C37+C39)</f>
        <v>3159</v>
      </c>
      <c r="J36" s="21">
        <f>SUM(I36/I38)</f>
        <v>0.47170374794684189</v>
      </c>
      <c r="K36" s="18">
        <v>1</v>
      </c>
    </row>
    <row r="37" spans="1:11" s="2" customFormat="1" ht="17.45" customHeight="1" thickBot="1">
      <c r="A37" s="16" t="s">
        <v>41</v>
      </c>
      <c r="B37" s="22" t="s">
        <v>4</v>
      </c>
      <c r="C37" s="13">
        <v>1145</v>
      </c>
      <c r="D37" s="13">
        <v>1216</v>
      </c>
      <c r="E37" s="13">
        <v>1369</v>
      </c>
      <c r="F37" s="13">
        <v>1443</v>
      </c>
      <c r="G37" s="11"/>
      <c r="H37" s="14" t="s">
        <v>14</v>
      </c>
      <c r="I37" s="29">
        <v>1219</v>
      </c>
      <c r="J37" s="15">
        <f>SUM(I37/I38)</f>
        <v>0.18202180080633118</v>
      </c>
      <c r="K37" s="2">
        <v>1</v>
      </c>
    </row>
    <row r="38" spans="1:11" s="2" customFormat="1" ht="17.45" customHeight="1" thickBot="1">
      <c r="A38" s="16" t="s">
        <v>42</v>
      </c>
      <c r="B38" s="17" t="s">
        <v>3</v>
      </c>
      <c r="C38" s="10">
        <v>768</v>
      </c>
      <c r="D38" s="10">
        <v>808</v>
      </c>
      <c r="E38" s="10" t="s">
        <v>10</v>
      </c>
      <c r="I38" s="28">
        <v>6697</v>
      </c>
    </row>
    <row r="39" spans="1:11" s="2" customFormat="1" ht="17.45" customHeight="1" thickBot="1">
      <c r="A39" s="16" t="s">
        <v>43</v>
      </c>
      <c r="B39" s="22" t="s">
        <v>4</v>
      </c>
      <c r="C39" s="10">
        <v>465</v>
      </c>
      <c r="D39" s="10" t="s">
        <v>10</v>
      </c>
    </row>
    <row r="40" spans="1:11" s="2" customFormat="1" ht="12" customHeight="1">
      <c r="F40"/>
      <c r="G40"/>
      <c r="H40"/>
    </row>
    <row r="42" spans="1:11" s="2" customFormat="1" ht="17.45" customHeight="1">
      <c r="A42" s="1" t="s">
        <v>270</v>
      </c>
    </row>
    <row r="43" spans="1:11" s="2" customFormat="1" ht="8.25" customHeight="1" thickBot="1">
      <c r="A43" s="1"/>
    </row>
    <row r="44" spans="1:11" s="2" customFormat="1" ht="17.45" customHeight="1" thickBot="1">
      <c r="A44" s="4" t="s">
        <v>0</v>
      </c>
      <c r="B44" s="5" t="s">
        <v>1</v>
      </c>
      <c r="C44" s="5" t="s">
        <v>2</v>
      </c>
      <c r="D44" s="5">
        <v>2</v>
      </c>
      <c r="E44" s="5">
        <v>3</v>
      </c>
      <c r="F44" s="5">
        <v>4</v>
      </c>
      <c r="G44" s="5"/>
      <c r="H44" s="14" t="s">
        <v>6</v>
      </c>
      <c r="I44" s="15">
        <f>SUM(8048/12475)</f>
        <v>0.64513026052104205</v>
      </c>
    </row>
    <row r="45" spans="1:11" s="2" customFormat="1" ht="17.45" customHeight="1" thickBot="1">
      <c r="A45" s="7" t="s">
        <v>44</v>
      </c>
      <c r="B45" s="12" t="s">
        <v>4</v>
      </c>
      <c r="C45" s="9">
        <v>1693</v>
      </c>
      <c r="D45" s="13"/>
      <c r="E45" s="9"/>
      <c r="F45" s="10"/>
      <c r="G45" s="11" t="s">
        <v>85</v>
      </c>
      <c r="H45" s="18"/>
      <c r="I45" s="14" t="s">
        <v>7</v>
      </c>
      <c r="J45" s="14" t="s">
        <v>8</v>
      </c>
      <c r="K45" s="14" t="s">
        <v>9</v>
      </c>
    </row>
    <row r="46" spans="1:11" s="2" customFormat="1" ht="17.45" customHeight="1" thickBot="1">
      <c r="A46" s="7" t="s">
        <v>45</v>
      </c>
      <c r="B46" s="12" t="s">
        <v>4</v>
      </c>
      <c r="C46" s="9">
        <v>1610</v>
      </c>
      <c r="D46" s="9"/>
      <c r="E46" s="9"/>
      <c r="F46" s="11"/>
      <c r="G46" s="11" t="s">
        <v>86</v>
      </c>
      <c r="H46" s="19" t="s">
        <v>3</v>
      </c>
      <c r="I46" s="20">
        <f>SUM(C47+C48)</f>
        <v>2536</v>
      </c>
      <c r="J46" s="21">
        <f>SUM(I46/I49)</f>
        <v>0.3208502024291498</v>
      </c>
      <c r="K46" s="18">
        <v>2</v>
      </c>
    </row>
    <row r="47" spans="1:11" s="2" customFormat="1" ht="17.45" customHeight="1" thickBot="1">
      <c r="A47" s="7" t="s">
        <v>46</v>
      </c>
      <c r="B47" s="8" t="s">
        <v>3</v>
      </c>
      <c r="C47" s="13">
        <v>1378</v>
      </c>
      <c r="D47" s="13">
        <v>1390</v>
      </c>
      <c r="E47" s="13">
        <v>1415</v>
      </c>
      <c r="F47" s="9">
        <v>1556</v>
      </c>
      <c r="G47" s="11" t="s">
        <v>87</v>
      </c>
      <c r="H47" s="23" t="s">
        <v>4</v>
      </c>
      <c r="I47" s="20">
        <f>SUM(C45+C46+C51)</f>
        <v>3757</v>
      </c>
      <c r="J47" s="21">
        <f>SUM(I47/I49)</f>
        <v>0.47532894736842107</v>
      </c>
      <c r="K47" s="18">
        <v>2</v>
      </c>
    </row>
    <row r="48" spans="1:11" s="2" customFormat="1" ht="17.45" customHeight="1" thickBot="1">
      <c r="A48" s="7" t="s">
        <v>47</v>
      </c>
      <c r="B48" s="8" t="s">
        <v>3</v>
      </c>
      <c r="C48" s="13">
        <v>1158</v>
      </c>
      <c r="D48" s="13">
        <v>1179</v>
      </c>
      <c r="E48" s="13">
        <v>1299</v>
      </c>
      <c r="F48" s="9">
        <v>1513</v>
      </c>
      <c r="G48" s="11" t="s">
        <v>90</v>
      </c>
      <c r="H48" s="14" t="s">
        <v>14</v>
      </c>
      <c r="I48" s="29">
        <f>SUM(C49+C50)</f>
        <v>1611</v>
      </c>
      <c r="J48" s="15">
        <f>SUM(I48/I49)</f>
        <v>0.20382085020242915</v>
      </c>
    </row>
    <row r="49" spans="1:14" s="2" customFormat="1" ht="17.45" customHeight="1" thickBot="1">
      <c r="A49" s="16" t="s">
        <v>48</v>
      </c>
      <c r="B49" s="33" t="s">
        <v>11</v>
      </c>
      <c r="C49" s="13">
        <v>1058</v>
      </c>
      <c r="D49" s="13">
        <v>1068</v>
      </c>
      <c r="E49" s="13">
        <v>1226</v>
      </c>
      <c r="F49" s="13">
        <v>1342</v>
      </c>
      <c r="G49" s="10"/>
      <c r="I49" s="28">
        <v>7904</v>
      </c>
    </row>
    <row r="50" spans="1:14" s="2" customFormat="1" ht="17.45" customHeight="1" thickBot="1">
      <c r="A50" s="16" t="s">
        <v>49</v>
      </c>
      <c r="B50" s="33" t="s">
        <v>11</v>
      </c>
      <c r="C50" s="10">
        <v>553</v>
      </c>
      <c r="D50" s="10">
        <v>583</v>
      </c>
      <c r="E50" s="10">
        <v>646</v>
      </c>
      <c r="F50" s="10" t="s">
        <v>10</v>
      </c>
    </row>
    <row r="51" spans="1:14" s="2" customFormat="1" ht="17.45" customHeight="1" thickBot="1">
      <c r="A51" s="16" t="s">
        <v>50</v>
      </c>
      <c r="B51" s="22" t="s">
        <v>4</v>
      </c>
      <c r="C51" s="10">
        <v>454</v>
      </c>
      <c r="D51" s="10">
        <v>493</v>
      </c>
      <c r="E51" s="10" t="s">
        <v>10</v>
      </c>
      <c r="J51" s="14"/>
      <c r="L51" s="15"/>
    </row>
    <row r="53" spans="1:14" s="2" customFormat="1" ht="17.45" customHeight="1">
      <c r="A53" s="1" t="s">
        <v>271</v>
      </c>
    </row>
    <row r="54" spans="1:14" s="2" customFormat="1" ht="10.5" customHeight="1" thickBot="1">
      <c r="A54" s="1"/>
    </row>
    <row r="55" spans="1:14" s="2" customFormat="1" ht="16.5" customHeight="1" thickBot="1">
      <c r="A55" s="4" t="s">
        <v>0</v>
      </c>
      <c r="B55" s="5" t="s">
        <v>1</v>
      </c>
      <c r="C55" s="5" t="s">
        <v>2</v>
      </c>
      <c r="D55" s="5">
        <v>2</v>
      </c>
      <c r="E55" s="5">
        <v>3</v>
      </c>
      <c r="F55" s="5">
        <v>4</v>
      </c>
      <c r="G55" s="5">
        <v>5</v>
      </c>
      <c r="H55" s="5">
        <v>6</v>
      </c>
      <c r="I55" s="5">
        <v>7</v>
      </c>
      <c r="J55" s="6"/>
      <c r="K55" s="14" t="s">
        <v>6</v>
      </c>
      <c r="L55" s="15">
        <f>SUM(8229/12658)</f>
        <v>0.65010270184863328</v>
      </c>
    </row>
    <row r="56" spans="1:14" s="2" customFormat="1" ht="16.5" customHeight="1" thickBot="1">
      <c r="A56" s="7" t="s">
        <v>5</v>
      </c>
      <c r="B56" s="31" t="s">
        <v>13</v>
      </c>
      <c r="C56" s="9">
        <v>1786</v>
      </c>
      <c r="D56" s="13"/>
      <c r="E56" s="13"/>
      <c r="F56" s="13"/>
      <c r="G56" s="13"/>
      <c r="H56" s="9"/>
      <c r="I56" s="11"/>
      <c r="J56" s="11" t="s">
        <v>85</v>
      </c>
      <c r="K56" s="18"/>
      <c r="L56" s="14" t="s">
        <v>7</v>
      </c>
      <c r="M56" s="14" t="s">
        <v>8</v>
      </c>
      <c r="N56" s="14" t="s">
        <v>9</v>
      </c>
    </row>
    <row r="57" spans="1:14" s="2" customFormat="1" ht="16.5" customHeight="1" thickBot="1">
      <c r="A57" s="7" t="s">
        <v>51</v>
      </c>
      <c r="B57" s="12" t="s">
        <v>4</v>
      </c>
      <c r="C57" s="9">
        <v>1635</v>
      </c>
      <c r="D57" s="13"/>
      <c r="E57" s="13"/>
      <c r="F57" s="9"/>
      <c r="G57" s="13"/>
      <c r="H57" s="9"/>
      <c r="I57" s="11"/>
      <c r="J57" s="11" t="s">
        <v>86</v>
      </c>
      <c r="K57" s="19" t="s">
        <v>3</v>
      </c>
      <c r="L57" s="20">
        <f>SUM(C58+C61+C62)</f>
        <v>2089</v>
      </c>
      <c r="M57" s="21">
        <f>SUM(L57/L62)</f>
        <v>0.25876378050291093</v>
      </c>
      <c r="N57" s="18">
        <v>1</v>
      </c>
    </row>
    <row r="58" spans="1:14" s="2" customFormat="1" ht="16.5" customHeight="1" thickBot="1">
      <c r="A58" s="7" t="s">
        <v>52</v>
      </c>
      <c r="B58" s="8" t="s">
        <v>3</v>
      </c>
      <c r="C58" s="13">
        <v>1128</v>
      </c>
      <c r="D58" s="13">
        <v>1140</v>
      </c>
      <c r="E58" s="13">
        <v>1159</v>
      </c>
      <c r="F58" s="13">
        <v>1286</v>
      </c>
      <c r="G58" s="13">
        <v>1371</v>
      </c>
      <c r="H58" s="9">
        <v>1692</v>
      </c>
      <c r="I58" s="10"/>
      <c r="J58" s="11" t="s">
        <v>87</v>
      </c>
      <c r="K58" s="23" t="s">
        <v>4</v>
      </c>
      <c r="L58" s="20">
        <f>SUM(C57+C59+C60)</f>
        <v>3621</v>
      </c>
      <c r="M58" s="21">
        <f>SUM(L58/L62)</f>
        <v>0.44853214418431808</v>
      </c>
      <c r="N58" s="18">
        <v>2</v>
      </c>
    </row>
    <row r="59" spans="1:14" s="2" customFormat="1" ht="16.5" customHeight="1" thickBot="1">
      <c r="A59" s="7" t="s">
        <v>53</v>
      </c>
      <c r="B59" s="12" t="s">
        <v>4</v>
      </c>
      <c r="C59" s="13">
        <v>1042</v>
      </c>
      <c r="D59" s="13">
        <v>1059</v>
      </c>
      <c r="E59" s="13">
        <v>1128</v>
      </c>
      <c r="F59" s="13">
        <v>1184</v>
      </c>
      <c r="G59" s="13">
        <v>1220</v>
      </c>
      <c r="H59" s="13">
        <v>1392</v>
      </c>
      <c r="I59" s="9">
        <v>1446</v>
      </c>
      <c r="J59" s="11" t="s">
        <v>90</v>
      </c>
      <c r="K59" s="26" t="s">
        <v>13</v>
      </c>
      <c r="L59" s="20">
        <v>1786</v>
      </c>
      <c r="M59" s="21">
        <f>SUM(L59/L62)</f>
        <v>0.22123126470952559</v>
      </c>
      <c r="N59" s="2">
        <v>1</v>
      </c>
    </row>
    <row r="60" spans="1:14" s="2" customFormat="1" ht="16.5" customHeight="1" thickBot="1">
      <c r="A60" s="16" t="s">
        <v>54</v>
      </c>
      <c r="B60" s="22" t="s">
        <v>4</v>
      </c>
      <c r="C60" s="13">
        <v>944</v>
      </c>
      <c r="D60" s="13">
        <v>1013</v>
      </c>
      <c r="E60" s="13">
        <v>1048</v>
      </c>
      <c r="F60" s="13">
        <v>1105</v>
      </c>
      <c r="G60" s="13">
        <v>1290</v>
      </c>
      <c r="H60" s="13">
        <v>1367</v>
      </c>
      <c r="I60" s="13">
        <v>1391</v>
      </c>
      <c r="J60" s="11"/>
      <c r="K60" s="24" t="s">
        <v>12</v>
      </c>
      <c r="L60" s="2">
        <v>376</v>
      </c>
      <c r="M60" s="21">
        <f>SUM(L60/L62)</f>
        <v>4.6575003096742229E-2</v>
      </c>
    </row>
    <row r="61" spans="1:14" s="2" customFormat="1" ht="16.5" customHeight="1" thickBot="1">
      <c r="A61" s="16" t="s">
        <v>55</v>
      </c>
      <c r="B61" s="17" t="s">
        <v>3</v>
      </c>
      <c r="C61" s="13">
        <v>545</v>
      </c>
      <c r="D61" s="13">
        <v>559</v>
      </c>
      <c r="E61" s="13">
        <v>600</v>
      </c>
      <c r="F61" s="13">
        <v>626</v>
      </c>
      <c r="G61" s="13">
        <v>696</v>
      </c>
      <c r="H61" s="13" t="s">
        <v>10</v>
      </c>
      <c r="I61" s="20"/>
      <c r="J61" s="21"/>
      <c r="K61" s="14" t="s">
        <v>14</v>
      </c>
      <c r="L61" s="29">
        <v>205</v>
      </c>
      <c r="M61" s="15">
        <f>SUM(L61/L62)</f>
        <v>2.5393286262851481E-2</v>
      </c>
      <c r="N61" s="18"/>
    </row>
    <row r="62" spans="1:14" s="2" customFormat="1" ht="16.5" customHeight="1" thickBot="1">
      <c r="A62" s="16" t="s">
        <v>56</v>
      </c>
      <c r="B62" s="17" t="s">
        <v>3</v>
      </c>
      <c r="C62" s="13">
        <v>416</v>
      </c>
      <c r="D62" s="13">
        <v>445</v>
      </c>
      <c r="E62" s="13">
        <v>455</v>
      </c>
      <c r="F62" s="13">
        <v>466</v>
      </c>
      <c r="G62" s="13" t="s">
        <v>10</v>
      </c>
      <c r="H62" s="23"/>
      <c r="K62" s="18"/>
      <c r="L62" s="28">
        <v>8073</v>
      </c>
    </row>
    <row r="63" spans="1:14" s="2" customFormat="1" ht="16.5" customHeight="1" thickBot="1">
      <c r="A63" s="16" t="s">
        <v>57</v>
      </c>
      <c r="B63" s="25" t="s">
        <v>12</v>
      </c>
      <c r="C63" s="10">
        <v>376</v>
      </c>
      <c r="D63" s="10">
        <v>390</v>
      </c>
      <c r="E63" s="10">
        <v>403</v>
      </c>
      <c r="F63" s="13" t="s">
        <v>10</v>
      </c>
      <c r="I63" s="29"/>
      <c r="J63" s="15"/>
    </row>
    <row r="64" spans="1:14" s="2" customFormat="1" ht="16.5" customHeight="1" thickBot="1">
      <c r="A64" s="16" t="s">
        <v>58</v>
      </c>
      <c r="B64" s="33" t="s">
        <v>11</v>
      </c>
      <c r="C64" s="10">
        <v>205</v>
      </c>
      <c r="D64" s="10">
        <v>217</v>
      </c>
      <c r="E64" s="10" t="s">
        <v>10</v>
      </c>
      <c r="H64" s="14"/>
      <c r="I64"/>
      <c r="J64"/>
      <c r="K64"/>
    </row>
    <row r="66" spans="1:12" s="2" customFormat="1" ht="17.45" customHeight="1">
      <c r="A66" s="1" t="s">
        <v>272</v>
      </c>
    </row>
    <row r="67" spans="1:12" s="2" customFormat="1" ht="10.5" customHeight="1" thickBot="1">
      <c r="A67" s="1"/>
    </row>
    <row r="68" spans="1:12" s="2" customFormat="1" ht="16.5" customHeight="1" thickBot="1">
      <c r="A68" s="4" t="s">
        <v>0</v>
      </c>
      <c r="B68" s="5" t="s">
        <v>1</v>
      </c>
      <c r="C68" s="5" t="s">
        <v>2</v>
      </c>
      <c r="D68" s="5">
        <v>2</v>
      </c>
      <c r="E68" s="5">
        <v>3</v>
      </c>
      <c r="F68" s="5">
        <v>4</v>
      </c>
      <c r="G68" s="5">
        <v>5</v>
      </c>
      <c r="H68" s="6"/>
      <c r="I68" s="14" t="s">
        <v>6</v>
      </c>
      <c r="J68" s="15">
        <f>SUM(7690/12394)</f>
        <v>0.62046151363563018</v>
      </c>
    </row>
    <row r="69" spans="1:12" s="2" customFormat="1" ht="16.5" customHeight="1" thickBot="1">
      <c r="A69" s="7" t="s">
        <v>59</v>
      </c>
      <c r="B69" s="8" t="s">
        <v>3</v>
      </c>
      <c r="C69" s="13">
        <v>1337</v>
      </c>
      <c r="D69" s="13">
        <v>1441</v>
      </c>
      <c r="E69" s="9">
        <v>1662</v>
      </c>
      <c r="F69" s="13"/>
      <c r="G69" s="13"/>
      <c r="H69" s="11" t="s">
        <v>85</v>
      </c>
      <c r="I69" s="18"/>
      <c r="J69" s="14" t="s">
        <v>7</v>
      </c>
      <c r="K69" s="14" t="s">
        <v>8</v>
      </c>
      <c r="L69" s="14" t="s">
        <v>9</v>
      </c>
    </row>
    <row r="70" spans="1:12" s="2" customFormat="1" ht="16.5" customHeight="1" thickBot="1">
      <c r="A70" s="7" t="s">
        <v>60</v>
      </c>
      <c r="B70" s="12" t="s">
        <v>4</v>
      </c>
      <c r="C70" s="13">
        <v>1198</v>
      </c>
      <c r="D70" s="13">
        <v>1277</v>
      </c>
      <c r="E70" s="13">
        <v>1399</v>
      </c>
      <c r="F70" s="13">
        <v>1437</v>
      </c>
      <c r="G70" s="9">
        <v>1711</v>
      </c>
      <c r="H70" s="11" t="s">
        <v>86</v>
      </c>
      <c r="I70" s="19" t="s">
        <v>3</v>
      </c>
      <c r="J70" s="20">
        <f>SUM(C69+C73+C75)</f>
        <v>3023</v>
      </c>
      <c r="K70" s="21">
        <f>SUM(J70/J74)</f>
        <v>0.39833970220055342</v>
      </c>
      <c r="L70" s="18">
        <v>2</v>
      </c>
    </row>
    <row r="71" spans="1:12" s="2" customFormat="1" ht="16.5" customHeight="1" thickBot="1">
      <c r="A71" s="7" t="s">
        <v>61</v>
      </c>
      <c r="B71" s="37" t="s">
        <v>11</v>
      </c>
      <c r="C71" s="13">
        <v>1043</v>
      </c>
      <c r="D71" s="13">
        <v>1138</v>
      </c>
      <c r="E71" s="13">
        <v>1263</v>
      </c>
      <c r="F71" s="13">
        <v>1278</v>
      </c>
      <c r="G71" s="9">
        <v>1520</v>
      </c>
      <c r="H71" s="11" t="s">
        <v>90</v>
      </c>
      <c r="I71" s="23" t="s">
        <v>4</v>
      </c>
      <c r="J71" s="20">
        <f>SUM(C70+C72)</f>
        <v>2214</v>
      </c>
      <c r="K71" s="21">
        <f>SUM(J71/J74)</f>
        <v>0.29173804190275399</v>
      </c>
      <c r="L71" s="18">
        <v>1</v>
      </c>
    </row>
    <row r="72" spans="1:12" s="2" customFormat="1" ht="16.5" customHeight="1" thickBot="1">
      <c r="A72" s="16" t="s">
        <v>62</v>
      </c>
      <c r="B72" s="22" t="s">
        <v>4</v>
      </c>
      <c r="C72" s="13">
        <v>1016</v>
      </c>
      <c r="D72" s="13">
        <v>1023</v>
      </c>
      <c r="E72" s="13">
        <v>1049</v>
      </c>
      <c r="F72" s="13">
        <v>1051</v>
      </c>
      <c r="G72" s="13" t="s">
        <v>10</v>
      </c>
      <c r="H72" s="21"/>
      <c r="I72" s="26" t="s">
        <v>13</v>
      </c>
      <c r="J72" s="20">
        <v>924</v>
      </c>
      <c r="K72" s="21">
        <f>SUM(J72/J74)</f>
        <v>0.12175517195941495</v>
      </c>
    </row>
    <row r="73" spans="1:12" s="2" customFormat="1" ht="16.5" customHeight="1" thickBot="1">
      <c r="A73" s="7" t="s">
        <v>63</v>
      </c>
      <c r="B73" s="8" t="s">
        <v>3</v>
      </c>
      <c r="C73" s="13">
        <v>948</v>
      </c>
      <c r="D73" s="13">
        <v>948</v>
      </c>
      <c r="E73" s="13">
        <v>1066</v>
      </c>
      <c r="F73" s="13">
        <v>1139</v>
      </c>
      <c r="G73" s="9">
        <v>1533</v>
      </c>
      <c r="H73" s="11" t="s">
        <v>87</v>
      </c>
      <c r="I73" s="14" t="s">
        <v>14</v>
      </c>
      <c r="J73" s="29">
        <f>SUM(C71+C76)</f>
        <v>1428</v>
      </c>
      <c r="K73" s="15">
        <f>SUM(J73/J74)</f>
        <v>0.18816708393727763</v>
      </c>
      <c r="L73" s="2">
        <v>1</v>
      </c>
    </row>
    <row r="74" spans="1:12" s="2" customFormat="1" ht="16.5" customHeight="1" thickBot="1">
      <c r="A74" s="16" t="s">
        <v>64</v>
      </c>
      <c r="B74" s="27" t="s">
        <v>13</v>
      </c>
      <c r="C74" s="13">
        <v>924</v>
      </c>
      <c r="D74" s="13">
        <v>980</v>
      </c>
      <c r="E74" s="13">
        <v>1099</v>
      </c>
      <c r="F74" s="13">
        <v>1115</v>
      </c>
      <c r="G74" s="13">
        <v>1191</v>
      </c>
      <c r="H74" s="13"/>
      <c r="I74" s="18"/>
      <c r="J74" s="28">
        <v>7589</v>
      </c>
      <c r="L74" s="18"/>
    </row>
    <row r="75" spans="1:12" s="2" customFormat="1" ht="16.5" customHeight="1" thickBot="1">
      <c r="A75" s="16" t="s">
        <v>65</v>
      </c>
      <c r="B75" s="17" t="s">
        <v>3</v>
      </c>
      <c r="C75" s="13">
        <v>738</v>
      </c>
      <c r="D75" s="13">
        <v>754</v>
      </c>
      <c r="E75" s="13" t="s">
        <v>10</v>
      </c>
      <c r="F75" s="23"/>
      <c r="H75"/>
      <c r="I75"/>
      <c r="J75"/>
    </row>
    <row r="76" spans="1:12" s="2" customFormat="1" ht="16.5" customHeight="1" thickBot="1">
      <c r="A76" s="16" t="s">
        <v>66</v>
      </c>
      <c r="B76" s="33" t="s">
        <v>11</v>
      </c>
      <c r="C76" s="10">
        <v>385</v>
      </c>
      <c r="D76" s="10" t="s">
        <v>10</v>
      </c>
      <c r="G76" s="29"/>
      <c r="H76"/>
      <c r="I76"/>
      <c r="J76"/>
    </row>
    <row r="78" spans="1:12" s="2" customFormat="1" ht="17.45" customHeight="1">
      <c r="A78" s="1" t="s">
        <v>266</v>
      </c>
    </row>
    <row r="79" spans="1:12" s="2" customFormat="1" ht="10.5" customHeight="1" thickBot="1">
      <c r="A79" s="1"/>
    </row>
    <row r="80" spans="1:12" s="2" customFormat="1" ht="16.5" customHeight="1" thickBot="1">
      <c r="A80" s="4" t="s">
        <v>0</v>
      </c>
      <c r="B80" s="5" t="s">
        <v>1</v>
      </c>
      <c r="C80" s="5" t="s">
        <v>2</v>
      </c>
      <c r="D80" s="5">
        <v>2</v>
      </c>
      <c r="E80" s="5">
        <v>3</v>
      </c>
      <c r="F80" s="5">
        <v>4</v>
      </c>
      <c r="G80" s="5">
        <v>5</v>
      </c>
      <c r="H80" s="5">
        <v>6</v>
      </c>
      <c r="I80" s="6"/>
      <c r="J80" s="14" t="s">
        <v>6</v>
      </c>
      <c r="K80" s="15">
        <f>SUM(8440/12422)</f>
        <v>0.67943970375140883</v>
      </c>
    </row>
    <row r="81" spans="1:19" s="2" customFormat="1" ht="16.5" customHeight="1" thickBot="1">
      <c r="A81" s="7" t="s">
        <v>68</v>
      </c>
      <c r="B81" s="8" t="s">
        <v>3</v>
      </c>
      <c r="C81" s="13">
        <v>1444</v>
      </c>
      <c r="D81" s="13">
        <v>1488</v>
      </c>
      <c r="E81" s="13">
        <v>1600</v>
      </c>
      <c r="F81" s="9">
        <v>1816</v>
      </c>
      <c r="G81" s="13"/>
      <c r="H81" s="9"/>
      <c r="I81" s="11" t="s">
        <v>85</v>
      </c>
      <c r="J81" s="18"/>
      <c r="K81" s="14" t="s">
        <v>7</v>
      </c>
      <c r="L81" s="14" t="s">
        <v>8</v>
      </c>
      <c r="M81" s="14" t="s">
        <v>9</v>
      </c>
    </row>
    <row r="82" spans="1:19" s="2" customFormat="1" ht="16.5" customHeight="1" thickBot="1">
      <c r="A82" s="7" t="s">
        <v>69</v>
      </c>
      <c r="B82" s="8" t="s">
        <v>3</v>
      </c>
      <c r="C82" s="13">
        <v>1320</v>
      </c>
      <c r="D82" s="13">
        <v>1349</v>
      </c>
      <c r="E82" s="13">
        <v>1556</v>
      </c>
      <c r="F82" s="9">
        <v>1788</v>
      </c>
      <c r="G82" s="13"/>
      <c r="H82" s="9"/>
      <c r="I82" s="11" t="s">
        <v>86</v>
      </c>
      <c r="J82" s="19" t="s">
        <v>3</v>
      </c>
      <c r="K82" s="20">
        <f>SUM(C81+C82+C85)</f>
        <v>3754</v>
      </c>
      <c r="L82" s="21">
        <f>SUM(K82/K86)</f>
        <v>0.45174488567990373</v>
      </c>
      <c r="M82" s="18">
        <v>2</v>
      </c>
    </row>
    <row r="83" spans="1:19" s="2" customFormat="1" ht="16.5" customHeight="1" thickBot="1">
      <c r="A83" s="7" t="s">
        <v>70</v>
      </c>
      <c r="B83" s="12" t="s">
        <v>4</v>
      </c>
      <c r="C83" s="13">
        <v>1252</v>
      </c>
      <c r="D83" s="13">
        <v>1296</v>
      </c>
      <c r="E83" s="13">
        <v>1493</v>
      </c>
      <c r="F83" s="13">
        <v>1534</v>
      </c>
      <c r="G83" s="13">
        <v>1550</v>
      </c>
      <c r="H83" s="9">
        <v>1570</v>
      </c>
      <c r="I83" s="11" t="s">
        <v>90</v>
      </c>
      <c r="J83" s="23" t="s">
        <v>4</v>
      </c>
      <c r="K83" s="20">
        <f>SUM(C83+C84+C86)</f>
        <v>3344</v>
      </c>
      <c r="L83" s="21">
        <f>SUM(K83/K86)</f>
        <v>0.40240673886883271</v>
      </c>
      <c r="M83" s="18">
        <v>2</v>
      </c>
    </row>
    <row r="84" spans="1:19" s="2" customFormat="1" ht="16.5" customHeight="1" thickBot="1">
      <c r="A84" s="16" t="s">
        <v>71</v>
      </c>
      <c r="B84" s="22" t="s">
        <v>4</v>
      </c>
      <c r="C84" s="13">
        <v>1132</v>
      </c>
      <c r="D84" s="13">
        <v>1186</v>
      </c>
      <c r="E84" s="13">
        <v>1339</v>
      </c>
      <c r="F84" s="13">
        <v>1394</v>
      </c>
      <c r="G84" s="13">
        <v>1424</v>
      </c>
      <c r="H84" s="13">
        <v>1442</v>
      </c>
      <c r="I84" s="11"/>
      <c r="J84" s="38" t="s">
        <v>67</v>
      </c>
      <c r="K84" s="20">
        <v>292</v>
      </c>
      <c r="L84" s="21">
        <f>SUM(K84/K86)</f>
        <v>3.513838748495788E-2</v>
      </c>
    </row>
    <row r="85" spans="1:19" s="2" customFormat="1" ht="16.5" customHeight="1" thickBot="1">
      <c r="A85" s="16" t="s">
        <v>72</v>
      </c>
      <c r="B85" s="17" t="s">
        <v>3</v>
      </c>
      <c r="C85" s="13">
        <v>990</v>
      </c>
      <c r="D85" s="13">
        <v>1005</v>
      </c>
      <c r="E85" s="13">
        <v>1051</v>
      </c>
      <c r="F85" s="13" t="s">
        <v>10</v>
      </c>
      <c r="I85" s="21"/>
      <c r="J85" s="14" t="s">
        <v>14</v>
      </c>
      <c r="K85" s="29">
        <f>SUM(C87+C89)</f>
        <v>922</v>
      </c>
      <c r="L85" s="15">
        <f>SUM(K85/K86)</f>
        <v>0.11095066185318893</v>
      </c>
    </row>
    <row r="86" spans="1:19" s="2" customFormat="1" ht="16.5" customHeight="1" thickBot="1">
      <c r="A86" s="7" t="s">
        <v>73</v>
      </c>
      <c r="B86" s="12" t="s">
        <v>4</v>
      </c>
      <c r="C86" s="13">
        <v>960</v>
      </c>
      <c r="D86" s="13">
        <v>982</v>
      </c>
      <c r="E86" s="13">
        <v>1056</v>
      </c>
      <c r="F86" s="13">
        <v>1498</v>
      </c>
      <c r="G86" s="13">
        <v>1549</v>
      </c>
      <c r="H86" s="9">
        <v>1617</v>
      </c>
      <c r="I86" s="11" t="s">
        <v>87</v>
      </c>
      <c r="J86" s="18"/>
      <c r="K86" s="28">
        <v>8310</v>
      </c>
      <c r="M86" s="18"/>
    </row>
    <row r="87" spans="1:19" s="2" customFormat="1" ht="16.5" customHeight="1" thickBot="1">
      <c r="A87" s="16" t="s">
        <v>74</v>
      </c>
      <c r="B87" s="33" t="s">
        <v>11</v>
      </c>
      <c r="C87" s="13">
        <v>819</v>
      </c>
      <c r="D87" s="13">
        <v>936</v>
      </c>
      <c r="E87" s="13" t="s">
        <v>10</v>
      </c>
      <c r="F87" s="23"/>
      <c r="G87" s="14"/>
      <c r="H87"/>
    </row>
    <row r="88" spans="1:19" s="2" customFormat="1" ht="16.5" customHeight="1" thickBot="1">
      <c r="A88" s="16" t="s">
        <v>75</v>
      </c>
      <c r="B88" s="39" t="s">
        <v>67</v>
      </c>
      <c r="C88" s="10">
        <v>292</v>
      </c>
      <c r="D88" s="10" t="s">
        <v>10</v>
      </c>
      <c r="G88"/>
      <c r="H88"/>
      <c r="I88"/>
      <c r="J88"/>
    </row>
    <row r="89" spans="1:19" s="2" customFormat="1" ht="16.5" customHeight="1" thickBot="1">
      <c r="A89" s="16" t="s">
        <v>76</v>
      </c>
      <c r="B89" s="33" t="s">
        <v>11</v>
      </c>
      <c r="C89" s="10">
        <v>103</v>
      </c>
      <c r="D89" s="10" t="s">
        <v>10</v>
      </c>
      <c r="G89"/>
      <c r="H89"/>
      <c r="I89"/>
      <c r="J89"/>
    </row>
    <row r="91" spans="1:19" s="108" customFormat="1" ht="15" customHeight="1">
      <c r="B91" s="46" t="s">
        <v>259</v>
      </c>
      <c r="C91" s="83" t="s">
        <v>3</v>
      </c>
      <c r="D91" s="84" t="s">
        <v>4</v>
      </c>
      <c r="E91" s="85" t="s">
        <v>12</v>
      </c>
      <c r="F91" s="86" t="s">
        <v>13</v>
      </c>
      <c r="G91" s="113" t="s">
        <v>23</v>
      </c>
      <c r="H91" s="101" t="s">
        <v>67</v>
      </c>
      <c r="I91" s="46" t="s">
        <v>14</v>
      </c>
      <c r="Q91" s="109"/>
      <c r="R91" s="110"/>
      <c r="S91" s="111"/>
    </row>
    <row r="92" spans="1:19" s="108" customFormat="1" ht="15" customHeight="1">
      <c r="A92" s="108" t="s">
        <v>7</v>
      </c>
      <c r="B92" s="112">
        <f>SUM(M9+M24+I38+I49+L62+J74+K86)</f>
        <v>63755</v>
      </c>
      <c r="C92" s="110">
        <f>SUM(M5+M20+I35+I46+L57+J70+K82)</f>
        <v>23617</v>
      </c>
      <c r="D92" s="110">
        <f>SUM(M6+M21+I36+I47+L58+J71+K83)</f>
        <v>27545</v>
      </c>
      <c r="E92" s="110">
        <f>SUM(M22+L60)</f>
        <v>1439</v>
      </c>
      <c r="F92" s="110">
        <f>SUM(L59+J72)</f>
        <v>2710</v>
      </c>
      <c r="G92" s="110">
        <f>SUM(M7)</f>
        <v>881</v>
      </c>
      <c r="H92" s="110">
        <f>SUM(K84)</f>
        <v>292</v>
      </c>
      <c r="I92" s="110">
        <f>SUM(M8+M23+I37+I48+L61+J73+K85)</f>
        <v>7317</v>
      </c>
      <c r="Q92" s="46"/>
      <c r="R92" s="112"/>
      <c r="S92" s="111"/>
    </row>
    <row r="93" spans="1:19" s="108" customFormat="1" ht="15" customHeight="1">
      <c r="A93" s="108" t="s">
        <v>8</v>
      </c>
      <c r="B93" s="107">
        <v>1</v>
      </c>
      <c r="C93" s="111">
        <f t="shared" ref="C93:I93" si="0">SUM(C92/$B$92)</f>
        <v>0.37043369147517841</v>
      </c>
      <c r="D93" s="111">
        <f t="shared" si="0"/>
        <v>0.43204454552584109</v>
      </c>
      <c r="E93" s="111">
        <f t="shared" si="0"/>
        <v>2.2570778762450006E-2</v>
      </c>
      <c r="F93" s="111">
        <f t="shared" si="0"/>
        <v>4.2506470080777979E-2</v>
      </c>
      <c r="G93" s="111">
        <f t="shared" si="0"/>
        <v>1.3818524037330405E-2</v>
      </c>
      <c r="H93" s="111">
        <f t="shared" si="0"/>
        <v>4.5800329385930517E-3</v>
      </c>
      <c r="I93" s="111">
        <f t="shared" si="0"/>
        <v>0.11476746921810053</v>
      </c>
    </row>
    <row r="94" spans="1:19" s="108" customFormat="1" ht="15" customHeight="1">
      <c r="A94" s="108" t="s">
        <v>9</v>
      </c>
      <c r="B94" s="46">
        <v>31</v>
      </c>
      <c r="C94" s="108">
        <v>12</v>
      </c>
      <c r="D94" s="108">
        <v>15</v>
      </c>
      <c r="E94" s="108">
        <v>1</v>
      </c>
      <c r="F94" s="108">
        <v>1</v>
      </c>
      <c r="G94" s="108">
        <v>0</v>
      </c>
      <c r="H94" s="108">
        <v>0</v>
      </c>
      <c r="I94" s="108">
        <v>2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10"/>
  <dimension ref="A1:R87"/>
  <sheetViews>
    <sheetView tabSelected="1" workbookViewId="0">
      <selection activeCell="O1" sqref="O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7109375" customWidth="1"/>
  </cols>
  <sheetData>
    <row r="1" spans="1:14" s="2" customFormat="1" ht="16.5" customHeight="1">
      <c r="A1" s="1" t="s">
        <v>416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4" t="s">
        <v>6</v>
      </c>
      <c r="L3" s="15">
        <f>SUM(12258/19066)</f>
        <v>0.64292457778243994</v>
      </c>
    </row>
    <row r="4" spans="1:14" s="2" customFormat="1" ht="16.5" customHeight="1" thickBot="1">
      <c r="A4" s="7" t="s">
        <v>417</v>
      </c>
      <c r="B4" s="12" t="s">
        <v>4</v>
      </c>
      <c r="C4" s="9">
        <v>1921</v>
      </c>
      <c r="D4" s="13"/>
      <c r="E4" s="9"/>
      <c r="F4" s="13"/>
      <c r="G4" s="13"/>
      <c r="H4" s="13"/>
      <c r="I4" s="9"/>
      <c r="J4" s="11" t="s">
        <v>85</v>
      </c>
      <c r="K4" s="18"/>
      <c r="L4" s="14" t="s">
        <v>7</v>
      </c>
      <c r="M4" s="14" t="s">
        <v>8</v>
      </c>
      <c r="N4" s="14" t="s">
        <v>9</v>
      </c>
    </row>
    <row r="5" spans="1:14" s="2" customFormat="1" ht="16.5" customHeight="1" thickBot="1">
      <c r="A5" s="7" t="s">
        <v>15</v>
      </c>
      <c r="B5" s="8" t="s">
        <v>3</v>
      </c>
      <c r="C5" s="13">
        <v>1619</v>
      </c>
      <c r="D5" s="13">
        <v>1643</v>
      </c>
      <c r="E5" s="13">
        <v>1699</v>
      </c>
      <c r="F5" s="13">
        <v>1700</v>
      </c>
      <c r="G5" s="9">
        <v>2190</v>
      </c>
      <c r="H5" s="9"/>
      <c r="I5" s="9"/>
      <c r="J5" s="11" t="s">
        <v>90</v>
      </c>
      <c r="K5" s="19" t="s">
        <v>3</v>
      </c>
      <c r="L5" s="20">
        <f>SUM(C5+C10+C11)</f>
        <v>3631</v>
      </c>
      <c r="M5" s="21">
        <f>SUM(L5/L9)</f>
        <v>0.29978533685601055</v>
      </c>
      <c r="N5" s="18">
        <v>1</v>
      </c>
    </row>
    <row r="6" spans="1:14" s="2" customFormat="1" ht="16.5" customHeight="1" thickBot="1">
      <c r="A6" s="7" t="s">
        <v>418</v>
      </c>
      <c r="B6" s="12" t="s">
        <v>4</v>
      </c>
      <c r="C6" s="13">
        <v>1521</v>
      </c>
      <c r="D6" s="13">
        <v>1574</v>
      </c>
      <c r="E6" s="13">
        <v>1725</v>
      </c>
      <c r="F6" s="9">
        <v>1732</v>
      </c>
      <c r="G6" s="13"/>
      <c r="H6" s="9"/>
      <c r="I6" s="13"/>
      <c r="J6" s="11" t="s">
        <v>87</v>
      </c>
      <c r="K6" s="23" t="s">
        <v>4</v>
      </c>
      <c r="L6" s="20">
        <f>SUM(C4+C6+C7+C8)</f>
        <v>6364</v>
      </c>
      <c r="M6" s="21">
        <f>SUM(L6/L9)</f>
        <v>0.52542932628797889</v>
      </c>
      <c r="N6" s="18">
        <v>4</v>
      </c>
    </row>
    <row r="7" spans="1:14" s="2" customFormat="1" ht="16.5" customHeight="1" thickBot="1">
      <c r="A7" s="7" t="s">
        <v>17</v>
      </c>
      <c r="B7" s="12" t="s">
        <v>4</v>
      </c>
      <c r="C7" s="13">
        <v>1498</v>
      </c>
      <c r="D7" s="13">
        <v>1518</v>
      </c>
      <c r="E7" s="9">
        <v>1761</v>
      </c>
      <c r="F7" s="13"/>
      <c r="G7" s="13"/>
      <c r="H7" s="9"/>
      <c r="I7" s="13"/>
      <c r="J7" s="11" t="s">
        <v>86</v>
      </c>
      <c r="K7" s="24" t="s">
        <v>12</v>
      </c>
      <c r="L7" s="18">
        <v>725</v>
      </c>
      <c r="M7" s="21">
        <f>SUM(L7/L9)</f>
        <v>5.985799207397622E-2</v>
      </c>
    </row>
    <row r="8" spans="1:14" s="2" customFormat="1" ht="16.5" customHeight="1" thickBot="1">
      <c r="A8" s="7" t="s">
        <v>16</v>
      </c>
      <c r="B8" s="12" t="s">
        <v>4</v>
      </c>
      <c r="C8" s="13">
        <v>1424</v>
      </c>
      <c r="D8" s="13">
        <v>1455</v>
      </c>
      <c r="E8" s="13">
        <v>1538</v>
      </c>
      <c r="F8" s="13">
        <v>1544</v>
      </c>
      <c r="G8" s="13">
        <v>1688</v>
      </c>
      <c r="H8" s="9">
        <v>1778</v>
      </c>
      <c r="I8" s="13"/>
      <c r="J8" s="11" t="s">
        <v>89</v>
      </c>
      <c r="K8" s="14" t="s">
        <v>14</v>
      </c>
      <c r="L8" s="20">
        <f>SUM(C9+C13)</f>
        <v>1392</v>
      </c>
      <c r="M8" s="15">
        <f>SUM(L8/L9)</f>
        <v>0.11492734478203434</v>
      </c>
      <c r="N8" s="18">
        <v>1</v>
      </c>
    </row>
    <row r="9" spans="1:14" s="2" customFormat="1" ht="16.5" customHeight="1" thickBot="1">
      <c r="A9" s="7" t="s">
        <v>160</v>
      </c>
      <c r="B9" s="37" t="s">
        <v>11</v>
      </c>
      <c r="C9" s="13">
        <v>1143</v>
      </c>
      <c r="D9" s="13">
        <v>1162</v>
      </c>
      <c r="E9" s="13">
        <v>1308</v>
      </c>
      <c r="F9" s="13">
        <v>1310</v>
      </c>
      <c r="G9" s="13">
        <v>1481</v>
      </c>
      <c r="H9" s="13">
        <v>1557</v>
      </c>
      <c r="I9" s="9">
        <v>1578</v>
      </c>
      <c r="J9" s="11" t="s">
        <v>88</v>
      </c>
      <c r="L9" s="28">
        <v>12112</v>
      </c>
    </row>
    <row r="10" spans="1:14" s="2" customFormat="1" ht="16.5" customHeight="1" thickBot="1">
      <c r="A10" s="16" t="s">
        <v>420</v>
      </c>
      <c r="B10" s="17" t="s">
        <v>3</v>
      </c>
      <c r="C10" s="13">
        <v>1009</v>
      </c>
      <c r="D10" s="13">
        <v>1012</v>
      </c>
      <c r="E10" s="13">
        <v>1182</v>
      </c>
      <c r="F10" s="13">
        <v>1195</v>
      </c>
      <c r="G10" s="13">
        <v>1344</v>
      </c>
      <c r="H10" s="13">
        <v>1533</v>
      </c>
      <c r="I10" s="13">
        <v>1559</v>
      </c>
      <c r="J10" s="11"/>
    </row>
    <row r="11" spans="1:14" s="2" customFormat="1" ht="16.5" customHeight="1" thickBot="1">
      <c r="A11" s="16" t="s">
        <v>419</v>
      </c>
      <c r="B11" s="17" t="s">
        <v>3</v>
      </c>
      <c r="C11" s="13">
        <v>1003</v>
      </c>
      <c r="D11" s="13">
        <v>1026</v>
      </c>
      <c r="E11" s="13">
        <v>1079</v>
      </c>
      <c r="F11" s="13">
        <v>1080</v>
      </c>
      <c r="G11" s="13" t="s">
        <v>10</v>
      </c>
      <c r="I11" s="29"/>
    </row>
    <row r="12" spans="1:14" s="2" customFormat="1" ht="16.5" customHeight="1" thickBot="1">
      <c r="A12" s="16" t="s">
        <v>421</v>
      </c>
      <c r="B12" s="25" t="s">
        <v>12</v>
      </c>
      <c r="C12" s="13">
        <v>725</v>
      </c>
      <c r="D12" s="13">
        <v>739</v>
      </c>
      <c r="E12" s="13" t="s">
        <v>10</v>
      </c>
      <c r="H12" s="29"/>
      <c r="I12" s="29"/>
    </row>
    <row r="13" spans="1:14" s="2" customFormat="1" ht="16.5" customHeight="1" thickBot="1">
      <c r="A13" s="16" t="s">
        <v>198</v>
      </c>
      <c r="B13" s="33" t="s">
        <v>11</v>
      </c>
      <c r="C13" s="13">
        <v>249</v>
      </c>
      <c r="D13" s="13">
        <v>252</v>
      </c>
      <c r="E13" s="13" t="s">
        <v>10</v>
      </c>
      <c r="H13" s="29"/>
      <c r="I13" s="29"/>
    </row>
    <row r="14" spans="1:14" s="2" customFormat="1" ht="10.5" customHeight="1">
      <c r="A14" s="1"/>
    </row>
    <row r="15" spans="1:14" s="2" customFormat="1" ht="17.45" customHeight="1">
      <c r="A15" s="1" t="s">
        <v>446</v>
      </c>
    </row>
    <row r="16" spans="1:14" s="2" customFormat="1" ht="10.5" customHeight="1" thickBot="1">
      <c r="A16" s="1"/>
    </row>
    <row r="17" spans="1:18" s="2" customFormat="1" ht="16.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>
        <v>5</v>
      </c>
      <c r="H17" s="5">
        <v>6</v>
      </c>
      <c r="I17" s="5">
        <v>7</v>
      </c>
      <c r="J17" s="5">
        <v>8</v>
      </c>
      <c r="K17" s="5">
        <v>9</v>
      </c>
      <c r="L17" s="5">
        <v>10</v>
      </c>
      <c r="M17" s="5">
        <v>11</v>
      </c>
      <c r="N17" s="6"/>
      <c r="O17" s="14" t="s">
        <v>6</v>
      </c>
      <c r="P17" s="15">
        <f>SUM(15011/23279)</f>
        <v>0.64483010438592725</v>
      </c>
    </row>
    <row r="18" spans="1:18" s="2" customFormat="1" ht="16.5" customHeight="1" thickBot="1">
      <c r="A18" s="7" t="s">
        <v>32</v>
      </c>
      <c r="B18" s="37" t="s">
        <v>11</v>
      </c>
      <c r="C18" s="9">
        <v>2330</v>
      </c>
      <c r="D18" s="13"/>
      <c r="E18" s="13"/>
      <c r="F18" s="13"/>
      <c r="G18" s="13"/>
      <c r="H18" s="9"/>
      <c r="I18" s="11"/>
      <c r="J18" s="11"/>
      <c r="K18" s="11"/>
      <c r="L18" s="10"/>
      <c r="M18" s="10"/>
      <c r="N18" s="11" t="s">
        <v>85</v>
      </c>
      <c r="O18" s="18"/>
      <c r="P18" s="14" t="s">
        <v>7</v>
      </c>
      <c r="Q18" s="14" t="s">
        <v>8</v>
      </c>
      <c r="R18" s="14" t="s">
        <v>9</v>
      </c>
    </row>
    <row r="19" spans="1:18" s="2" customFormat="1" ht="16.5" customHeight="1" thickBot="1">
      <c r="A19" s="7" t="s">
        <v>28</v>
      </c>
      <c r="B19" s="12" t="s">
        <v>4</v>
      </c>
      <c r="C19" s="9">
        <v>1927</v>
      </c>
      <c r="D19" s="13"/>
      <c r="E19" s="13"/>
      <c r="F19" s="9"/>
      <c r="G19" s="13"/>
      <c r="H19" s="9"/>
      <c r="I19" s="11"/>
      <c r="J19" s="11"/>
      <c r="K19" s="11"/>
      <c r="L19" s="10"/>
      <c r="M19" s="10"/>
      <c r="N19" s="11" t="s">
        <v>86</v>
      </c>
      <c r="O19" s="19" t="s">
        <v>3</v>
      </c>
      <c r="P19" s="20">
        <f>SUM(C20+C25+C27+C29)</f>
        <v>3873</v>
      </c>
      <c r="Q19" s="21">
        <f>SUM(P19/P24)</f>
        <v>0.26084321120689657</v>
      </c>
      <c r="R19" s="18">
        <v>2</v>
      </c>
    </row>
    <row r="20" spans="1:18" s="2" customFormat="1" ht="16.5" customHeight="1" thickBot="1">
      <c r="A20" s="7" t="s">
        <v>31</v>
      </c>
      <c r="B20" s="8" t="s">
        <v>3</v>
      </c>
      <c r="C20" s="13">
        <v>1753</v>
      </c>
      <c r="D20" s="13">
        <v>1802</v>
      </c>
      <c r="E20" s="13">
        <v>1805</v>
      </c>
      <c r="F20" s="9">
        <v>1890</v>
      </c>
      <c r="G20" s="13"/>
      <c r="H20" s="9"/>
      <c r="I20" s="10"/>
      <c r="J20" s="10"/>
      <c r="K20" s="10"/>
      <c r="L20" s="9"/>
      <c r="M20" s="9"/>
      <c r="N20" s="11" t="s">
        <v>87</v>
      </c>
      <c r="O20" s="23" t="s">
        <v>4</v>
      </c>
      <c r="P20" s="20">
        <f>SUM(C19+C21+C23+C28)</f>
        <v>5398</v>
      </c>
      <c r="Q20" s="21">
        <f>SUM(P20/P24)</f>
        <v>0.36355064655172414</v>
      </c>
      <c r="R20" s="18">
        <v>3</v>
      </c>
    </row>
    <row r="21" spans="1:18" s="2" customFormat="1" ht="16.5" customHeight="1" thickBot="1">
      <c r="A21" s="7" t="s">
        <v>27</v>
      </c>
      <c r="B21" s="12" t="s">
        <v>4</v>
      </c>
      <c r="C21" s="13">
        <v>1746</v>
      </c>
      <c r="D21" s="13">
        <v>1793</v>
      </c>
      <c r="E21" s="13">
        <v>1810</v>
      </c>
      <c r="F21" s="13">
        <v>1835</v>
      </c>
      <c r="G21" s="13">
        <v>1836</v>
      </c>
      <c r="H21" s="9">
        <v>1988</v>
      </c>
      <c r="I21" s="13"/>
      <c r="J21" s="13"/>
      <c r="K21" s="13"/>
      <c r="L21" s="9"/>
      <c r="M21" s="9"/>
      <c r="N21" s="11" t="s">
        <v>90</v>
      </c>
      <c r="O21" s="24" t="s">
        <v>12</v>
      </c>
      <c r="P21" s="20">
        <v>765</v>
      </c>
      <c r="Q21" s="21">
        <f>SUM(P21/P24)</f>
        <v>5.1522090517241381E-2</v>
      </c>
    </row>
    <row r="22" spans="1:18" s="2" customFormat="1" ht="16.5" customHeight="1" thickBot="1">
      <c r="A22" s="7" t="s">
        <v>162</v>
      </c>
      <c r="B22" s="37" t="s">
        <v>11</v>
      </c>
      <c r="C22" s="13">
        <v>1576</v>
      </c>
      <c r="D22" s="13">
        <v>1667</v>
      </c>
      <c r="E22" s="13">
        <v>1673</v>
      </c>
      <c r="F22" s="13">
        <v>1745</v>
      </c>
      <c r="G22" s="13">
        <v>1747</v>
      </c>
      <c r="H22" s="13">
        <v>1802</v>
      </c>
      <c r="I22" s="13">
        <v>1812</v>
      </c>
      <c r="J22" s="9">
        <v>2007</v>
      </c>
      <c r="K22" s="9"/>
      <c r="L22" s="13"/>
      <c r="M22" s="13"/>
      <c r="N22" s="11" t="s">
        <v>89</v>
      </c>
      <c r="O22" s="26" t="s">
        <v>13</v>
      </c>
      <c r="P22" s="20">
        <v>902</v>
      </c>
      <c r="Q22" s="21">
        <f>SUM(P22/P24)</f>
        <v>6.0748922413793101E-2</v>
      </c>
    </row>
    <row r="23" spans="1:18" s="2" customFormat="1" ht="16.5" customHeight="1" thickBot="1">
      <c r="A23" s="7" t="s">
        <v>447</v>
      </c>
      <c r="B23" s="12" t="s">
        <v>4</v>
      </c>
      <c r="C23" s="13">
        <v>1080</v>
      </c>
      <c r="D23" s="13">
        <v>1135</v>
      </c>
      <c r="E23" s="13">
        <v>1159</v>
      </c>
      <c r="F23" s="13">
        <v>1210</v>
      </c>
      <c r="G23" s="13">
        <v>1213</v>
      </c>
      <c r="H23" s="13">
        <v>1460</v>
      </c>
      <c r="I23" s="13">
        <v>1543</v>
      </c>
      <c r="J23" s="13">
        <v>1785</v>
      </c>
      <c r="K23" s="13">
        <v>1840</v>
      </c>
      <c r="L23" s="9">
        <v>2023</v>
      </c>
      <c r="M23" s="13"/>
      <c r="N23" s="11" t="s">
        <v>88</v>
      </c>
      <c r="O23" s="14" t="s">
        <v>14</v>
      </c>
      <c r="P23" s="29">
        <f>SUM(C22+C18)</f>
        <v>3906</v>
      </c>
      <c r="Q23" s="15">
        <f>SUM(P23/P24)</f>
        <v>0.26306573275862066</v>
      </c>
      <c r="R23" s="18">
        <v>2</v>
      </c>
    </row>
    <row r="24" spans="1:18" s="2" customFormat="1" ht="16.5" customHeight="1" thickBot="1">
      <c r="A24" s="16" t="s">
        <v>452</v>
      </c>
      <c r="B24" s="27" t="s">
        <v>13</v>
      </c>
      <c r="C24" s="10">
        <v>902</v>
      </c>
      <c r="D24" s="13">
        <v>958</v>
      </c>
      <c r="E24" s="13">
        <v>961</v>
      </c>
      <c r="F24" s="13">
        <v>998</v>
      </c>
      <c r="G24" s="13">
        <v>1002</v>
      </c>
      <c r="H24" s="13">
        <v>1050</v>
      </c>
      <c r="I24" s="13">
        <v>1053</v>
      </c>
      <c r="J24" s="13">
        <v>1219</v>
      </c>
      <c r="K24" s="13">
        <v>1255</v>
      </c>
      <c r="L24" s="13">
        <v>1383</v>
      </c>
      <c r="M24" s="13">
        <v>1426</v>
      </c>
      <c r="N24" s="11"/>
      <c r="P24" s="28">
        <v>14848</v>
      </c>
    </row>
    <row r="25" spans="1:18" s="2" customFormat="1" ht="16.5" customHeight="1" thickBot="1">
      <c r="A25" s="7" t="s">
        <v>448</v>
      </c>
      <c r="B25" s="8" t="s">
        <v>3</v>
      </c>
      <c r="C25" s="13">
        <v>799</v>
      </c>
      <c r="D25" s="10">
        <v>836</v>
      </c>
      <c r="E25" s="10">
        <v>839</v>
      </c>
      <c r="F25" s="13">
        <v>921</v>
      </c>
      <c r="G25" s="13">
        <v>931</v>
      </c>
      <c r="H25" s="13">
        <v>998</v>
      </c>
      <c r="I25" s="13">
        <v>1006</v>
      </c>
      <c r="J25" s="13">
        <v>1078</v>
      </c>
      <c r="K25" s="13">
        <v>1099</v>
      </c>
      <c r="L25" s="13">
        <v>1526</v>
      </c>
      <c r="M25" s="9">
        <v>1570</v>
      </c>
      <c r="N25" s="11" t="s">
        <v>111</v>
      </c>
    </row>
    <row r="26" spans="1:18" s="2" customFormat="1" ht="16.5" customHeight="1" thickBot="1">
      <c r="A26" s="16" t="s">
        <v>449</v>
      </c>
      <c r="B26" s="25" t="s">
        <v>12</v>
      </c>
      <c r="C26" s="10">
        <v>753</v>
      </c>
      <c r="D26" s="10">
        <v>806</v>
      </c>
      <c r="E26" s="10">
        <v>809</v>
      </c>
      <c r="F26" s="10">
        <v>857</v>
      </c>
      <c r="G26" s="13">
        <v>858</v>
      </c>
      <c r="H26" s="13">
        <v>923</v>
      </c>
      <c r="I26" s="13">
        <v>942</v>
      </c>
      <c r="J26" s="13" t="s">
        <v>10</v>
      </c>
    </row>
    <row r="27" spans="1:18" s="2" customFormat="1" ht="16.5" customHeight="1" thickBot="1">
      <c r="A27" s="16" t="s">
        <v>451</v>
      </c>
      <c r="B27" s="17" t="s">
        <v>3</v>
      </c>
      <c r="C27" s="10">
        <v>733</v>
      </c>
      <c r="D27" s="10">
        <v>761</v>
      </c>
      <c r="E27" s="10">
        <v>763</v>
      </c>
      <c r="F27" s="10">
        <v>902</v>
      </c>
      <c r="G27" s="13">
        <v>914</v>
      </c>
      <c r="H27" s="13">
        <v>952</v>
      </c>
      <c r="I27" s="13">
        <v>955</v>
      </c>
      <c r="J27" s="13">
        <v>1018</v>
      </c>
      <c r="K27" s="13">
        <v>1032</v>
      </c>
      <c r="L27" s="13" t="s">
        <v>10</v>
      </c>
    </row>
    <row r="28" spans="1:18" s="2" customFormat="1" ht="16.5" customHeight="1" thickBot="1">
      <c r="A28" s="16" t="s">
        <v>450</v>
      </c>
      <c r="B28" s="22" t="s">
        <v>4</v>
      </c>
      <c r="C28" s="10">
        <v>645</v>
      </c>
      <c r="D28" s="10">
        <v>685</v>
      </c>
      <c r="E28" s="10">
        <v>695</v>
      </c>
      <c r="F28" s="10">
        <v>724</v>
      </c>
      <c r="G28" s="13">
        <v>726</v>
      </c>
      <c r="H28" s="13" t="s">
        <v>10</v>
      </c>
    </row>
    <row r="29" spans="1:18" s="2" customFormat="1" ht="16.5" customHeight="1" thickBot="1">
      <c r="A29" s="16" t="s">
        <v>36</v>
      </c>
      <c r="B29" s="17" t="s">
        <v>3</v>
      </c>
      <c r="C29" s="10">
        <v>588</v>
      </c>
      <c r="D29" s="10">
        <v>607</v>
      </c>
      <c r="E29" s="10">
        <v>608</v>
      </c>
      <c r="F29" s="10" t="s">
        <v>10</v>
      </c>
      <c r="M29" s="21"/>
    </row>
    <row r="30" spans="1:18" s="2" customFormat="1" ht="11.25" customHeight="1">
      <c r="A30" s="35"/>
      <c r="B30" s="36"/>
      <c r="C30" s="35"/>
      <c r="D30" s="35"/>
      <c r="E30" s="35"/>
      <c r="M30" s="21"/>
    </row>
    <row r="31" spans="1:18" s="2" customFormat="1" ht="17.45" customHeight="1">
      <c r="A31" s="1" t="s">
        <v>445</v>
      </c>
    </row>
    <row r="32" spans="1:18" s="2" customFormat="1" ht="8.25" customHeight="1" thickBot="1">
      <c r="A32" s="1"/>
    </row>
    <row r="33" spans="1:13" s="2" customFormat="1" ht="17.45" customHeight="1" thickBot="1">
      <c r="A33" s="4" t="s">
        <v>0</v>
      </c>
      <c r="B33" s="5" t="s">
        <v>1</v>
      </c>
      <c r="C33" s="5" t="s">
        <v>2</v>
      </c>
      <c r="D33" s="5">
        <v>2</v>
      </c>
      <c r="E33" s="5">
        <v>3</v>
      </c>
      <c r="F33" s="5">
        <v>4</v>
      </c>
      <c r="G33" s="5">
        <v>5</v>
      </c>
      <c r="H33" s="5"/>
      <c r="I33" s="14" t="s">
        <v>6</v>
      </c>
      <c r="J33" s="15">
        <f>SUM(14949/21780)</f>
        <v>0.6863636363636364</v>
      </c>
    </row>
    <row r="34" spans="1:13" s="2" customFormat="1" ht="17.45" customHeight="1" thickBot="1">
      <c r="A34" s="7" t="s">
        <v>433</v>
      </c>
      <c r="B34" s="12" t="s">
        <v>4</v>
      </c>
      <c r="C34" s="9">
        <v>2760</v>
      </c>
      <c r="D34" s="13"/>
      <c r="E34" s="9"/>
      <c r="F34" s="13"/>
      <c r="G34" s="13"/>
      <c r="H34" s="11" t="s">
        <v>85</v>
      </c>
      <c r="I34" s="18"/>
      <c r="J34" s="14" t="s">
        <v>7</v>
      </c>
      <c r="K34" s="14" t="s">
        <v>8</v>
      </c>
      <c r="L34" s="14" t="s">
        <v>9</v>
      </c>
    </row>
    <row r="35" spans="1:13" s="2" customFormat="1" ht="17.45" customHeight="1" thickBot="1">
      <c r="A35" s="7" t="s">
        <v>44</v>
      </c>
      <c r="B35" s="12" t="s">
        <v>4</v>
      </c>
      <c r="C35" s="13">
        <v>1981</v>
      </c>
      <c r="D35" s="13">
        <v>2010</v>
      </c>
      <c r="E35" s="13">
        <v>2030</v>
      </c>
      <c r="F35" s="9">
        <v>2141</v>
      </c>
      <c r="G35" s="9"/>
      <c r="H35" s="11" t="s">
        <v>87</v>
      </c>
      <c r="I35" s="19" t="s">
        <v>3</v>
      </c>
      <c r="J35" s="20">
        <f>SUM(C39+C40+C42+C43)</f>
        <v>4237</v>
      </c>
      <c r="K35" s="21">
        <f>SUM(J35/J38)</f>
        <v>0.28657423063916132</v>
      </c>
      <c r="L35" s="18">
        <v>1</v>
      </c>
    </row>
    <row r="36" spans="1:13" s="2" customFormat="1" ht="17.45" customHeight="1" thickBot="1">
      <c r="A36" s="7" t="s">
        <v>102</v>
      </c>
      <c r="B36" s="37" t="s">
        <v>11</v>
      </c>
      <c r="C36" s="13">
        <v>1817</v>
      </c>
      <c r="D36" s="13">
        <v>1863</v>
      </c>
      <c r="E36" s="13">
        <v>2028</v>
      </c>
      <c r="F36" s="9">
        <v>2219</v>
      </c>
      <c r="G36" s="9"/>
      <c r="H36" s="11" t="s">
        <v>86</v>
      </c>
      <c r="I36" s="23" t="s">
        <v>4</v>
      </c>
      <c r="J36" s="20">
        <f>SUM(C34+C35+C37+C38)</f>
        <v>7636</v>
      </c>
      <c r="K36" s="21">
        <f>SUM(J36/J38)</f>
        <v>0.51646939465674668</v>
      </c>
      <c r="L36" s="18">
        <v>4</v>
      </c>
    </row>
    <row r="37" spans="1:13" s="2" customFormat="1" ht="17.45" customHeight="1" thickBot="1">
      <c r="A37" s="7" t="s">
        <v>434</v>
      </c>
      <c r="B37" s="12" t="s">
        <v>4</v>
      </c>
      <c r="C37" s="13">
        <v>1499</v>
      </c>
      <c r="D37" s="13">
        <v>1590</v>
      </c>
      <c r="E37" s="13">
        <v>1718</v>
      </c>
      <c r="F37" s="13">
        <v>1911</v>
      </c>
      <c r="G37" s="9">
        <v>2021</v>
      </c>
      <c r="H37" s="11" t="s">
        <v>89</v>
      </c>
      <c r="I37" s="14" t="s">
        <v>14</v>
      </c>
      <c r="J37" s="29">
        <f>SUM(C36+C41)</f>
        <v>2912</v>
      </c>
      <c r="K37" s="15">
        <f>SUM(J37/J38)</f>
        <v>0.196956374704092</v>
      </c>
      <c r="L37" s="2">
        <v>1</v>
      </c>
    </row>
    <row r="38" spans="1:13" s="2" customFormat="1" ht="17.45" customHeight="1" thickBot="1">
      <c r="A38" s="7" t="s">
        <v>436</v>
      </c>
      <c r="B38" s="12" t="s">
        <v>4</v>
      </c>
      <c r="C38" s="13">
        <v>1396</v>
      </c>
      <c r="D38" s="13">
        <v>1573</v>
      </c>
      <c r="E38" s="13">
        <v>1584</v>
      </c>
      <c r="F38" s="13">
        <v>1609</v>
      </c>
      <c r="G38" s="9">
        <v>1999</v>
      </c>
      <c r="H38" s="11" t="s">
        <v>88</v>
      </c>
      <c r="J38" s="28">
        <v>14785</v>
      </c>
    </row>
    <row r="39" spans="1:13" s="2" customFormat="1" ht="17.45" customHeight="1" thickBot="1">
      <c r="A39" s="7" t="s">
        <v>38</v>
      </c>
      <c r="B39" s="8" t="s">
        <v>3</v>
      </c>
      <c r="C39" s="13">
        <v>1375</v>
      </c>
      <c r="D39" s="13">
        <v>1474</v>
      </c>
      <c r="E39" s="13">
        <v>1515</v>
      </c>
      <c r="F39" s="13">
        <v>1648</v>
      </c>
      <c r="G39" s="9">
        <v>2180</v>
      </c>
      <c r="H39" s="11" t="s">
        <v>90</v>
      </c>
    </row>
    <row r="40" spans="1:13" s="2" customFormat="1" ht="17.45" customHeight="1" thickBot="1">
      <c r="A40" s="16" t="s">
        <v>47</v>
      </c>
      <c r="B40" s="17" t="s">
        <v>3</v>
      </c>
      <c r="C40" s="13">
        <v>1265</v>
      </c>
      <c r="D40" s="13">
        <v>1274</v>
      </c>
      <c r="E40" s="13">
        <v>1373</v>
      </c>
      <c r="F40" s="13">
        <v>1734</v>
      </c>
      <c r="G40" s="13">
        <v>1766</v>
      </c>
      <c r="H40" s="10"/>
      <c r="K40" s="14"/>
      <c r="M40" s="15"/>
    </row>
    <row r="41" spans="1:13" s="2" customFormat="1" ht="17.45" customHeight="1" thickBot="1">
      <c r="A41" s="16" t="s">
        <v>435</v>
      </c>
      <c r="B41" s="33" t="s">
        <v>11</v>
      </c>
      <c r="C41" s="13">
        <v>1095</v>
      </c>
      <c r="D41" s="13">
        <v>1247</v>
      </c>
      <c r="E41" s="13">
        <v>1265</v>
      </c>
      <c r="F41" s="13">
        <v>1294</v>
      </c>
      <c r="G41" s="13" t="s">
        <v>10</v>
      </c>
      <c r="L41" s="28"/>
    </row>
    <row r="42" spans="1:13" s="2" customFormat="1" ht="17.45" customHeight="1" thickBot="1">
      <c r="A42" s="16" t="s">
        <v>46</v>
      </c>
      <c r="B42" s="17" t="s">
        <v>3</v>
      </c>
      <c r="C42" s="13">
        <v>925</v>
      </c>
      <c r="D42" s="13">
        <v>950</v>
      </c>
      <c r="E42" s="13">
        <v>1107</v>
      </c>
      <c r="F42" s="13" t="s">
        <v>10</v>
      </c>
      <c r="G42" s="29"/>
      <c r="J42" s="14"/>
      <c r="L42" s="15"/>
    </row>
    <row r="43" spans="1:13" s="2" customFormat="1" ht="17.45" customHeight="1" thickBot="1">
      <c r="A43" s="16" t="s">
        <v>437</v>
      </c>
      <c r="B43" s="17" t="s">
        <v>3</v>
      </c>
      <c r="C43" s="13">
        <v>672</v>
      </c>
      <c r="D43" s="13">
        <v>691</v>
      </c>
      <c r="E43" s="13" t="s">
        <v>10</v>
      </c>
      <c r="F43" s="29"/>
      <c r="G43" s="29"/>
      <c r="J43" s="14"/>
      <c r="L43" s="15"/>
    </row>
    <row r="45" spans="1:13" s="2" customFormat="1" ht="17.45" customHeight="1">
      <c r="A45" s="1" t="s">
        <v>432</v>
      </c>
    </row>
    <row r="46" spans="1:13" s="2" customFormat="1" ht="10.5" customHeight="1" thickBot="1">
      <c r="A46" s="1"/>
    </row>
    <row r="47" spans="1:13" s="2" customFormat="1" ht="16.5" customHeight="1" thickBot="1">
      <c r="A47" s="4" t="s">
        <v>0</v>
      </c>
      <c r="B47" s="5" t="s">
        <v>1</v>
      </c>
      <c r="C47" s="5" t="s">
        <v>2</v>
      </c>
      <c r="D47" s="5">
        <v>2</v>
      </c>
      <c r="E47" s="5">
        <v>3</v>
      </c>
      <c r="F47" s="5">
        <v>4</v>
      </c>
      <c r="G47" s="6"/>
      <c r="H47" s="14" t="s">
        <v>6</v>
      </c>
      <c r="I47" s="15">
        <f>SUM(9147/13732)</f>
        <v>0.66610836003495488</v>
      </c>
    </row>
    <row r="48" spans="1:13" s="2" customFormat="1" ht="16.5" customHeight="1" thickBot="1">
      <c r="A48" s="7" t="s">
        <v>5</v>
      </c>
      <c r="B48" s="31" t="s">
        <v>13</v>
      </c>
      <c r="C48" s="9">
        <v>2218</v>
      </c>
      <c r="D48" s="13"/>
      <c r="E48" s="13"/>
      <c r="F48" s="13"/>
      <c r="G48" s="11" t="s">
        <v>85</v>
      </c>
      <c r="H48" s="18"/>
      <c r="I48" s="14" t="s">
        <v>7</v>
      </c>
      <c r="J48" s="14" t="s">
        <v>8</v>
      </c>
      <c r="K48" s="14" t="s">
        <v>9</v>
      </c>
    </row>
    <row r="49" spans="1:13" s="2" customFormat="1" ht="16.5" customHeight="1" thickBot="1">
      <c r="A49" s="7" t="s">
        <v>52</v>
      </c>
      <c r="B49" s="8" t="s">
        <v>3</v>
      </c>
      <c r="C49" s="13">
        <v>1438</v>
      </c>
      <c r="D49" s="13">
        <v>1461</v>
      </c>
      <c r="E49" s="13">
        <v>1526</v>
      </c>
      <c r="F49" s="9">
        <v>1771</v>
      </c>
      <c r="G49" s="11" t="s">
        <v>87</v>
      </c>
      <c r="H49" s="19" t="s">
        <v>3</v>
      </c>
      <c r="I49" s="20">
        <f>SUM(C49+C53+C52)</f>
        <v>3528</v>
      </c>
      <c r="J49" s="21">
        <f>SUM(I49/I53)</f>
        <v>0.39121756487025949</v>
      </c>
      <c r="K49" s="18">
        <v>1</v>
      </c>
    </row>
    <row r="50" spans="1:13" s="2" customFormat="1" ht="16.5" customHeight="1" thickBot="1">
      <c r="A50" s="7" t="s">
        <v>427</v>
      </c>
      <c r="B50" s="12" t="s">
        <v>4</v>
      </c>
      <c r="C50" s="13">
        <v>1272</v>
      </c>
      <c r="D50" s="13">
        <v>1311</v>
      </c>
      <c r="E50" s="13">
        <v>1582</v>
      </c>
      <c r="F50" s="9">
        <v>1847</v>
      </c>
      <c r="G50" s="11" t="s">
        <v>86</v>
      </c>
      <c r="H50" s="23" t="s">
        <v>4</v>
      </c>
      <c r="I50" s="20">
        <f>SUM(C50+C51+C54)</f>
        <v>2899</v>
      </c>
      <c r="J50" s="21">
        <f>SUM(I50/I53)</f>
        <v>0.32146817476158795</v>
      </c>
      <c r="K50" s="18">
        <v>2</v>
      </c>
    </row>
    <row r="51" spans="1:13" s="2" customFormat="1" ht="16.5" customHeight="1" thickBot="1">
      <c r="A51" s="7" t="s">
        <v>53</v>
      </c>
      <c r="B51" s="12" t="s">
        <v>4</v>
      </c>
      <c r="C51" s="13">
        <v>1159</v>
      </c>
      <c r="D51" s="13">
        <v>1209</v>
      </c>
      <c r="E51" s="13">
        <v>1436</v>
      </c>
      <c r="F51" s="9">
        <v>1563</v>
      </c>
      <c r="G51" s="11" t="s">
        <v>90</v>
      </c>
      <c r="H51" s="26" t="s">
        <v>13</v>
      </c>
      <c r="I51" s="20">
        <v>2218</v>
      </c>
      <c r="J51" s="21">
        <f>SUM(I51/I53)</f>
        <v>0.24595253936571301</v>
      </c>
      <c r="K51" s="2">
        <v>1</v>
      </c>
    </row>
    <row r="52" spans="1:13" s="2" customFormat="1" ht="16.5" customHeight="1" thickBot="1">
      <c r="A52" s="16" t="s">
        <v>429</v>
      </c>
      <c r="B52" s="17" t="s">
        <v>3</v>
      </c>
      <c r="C52" s="13">
        <v>1152</v>
      </c>
      <c r="D52" s="13">
        <v>1220</v>
      </c>
      <c r="E52" s="13">
        <v>1285</v>
      </c>
      <c r="F52" s="13">
        <v>1508</v>
      </c>
      <c r="G52" s="11"/>
      <c r="H52" s="14" t="s">
        <v>14</v>
      </c>
      <c r="I52" s="29">
        <f>SUM(C55:C56)</f>
        <v>373</v>
      </c>
      <c r="J52" s="15">
        <f>SUM(I52/I53)</f>
        <v>4.1361721002439567E-2</v>
      </c>
      <c r="K52" s="18"/>
    </row>
    <row r="53" spans="1:13" s="2" customFormat="1" ht="16.5" customHeight="1" thickBot="1">
      <c r="A53" s="16" t="s">
        <v>428</v>
      </c>
      <c r="B53" s="17" t="s">
        <v>3</v>
      </c>
      <c r="C53" s="13">
        <v>938</v>
      </c>
      <c r="D53" s="13">
        <v>1038</v>
      </c>
      <c r="E53" s="13">
        <v>1173</v>
      </c>
      <c r="F53" s="13" t="s">
        <v>10</v>
      </c>
      <c r="G53" s="21"/>
      <c r="H53" s="18"/>
      <c r="I53" s="28">
        <v>9018</v>
      </c>
    </row>
    <row r="54" spans="1:13" s="2" customFormat="1" ht="16.5" customHeight="1" thickBot="1">
      <c r="A54" s="16" t="s">
        <v>240</v>
      </c>
      <c r="B54" s="22" t="s">
        <v>4</v>
      </c>
      <c r="C54" s="13">
        <v>468</v>
      </c>
      <c r="D54" s="13">
        <v>544</v>
      </c>
      <c r="E54" s="13" t="s">
        <v>10</v>
      </c>
    </row>
    <row r="55" spans="1:13" s="2" customFormat="1" ht="16.5" customHeight="1" thickBot="1">
      <c r="A55" s="16" t="s">
        <v>430</v>
      </c>
      <c r="B55" s="33" t="s">
        <v>11</v>
      </c>
      <c r="C55" s="10">
        <v>198</v>
      </c>
      <c r="D55" s="10">
        <v>221</v>
      </c>
      <c r="E55" s="10" t="s">
        <v>10</v>
      </c>
      <c r="I55" s="29"/>
      <c r="J55" s="15"/>
    </row>
    <row r="56" spans="1:13" s="2" customFormat="1" ht="16.5" customHeight="1" thickBot="1">
      <c r="A56" s="16" t="s">
        <v>431</v>
      </c>
      <c r="B56" s="33" t="s">
        <v>11</v>
      </c>
      <c r="C56" s="10">
        <v>175</v>
      </c>
      <c r="D56" s="10">
        <v>210</v>
      </c>
      <c r="E56" s="10" t="s">
        <v>10</v>
      </c>
      <c r="H56" s="14"/>
      <c r="I56"/>
      <c r="J56"/>
      <c r="K56"/>
    </row>
    <row r="58" spans="1:13" s="2" customFormat="1" ht="17.45" customHeight="1">
      <c r="A58" s="1" t="s">
        <v>426</v>
      </c>
    </row>
    <row r="59" spans="1:13" s="2" customFormat="1" ht="10.5" customHeight="1" thickBot="1">
      <c r="A59" s="1"/>
    </row>
    <row r="60" spans="1:13" s="2" customFormat="1" ht="16.5" customHeight="1" thickBot="1">
      <c r="A60" s="4" t="s">
        <v>0</v>
      </c>
      <c r="B60" s="5" t="s">
        <v>1</v>
      </c>
      <c r="C60" s="5" t="s">
        <v>2</v>
      </c>
      <c r="D60" s="5">
        <v>2</v>
      </c>
      <c r="E60" s="5">
        <v>3</v>
      </c>
      <c r="F60" s="5">
        <v>4</v>
      </c>
      <c r="G60" s="5">
        <v>5</v>
      </c>
      <c r="H60" s="5">
        <v>6</v>
      </c>
      <c r="I60" s="6"/>
      <c r="J60" s="14" t="s">
        <v>6</v>
      </c>
      <c r="K60" s="15">
        <f>SUM(9177/13694)</f>
        <v>0.67014750985833216</v>
      </c>
    </row>
    <row r="61" spans="1:13" s="2" customFormat="1" ht="16.5" customHeight="1" thickBot="1">
      <c r="A61" s="7" t="s">
        <v>422</v>
      </c>
      <c r="B61" s="8" t="s">
        <v>3</v>
      </c>
      <c r="C61" s="13">
        <v>1503</v>
      </c>
      <c r="D61" s="13">
        <v>1575</v>
      </c>
      <c r="E61" s="9">
        <v>1889</v>
      </c>
      <c r="F61" s="13"/>
      <c r="G61" s="13"/>
      <c r="H61" s="13"/>
      <c r="I61" s="11" t="s">
        <v>85</v>
      </c>
      <c r="J61" s="18"/>
      <c r="K61" s="14" t="s">
        <v>7</v>
      </c>
      <c r="L61" s="14" t="s">
        <v>8</v>
      </c>
      <c r="M61" s="14" t="s">
        <v>9</v>
      </c>
    </row>
    <row r="62" spans="1:13" s="2" customFormat="1" ht="16.5" customHeight="1" thickBot="1">
      <c r="A62" s="7" t="s">
        <v>423</v>
      </c>
      <c r="B62" s="37" t="s">
        <v>11</v>
      </c>
      <c r="C62" s="13">
        <v>1412</v>
      </c>
      <c r="D62" s="13">
        <v>1493</v>
      </c>
      <c r="E62" s="13">
        <v>1668</v>
      </c>
      <c r="F62" s="13">
        <v>1711</v>
      </c>
      <c r="G62" s="9">
        <v>1847</v>
      </c>
      <c r="H62" s="9"/>
      <c r="I62" s="11" t="s">
        <v>87</v>
      </c>
      <c r="J62" s="19" t="s">
        <v>3</v>
      </c>
      <c r="K62" s="20">
        <f>SUM(C61+C65)</f>
        <v>2633</v>
      </c>
      <c r="L62" s="21">
        <f>SUM(K62/K66)</f>
        <v>0.29074646643109542</v>
      </c>
      <c r="M62" s="18">
        <v>1</v>
      </c>
    </row>
    <row r="63" spans="1:13" s="2" customFormat="1" ht="16.5" customHeight="1" thickBot="1">
      <c r="A63" s="7" t="s">
        <v>60</v>
      </c>
      <c r="B63" s="12" t="s">
        <v>4</v>
      </c>
      <c r="C63" s="13">
        <v>1385</v>
      </c>
      <c r="D63" s="13">
        <v>1408</v>
      </c>
      <c r="E63" s="13">
        <v>1638</v>
      </c>
      <c r="F63" s="13">
        <v>1649</v>
      </c>
      <c r="G63" s="9">
        <v>2202</v>
      </c>
      <c r="H63" s="9"/>
      <c r="I63" s="11" t="s">
        <v>86</v>
      </c>
      <c r="J63" s="23" t="s">
        <v>4</v>
      </c>
      <c r="K63" s="20">
        <f>SUM(C63+C66+C67)</f>
        <v>3252</v>
      </c>
      <c r="L63" s="21">
        <f>SUM(K63/K66)</f>
        <v>0.35909893992932862</v>
      </c>
      <c r="M63" s="18">
        <v>1</v>
      </c>
    </row>
    <row r="64" spans="1:13" s="2" customFormat="1" ht="16.5" customHeight="1" thickBot="1">
      <c r="A64" s="7" t="s">
        <v>64</v>
      </c>
      <c r="B64" s="31" t="s">
        <v>13</v>
      </c>
      <c r="C64" s="13">
        <v>1368</v>
      </c>
      <c r="D64" s="13">
        <v>1465</v>
      </c>
      <c r="E64" s="13">
        <v>1519</v>
      </c>
      <c r="F64" s="13">
        <v>1534</v>
      </c>
      <c r="G64" s="13">
        <v>1727</v>
      </c>
      <c r="H64" s="9">
        <v>1852</v>
      </c>
      <c r="I64" s="9" t="s">
        <v>90</v>
      </c>
      <c r="J64" s="26" t="s">
        <v>13</v>
      </c>
      <c r="K64" s="20">
        <v>1368</v>
      </c>
      <c r="L64" s="21">
        <f>SUM(K64/K66)</f>
        <v>0.15106007067137808</v>
      </c>
      <c r="M64" s="2">
        <v>1</v>
      </c>
    </row>
    <row r="65" spans="1:13" s="2" customFormat="1" ht="16.5" customHeight="1" thickBot="1">
      <c r="A65" s="16" t="s">
        <v>59</v>
      </c>
      <c r="B65" s="17" t="s">
        <v>3</v>
      </c>
      <c r="C65" s="13">
        <v>1130</v>
      </c>
      <c r="D65" s="13">
        <v>1164</v>
      </c>
      <c r="E65" s="13">
        <v>1166</v>
      </c>
      <c r="F65" s="13">
        <v>1169</v>
      </c>
      <c r="G65" s="13">
        <v>1307</v>
      </c>
      <c r="H65" s="13">
        <v>1417</v>
      </c>
      <c r="I65" s="11"/>
      <c r="J65" s="14" t="s">
        <v>14</v>
      </c>
      <c r="K65" s="29">
        <f>(C62+C68+C69)</f>
        <v>1803</v>
      </c>
      <c r="L65" s="15">
        <f>SUM(K65/K66)</f>
        <v>0.19909452296819788</v>
      </c>
      <c r="M65" s="2">
        <v>1</v>
      </c>
    </row>
    <row r="66" spans="1:13" s="2" customFormat="1" ht="16.5" customHeight="1" thickBot="1">
      <c r="A66" s="16" t="s">
        <v>213</v>
      </c>
      <c r="B66" s="22" t="s">
        <v>4</v>
      </c>
      <c r="C66" s="13">
        <v>962</v>
      </c>
      <c r="D66" s="13">
        <v>982</v>
      </c>
      <c r="E66" s="13">
        <v>1110</v>
      </c>
      <c r="F66" s="13">
        <v>1115</v>
      </c>
      <c r="G66" s="13" t="s">
        <v>10</v>
      </c>
      <c r="J66" s="18"/>
      <c r="K66" s="28">
        <v>9056</v>
      </c>
      <c r="M66" s="18"/>
    </row>
    <row r="67" spans="1:13" s="2" customFormat="1" ht="16.5" customHeight="1" thickBot="1">
      <c r="A67" s="16" t="s">
        <v>184</v>
      </c>
      <c r="B67" s="22" t="s">
        <v>4</v>
      </c>
      <c r="C67" s="13">
        <v>905</v>
      </c>
      <c r="D67" s="13">
        <v>947</v>
      </c>
      <c r="E67" s="13" t="s">
        <v>10</v>
      </c>
      <c r="F67" s="68"/>
      <c r="G67" s="29"/>
      <c r="H67"/>
      <c r="I67"/>
      <c r="J67"/>
    </row>
    <row r="68" spans="1:13" s="2" customFormat="1" ht="16.5" customHeight="1" thickBot="1">
      <c r="A68" s="16" t="s">
        <v>424</v>
      </c>
      <c r="B68" s="33" t="s">
        <v>11</v>
      </c>
      <c r="C68" s="13">
        <v>215</v>
      </c>
      <c r="D68" s="13" t="s">
        <v>10</v>
      </c>
      <c r="E68" s="29"/>
      <c r="F68" s="29"/>
      <c r="G68" s="29"/>
      <c r="H68"/>
      <c r="I68"/>
      <c r="J68"/>
    </row>
    <row r="69" spans="1:13" s="2" customFormat="1" ht="16.5" customHeight="1" thickBot="1">
      <c r="A69" s="16" t="s">
        <v>425</v>
      </c>
      <c r="B69" s="33" t="s">
        <v>11</v>
      </c>
      <c r="C69" s="13">
        <v>176</v>
      </c>
      <c r="D69" s="13" t="s">
        <v>10</v>
      </c>
      <c r="E69" s="29"/>
      <c r="F69" s="29"/>
      <c r="G69" s="29"/>
      <c r="H69"/>
      <c r="I69"/>
      <c r="J69"/>
    </row>
    <row r="71" spans="1:13" s="2" customFormat="1" ht="17.45" customHeight="1">
      <c r="A71" s="1" t="s">
        <v>438</v>
      </c>
    </row>
    <row r="72" spans="1:13" s="2" customFormat="1" ht="10.5" customHeight="1" thickBot="1">
      <c r="A72" s="1"/>
    </row>
    <row r="73" spans="1:13" s="2" customFormat="1" ht="16.5" customHeight="1" thickBot="1">
      <c r="A73" s="4" t="s">
        <v>0</v>
      </c>
      <c r="B73" s="5" t="s">
        <v>1</v>
      </c>
      <c r="C73" s="5" t="s">
        <v>2</v>
      </c>
      <c r="D73" s="5">
        <v>2</v>
      </c>
      <c r="E73" s="5">
        <v>3</v>
      </c>
      <c r="F73" s="5">
        <v>4</v>
      </c>
      <c r="G73" s="5">
        <v>5</v>
      </c>
      <c r="H73" s="5">
        <v>6</v>
      </c>
      <c r="I73" s="6"/>
      <c r="J73" s="14" t="s">
        <v>6</v>
      </c>
      <c r="K73" s="15">
        <f>SUM(8356/12420)</f>
        <v>0.67278582930756847</v>
      </c>
    </row>
    <row r="74" spans="1:13" s="2" customFormat="1" ht="16.5" customHeight="1" thickBot="1">
      <c r="A74" s="7" t="s">
        <v>71</v>
      </c>
      <c r="B74" s="12" t="s">
        <v>4</v>
      </c>
      <c r="C74" s="9">
        <v>1694</v>
      </c>
      <c r="D74" s="13"/>
      <c r="E74" s="13"/>
      <c r="F74" s="9"/>
      <c r="G74" s="13"/>
      <c r="H74" s="9"/>
      <c r="I74" s="11" t="s">
        <v>85</v>
      </c>
      <c r="J74" s="18"/>
      <c r="K74" s="14" t="s">
        <v>7</v>
      </c>
      <c r="L74" s="14" t="s">
        <v>8</v>
      </c>
      <c r="M74" s="14" t="s">
        <v>9</v>
      </c>
    </row>
    <row r="75" spans="1:13" s="2" customFormat="1" ht="16.5" customHeight="1" thickBot="1">
      <c r="A75" s="7" t="s">
        <v>439</v>
      </c>
      <c r="B75" s="12" t="s">
        <v>4</v>
      </c>
      <c r="C75" s="9">
        <v>1685</v>
      </c>
      <c r="D75" s="13"/>
      <c r="E75" s="13"/>
      <c r="F75" s="9"/>
      <c r="G75" s="13"/>
      <c r="H75" s="9"/>
      <c r="I75" s="11" t="s">
        <v>86</v>
      </c>
      <c r="J75" s="19" t="s">
        <v>3</v>
      </c>
      <c r="K75" s="20">
        <f>SUM(C76+C78)</f>
        <v>2283</v>
      </c>
      <c r="L75" s="21">
        <f>SUM(K75/K80)</f>
        <v>0.27622504537205084</v>
      </c>
      <c r="M75" s="18">
        <v>1</v>
      </c>
    </row>
    <row r="76" spans="1:13" s="2" customFormat="1" ht="16.5" customHeight="1" thickBot="1">
      <c r="A76" s="7" t="s">
        <v>68</v>
      </c>
      <c r="B76" s="8" t="s">
        <v>3</v>
      </c>
      <c r="C76" s="13">
        <v>1613</v>
      </c>
      <c r="D76" s="13">
        <v>1620</v>
      </c>
      <c r="E76" s="13">
        <v>1648</v>
      </c>
      <c r="F76" s="9">
        <v>1655</v>
      </c>
      <c r="G76" s="13"/>
      <c r="H76" s="9"/>
      <c r="I76" s="11" t="s">
        <v>87</v>
      </c>
      <c r="J76" s="23" t="s">
        <v>4</v>
      </c>
      <c r="K76" s="20">
        <f>SUM(C74+C75+C77)</f>
        <v>4683</v>
      </c>
      <c r="L76" s="21">
        <f>SUM(K76/K80)</f>
        <v>0.56660617059891105</v>
      </c>
      <c r="M76" s="18">
        <v>3</v>
      </c>
    </row>
    <row r="77" spans="1:13" s="2" customFormat="1" ht="16.5" customHeight="1" thickBot="1">
      <c r="A77" s="7" t="s">
        <v>440</v>
      </c>
      <c r="B77" s="12" t="s">
        <v>4</v>
      </c>
      <c r="C77" s="13">
        <v>1304</v>
      </c>
      <c r="D77" s="13">
        <v>1321</v>
      </c>
      <c r="E77" s="13">
        <v>1367</v>
      </c>
      <c r="F77" s="13">
        <v>1384</v>
      </c>
      <c r="G77" s="13">
        <v>1465</v>
      </c>
      <c r="H77" s="9">
        <v>1830</v>
      </c>
      <c r="I77" s="11" t="s">
        <v>90</v>
      </c>
      <c r="J77" s="24" t="s">
        <v>12</v>
      </c>
      <c r="K77" s="20">
        <v>602</v>
      </c>
      <c r="L77" s="21">
        <f>SUM(K77/K80)</f>
        <v>7.2837265577737453E-2</v>
      </c>
    </row>
    <row r="78" spans="1:13" s="2" customFormat="1" ht="16.5" customHeight="1" thickBot="1">
      <c r="A78" s="16" t="s">
        <v>441</v>
      </c>
      <c r="B78" s="17" t="s">
        <v>3</v>
      </c>
      <c r="C78" s="13">
        <v>670</v>
      </c>
      <c r="D78" s="13">
        <v>672</v>
      </c>
      <c r="E78" s="13">
        <v>683</v>
      </c>
      <c r="F78" s="13">
        <v>685</v>
      </c>
      <c r="G78" s="13">
        <v>744</v>
      </c>
      <c r="H78" s="13" t="s">
        <v>10</v>
      </c>
      <c r="I78" s="21"/>
      <c r="J78" s="26" t="s">
        <v>13</v>
      </c>
      <c r="K78" s="20">
        <v>418</v>
      </c>
      <c r="L78" s="21">
        <f>SUM(K78/K80)</f>
        <v>5.057471264367816E-2</v>
      </c>
    </row>
    <row r="79" spans="1:13" s="2" customFormat="1" ht="16.5" customHeight="1" thickBot="1">
      <c r="A79" s="16" t="s">
        <v>442</v>
      </c>
      <c r="B79" s="25" t="s">
        <v>12</v>
      </c>
      <c r="C79" s="13">
        <v>602</v>
      </c>
      <c r="D79" s="13">
        <v>611</v>
      </c>
      <c r="E79" s="13">
        <v>712</v>
      </c>
      <c r="F79" s="13">
        <v>715</v>
      </c>
      <c r="G79" s="13">
        <v>912</v>
      </c>
      <c r="H79" s="13">
        <v>976</v>
      </c>
      <c r="I79" s="11"/>
      <c r="J79" s="14" t="s">
        <v>14</v>
      </c>
      <c r="K79" s="29">
        <f>SUM(C81+C82)</f>
        <v>279</v>
      </c>
      <c r="L79" s="15">
        <f>SUM(K79/K80)</f>
        <v>3.3756805807622504E-2</v>
      </c>
    </row>
    <row r="80" spans="1:13" s="2" customFormat="1" ht="16.5" customHeight="1" thickBot="1">
      <c r="A80" s="16" t="s">
        <v>443</v>
      </c>
      <c r="B80" s="27" t="s">
        <v>13</v>
      </c>
      <c r="C80" s="13">
        <v>418</v>
      </c>
      <c r="D80" s="13">
        <v>421</v>
      </c>
      <c r="E80" s="13">
        <v>471</v>
      </c>
      <c r="F80" s="13">
        <v>473</v>
      </c>
      <c r="G80" s="13" t="s">
        <v>10</v>
      </c>
      <c r="H80"/>
      <c r="J80" s="18"/>
      <c r="K80" s="28">
        <v>8265</v>
      </c>
      <c r="M80" s="18"/>
    </row>
    <row r="81" spans="1:17" s="2" customFormat="1" ht="16.5" customHeight="1" thickBot="1">
      <c r="A81" s="16" t="s">
        <v>444</v>
      </c>
      <c r="B81" s="33" t="s">
        <v>11</v>
      </c>
      <c r="C81" s="10">
        <v>211</v>
      </c>
      <c r="D81" s="10">
        <v>212</v>
      </c>
      <c r="E81" s="13" t="s">
        <v>10</v>
      </c>
      <c r="G81"/>
      <c r="H81"/>
      <c r="I81"/>
      <c r="J81"/>
    </row>
    <row r="82" spans="1:17" s="2" customFormat="1" ht="16.5" customHeight="1" thickBot="1">
      <c r="A82" s="16" t="s">
        <v>76</v>
      </c>
      <c r="B82" s="33" t="s">
        <v>11</v>
      </c>
      <c r="C82" s="10">
        <v>68</v>
      </c>
      <c r="D82" s="10">
        <v>69</v>
      </c>
      <c r="E82" s="13" t="s">
        <v>10</v>
      </c>
      <c r="G82"/>
      <c r="H82"/>
      <c r="I82"/>
      <c r="J82"/>
    </row>
    <row r="84" spans="1:17" s="108" customFormat="1" ht="15" customHeight="1">
      <c r="B84" s="46" t="s">
        <v>259</v>
      </c>
      <c r="C84" s="83" t="s">
        <v>3</v>
      </c>
      <c r="D84" s="84" t="s">
        <v>4</v>
      </c>
      <c r="E84" s="85" t="s">
        <v>12</v>
      </c>
      <c r="F84" s="86" t="s">
        <v>13</v>
      </c>
      <c r="G84" s="46" t="s">
        <v>14</v>
      </c>
      <c r="O84" s="109"/>
      <c r="P84" s="110"/>
      <c r="Q84" s="111"/>
    </row>
    <row r="85" spans="1:17" s="108" customFormat="1" ht="15" customHeight="1">
      <c r="A85" s="108" t="s">
        <v>7</v>
      </c>
      <c r="B85" s="112">
        <f>SUM(L9+P24++J38+I53+K66+K80)</f>
        <v>68084</v>
      </c>
      <c r="C85" s="110">
        <f>SUM(L5+P19+J35+I49+K62+K75)</f>
        <v>20185</v>
      </c>
      <c r="D85" s="110">
        <f>SUM(L6+P20+J36+I50+K63+K76)</f>
        <v>30232</v>
      </c>
      <c r="E85" s="110">
        <f>SUM(K77+P21+L7)</f>
        <v>2092</v>
      </c>
      <c r="F85" s="110">
        <f>SUM(K78+K64+I51+P22)</f>
        <v>4906</v>
      </c>
      <c r="G85" s="110">
        <f>SUM(L8+P23+J37+I52+K65+K79)</f>
        <v>10665</v>
      </c>
      <c r="O85" s="46"/>
      <c r="P85" s="112"/>
      <c r="Q85" s="111"/>
    </row>
    <row r="86" spans="1:17" s="108" customFormat="1" ht="15" customHeight="1">
      <c r="A86" s="108" t="s">
        <v>8</v>
      </c>
      <c r="B86" s="107">
        <v>1</v>
      </c>
      <c r="C86" s="111">
        <f>SUM(C85/$B$85)</f>
        <v>0.29647200517008404</v>
      </c>
      <c r="D86" s="111">
        <f>SUM(D85/$B$85)</f>
        <v>0.44403971564537925</v>
      </c>
      <c r="E86" s="111">
        <f>SUM(E85/$B$85)</f>
        <v>3.0726749309676282E-2</v>
      </c>
      <c r="F86" s="111">
        <f>SUM(F85/$B$85)</f>
        <v>7.2058045943246579E-2</v>
      </c>
      <c r="G86" s="111">
        <f>SUM(G85/$B$85)</f>
        <v>0.15664473297691087</v>
      </c>
    </row>
    <row r="87" spans="1:17" s="108" customFormat="1" ht="15" customHeight="1">
      <c r="A87" s="108" t="s">
        <v>9</v>
      </c>
      <c r="B87" s="46">
        <v>31</v>
      </c>
      <c r="C87" s="108">
        <v>7</v>
      </c>
      <c r="D87" s="108">
        <v>17</v>
      </c>
      <c r="E87" s="108">
        <v>0</v>
      </c>
      <c r="F87" s="108">
        <v>2</v>
      </c>
      <c r="G87" s="108">
        <v>5</v>
      </c>
    </row>
  </sheetData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 codeName="Sheet12"/>
  <dimension ref="A1:L18"/>
  <sheetViews>
    <sheetView workbookViewId="0">
      <selection activeCell="A20" sqref="A20"/>
    </sheetView>
  </sheetViews>
  <sheetFormatPr defaultRowHeight="12.75"/>
  <cols>
    <col min="1" max="1" width="14.85546875" style="46" customWidth="1"/>
    <col min="2" max="2" width="7.85546875" customWidth="1"/>
    <col min="3" max="3" width="9.28515625" bestFit="1" customWidth="1"/>
    <col min="7" max="7" width="9.28515625" bestFit="1" customWidth="1"/>
    <col min="12" max="12" width="9.140625" style="91"/>
  </cols>
  <sheetData>
    <row r="1" spans="1:12" s="46" customFormat="1">
      <c r="A1" s="46" t="s">
        <v>343</v>
      </c>
      <c r="B1" s="46" t="s">
        <v>9</v>
      </c>
      <c r="C1" s="83" t="s">
        <v>3</v>
      </c>
      <c r="D1" s="84" t="s">
        <v>4</v>
      </c>
      <c r="E1" s="85" t="s">
        <v>12</v>
      </c>
      <c r="F1" s="86" t="s">
        <v>13</v>
      </c>
      <c r="G1" s="46" t="s">
        <v>14</v>
      </c>
      <c r="H1" s="87" t="s">
        <v>346</v>
      </c>
      <c r="I1" s="88" t="s">
        <v>347</v>
      </c>
      <c r="J1" s="101" t="s">
        <v>67</v>
      </c>
      <c r="K1" s="89" t="s">
        <v>23</v>
      </c>
      <c r="L1" s="90" t="s">
        <v>348</v>
      </c>
    </row>
    <row r="3" spans="1:12">
      <c r="A3" s="46">
        <v>1925</v>
      </c>
      <c r="B3">
        <v>38</v>
      </c>
      <c r="C3" s="114">
        <v>0.28199999999999997</v>
      </c>
      <c r="D3" s="114">
        <v>0.54110000000000003</v>
      </c>
      <c r="E3" s="114" t="s">
        <v>10</v>
      </c>
      <c r="F3" s="114">
        <v>2.06E-2</v>
      </c>
      <c r="G3" s="114">
        <v>0.1138</v>
      </c>
      <c r="H3" s="114">
        <v>4.2599999999999999E-2</v>
      </c>
      <c r="I3" s="114" t="s">
        <v>10</v>
      </c>
      <c r="J3" s="114" t="s">
        <v>10</v>
      </c>
      <c r="K3" s="114" t="s">
        <v>10</v>
      </c>
      <c r="L3" s="114" t="s">
        <v>10</v>
      </c>
    </row>
    <row r="4" spans="1:12">
      <c r="A4" s="46">
        <v>1928</v>
      </c>
      <c r="B4">
        <v>38</v>
      </c>
      <c r="C4" s="114">
        <v>0.42870000000000003</v>
      </c>
      <c r="D4" s="114">
        <v>0.43409999999999999</v>
      </c>
      <c r="E4" s="114">
        <v>1.5100000000000001E-2</v>
      </c>
      <c r="F4" s="114" t="s">
        <v>10</v>
      </c>
      <c r="G4" s="114">
        <v>0.1086</v>
      </c>
      <c r="H4" s="114">
        <v>1.35E-2</v>
      </c>
      <c r="I4" s="114" t="s">
        <v>10</v>
      </c>
      <c r="J4" s="114" t="s">
        <v>10</v>
      </c>
      <c r="K4" s="114" t="s">
        <v>10</v>
      </c>
      <c r="L4" s="114" t="s">
        <v>10</v>
      </c>
    </row>
    <row r="5" spans="1:12">
      <c r="A5" s="46">
        <v>1934</v>
      </c>
      <c r="B5">
        <v>38</v>
      </c>
      <c r="C5" s="114">
        <v>0.48299999999999998</v>
      </c>
      <c r="D5" s="114">
        <v>0.47449999999999998</v>
      </c>
      <c r="E5" s="114">
        <v>5.7000000000000002E-3</v>
      </c>
      <c r="F5" s="114" t="s">
        <v>10</v>
      </c>
      <c r="G5" s="114">
        <v>3.6700000000000003E-2</v>
      </c>
      <c r="H5" s="114" t="s">
        <v>10</v>
      </c>
      <c r="I5" s="114" t="s">
        <v>10</v>
      </c>
      <c r="J5" s="114" t="s">
        <v>10</v>
      </c>
      <c r="K5" s="114" t="s">
        <v>10</v>
      </c>
      <c r="L5" s="114" t="s">
        <v>10</v>
      </c>
    </row>
    <row r="6" spans="1:12">
      <c r="A6" s="46">
        <v>1942</v>
      </c>
      <c r="B6">
        <v>31</v>
      </c>
      <c r="C6" s="114">
        <v>0.38290000000000002</v>
      </c>
      <c r="D6" s="114">
        <v>0.34770000000000001</v>
      </c>
      <c r="E6" s="114">
        <v>4.1000000000000002E-2</v>
      </c>
      <c r="F6" s="114" t="s">
        <v>10</v>
      </c>
      <c r="G6" s="114">
        <v>0.13639999999999999</v>
      </c>
      <c r="H6" s="114">
        <v>9.1999999999999998E-2</v>
      </c>
      <c r="I6" s="114" t="s">
        <v>10</v>
      </c>
      <c r="J6" s="114" t="s">
        <v>10</v>
      </c>
      <c r="K6" s="114" t="s">
        <v>10</v>
      </c>
      <c r="L6" s="114" t="s">
        <v>10</v>
      </c>
    </row>
    <row r="7" spans="1:12">
      <c r="A7" s="46">
        <v>1945</v>
      </c>
      <c r="B7">
        <v>31</v>
      </c>
      <c r="C7" s="114">
        <v>0.46239999999999998</v>
      </c>
      <c r="D7" s="114">
        <v>0.1542</v>
      </c>
      <c r="E7" s="114">
        <v>3.3E-3</v>
      </c>
      <c r="F7" s="114" t="s">
        <v>10</v>
      </c>
      <c r="G7" s="114">
        <v>7.5399999999999995E-2</v>
      </c>
      <c r="H7" s="114">
        <v>0.30470000000000003</v>
      </c>
      <c r="I7" s="114" t="s">
        <v>10</v>
      </c>
      <c r="J7" s="114" t="s">
        <v>10</v>
      </c>
      <c r="K7" s="114" t="s">
        <v>10</v>
      </c>
      <c r="L7" s="114" t="s">
        <v>10</v>
      </c>
    </row>
    <row r="8" spans="1:12">
      <c r="A8" s="46">
        <v>1950</v>
      </c>
      <c r="B8">
        <v>31</v>
      </c>
      <c r="C8" s="114">
        <v>0.3584</v>
      </c>
      <c r="D8" s="114">
        <v>0.21560000000000001</v>
      </c>
      <c r="E8" s="114">
        <v>8.8999999999999999E-3</v>
      </c>
      <c r="F8" s="114">
        <v>6.7000000000000002E-3</v>
      </c>
      <c r="G8" s="114">
        <v>7.0199999999999999E-2</v>
      </c>
      <c r="H8" s="114">
        <v>0.25790000000000002</v>
      </c>
      <c r="I8" s="114">
        <v>8.5699999999999998E-2</v>
      </c>
      <c r="J8" s="114" t="s">
        <v>10</v>
      </c>
      <c r="K8" s="114" t="s">
        <v>10</v>
      </c>
      <c r="L8" s="114" t="s">
        <v>10</v>
      </c>
    </row>
    <row r="9" spans="1:12">
      <c r="A9" s="46">
        <v>1955</v>
      </c>
      <c r="B9">
        <v>31</v>
      </c>
      <c r="C9" s="114">
        <v>0.36199999999999999</v>
      </c>
      <c r="D9" s="114">
        <v>0.2676</v>
      </c>
      <c r="E9" s="114">
        <v>4.1000000000000003E-3</v>
      </c>
      <c r="F9" s="114" t="s">
        <v>10</v>
      </c>
      <c r="G9" s="114">
        <v>0.1069</v>
      </c>
      <c r="H9" s="114">
        <v>0.22040000000000001</v>
      </c>
      <c r="I9" s="114">
        <v>3.8899999999999997E-2</v>
      </c>
      <c r="J9" s="114" t="s">
        <v>10</v>
      </c>
      <c r="K9" s="114" t="s">
        <v>10</v>
      </c>
      <c r="L9" s="114" t="s">
        <v>10</v>
      </c>
    </row>
    <row r="10" spans="1:12">
      <c r="A10" s="46">
        <v>1960</v>
      </c>
      <c r="B10">
        <v>31</v>
      </c>
      <c r="C10" s="114">
        <v>0.36849999999999999</v>
      </c>
      <c r="D10" s="114">
        <v>0.24399999999999999</v>
      </c>
      <c r="E10" s="114" t="s">
        <v>10</v>
      </c>
      <c r="F10" s="114">
        <v>7.2300000000000003E-2</v>
      </c>
      <c r="G10" s="114">
        <v>0.1153</v>
      </c>
      <c r="H10" s="114">
        <v>0.1138</v>
      </c>
      <c r="I10" s="114">
        <v>2.7699999999999999E-2</v>
      </c>
      <c r="J10" s="114" t="s">
        <v>10</v>
      </c>
      <c r="K10" s="114" t="s">
        <v>10</v>
      </c>
      <c r="L10" s="114" t="s">
        <v>10</v>
      </c>
    </row>
    <row r="11" spans="1:12">
      <c r="A11" s="46">
        <v>1967</v>
      </c>
      <c r="B11">
        <v>31</v>
      </c>
      <c r="C11" s="92">
        <v>0.46389999999999998</v>
      </c>
      <c r="D11" s="92">
        <v>0.41930000000000001</v>
      </c>
      <c r="E11" s="92">
        <v>1.1599999999999999E-2</v>
      </c>
      <c r="F11" s="93" t="s">
        <v>10</v>
      </c>
      <c r="G11" s="92">
        <v>0.1052</v>
      </c>
      <c r="H11" s="93" t="s">
        <v>10</v>
      </c>
      <c r="I11" s="93" t="s">
        <v>10</v>
      </c>
      <c r="J11" s="93" t="s">
        <v>10</v>
      </c>
      <c r="K11" s="93" t="s">
        <v>10</v>
      </c>
      <c r="L11" s="93" t="s">
        <v>10</v>
      </c>
    </row>
    <row r="12" spans="1:12">
      <c r="A12" s="46">
        <v>1974</v>
      </c>
      <c r="B12">
        <v>31</v>
      </c>
      <c r="C12" s="92">
        <v>0.43469999999999998</v>
      </c>
      <c r="D12" s="92">
        <v>0.45229999999999998</v>
      </c>
      <c r="E12" s="92">
        <v>1.2999999999999999E-2</v>
      </c>
      <c r="F12" s="93" t="s">
        <v>10</v>
      </c>
      <c r="G12" s="92">
        <v>9.5399999999999999E-2</v>
      </c>
      <c r="H12" s="93" t="s">
        <v>10</v>
      </c>
      <c r="I12" s="93" t="s">
        <v>10</v>
      </c>
      <c r="J12" s="93" t="s">
        <v>10</v>
      </c>
      <c r="K12" s="93" t="s">
        <v>10</v>
      </c>
      <c r="L12" s="93" t="s">
        <v>10</v>
      </c>
    </row>
    <row r="13" spans="1:12">
      <c r="A13" s="46">
        <v>1979</v>
      </c>
      <c r="B13">
        <v>31</v>
      </c>
      <c r="C13" s="92">
        <v>0.47549999999999998</v>
      </c>
      <c r="D13" s="92">
        <v>0.4521</v>
      </c>
      <c r="E13" s="92">
        <v>8.0999999999999996E-3</v>
      </c>
      <c r="F13" s="93" t="s">
        <v>10</v>
      </c>
      <c r="G13" s="92">
        <v>5.4100000000000002E-2</v>
      </c>
      <c r="H13" s="93" t="s">
        <v>10</v>
      </c>
      <c r="I13" s="93" t="s">
        <v>10</v>
      </c>
      <c r="J13" s="93" t="s">
        <v>10</v>
      </c>
      <c r="K13" s="93" t="s">
        <v>10</v>
      </c>
      <c r="L13" s="91">
        <v>9.1000000000000004E-3</v>
      </c>
    </row>
    <row r="14" spans="1:12">
      <c r="A14" s="46">
        <v>1985</v>
      </c>
      <c r="B14">
        <v>31</v>
      </c>
      <c r="C14" s="92">
        <v>0.52610000000000001</v>
      </c>
      <c r="D14" s="92">
        <v>0.38940000000000002</v>
      </c>
      <c r="E14" s="92">
        <v>8.3000000000000001E-3</v>
      </c>
      <c r="F14" s="92">
        <v>1.2699999999999999E-2</v>
      </c>
      <c r="G14" s="92">
        <v>6.3500000000000001E-2</v>
      </c>
      <c r="H14" s="93" t="s">
        <v>10</v>
      </c>
      <c r="I14" s="93" t="s">
        <v>10</v>
      </c>
      <c r="J14" s="93" t="s">
        <v>10</v>
      </c>
      <c r="K14" s="93" t="s">
        <v>10</v>
      </c>
      <c r="L14" s="93" t="s">
        <v>10</v>
      </c>
    </row>
    <row r="15" spans="1:12">
      <c r="A15" s="46">
        <v>1991</v>
      </c>
      <c r="B15">
        <v>31</v>
      </c>
      <c r="C15" s="92">
        <v>0.47289999999999999</v>
      </c>
      <c r="D15" s="92">
        <v>0.39889999999999998</v>
      </c>
      <c r="E15" s="92">
        <v>3.5900000000000001E-2</v>
      </c>
      <c r="F15" s="93" t="s">
        <v>10</v>
      </c>
      <c r="G15" s="92">
        <v>6.4199999999999993E-2</v>
      </c>
      <c r="H15" s="93" t="s">
        <v>10</v>
      </c>
      <c r="I15" s="93" t="s">
        <v>10</v>
      </c>
      <c r="J15" s="93" t="s">
        <v>10</v>
      </c>
      <c r="K15" s="92">
        <v>2.8199999999999999E-2</v>
      </c>
      <c r="L15" s="93" t="s">
        <v>10</v>
      </c>
    </row>
    <row r="16" spans="1:12">
      <c r="A16" s="46">
        <v>1999</v>
      </c>
      <c r="B16">
        <v>31</v>
      </c>
      <c r="C16" s="92">
        <v>0.46179999999999999</v>
      </c>
      <c r="D16" s="92">
        <v>0.41389999999999999</v>
      </c>
      <c r="E16" s="92">
        <v>1.8800000000000001E-2</v>
      </c>
      <c r="F16" s="92">
        <v>1.52E-2</v>
      </c>
      <c r="G16" s="92">
        <v>8.5099999999999995E-2</v>
      </c>
      <c r="H16" s="93" t="s">
        <v>10</v>
      </c>
      <c r="I16" s="93" t="s">
        <v>10</v>
      </c>
      <c r="J16" s="92">
        <v>5.8999999999999999E-3</v>
      </c>
      <c r="K16" s="93" t="s">
        <v>10</v>
      </c>
      <c r="L16" s="93" t="s">
        <v>10</v>
      </c>
    </row>
    <row r="17" spans="1:12">
      <c r="A17" s="46">
        <v>2004</v>
      </c>
      <c r="B17">
        <v>31</v>
      </c>
      <c r="C17" s="92">
        <v>0.37040000000000001</v>
      </c>
      <c r="D17" s="92">
        <v>0.432</v>
      </c>
      <c r="E17" s="92">
        <v>2.2599999999999999E-2</v>
      </c>
      <c r="F17" s="92">
        <v>4.2500000000000003E-2</v>
      </c>
      <c r="G17" s="92">
        <v>0.1148</v>
      </c>
      <c r="H17" s="93" t="s">
        <v>10</v>
      </c>
      <c r="I17" s="93" t="s">
        <v>10</v>
      </c>
      <c r="J17" s="92">
        <v>4.5999999999999999E-3</v>
      </c>
      <c r="K17" s="92">
        <v>1.38E-2</v>
      </c>
      <c r="L17" s="93" t="s">
        <v>10</v>
      </c>
    </row>
    <row r="18" spans="1:12">
      <c r="A18" s="46">
        <v>2009</v>
      </c>
      <c r="B18">
        <v>31</v>
      </c>
      <c r="C18" s="92">
        <v>0.30299999999999999</v>
      </c>
      <c r="D18" s="92">
        <v>0.45379999999999998</v>
      </c>
      <c r="E18" s="92">
        <v>3.1399999999999997E-2</v>
      </c>
      <c r="F18" s="92">
        <v>7.3599999999999999E-2</v>
      </c>
      <c r="G18" s="92">
        <v>0.16009999999999999</v>
      </c>
      <c r="H18" s="93" t="s">
        <v>10</v>
      </c>
      <c r="I18" s="93" t="s">
        <v>10</v>
      </c>
      <c r="J18" s="111" t="s">
        <v>10</v>
      </c>
      <c r="K18" s="111" t="s">
        <v>10</v>
      </c>
      <c r="L18" s="93" t="s">
        <v>10</v>
      </c>
    </row>
  </sheetData>
  <phoneticPr fontId="33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 codeName="Sheet11"/>
  <dimension ref="B1:H101"/>
  <sheetViews>
    <sheetView workbookViewId="0">
      <selection activeCell="J1" sqref="J1"/>
    </sheetView>
  </sheetViews>
  <sheetFormatPr defaultRowHeight="12.75"/>
  <cols>
    <col min="1" max="1" width="7" customWidth="1"/>
    <col min="2" max="2" width="9.140625" style="98"/>
    <col min="3" max="3" width="24.7109375" customWidth="1"/>
    <col min="5" max="5" width="18.140625" customWidth="1"/>
    <col min="6" max="6" width="9.140625" style="82"/>
    <col min="7" max="7" width="9.140625" style="41"/>
    <col min="8" max="8" width="12.7109375" style="100" customWidth="1"/>
    <col min="9" max="9" width="11.28515625" customWidth="1"/>
  </cols>
  <sheetData>
    <row r="1" spans="2:8" s="71" customFormat="1" ht="8.25" customHeight="1" thickBot="1">
      <c r="B1" s="97"/>
      <c r="F1" s="70"/>
      <c r="G1" s="94"/>
      <c r="H1" s="99"/>
    </row>
    <row r="2" spans="2:8" s="71" customFormat="1" ht="16.5" customHeight="1" thickBot="1">
      <c r="B2" s="95" t="s">
        <v>341</v>
      </c>
      <c r="C2" s="72" t="s">
        <v>0</v>
      </c>
      <c r="D2" s="72" t="s">
        <v>1</v>
      </c>
      <c r="E2" s="72" t="s">
        <v>342</v>
      </c>
      <c r="F2" s="72" t="s">
        <v>343</v>
      </c>
      <c r="G2" s="96" t="s">
        <v>344</v>
      </c>
      <c r="H2" s="78" t="s">
        <v>345</v>
      </c>
    </row>
    <row r="3" spans="2:8" s="71" customFormat="1" ht="16.5" customHeight="1" thickBot="1">
      <c r="B3" s="73">
        <v>2760</v>
      </c>
      <c r="C3" s="74" t="s">
        <v>39</v>
      </c>
      <c r="D3" s="75" t="s">
        <v>4</v>
      </c>
      <c r="E3" s="74" t="s">
        <v>349</v>
      </c>
      <c r="F3" s="76">
        <v>2009</v>
      </c>
      <c r="G3" s="77">
        <v>2113</v>
      </c>
      <c r="H3" s="78">
        <f>SUM(B3/G3)</f>
        <v>1.3061997160435399</v>
      </c>
    </row>
    <row r="4" spans="2:8" s="71" customFormat="1" ht="16.5" customHeight="1" thickBot="1">
      <c r="B4" s="73">
        <v>2694</v>
      </c>
      <c r="C4" s="74" t="s">
        <v>125</v>
      </c>
      <c r="D4" s="75" t="s">
        <v>4</v>
      </c>
      <c r="E4" s="74" t="s">
        <v>356</v>
      </c>
      <c r="F4" s="76">
        <v>1999</v>
      </c>
      <c r="G4" s="77">
        <v>1516</v>
      </c>
      <c r="H4" s="78">
        <f>SUM(B4/G4)</f>
        <v>1.7770448548812665</v>
      </c>
    </row>
    <row r="5" spans="2:8" s="71" customFormat="1" ht="16.5" thickBot="1">
      <c r="B5" s="73">
        <v>2543</v>
      </c>
      <c r="C5" s="74" t="s">
        <v>374</v>
      </c>
      <c r="D5" s="52" t="s">
        <v>346</v>
      </c>
      <c r="E5" s="74" t="s">
        <v>350</v>
      </c>
      <c r="F5" s="76">
        <v>1945</v>
      </c>
      <c r="G5" s="77">
        <v>1555</v>
      </c>
      <c r="H5" s="78">
        <f>SUM(B5/G5)</f>
        <v>1.6353697749196141</v>
      </c>
    </row>
    <row r="6" spans="2:8" s="71" customFormat="1" ht="16.5" customHeight="1" thickBot="1">
      <c r="B6" s="73">
        <v>2538</v>
      </c>
      <c r="C6" s="74" t="s">
        <v>355</v>
      </c>
      <c r="D6" s="75" t="s">
        <v>4</v>
      </c>
      <c r="E6" s="74" t="s">
        <v>349</v>
      </c>
      <c r="F6" s="76">
        <v>1974</v>
      </c>
      <c r="G6" s="77">
        <v>1559</v>
      </c>
      <c r="H6" s="78">
        <f t="shared" ref="H6:H101" si="0">SUM(B6/G6)</f>
        <v>1.6279666452854393</v>
      </c>
    </row>
    <row r="7" spans="2:8" s="71" customFormat="1" ht="16.5" customHeight="1" thickBot="1">
      <c r="B7" s="73">
        <v>2523</v>
      </c>
      <c r="C7" s="74" t="s">
        <v>358</v>
      </c>
      <c r="D7" s="75" t="s">
        <v>4</v>
      </c>
      <c r="E7" s="74" t="s">
        <v>350</v>
      </c>
      <c r="F7" s="76">
        <v>1979</v>
      </c>
      <c r="G7" s="77">
        <v>1759</v>
      </c>
      <c r="H7" s="78">
        <f t="shared" si="0"/>
        <v>1.434337691870381</v>
      </c>
    </row>
    <row r="8" spans="2:8" s="71" customFormat="1" ht="16.5" customHeight="1" thickBot="1">
      <c r="B8" s="73">
        <v>2483</v>
      </c>
      <c r="C8" s="74" t="s">
        <v>575</v>
      </c>
      <c r="D8" s="75" t="s">
        <v>4</v>
      </c>
      <c r="E8" s="74" t="s">
        <v>354</v>
      </c>
      <c r="F8" s="76">
        <v>1945</v>
      </c>
      <c r="G8" s="77">
        <v>1548</v>
      </c>
      <c r="H8" s="78">
        <f t="shared" ref="H8" si="1">SUM(B8/G8)</f>
        <v>1.6040051679586564</v>
      </c>
    </row>
    <row r="9" spans="2:8" s="71" customFormat="1" ht="16.5" customHeight="1" thickBot="1">
      <c r="B9" s="73">
        <v>2330</v>
      </c>
      <c r="C9" s="74" t="s">
        <v>32</v>
      </c>
      <c r="D9" s="79" t="s">
        <v>11</v>
      </c>
      <c r="E9" s="74" t="s">
        <v>350</v>
      </c>
      <c r="F9" s="76">
        <v>2009</v>
      </c>
      <c r="G9" s="77">
        <v>1855</v>
      </c>
      <c r="H9" s="78">
        <f>SUM(B9/G9)</f>
        <v>1.2560646900269541</v>
      </c>
    </row>
    <row r="10" spans="2:8" s="71" customFormat="1" ht="16.5" customHeight="1" thickBot="1">
      <c r="B10" s="73">
        <v>2258</v>
      </c>
      <c r="C10" s="74" t="s">
        <v>158</v>
      </c>
      <c r="D10" s="75" t="s">
        <v>4</v>
      </c>
      <c r="E10" s="74" t="s">
        <v>354</v>
      </c>
      <c r="F10" s="76">
        <v>1974</v>
      </c>
      <c r="G10" s="77">
        <v>1379</v>
      </c>
      <c r="H10" s="78">
        <f t="shared" si="0"/>
        <v>1.6374184191443075</v>
      </c>
    </row>
    <row r="11" spans="2:8" s="71" customFormat="1" ht="16.5" customHeight="1" thickBot="1">
      <c r="B11" s="73">
        <v>2240</v>
      </c>
      <c r="C11" s="74" t="s">
        <v>290</v>
      </c>
      <c r="D11" s="80" t="s">
        <v>3</v>
      </c>
      <c r="E11" s="74" t="s">
        <v>354</v>
      </c>
      <c r="F11" s="76">
        <v>1985</v>
      </c>
      <c r="G11" s="77">
        <v>1534</v>
      </c>
      <c r="H11" s="78">
        <f t="shared" si="0"/>
        <v>1.4602346805736637</v>
      </c>
    </row>
    <row r="12" spans="2:8" s="71" customFormat="1" ht="16.5" thickBot="1">
      <c r="B12" s="73">
        <v>2218</v>
      </c>
      <c r="C12" s="74" t="s">
        <v>211</v>
      </c>
      <c r="D12" s="81" t="s">
        <v>13</v>
      </c>
      <c r="E12" s="74" t="s">
        <v>361</v>
      </c>
      <c r="F12" s="76">
        <v>2009</v>
      </c>
      <c r="G12" s="77">
        <v>1804</v>
      </c>
      <c r="H12" s="78">
        <f>SUM(B12/G12)</f>
        <v>1.229490022172949</v>
      </c>
    </row>
    <row r="13" spans="2:8" s="71" customFormat="1" ht="16.5" customHeight="1" thickBot="1">
      <c r="B13" s="73">
        <v>2191</v>
      </c>
      <c r="C13" s="74" t="s">
        <v>359</v>
      </c>
      <c r="D13" s="80" t="s">
        <v>3</v>
      </c>
      <c r="E13" s="74" t="s">
        <v>356</v>
      </c>
      <c r="F13" s="76">
        <v>1985</v>
      </c>
      <c r="G13" s="77">
        <v>1794</v>
      </c>
      <c r="H13" s="78">
        <f t="shared" si="0"/>
        <v>1.221293199554069</v>
      </c>
    </row>
    <row r="14" spans="2:8" s="71" customFormat="1" ht="16.5" customHeight="1" thickBot="1">
      <c r="B14" s="73">
        <v>2151</v>
      </c>
      <c r="C14" s="74" t="s">
        <v>415</v>
      </c>
      <c r="D14" s="80" t="s">
        <v>3</v>
      </c>
      <c r="E14" s="74" t="s">
        <v>350</v>
      </c>
      <c r="F14" s="76">
        <v>1945</v>
      </c>
      <c r="G14" s="77">
        <v>1555</v>
      </c>
      <c r="H14" s="78">
        <f t="shared" ref="H14" si="2">SUM(B14/G14)</f>
        <v>1.3832797427652732</v>
      </c>
    </row>
    <row r="15" spans="2:8" s="71" customFormat="1" ht="16.5" customHeight="1" thickBot="1">
      <c r="B15" s="73">
        <v>2075</v>
      </c>
      <c r="C15" s="74" t="s">
        <v>300</v>
      </c>
      <c r="D15" s="80" t="s">
        <v>3</v>
      </c>
      <c r="E15" s="74" t="s">
        <v>350</v>
      </c>
      <c r="F15" s="76">
        <v>1979</v>
      </c>
      <c r="G15" s="77">
        <v>1759</v>
      </c>
      <c r="H15" s="78">
        <f t="shared" si="0"/>
        <v>1.1796475270039795</v>
      </c>
    </row>
    <row r="16" spans="2:8" s="71" customFormat="1" ht="16.5" customHeight="1" thickBot="1">
      <c r="B16" s="73">
        <v>2063</v>
      </c>
      <c r="C16" s="74" t="s">
        <v>125</v>
      </c>
      <c r="D16" s="75" t="s">
        <v>4</v>
      </c>
      <c r="E16" s="74" t="s">
        <v>356</v>
      </c>
      <c r="F16" s="76">
        <v>1991</v>
      </c>
      <c r="G16" s="77">
        <v>1632</v>
      </c>
      <c r="H16" s="78">
        <f t="shared" si="0"/>
        <v>1.264093137254902</v>
      </c>
    </row>
    <row r="17" spans="2:8" s="71" customFormat="1" ht="16.5" customHeight="1" thickBot="1">
      <c r="B17" s="73">
        <v>2053</v>
      </c>
      <c r="C17" s="74" t="s">
        <v>162</v>
      </c>
      <c r="D17" s="79" t="s">
        <v>11</v>
      </c>
      <c r="E17" s="74" t="s">
        <v>350</v>
      </c>
      <c r="F17" s="76">
        <v>1985</v>
      </c>
      <c r="G17" s="77">
        <v>1750</v>
      </c>
      <c r="H17" s="78">
        <f t="shared" si="0"/>
        <v>1.173142857142857</v>
      </c>
    </row>
    <row r="18" spans="2:8" s="71" customFormat="1" ht="16.5" customHeight="1" thickBot="1">
      <c r="B18" s="73">
        <v>2047</v>
      </c>
      <c r="C18" s="74" t="s">
        <v>200</v>
      </c>
      <c r="D18" s="80" t="s">
        <v>3</v>
      </c>
      <c r="E18" s="74" t="s">
        <v>350</v>
      </c>
      <c r="F18" s="76">
        <v>1999</v>
      </c>
      <c r="G18" s="77">
        <v>1604</v>
      </c>
      <c r="H18" s="78">
        <f t="shared" si="0"/>
        <v>1.2761845386533666</v>
      </c>
    </row>
    <row r="19" spans="2:8" s="71" customFormat="1" ht="16.5" thickBot="1">
      <c r="B19" s="73">
        <v>2009</v>
      </c>
      <c r="C19" s="74" t="s">
        <v>308</v>
      </c>
      <c r="D19" s="80" t="s">
        <v>3</v>
      </c>
      <c r="E19" s="74" t="s">
        <v>349</v>
      </c>
      <c r="F19" s="76">
        <v>1967</v>
      </c>
      <c r="G19" s="77">
        <v>1489</v>
      </c>
      <c r="H19" s="78">
        <f t="shared" si="0"/>
        <v>1.3492276695768972</v>
      </c>
    </row>
    <row r="20" spans="2:8" s="71" customFormat="1" ht="16.5" thickBot="1">
      <c r="B20" s="73">
        <v>1981</v>
      </c>
      <c r="C20" s="74" t="s">
        <v>210</v>
      </c>
      <c r="D20" s="75" t="s">
        <v>4</v>
      </c>
      <c r="E20" s="74" t="s">
        <v>349</v>
      </c>
      <c r="F20" s="76">
        <v>2009</v>
      </c>
      <c r="G20" s="77">
        <v>2113</v>
      </c>
      <c r="H20" s="78">
        <f>SUM(B20/G20)</f>
        <v>0.93752957879791765</v>
      </c>
    </row>
    <row r="21" spans="2:8" s="71" customFormat="1" ht="16.5" thickBot="1">
      <c r="B21" s="73">
        <v>1967</v>
      </c>
      <c r="C21" s="74" t="s">
        <v>360</v>
      </c>
      <c r="D21" s="80" t="s">
        <v>3</v>
      </c>
      <c r="E21" s="74" t="s">
        <v>361</v>
      </c>
      <c r="F21" s="76">
        <v>1985</v>
      </c>
      <c r="G21" s="77">
        <v>1485</v>
      </c>
      <c r="H21" s="78">
        <f t="shared" si="0"/>
        <v>1.3245791245791245</v>
      </c>
    </row>
    <row r="22" spans="2:8" s="71" customFormat="1" ht="16.5" thickBot="1">
      <c r="B22" s="73">
        <v>1936</v>
      </c>
      <c r="C22" s="74" t="s">
        <v>672</v>
      </c>
      <c r="D22" s="75" t="s">
        <v>4</v>
      </c>
      <c r="E22" s="74" t="s">
        <v>349</v>
      </c>
      <c r="F22" s="76">
        <v>1942</v>
      </c>
      <c r="G22" s="77">
        <v>1181</v>
      </c>
      <c r="H22" s="78">
        <f>SUM(B22/G22)</f>
        <v>1.6392887383573242</v>
      </c>
    </row>
    <row r="23" spans="2:8" s="71" customFormat="1" ht="16.5" thickBot="1">
      <c r="B23" s="73">
        <v>1927</v>
      </c>
      <c r="C23" s="74" t="s">
        <v>137</v>
      </c>
      <c r="D23" s="75" t="s">
        <v>4</v>
      </c>
      <c r="E23" s="74" t="s">
        <v>350</v>
      </c>
      <c r="F23" s="76">
        <v>2009</v>
      </c>
      <c r="G23" s="77">
        <v>1855</v>
      </c>
      <c r="H23" s="78">
        <f>SUM(B23/G23)</f>
        <v>1.0388140161725068</v>
      </c>
    </row>
    <row r="24" spans="2:8" s="71" customFormat="1" ht="16.5" thickBot="1">
      <c r="B24" s="73">
        <v>1925</v>
      </c>
      <c r="C24" s="74" t="s">
        <v>77</v>
      </c>
      <c r="D24" s="80" t="s">
        <v>3</v>
      </c>
      <c r="E24" s="74" t="s">
        <v>354</v>
      </c>
      <c r="F24" s="76">
        <v>2004</v>
      </c>
      <c r="G24" s="77">
        <v>1754</v>
      </c>
      <c r="H24" s="78">
        <f t="shared" si="0"/>
        <v>1.097491448118586</v>
      </c>
    </row>
    <row r="25" spans="2:8" s="71" customFormat="1" ht="16.5" customHeight="1" thickBot="1">
      <c r="B25" s="73">
        <v>1921</v>
      </c>
      <c r="C25" s="74" t="s">
        <v>492</v>
      </c>
      <c r="D25" s="79" t="s">
        <v>493</v>
      </c>
      <c r="E25" s="74" t="s">
        <v>352</v>
      </c>
      <c r="F25" s="76">
        <v>1942</v>
      </c>
      <c r="G25" s="77">
        <v>1137</v>
      </c>
      <c r="H25" s="78">
        <f t="shared" ref="H25" si="3">SUM(B25/G25)</f>
        <v>1.6895338610378188</v>
      </c>
    </row>
    <row r="26" spans="2:8" s="71" customFormat="1" ht="16.5" thickBot="1">
      <c r="B26" s="73">
        <v>1921</v>
      </c>
      <c r="C26" s="74" t="s">
        <v>18</v>
      </c>
      <c r="D26" s="75" t="s">
        <v>4</v>
      </c>
      <c r="E26" s="74" t="s">
        <v>354</v>
      </c>
      <c r="F26" s="76">
        <v>2009</v>
      </c>
      <c r="G26" s="77">
        <v>1731</v>
      </c>
      <c r="H26" s="78">
        <f t="shared" si="0"/>
        <v>1.1097631426920855</v>
      </c>
    </row>
    <row r="27" spans="2:8" s="71" customFormat="1" ht="16.5" thickBot="1">
      <c r="B27" s="73">
        <v>1893</v>
      </c>
      <c r="C27" s="74" t="s">
        <v>766</v>
      </c>
      <c r="D27" s="75" t="s">
        <v>710</v>
      </c>
      <c r="E27" s="74" t="s">
        <v>354</v>
      </c>
      <c r="F27" s="76">
        <v>1928</v>
      </c>
      <c r="G27" s="77">
        <v>756</v>
      </c>
      <c r="H27" s="78">
        <f t="shared" ref="H27" si="4">SUM(B27/G27)</f>
        <v>2.503968253968254</v>
      </c>
    </row>
    <row r="28" spans="2:8" s="71" customFormat="1" ht="16.5" thickBot="1">
      <c r="B28" s="73">
        <v>1884</v>
      </c>
      <c r="C28" s="74" t="s">
        <v>309</v>
      </c>
      <c r="D28" s="80" t="s">
        <v>3</v>
      </c>
      <c r="E28" s="74" t="s">
        <v>349</v>
      </c>
      <c r="F28" s="76">
        <v>1974</v>
      </c>
      <c r="G28" s="77">
        <v>1559</v>
      </c>
      <c r="H28" s="78">
        <f t="shared" si="0"/>
        <v>1.2084669660038487</v>
      </c>
    </row>
    <row r="29" spans="2:8" s="71" customFormat="1" ht="16.5" thickBot="1">
      <c r="B29" s="73">
        <v>1879</v>
      </c>
      <c r="C29" s="74" t="s">
        <v>635</v>
      </c>
      <c r="D29" s="80" t="s">
        <v>3</v>
      </c>
      <c r="E29" s="74" t="s">
        <v>361</v>
      </c>
      <c r="F29" s="76">
        <v>1945</v>
      </c>
      <c r="G29" s="77">
        <v>1520</v>
      </c>
      <c r="H29" s="78">
        <f t="shared" ref="H29" si="5">SUM(B29/G29)</f>
        <v>1.2361842105263159</v>
      </c>
    </row>
    <row r="30" spans="2:8" s="71" customFormat="1" ht="16.5" thickBot="1">
      <c r="B30" s="73">
        <v>1862</v>
      </c>
      <c r="C30" s="74" t="s">
        <v>165</v>
      </c>
      <c r="D30" s="75" t="s">
        <v>4</v>
      </c>
      <c r="E30" s="74" t="s">
        <v>349</v>
      </c>
      <c r="F30" s="76">
        <v>1991</v>
      </c>
      <c r="G30" s="77">
        <v>1574</v>
      </c>
      <c r="H30" s="78">
        <f t="shared" si="0"/>
        <v>1.1829733163913596</v>
      </c>
    </row>
    <row r="31" spans="2:8" s="71" customFormat="1" ht="16.5" thickBot="1">
      <c r="B31" s="73">
        <v>1851</v>
      </c>
      <c r="C31" s="74" t="s">
        <v>91</v>
      </c>
      <c r="D31" s="80" t="s">
        <v>3</v>
      </c>
      <c r="E31" s="74" t="s">
        <v>350</v>
      </c>
      <c r="F31" s="76">
        <v>1991</v>
      </c>
      <c r="G31" s="77">
        <v>1566</v>
      </c>
      <c r="H31" s="78">
        <f t="shared" si="0"/>
        <v>1.1819923371647509</v>
      </c>
    </row>
    <row r="32" spans="2:8" s="71" customFormat="1" ht="16.5" thickBot="1">
      <c r="B32" s="73">
        <v>1848</v>
      </c>
      <c r="C32" s="74" t="s">
        <v>180</v>
      </c>
      <c r="D32" s="80" t="s">
        <v>3</v>
      </c>
      <c r="E32" s="74" t="s">
        <v>356</v>
      </c>
      <c r="F32" s="76">
        <v>1979</v>
      </c>
      <c r="G32" s="77">
        <v>1676</v>
      </c>
      <c r="H32" s="78">
        <f t="shared" si="0"/>
        <v>1.1026252983293556</v>
      </c>
    </row>
    <row r="33" spans="2:8" s="71" customFormat="1" ht="16.5" thickBot="1">
      <c r="B33" s="73">
        <v>1834</v>
      </c>
      <c r="C33" s="74" t="s">
        <v>137</v>
      </c>
      <c r="D33" s="75" t="s">
        <v>4</v>
      </c>
      <c r="E33" s="74" t="s">
        <v>350</v>
      </c>
      <c r="F33" s="76">
        <v>1967</v>
      </c>
      <c r="G33" s="77">
        <v>1376</v>
      </c>
      <c r="H33" s="78">
        <f t="shared" si="0"/>
        <v>1.3328488372093024</v>
      </c>
    </row>
    <row r="34" spans="2:8" s="71" customFormat="1" ht="16.5" thickBot="1">
      <c r="B34" s="73">
        <v>1818</v>
      </c>
      <c r="C34" s="74" t="s">
        <v>77</v>
      </c>
      <c r="D34" s="80" t="s">
        <v>3</v>
      </c>
      <c r="E34" s="74" t="s">
        <v>354</v>
      </c>
      <c r="F34" s="76">
        <v>1999</v>
      </c>
      <c r="G34" s="77">
        <v>1586</v>
      </c>
      <c r="H34" s="78">
        <f t="shared" si="0"/>
        <v>1.146279949558638</v>
      </c>
    </row>
    <row r="35" spans="2:8" s="71" customFormat="1" ht="16.5" thickBot="1">
      <c r="B35" s="73">
        <v>1817</v>
      </c>
      <c r="C35" s="74" t="s">
        <v>415</v>
      </c>
      <c r="D35" s="80" t="s">
        <v>3</v>
      </c>
      <c r="E35" s="74" t="s">
        <v>350</v>
      </c>
      <c r="F35" s="76">
        <v>1942</v>
      </c>
      <c r="G35" s="77">
        <v>1380</v>
      </c>
      <c r="H35" s="78">
        <f t="shared" ref="H35" si="6">SUM(B35/G35)</f>
        <v>1.3166666666666667</v>
      </c>
    </row>
    <row r="36" spans="2:8" s="71" customFormat="1" ht="16.5" thickBot="1">
      <c r="B36" s="73">
        <v>1817</v>
      </c>
      <c r="C36" s="74" t="s">
        <v>102</v>
      </c>
      <c r="D36" s="79" t="s">
        <v>11</v>
      </c>
      <c r="E36" s="74" t="s">
        <v>349</v>
      </c>
      <c r="F36" s="76">
        <v>2009</v>
      </c>
      <c r="G36" s="77">
        <v>2113</v>
      </c>
      <c r="H36" s="78">
        <f>SUM(B36/G36)</f>
        <v>0.85991481306199713</v>
      </c>
    </row>
    <row r="37" spans="2:8" s="71" customFormat="1" ht="16.5" thickBot="1">
      <c r="B37" s="73">
        <v>1798</v>
      </c>
      <c r="C37" s="74" t="s">
        <v>309</v>
      </c>
      <c r="D37" s="80" t="s">
        <v>3</v>
      </c>
      <c r="E37" s="74" t="s">
        <v>349</v>
      </c>
      <c r="F37" s="76">
        <v>1979</v>
      </c>
      <c r="G37" s="77">
        <v>1709</v>
      </c>
      <c r="H37" s="78">
        <f t="shared" si="0"/>
        <v>1.0520772381509655</v>
      </c>
    </row>
    <row r="38" spans="2:8" s="71" customFormat="1" ht="16.5" thickBot="1">
      <c r="B38" s="73">
        <v>1790</v>
      </c>
      <c r="C38" s="74" t="s">
        <v>300</v>
      </c>
      <c r="D38" s="80" t="s">
        <v>3</v>
      </c>
      <c r="E38" s="74" t="s">
        <v>350</v>
      </c>
      <c r="F38" s="76">
        <v>1985</v>
      </c>
      <c r="G38" s="77">
        <v>1750</v>
      </c>
      <c r="H38" s="78">
        <f t="shared" si="0"/>
        <v>1.0228571428571429</v>
      </c>
    </row>
    <row r="39" spans="2:8" s="71" customFormat="1" ht="16.5" thickBot="1">
      <c r="B39" s="73">
        <v>1786</v>
      </c>
      <c r="C39" s="74" t="s">
        <v>211</v>
      </c>
      <c r="D39" s="81" t="s">
        <v>13</v>
      </c>
      <c r="E39" s="74" t="s">
        <v>361</v>
      </c>
      <c r="F39" s="76">
        <v>2004</v>
      </c>
      <c r="G39" s="77">
        <v>1615</v>
      </c>
      <c r="H39" s="78">
        <f t="shared" si="0"/>
        <v>1.1058823529411765</v>
      </c>
    </row>
    <row r="40" spans="2:8" s="71" customFormat="1" ht="16.5" thickBot="1">
      <c r="B40" s="73">
        <v>1783</v>
      </c>
      <c r="C40" s="74" t="s">
        <v>309</v>
      </c>
      <c r="D40" s="80" t="s">
        <v>3</v>
      </c>
      <c r="E40" s="74" t="s">
        <v>349</v>
      </c>
      <c r="F40" s="76">
        <v>1985</v>
      </c>
      <c r="G40" s="77">
        <v>1730</v>
      </c>
      <c r="H40" s="78">
        <f t="shared" si="0"/>
        <v>1.0306358381502889</v>
      </c>
    </row>
    <row r="41" spans="2:8" s="71" customFormat="1" ht="16.5" thickBot="1">
      <c r="B41" s="73">
        <v>1763</v>
      </c>
      <c r="C41" s="74" t="s">
        <v>575</v>
      </c>
      <c r="D41" s="75" t="s">
        <v>4</v>
      </c>
      <c r="E41" s="74" t="s">
        <v>354</v>
      </c>
      <c r="F41" s="76">
        <v>1950</v>
      </c>
      <c r="G41" s="77">
        <v>1511</v>
      </c>
      <c r="H41" s="78">
        <f t="shared" ref="H41" si="7">SUM(B41/G41)</f>
        <v>1.1667769688947718</v>
      </c>
    </row>
    <row r="42" spans="2:8" s="71" customFormat="1" ht="16.5" thickBot="1">
      <c r="B42" s="73">
        <v>1758</v>
      </c>
      <c r="C42" s="74" t="s">
        <v>209</v>
      </c>
      <c r="D42" s="80" t="s">
        <v>3</v>
      </c>
      <c r="E42" s="74" t="s">
        <v>349</v>
      </c>
      <c r="F42" s="76">
        <v>1999</v>
      </c>
      <c r="G42" s="77">
        <v>1393</v>
      </c>
      <c r="H42" s="78">
        <f t="shared" si="0"/>
        <v>1.2620244077530509</v>
      </c>
    </row>
    <row r="43" spans="2:8" s="71" customFormat="1" ht="16.5" thickBot="1">
      <c r="B43" s="73">
        <v>1753</v>
      </c>
      <c r="C43" s="74" t="s">
        <v>91</v>
      </c>
      <c r="D43" s="80" t="s">
        <v>3</v>
      </c>
      <c r="E43" s="74" t="s">
        <v>350</v>
      </c>
      <c r="F43" s="76">
        <v>2009</v>
      </c>
      <c r="G43" s="77">
        <v>1855</v>
      </c>
      <c r="H43" s="78">
        <f>SUM(B43/G43)</f>
        <v>0.94501347708894878</v>
      </c>
    </row>
    <row r="44" spans="2:8" s="71" customFormat="1" ht="16.5" thickBot="1">
      <c r="B44" s="73">
        <v>1751</v>
      </c>
      <c r="C44" s="74" t="s">
        <v>158</v>
      </c>
      <c r="D44" s="75" t="s">
        <v>4</v>
      </c>
      <c r="E44" s="74" t="s">
        <v>354</v>
      </c>
      <c r="F44" s="76">
        <v>1979</v>
      </c>
      <c r="G44" s="77">
        <v>1535</v>
      </c>
      <c r="H44" s="78">
        <f t="shared" si="0"/>
        <v>1.1407166123778503</v>
      </c>
    </row>
    <row r="45" spans="2:8" s="71" customFormat="1" ht="16.5" thickBot="1">
      <c r="B45" s="73">
        <v>1748</v>
      </c>
      <c r="C45" s="74" t="s">
        <v>359</v>
      </c>
      <c r="D45" s="80" t="s">
        <v>3</v>
      </c>
      <c r="E45" s="74" t="s">
        <v>356</v>
      </c>
      <c r="F45" s="76">
        <v>1979</v>
      </c>
      <c r="G45" s="77">
        <v>1676</v>
      </c>
      <c r="H45" s="78">
        <f t="shared" si="0"/>
        <v>1.0429594272076372</v>
      </c>
    </row>
    <row r="46" spans="2:8" s="71" customFormat="1" ht="16.5" thickBot="1">
      <c r="B46" s="73">
        <v>1746</v>
      </c>
      <c r="C46" s="74" t="s">
        <v>362</v>
      </c>
      <c r="D46" s="75" t="s">
        <v>4</v>
      </c>
      <c r="E46" s="74" t="s">
        <v>350</v>
      </c>
      <c r="F46" s="76">
        <v>2009</v>
      </c>
      <c r="G46" s="77">
        <v>1855</v>
      </c>
      <c r="H46" s="78">
        <f>SUM(B46/G46)</f>
        <v>0.94123989218328841</v>
      </c>
    </row>
    <row r="47" spans="2:8" s="71" customFormat="1" ht="16.5" thickBot="1">
      <c r="B47" s="73">
        <v>1732</v>
      </c>
      <c r="C47" s="74" t="s">
        <v>137</v>
      </c>
      <c r="D47" s="75" t="s">
        <v>4</v>
      </c>
      <c r="E47" s="74" t="s">
        <v>350</v>
      </c>
      <c r="F47" s="76">
        <v>1974</v>
      </c>
      <c r="G47" s="77">
        <v>1603</v>
      </c>
      <c r="H47" s="78">
        <f t="shared" si="0"/>
        <v>1.0804741110417966</v>
      </c>
    </row>
    <row r="48" spans="2:8" s="71" customFormat="1" ht="16.5" thickBot="1">
      <c r="B48" s="73">
        <v>1725</v>
      </c>
      <c r="C48" s="74" t="s">
        <v>355</v>
      </c>
      <c r="D48" s="79" t="s">
        <v>11</v>
      </c>
      <c r="E48" s="74" t="s">
        <v>349</v>
      </c>
      <c r="F48" s="76">
        <v>1985</v>
      </c>
      <c r="G48" s="77">
        <v>1730</v>
      </c>
      <c r="H48" s="78">
        <f t="shared" si="0"/>
        <v>0.99710982658959535</v>
      </c>
    </row>
    <row r="49" spans="2:8" s="71" customFormat="1" ht="16.5" thickBot="1">
      <c r="B49" s="73">
        <v>1724</v>
      </c>
      <c r="C49" s="74" t="s">
        <v>351</v>
      </c>
      <c r="D49" s="79" t="s">
        <v>11</v>
      </c>
      <c r="E49" s="74" t="s">
        <v>352</v>
      </c>
      <c r="F49" s="76">
        <v>1960</v>
      </c>
      <c r="G49" s="77">
        <v>1068</v>
      </c>
      <c r="H49" s="78">
        <f>SUM(B49/G49)</f>
        <v>1.6142322097378277</v>
      </c>
    </row>
    <row r="50" spans="2:8" s="71" customFormat="1" ht="16.5" thickBot="1">
      <c r="B50" s="73">
        <v>1720</v>
      </c>
      <c r="C50" s="74" t="s">
        <v>311</v>
      </c>
      <c r="D50" s="75" t="s">
        <v>4</v>
      </c>
      <c r="E50" s="74" t="s">
        <v>349</v>
      </c>
      <c r="F50" s="76">
        <v>1974</v>
      </c>
      <c r="G50" s="77">
        <v>1559</v>
      </c>
      <c r="H50" s="78">
        <f t="shared" si="0"/>
        <v>1.1032713277742143</v>
      </c>
    </row>
    <row r="51" spans="2:8" s="71" customFormat="1" ht="16.5" thickBot="1">
      <c r="B51" s="73">
        <v>1717</v>
      </c>
      <c r="C51" s="74" t="s">
        <v>165</v>
      </c>
      <c r="D51" s="75" t="s">
        <v>4</v>
      </c>
      <c r="E51" s="74" t="s">
        <v>349</v>
      </c>
      <c r="F51" s="76">
        <v>1985</v>
      </c>
      <c r="G51" s="77">
        <v>1730</v>
      </c>
      <c r="H51" s="78">
        <f t="shared" si="0"/>
        <v>0.99248554913294795</v>
      </c>
    </row>
    <row r="52" spans="2:8" s="71" customFormat="1" ht="16.5" thickBot="1">
      <c r="B52" s="73">
        <v>1700</v>
      </c>
      <c r="C52" s="74" t="s">
        <v>455</v>
      </c>
      <c r="D52" s="79" t="s">
        <v>11</v>
      </c>
      <c r="E52" s="74" t="s">
        <v>356</v>
      </c>
      <c r="F52" s="76">
        <v>1960</v>
      </c>
      <c r="G52" s="77">
        <v>1077</v>
      </c>
      <c r="H52" s="78">
        <f t="shared" si="0"/>
        <v>1.5784586815227484</v>
      </c>
    </row>
    <row r="53" spans="2:8" s="71" customFormat="1" ht="16.5" thickBot="1">
      <c r="B53" s="73">
        <v>1697</v>
      </c>
      <c r="C53" s="74" t="s">
        <v>359</v>
      </c>
      <c r="D53" s="80" t="s">
        <v>3</v>
      </c>
      <c r="E53" s="74" t="s">
        <v>356</v>
      </c>
      <c r="F53" s="76">
        <v>1991</v>
      </c>
      <c r="G53" s="77">
        <v>1632</v>
      </c>
      <c r="H53" s="78">
        <f t="shared" si="0"/>
        <v>1.039828431372549</v>
      </c>
    </row>
    <row r="54" spans="2:8" s="71" customFormat="1" ht="16.5" thickBot="1">
      <c r="B54" s="73">
        <v>1694</v>
      </c>
      <c r="C54" s="74" t="s">
        <v>71</v>
      </c>
      <c r="D54" s="75" t="s">
        <v>4</v>
      </c>
      <c r="E54" s="74" t="s">
        <v>356</v>
      </c>
      <c r="F54" s="76">
        <v>2009</v>
      </c>
      <c r="G54" s="77">
        <v>1654</v>
      </c>
      <c r="H54" s="78">
        <f>SUM(B54/G54)</f>
        <v>1.0241837968561065</v>
      </c>
    </row>
    <row r="55" spans="2:8" s="71" customFormat="1" ht="16.5" thickBot="1">
      <c r="B55" s="73">
        <v>1693</v>
      </c>
      <c r="C55" s="74" t="s">
        <v>210</v>
      </c>
      <c r="D55" s="75" t="s">
        <v>4</v>
      </c>
      <c r="E55" s="74" t="s">
        <v>349</v>
      </c>
      <c r="F55" s="76">
        <v>2004</v>
      </c>
      <c r="G55" s="77">
        <v>1581</v>
      </c>
      <c r="H55" s="78">
        <f t="shared" si="0"/>
        <v>1.0708412397216951</v>
      </c>
    </row>
    <row r="56" spans="2:8" s="71" customFormat="1" ht="16.5" thickBot="1">
      <c r="B56" s="73">
        <v>1688</v>
      </c>
      <c r="C56" s="74" t="s">
        <v>636</v>
      </c>
      <c r="D56" s="52" t="s">
        <v>623</v>
      </c>
      <c r="E56" s="74" t="s">
        <v>361</v>
      </c>
      <c r="F56" s="76">
        <v>1942</v>
      </c>
      <c r="G56" s="77">
        <v>1475</v>
      </c>
      <c r="H56" s="78">
        <f>SUM(B56/G56)</f>
        <v>1.1444067796610169</v>
      </c>
    </row>
    <row r="57" spans="2:8" s="71" customFormat="1" ht="16.5" thickBot="1">
      <c r="B57" s="73">
        <v>1688</v>
      </c>
      <c r="C57" s="74" t="s">
        <v>195</v>
      </c>
      <c r="D57" s="75" t="s">
        <v>4</v>
      </c>
      <c r="E57" s="74" t="s">
        <v>354</v>
      </c>
      <c r="F57" s="76">
        <v>2004</v>
      </c>
      <c r="G57" s="77">
        <v>1754</v>
      </c>
      <c r="H57" s="78">
        <f t="shared" si="0"/>
        <v>0.96237172177879138</v>
      </c>
    </row>
    <row r="58" spans="2:8" s="71" customFormat="1" ht="16.5" thickBot="1">
      <c r="B58" s="73">
        <v>1685</v>
      </c>
      <c r="C58" s="74" t="s">
        <v>351</v>
      </c>
      <c r="D58" s="80" t="s">
        <v>3</v>
      </c>
      <c r="E58" s="74" t="s">
        <v>352</v>
      </c>
      <c r="F58" s="76">
        <v>1967</v>
      </c>
      <c r="G58" s="77">
        <v>1155</v>
      </c>
      <c r="H58" s="78">
        <f t="shared" si="0"/>
        <v>1.4588744588744589</v>
      </c>
    </row>
    <row r="59" spans="2:8" s="71" customFormat="1" ht="16.5" thickBot="1">
      <c r="B59" s="73">
        <v>1685</v>
      </c>
      <c r="C59" s="74" t="s">
        <v>70</v>
      </c>
      <c r="D59" s="75" t="s">
        <v>4</v>
      </c>
      <c r="E59" s="74" t="s">
        <v>356</v>
      </c>
      <c r="F59" s="76">
        <v>2009</v>
      </c>
      <c r="G59" s="77">
        <v>1654</v>
      </c>
      <c r="H59" s="78">
        <f>SUM(B59/G59)</f>
        <v>1.0187424425634826</v>
      </c>
    </row>
    <row r="60" spans="2:8" s="71" customFormat="1" ht="16.5" thickBot="1">
      <c r="B60" s="73">
        <v>1684</v>
      </c>
      <c r="C60" s="74" t="s">
        <v>193</v>
      </c>
      <c r="D60" s="80" t="s">
        <v>3</v>
      </c>
      <c r="E60" s="74" t="s">
        <v>352</v>
      </c>
      <c r="F60" s="76">
        <v>1979</v>
      </c>
      <c r="G60" s="77">
        <v>1353</v>
      </c>
      <c r="H60" s="78">
        <f t="shared" si="0"/>
        <v>1.2446415373244641</v>
      </c>
    </row>
    <row r="61" spans="2:8" s="71" customFormat="1" ht="16.5" thickBot="1">
      <c r="B61" s="73">
        <v>1669</v>
      </c>
      <c r="C61" s="74" t="s">
        <v>575</v>
      </c>
      <c r="D61" s="75" t="s">
        <v>4</v>
      </c>
      <c r="E61" s="74" t="s">
        <v>354</v>
      </c>
      <c r="F61" s="76">
        <v>1942</v>
      </c>
      <c r="G61" s="77">
        <v>1457</v>
      </c>
      <c r="H61" s="78">
        <f t="shared" ref="H61" si="8">SUM(B61/G61)</f>
        <v>1.1455044612216885</v>
      </c>
    </row>
    <row r="62" spans="2:8" s="71" customFormat="1" ht="16.5" thickBot="1">
      <c r="B62" s="73">
        <v>1658</v>
      </c>
      <c r="C62" s="74" t="s">
        <v>137</v>
      </c>
      <c r="D62" s="75" t="s">
        <v>4</v>
      </c>
      <c r="E62" s="74" t="s">
        <v>350</v>
      </c>
      <c r="F62" s="76">
        <v>1955</v>
      </c>
      <c r="G62" s="77">
        <v>1330</v>
      </c>
      <c r="H62" s="78">
        <f>SUM(B62/G62)</f>
        <v>1.2466165413533834</v>
      </c>
    </row>
    <row r="63" spans="2:8" s="71" customFormat="1" ht="16.5" thickBot="1">
      <c r="B63" s="73">
        <v>1644</v>
      </c>
      <c r="C63" s="74" t="s">
        <v>300</v>
      </c>
      <c r="D63" s="80" t="s">
        <v>3</v>
      </c>
      <c r="E63" s="74" t="s">
        <v>350</v>
      </c>
      <c r="F63" s="76">
        <v>1974</v>
      </c>
      <c r="G63" s="77">
        <v>1603</v>
      </c>
      <c r="H63" s="78">
        <f t="shared" si="0"/>
        <v>1.0255770430442919</v>
      </c>
    </row>
    <row r="64" spans="2:8" s="71" customFormat="1" ht="16.5" thickBot="1">
      <c r="B64" s="73">
        <v>1635</v>
      </c>
      <c r="C64" s="74" t="s">
        <v>51</v>
      </c>
      <c r="D64" s="75" t="s">
        <v>4</v>
      </c>
      <c r="E64" s="74" t="s">
        <v>361</v>
      </c>
      <c r="F64" s="76">
        <v>2004</v>
      </c>
      <c r="G64" s="77">
        <v>1615</v>
      </c>
      <c r="H64" s="78">
        <f t="shared" si="0"/>
        <v>1.0123839009287925</v>
      </c>
    </row>
    <row r="65" spans="2:8" s="71" customFormat="1" ht="16.5" thickBot="1">
      <c r="B65" s="73">
        <v>1632</v>
      </c>
      <c r="C65" s="74" t="s">
        <v>355</v>
      </c>
      <c r="D65" s="75" t="s">
        <v>4</v>
      </c>
      <c r="E65" s="74" t="s">
        <v>349</v>
      </c>
      <c r="F65" s="76">
        <v>1979</v>
      </c>
      <c r="G65" s="77">
        <v>1709</v>
      </c>
      <c r="H65" s="78">
        <f t="shared" si="0"/>
        <v>0.95494441193680513</v>
      </c>
    </row>
    <row r="66" spans="2:8" s="71" customFormat="1" ht="16.5" thickBot="1">
      <c r="B66" s="73">
        <v>1629</v>
      </c>
      <c r="C66" s="74" t="s">
        <v>78</v>
      </c>
      <c r="D66" s="75" t="s">
        <v>4</v>
      </c>
      <c r="E66" s="74" t="s">
        <v>354</v>
      </c>
      <c r="F66" s="76">
        <v>1999</v>
      </c>
      <c r="G66" s="77">
        <v>1586</v>
      </c>
      <c r="H66" s="78">
        <f t="shared" si="0"/>
        <v>1.0271122320302648</v>
      </c>
    </row>
    <row r="67" spans="2:8" s="71" customFormat="1" ht="16.5" thickBot="1">
      <c r="B67" s="73">
        <v>1619</v>
      </c>
      <c r="C67" s="74" t="s">
        <v>77</v>
      </c>
      <c r="D67" s="80" t="s">
        <v>3</v>
      </c>
      <c r="E67" s="74" t="s">
        <v>354</v>
      </c>
      <c r="F67" s="76">
        <v>2009</v>
      </c>
      <c r="G67" s="77">
        <v>1731</v>
      </c>
      <c r="H67" s="78">
        <f>SUM(B67/G67)</f>
        <v>0.93529751588677068</v>
      </c>
    </row>
    <row r="68" spans="2:8" s="71" customFormat="1" ht="16.5" thickBot="1">
      <c r="B68" s="73">
        <v>1616</v>
      </c>
      <c r="C68" s="74" t="s">
        <v>229</v>
      </c>
      <c r="D68" s="80" t="s">
        <v>3</v>
      </c>
      <c r="E68" s="74" t="s">
        <v>354</v>
      </c>
      <c r="F68" s="76">
        <v>1979</v>
      </c>
      <c r="G68" s="77">
        <v>1535</v>
      </c>
      <c r="H68" s="78">
        <f t="shared" si="0"/>
        <v>1.0527687296416939</v>
      </c>
    </row>
    <row r="69" spans="2:8" s="71" customFormat="1" ht="16.5" thickBot="1">
      <c r="B69" s="73">
        <v>1615</v>
      </c>
      <c r="C69" s="74" t="s">
        <v>127</v>
      </c>
      <c r="D69" s="80" t="s">
        <v>3</v>
      </c>
      <c r="E69" s="74" t="s">
        <v>356</v>
      </c>
      <c r="F69" s="76">
        <v>1974</v>
      </c>
      <c r="G69" s="77">
        <v>1582</v>
      </c>
      <c r="H69" s="78">
        <f t="shared" si="0"/>
        <v>1.0208596713021492</v>
      </c>
    </row>
    <row r="70" spans="2:8" s="71" customFormat="1" ht="16.5" thickBot="1">
      <c r="B70" s="73">
        <v>1613</v>
      </c>
      <c r="C70" s="74" t="s">
        <v>219</v>
      </c>
      <c r="D70" s="80" t="s">
        <v>3</v>
      </c>
      <c r="E70" s="74" t="s">
        <v>356</v>
      </c>
      <c r="F70" s="76">
        <v>2009</v>
      </c>
      <c r="G70" s="77">
        <v>1654</v>
      </c>
      <c r="H70" s="78">
        <f>SUM(B70/G70)</f>
        <v>0.97521160822249098</v>
      </c>
    </row>
    <row r="71" spans="2:8" s="71" customFormat="1" ht="16.5" thickBot="1">
      <c r="B71" s="73">
        <v>1611</v>
      </c>
      <c r="C71" s="74" t="s">
        <v>362</v>
      </c>
      <c r="D71" s="75" t="s">
        <v>4</v>
      </c>
      <c r="E71" s="74" t="s">
        <v>350</v>
      </c>
      <c r="F71" s="76">
        <v>2004</v>
      </c>
      <c r="G71" s="77">
        <v>1850</v>
      </c>
      <c r="H71" s="78">
        <f t="shared" si="0"/>
        <v>0.8708108108108108</v>
      </c>
    </row>
    <row r="72" spans="2:8" s="71" customFormat="1" ht="16.5" thickBot="1">
      <c r="B72" s="73">
        <v>1610</v>
      </c>
      <c r="C72" s="74" t="s">
        <v>45</v>
      </c>
      <c r="D72" s="75" t="s">
        <v>4</v>
      </c>
      <c r="E72" s="74" t="s">
        <v>349</v>
      </c>
      <c r="F72" s="76">
        <v>2004</v>
      </c>
      <c r="G72" s="77">
        <v>1581</v>
      </c>
      <c r="H72" s="78">
        <f t="shared" si="0"/>
        <v>1.0183428209993675</v>
      </c>
    </row>
    <row r="73" spans="2:8" s="71" customFormat="1" ht="16.5" thickBot="1">
      <c r="B73" s="73">
        <v>1605</v>
      </c>
      <c r="C73" s="74" t="s">
        <v>159</v>
      </c>
      <c r="D73" s="80" t="s">
        <v>3</v>
      </c>
      <c r="E73" s="74" t="s">
        <v>354</v>
      </c>
      <c r="F73" s="76">
        <v>1985</v>
      </c>
      <c r="G73" s="77">
        <v>1534</v>
      </c>
      <c r="H73" s="78">
        <f t="shared" si="0"/>
        <v>1.0462842242503259</v>
      </c>
    </row>
    <row r="74" spans="2:8" s="71" customFormat="1" ht="16.5" thickBot="1">
      <c r="B74" s="73">
        <v>1601</v>
      </c>
      <c r="C74" s="74" t="s">
        <v>184</v>
      </c>
      <c r="D74" s="75" t="s">
        <v>4</v>
      </c>
      <c r="E74" s="74" t="s">
        <v>356</v>
      </c>
      <c r="F74" s="76">
        <v>1991</v>
      </c>
      <c r="G74" s="77">
        <v>1632</v>
      </c>
      <c r="H74" s="78">
        <f t="shared" si="0"/>
        <v>0.98100490196078427</v>
      </c>
    </row>
    <row r="75" spans="2:8" s="71" customFormat="1" ht="16.5" thickBot="1">
      <c r="B75" s="73">
        <v>1581</v>
      </c>
      <c r="C75" s="74" t="s">
        <v>137</v>
      </c>
      <c r="D75" s="75" t="s">
        <v>4</v>
      </c>
      <c r="E75" s="74" t="s">
        <v>350</v>
      </c>
      <c r="F75" s="76">
        <v>2004</v>
      </c>
      <c r="G75" s="77">
        <v>1850</v>
      </c>
      <c r="H75" s="78">
        <f t="shared" si="0"/>
        <v>0.85459459459459464</v>
      </c>
    </row>
    <row r="76" spans="2:8" s="71" customFormat="1" ht="16.5" thickBot="1">
      <c r="B76" s="73">
        <v>1580</v>
      </c>
      <c r="C76" s="74" t="s">
        <v>415</v>
      </c>
      <c r="D76" s="80" t="s">
        <v>3</v>
      </c>
      <c r="E76" s="74" t="s">
        <v>350</v>
      </c>
      <c r="F76" s="76">
        <v>1955</v>
      </c>
      <c r="G76" s="77">
        <v>1330</v>
      </c>
      <c r="H76" s="78">
        <f>SUM(B76/G76)</f>
        <v>1.1879699248120301</v>
      </c>
    </row>
    <row r="77" spans="2:8" s="71" customFormat="1" ht="16.5" thickBot="1">
      <c r="B77" s="73">
        <v>1578</v>
      </c>
      <c r="C77" s="74" t="s">
        <v>77</v>
      </c>
      <c r="D77" s="80" t="s">
        <v>3</v>
      </c>
      <c r="E77" s="74" t="s">
        <v>354</v>
      </c>
      <c r="F77" s="76">
        <v>1991</v>
      </c>
      <c r="G77" s="77">
        <v>1444</v>
      </c>
      <c r="H77" s="78">
        <f t="shared" si="0"/>
        <v>1.0927977839335179</v>
      </c>
    </row>
    <row r="78" spans="2:8" s="71" customFormat="1" ht="16.5" customHeight="1" thickBot="1">
      <c r="B78" s="73">
        <v>1576</v>
      </c>
      <c r="C78" s="74" t="s">
        <v>162</v>
      </c>
      <c r="D78" s="79" t="s">
        <v>11</v>
      </c>
      <c r="E78" s="74" t="s">
        <v>350</v>
      </c>
      <c r="F78" s="76">
        <v>2009</v>
      </c>
      <c r="G78" s="77">
        <v>1855</v>
      </c>
      <c r="H78" s="78">
        <f>SUM(B78/G78)</f>
        <v>0.84959568733153634</v>
      </c>
    </row>
    <row r="79" spans="2:8" s="71" customFormat="1" ht="16.5" thickBot="1">
      <c r="B79" s="73">
        <v>1575</v>
      </c>
      <c r="C79" s="74" t="s">
        <v>29</v>
      </c>
      <c r="D79" s="75" t="s">
        <v>4</v>
      </c>
      <c r="E79" s="74" t="s">
        <v>350</v>
      </c>
      <c r="F79" s="76">
        <v>2004</v>
      </c>
      <c r="G79" s="77">
        <v>1850</v>
      </c>
      <c r="H79" s="78">
        <f t="shared" si="0"/>
        <v>0.85135135135135132</v>
      </c>
    </row>
    <row r="80" spans="2:8" s="71" customFormat="1" ht="16.5" thickBot="1">
      <c r="B80" s="73">
        <v>1570</v>
      </c>
      <c r="C80" s="74" t="s">
        <v>290</v>
      </c>
      <c r="D80" s="80" t="s">
        <v>3</v>
      </c>
      <c r="E80" s="74" t="s">
        <v>354</v>
      </c>
      <c r="F80" s="76">
        <v>1974</v>
      </c>
      <c r="G80" s="77">
        <v>1379</v>
      </c>
      <c r="H80" s="78">
        <f t="shared" si="0"/>
        <v>1.1385061638868745</v>
      </c>
    </row>
    <row r="81" spans="2:8" s="71" customFormat="1" ht="16.5" thickBot="1">
      <c r="B81" s="73">
        <v>1561</v>
      </c>
      <c r="C81" s="74" t="s">
        <v>455</v>
      </c>
      <c r="D81" s="79" t="s">
        <v>11</v>
      </c>
      <c r="E81" s="74" t="s">
        <v>356</v>
      </c>
      <c r="F81" s="76">
        <v>1955</v>
      </c>
      <c r="G81" s="77">
        <v>1407</v>
      </c>
      <c r="H81" s="78">
        <f>SUM(B81/G81)</f>
        <v>1.1094527363184079</v>
      </c>
    </row>
    <row r="82" spans="2:8" s="71" customFormat="1" ht="16.5" thickBot="1">
      <c r="B82" s="73">
        <v>1561</v>
      </c>
      <c r="C82" s="74" t="s">
        <v>182</v>
      </c>
      <c r="D82" s="80" t="s">
        <v>3</v>
      </c>
      <c r="E82" s="74" t="s">
        <v>356</v>
      </c>
      <c r="F82" s="76">
        <v>1985</v>
      </c>
      <c r="G82" s="77">
        <v>1794</v>
      </c>
      <c r="H82" s="78">
        <f t="shared" si="0"/>
        <v>0.87012263099219622</v>
      </c>
    </row>
    <row r="83" spans="2:8" s="71" customFormat="1" ht="16.5" thickBot="1">
      <c r="B83" s="73">
        <v>1558</v>
      </c>
      <c r="C83" s="74" t="s">
        <v>590</v>
      </c>
      <c r="D83" s="52" t="s">
        <v>346</v>
      </c>
      <c r="E83" s="74" t="s">
        <v>349</v>
      </c>
      <c r="F83" s="76">
        <v>1945</v>
      </c>
      <c r="G83" s="77">
        <v>1652</v>
      </c>
      <c r="H83" s="78">
        <f>SUM(B83/G83)</f>
        <v>0.94309927360774815</v>
      </c>
    </row>
    <row r="84" spans="2:8" s="71" customFormat="1" ht="16.5" thickBot="1">
      <c r="B84" s="73">
        <v>1556</v>
      </c>
      <c r="C84" s="74" t="s">
        <v>415</v>
      </c>
      <c r="D84" s="80" t="s">
        <v>3</v>
      </c>
      <c r="E84" s="74" t="s">
        <v>350</v>
      </c>
      <c r="F84" s="76">
        <v>1950</v>
      </c>
      <c r="G84" s="77">
        <v>1327</v>
      </c>
      <c r="H84" s="78">
        <f t="shared" ref="H84" si="9">SUM(B84/G84)</f>
        <v>1.1725697061039939</v>
      </c>
    </row>
    <row r="85" spans="2:8" s="71" customFormat="1" ht="16.5" thickBot="1">
      <c r="B85" s="73">
        <v>1551</v>
      </c>
      <c r="C85" s="74" t="s">
        <v>206</v>
      </c>
      <c r="D85" s="80" t="s">
        <v>3</v>
      </c>
      <c r="E85" s="74" t="s">
        <v>363</v>
      </c>
      <c r="F85" s="76">
        <v>2004</v>
      </c>
      <c r="G85" s="77">
        <v>1675</v>
      </c>
      <c r="H85" s="78">
        <f t="shared" si="0"/>
        <v>0.92597014925373133</v>
      </c>
    </row>
    <row r="86" spans="2:8" s="71" customFormat="1" ht="16.5" thickBot="1">
      <c r="B86" s="73">
        <v>1549</v>
      </c>
      <c r="C86" s="74" t="s">
        <v>636</v>
      </c>
      <c r="D86" s="52" t="s">
        <v>346</v>
      </c>
      <c r="E86" s="74" t="s">
        <v>361</v>
      </c>
      <c r="F86" s="76">
        <v>1945</v>
      </c>
      <c r="G86" s="77">
        <v>1520</v>
      </c>
      <c r="H86" s="78">
        <f>SUM(B86/G86)</f>
        <v>1.019078947368421</v>
      </c>
    </row>
    <row r="87" spans="2:8" s="71" customFormat="1" ht="16.5" thickBot="1">
      <c r="B87" s="73">
        <v>1549</v>
      </c>
      <c r="C87" s="74" t="s">
        <v>39</v>
      </c>
      <c r="D87" s="75" t="s">
        <v>4</v>
      </c>
      <c r="E87" s="74" t="s">
        <v>363</v>
      </c>
      <c r="F87" s="76">
        <v>2004</v>
      </c>
      <c r="G87" s="77">
        <v>1675</v>
      </c>
      <c r="H87" s="78">
        <f t="shared" si="0"/>
        <v>0.9247761194029851</v>
      </c>
    </row>
    <row r="88" spans="2:8" s="71" customFormat="1" ht="16.5" thickBot="1">
      <c r="B88" s="73">
        <v>1547</v>
      </c>
      <c r="C88" s="74" t="s">
        <v>310</v>
      </c>
      <c r="D88" s="80" t="s">
        <v>3</v>
      </c>
      <c r="E88" s="74" t="s">
        <v>349</v>
      </c>
      <c r="F88" s="76">
        <v>1979</v>
      </c>
      <c r="G88" s="77">
        <v>1709</v>
      </c>
      <c r="H88" s="78">
        <f t="shared" si="0"/>
        <v>0.90520772381509651</v>
      </c>
    </row>
    <row r="89" spans="2:8" s="71" customFormat="1" ht="16.5" thickBot="1">
      <c r="B89" s="73">
        <v>1541</v>
      </c>
      <c r="C89" s="74" t="s">
        <v>311</v>
      </c>
      <c r="D89" s="75" t="s">
        <v>4</v>
      </c>
      <c r="E89" s="74" t="s">
        <v>349</v>
      </c>
      <c r="F89" s="76">
        <v>1979</v>
      </c>
      <c r="G89" s="77">
        <v>1709</v>
      </c>
      <c r="H89" s="78">
        <f t="shared" si="0"/>
        <v>0.90169689877121129</v>
      </c>
    </row>
    <row r="90" spans="2:8" s="71" customFormat="1" ht="16.5" thickBot="1">
      <c r="B90" s="73">
        <v>1538</v>
      </c>
      <c r="C90" s="74" t="s">
        <v>182</v>
      </c>
      <c r="D90" s="80" t="s">
        <v>3</v>
      </c>
      <c r="E90" s="74" t="s">
        <v>356</v>
      </c>
      <c r="F90" s="76">
        <v>1991</v>
      </c>
      <c r="G90" s="77">
        <v>1632</v>
      </c>
      <c r="H90" s="78">
        <f t="shared" si="0"/>
        <v>0.94240196078431371</v>
      </c>
    </row>
    <row r="91" spans="2:8" s="71" customFormat="1" ht="16.5" thickBot="1">
      <c r="B91" s="73">
        <v>1530</v>
      </c>
      <c r="C91" s="74" t="s">
        <v>563</v>
      </c>
      <c r="D91" s="79" t="s">
        <v>11</v>
      </c>
      <c r="E91" s="74" t="s">
        <v>356</v>
      </c>
      <c r="F91" s="76">
        <v>1950</v>
      </c>
      <c r="G91" s="77">
        <v>1449</v>
      </c>
      <c r="H91" s="78">
        <f>SUM(B91/G91)</f>
        <v>1.0559006211180124</v>
      </c>
    </row>
    <row r="92" spans="2:8" s="71" customFormat="1" ht="16.5" thickBot="1">
      <c r="B92" s="73">
        <v>1527</v>
      </c>
      <c r="C92" s="74" t="s">
        <v>201</v>
      </c>
      <c r="D92" s="80" t="s">
        <v>3</v>
      </c>
      <c r="E92" s="74" t="s">
        <v>350</v>
      </c>
      <c r="F92" s="76">
        <v>2004</v>
      </c>
      <c r="G92" s="77">
        <v>1850</v>
      </c>
      <c r="H92" s="78">
        <f t="shared" si="0"/>
        <v>0.82540540540540541</v>
      </c>
    </row>
    <row r="93" spans="2:8" s="71" customFormat="1" ht="16.5" thickBot="1">
      <c r="B93" s="73">
        <v>1525</v>
      </c>
      <c r="C93" s="74" t="s">
        <v>608</v>
      </c>
      <c r="D93" s="80" t="s">
        <v>3</v>
      </c>
      <c r="E93" s="74" t="s">
        <v>356</v>
      </c>
      <c r="F93" s="76">
        <v>1950</v>
      </c>
      <c r="G93" s="77">
        <v>1449</v>
      </c>
      <c r="H93" s="78">
        <f t="shared" ref="H93" si="10">SUM(B93/G93)</f>
        <v>1.0524499654934438</v>
      </c>
    </row>
    <row r="94" spans="2:8" s="71" customFormat="1" ht="16.5" thickBot="1">
      <c r="B94" s="73">
        <v>1521</v>
      </c>
      <c r="C94" s="74" t="s">
        <v>20</v>
      </c>
      <c r="D94" s="75" t="s">
        <v>4</v>
      </c>
      <c r="E94" s="74" t="s">
        <v>354</v>
      </c>
      <c r="F94" s="76">
        <v>2009</v>
      </c>
      <c r="G94" s="77">
        <v>1731</v>
      </c>
      <c r="H94" s="78">
        <f>SUM(B94/G94)</f>
        <v>0.878682842287695</v>
      </c>
    </row>
    <row r="95" spans="2:8" s="71" customFormat="1" ht="16.5" thickBot="1">
      <c r="B95" s="73">
        <v>1518</v>
      </c>
      <c r="C95" s="74" t="s">
        <v>357</v>
      </c>
      <c r="D95" s="75" t="s">
        <v>4</v>
      </c>
      <c r="E95" s="74" t="s">
        <v>354</v>
      </c>
      <c r="F95" s="76">
        <v>1974</v>
      </c>
      <c r="G95" s="77">
        <v>1379</v>
      </c>
      <c r="H95" s="78">
        <f t="shared" si="0"/>
        <v>1.1007976794778824</v>
      </c>
    </row>
    <row r="96" spans="2:8" s="71" customFormat="1" ht="16.5" thickBot="1">
      <c r="B96" s="73">
        <v>1517</v>
      </c>
      <c r="C96" s="74" t="s">
        <v>309</v>
      </c>
      <c r="D96" s="80" t="s">
        <v>3</v>
      </c>
      <c r="E96" s="74" t="s">
        <v>349</v>
      </c>
      <c r="F96" s="76">
        <v>1991</v>
      </c>
      <c r="G96" s="77">
        <v>1574</v>
      </c>
      <c r="H96" s="78">
        <f t="shared" si="0"/>
        <v>0.96378653113087676</v>
      </c>
    </row>
    <row r="97" spans="2:8" s="71" customFormat="1" ht="16.5" thickBot="1">
      <c r="B97" s="73">
        <v>1514</v>
      </c>
      <c r="C97" s="74" t="s">
        <v>374</v>
      </c>
      <c r="D97" s="52" t="s">
        <v>346</v>
      </c>
      <c r="E97" s="74" t="s">
        <v>350</v>
      </c>
      <c r="F97" s="76">
        <v>1960</v>
      </c>
      <c r="G97" s="77">
        <v>1121</v>
      </c>
      <c r="H97" s="78">
        <f>SUM(B97/G97)</f>
        <v>1.3505798394290811</v>
      </c>
    </row>
    <row r="98" spans="2:8" s="71" customFormat="1" ht="16.5" thickBot="1">
      <c r="B98" s="73">
        <v>1510</v>
      </c>
      <c r="C98" s="74" t="s">
        <v>81</v>
      </c>
      <c r="D98" s="75" t="s">
        <v>4</v>
      </c>
      <c r="E98" s="74" t="s">
        <v>354</v>
      </c>
      <c r="F98" s="76">
        <v>2004</v>
      </c>
      <c r="G98" s="77">
        <v>1754</v>
      </c>
      <c r="H98" s="78">
        <f t="shared" si="0"/>
        <v>0.8608893956670467</v>
      </c>
    </row>
    <row r="99" spans="2:8" s="71" customFormat="1" ht="16.5" thickBot="1">
      <c r="B99" s="73">
        <v>1505</v>
      </c>
      <c r="C99" s="74" t="s">
        <v>309</v>
      </c>
      <c r="D99" s="80" t="s">
        <v>3</v>
      </c>
      <c r="E99" s="74" t="s">
        <v>349</v>
      </c>
      <c r="F99" s="76">
        <v>1967</v>
      </c>
      <c r="G99" s="77">
        <v>1489</v>
      </c>
      <c r="H99" s="78">
        <f t="shared" si="0"/>
        <v>1.0107454667562121</v>
      </c>
    </row>
    <row r="100" spans="2:8" s="71" customFormat="1" ht="16.5" thickBot="1">
      <c r="B100" s="73">
        <v>1503</v>
      </c>
      <c r="C100" s="74" t="s">
        <v>63</v>
      </c>
      <c r="D100" s="80" t="s">
        <v>3</v>
      </c>
      <c r="E100" s="74" t="s">
        <v>454</v>
      </c>
      <c r="F100" s="76">
        <v>2009</v>
      </c>
      <c r="G100" s="77">
        <v>1812</v>
      </c>
      <c r="H100" s="78">
        <f>SUM(B100/G100)</f>
        <v>0.82947019867549665</v>
      </c>
    </row>
    <row r="101" spans="2:8" s="71" customFormat="1" ht="16.5" thickBot="1">
      <c r="B101" s="73">
        <v>1501</v>
      </c>
      <c r="C101" s="74" t="s">
        <v>353</v>
      </c>
      <c r="D101" s="75" t="s">
        <v>4</v>
      </c>
      <c r="E101" s="74" t="s">
        <v>354</v>
      </c>
      <c r="F101" s="76">
        <v>1967</v>
      </c>
      <c r="G101" s="77">
        <v>1418</v>
      </c>
      <c r="H101" s="78">
        <f t="shared" si="0"/>
        <v>1.0585331452750353</v>
      </c>
    </row>
  </sheetData>
  <phoneticPr fontId="3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1925</vt:lpstr>
      <vt:lpstr>1928</vt:lpstr>
      <vt:lpstr>1934</vt:lpstr>
      <vt:lpstr>1942</vt:lpstr>
      <vt:lpstr>1945</vt:lpstr>
      <vt:lpstr>1950</vt:lpstr>
      <vt:lpstr>1955</vt:lpstr>
      <vt:lpstr>1960</vt:lpstr>
      <vt:lpstr>1967</vt:lpstr>
      <vt:lpstr>1974</vt:lpstr>
      <vt:lpstr>1979</vt:lpstr>
      <vt:lpstr>1985</vt:lpstr>
      <vt:lpstr>1991</vt:lpstr>
      <vt:lpstr>1999</vt:lpstr>
      <vt:lpstr>2004</vt:lpstr>
      <vt:lpstr>2009</vt:lpstr>
      <vt:lpstr>Party%</vt:lpstr>
      <vt:lpstr>HighVotes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dcterms:created xsi:type="dcterms:W3CDTF">2005-06-01T20:11:45Z</dcterms:created>
  <dcterms:modified xsi:type="dcterms:W3CDTF">2011-04-24T00:15:36Z</dcterms:modified>
</cp:coreProperties>
</file>