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540" windowWidth="14715" windowHeight="8700" firstSheet="2" activeTab="16"/>
  </bookViews>
  <sheets>
    <sheet name="1925" sheetId="23" r:id="rId1"/>
    <sheet name="1928" sheetId="21" r:id="rId2"/>
    <sheet name="1934" sheetId="22" r:id="rId3"/>
    <sheet name="1942" sheetId="20" r:id="rId4"/>
    <sheet name="1945" sheetId="19" r:id="rId5"/>
    <sheet name="1950" sheetId="18" r:id="rId6"/>
    <sheet name="1955" sheetId="16" r:id="rId7"/>
    <sheet name="1960" sheetId="15" r:id="rId8"/>
    <sheet name="1967" sheetId="10" r:id="rId9"/>
    <sheet name="1974" sheetId="13" r:id="rId10"/>
    <sheet name="1979" sheetId="12" r:id="rId11"/>
    <sheet name="1985" sheetId="11" r:id="rId12"/>
    <sheet name="1991" sheetId="4" r:id="rId13"/>
    <sheet name="1999" sheetId="5" r:id="rId14"/>
    <sheet name="2004" sheetId="7" r:id="rId15"/>
    <sheet name="2009" sheetId="17" r:id="rId16"/>
    <sheet name="Party%" sheetId="9" r:id="rId17"/>
  </sheets>
  <calcPr calcId="125725"/>
</workbook>
</file>

<file path=xl/calcChain.xml><?xml version="1.0" encoding="utf-8"?>
<calcChain xmlns="http://schemas.openxmlformats.org/spreadsheetml/2006/main">
  <c r="F119" i="23"/>
  <c r="E119"/>
  <c r="R28"/>
  <c r="R29"/>
  <c r="R30"/>
  <c r="R32"/>
  <c r="S31"/>
  <c r="S30"/>
  <c r="R26"/>
  <c r="N106"/>
  <c r="N107"/>
  <c r="N109"/>
  <c r="N104"/>
  <c r="Q58"/>
  <c r="Q59"/>
  <c r="Q60"/>
  <c r="Q61"/>
  <c r="Q62"/>
  <c r="R61"/>
  <c r="Q56"/>
  <c r="N84"/>
  <c r="N85"/>
  <c r="N86"/>
  <c r="N88"/>
  <c r="O87"/>
  <c r="O86"/>
  <c r="N82"/>
  <c r="M5"/>
  <c r="M6"/>
  <c r="M7"/>
  <c r="M9"/>
  <c r="N7"/>
  <c r="M3"/>
  <c r="B119"/>
  <c r="O109"/>
  <c r="O108"/>
  <c r="O88"/>
  <c r="O85"/>
  <c r="O84"/>
  <c r="R62"/>
  <c r="F120"/>
  <c r="R59"/>
  <c r="R58"/>
  <c r="S32"/>
  <c r="S29"/>
  <c r="S28"/>
  <c r="N9"/>
  <c r="N8"/>
  <c r="N6"/>
  <c r="N5"/>
  <c r="G119"/>
  <c r="E120"/>
  <c r="C119"/>
  <c r="C120"/>
  <c r="D119"/>
  <c r="D120"/>
  <c r="G120"/>
  <c r="R60"/>
  <c r="O106"/>
  <c r="O107"/>
  <c r="O110"/>
  <c r="E110" i="22"/>
  <c r="Q43"/>
  <c r="Q5"/>
  <c r="Q6"/>
  <c r="Q8"/>
  <c r="U88"/>
  <c r="U89"/>
  <c r="U90"/>
  <c r="U91"/>
  <c r="V90"/>
  <c r="R47"/>
  <c r="S26"/>
  <c r="C64"/>
  <c r="Q3"/>
  <c r="U86"/>
  <c r="N69"/>
  <c r="N70"/>
  <c r="R25"/>
  <c r="R24"/>
  <c r="R22"/>
  <c r="B110"/>
  <c r="O71"/>
  <c r="O70"/>
  <c r="O69"/>
  <c r="Q48"/>
  <c r="R48"/>
  <c r="Q46"/>
  <c r="R46"/>
  <c r="Q45"/>
  <c r="R45"/>
  <c r="S27"/>
  <c r="S25"/>
  <c r="S24"/>
  <c r="R8"/>
  <c r="R7"/>
  <c r="R6"/>
  <c r="R5"/>
  <c r="E111"/>
  <c r="C110"/>
  <c r="C111"/>
  <c r="D110"/>
  <c r="D111"/>
  <c r="F110"/>
  <c r="F111"/>
  <c r="V88"/>
  <c r="V89"/>
  <c r="V91"/>
  <c r="F97" i="21"/>
  <c r="E97"/>
  <c r="D97"/>
  <c r="U78"/>
  <c r="U79"/>
  <c r="U82"/>
  <c r="V79"/>
  <c r="U76"/>
  <c r="Q46"/>
  <c r="Q47"/>
  <c r="Q48"/>
  <c r="Q49"/>
  <c r="Q44"/>
  <c r="R47"/>
  <c r="T23"/>
  <c r="T24"/>
  <c r="T25"/>
  <c r="T21"/>
  <c r="U24"/>
  <c r="P5"/>
  <c r="Q5"/>
  <c r="P6"/>
  <c r="P8"/>
  <c r="Q7"/>
  <c r="Q6"/>
  <c r="P3"/>
  <c r="B97"/>
  <c r="D98"/>
  <c r="V80"/>
  <c r="G68"/>
  <c r="G67"/>
  <c r="G66"/>
  <c r="R49"/>
  <c r="R48"/>
  <c r="R46"/>
  <c r="U25"/>
  <c r="U23"/>
  <c r="Q8"/>
  <c r="E100" i="20"/>
  <c r="O86"/>
  <c r="O83"/>
  <c r="O85"/>
  <c r="O81"/>
  <c r="P84"/>
  <c r="L69"/>
  <c r="L72"/>
  <c r="L70"/>
  <c r="L67"/>
  <c r="M70"/>
  <c r="S46"/>
  <c r="S47"/>
  <c r="S48"/>
  <c r="S44"/>
  <c r="U24"/>
  <c r="U26"/>
  <c r="U23"/>
  <c r="U21"/>
  <c r="P7"/>
  <c r="P6"/>
  <c r="P5"/>
  <c r="P3"/>
  <c r="B100"/>
  <c r="D101"/>
  <c r="M72"/>
  <c r="M71"/>
  <c r="M69"/>
  <c r="T48"/>
  <c r="T47"/>
  <c r="T46"/>
  <c r="V26"/>
  <c r="V25"/>
  <c r="V24"/>
  <c r="V23"/>
  <c r="Q7"/>
  <c r="Q6"/>
  <c r="Q5"/>
  <c r="E81" i="19"/>
  <c r="D81"/>
  <c r="O68"/>
  <c r="O69"/>
  <c r="O70"/>
  <c r="O66"/>
  <c r="J56"/>
  <c r="J58"/>
  <c r="J54"/>
  <c r="O37"/>
  <c r="O38"/>
  <c r="O40"/>
  <c r="O35"/>
  <c r="L20"/>
  <c r="L21"/>
  <c r="L18"/>
  <c r="M5"/>
  <c r="M6"/>
  <c r="M8"/>
  <c r="N7"/>
  <c r="M3"/>
  <c r="B81"/>
  <c r="K58"/>
  <c r="K57"/>
  <c r="K56"/>
  <c r="P40"/>
  <c r="P38"/>
  <c r="P39"/>
  <c r="P37"/>
  <c r="M23"/>
  <c r="M22"/>
  <c r="M21"/>
  <c r="M20"/>
  <c r="N8"/>
  <c r="N6"/>
  <c r="N5"/>
  <c r="E113" i="18"/>
  <c r="Y88"/>
  <c r="Y89"/>
  <c r="Y91"/>
  <c r="F113"/>
  <c r="F114"/>
  <c r="Y92"/>
  <c r="G113"/>
  <c r="Y93"/>
  <c r="H113"/>
  <c r="H114"/>
  <c r="Y86"/>
  <c r="N72"/>
  <c r="N73"/>
  <c r="N74"/>
  <c r="N70"/>
  <c r="O75"/>
  <c r="U48"/>
  <c r="U49"/>
  <c r="U50"/>
  <c r="U51"/>
  <c r="U52"/>
  <c r="U46"/>
  <c r="U20"/>
  <c r="U27"/>
  <c r="U25"/>
  <c r="U24"/>
  <c r="U23"/>
  <c r="U22"/>
  <c r="V26"/>
  <c r="O5"/>
  <c r="O6"/>
  <c r="O7"/>
  <c r="O8"/>
  <c r="O3"/>
  <c r="B113"/>
  <c r="Z93"/>
  <c r="Z91"/>
  <c r="Z90"/>
  <c r="O74"/>
  <c r="O73"/>
  <c r="O72"/>
  <c r="V52"/>
  <c r="V51"/>
  <c r="V50"/>
  <c r="V49"/>
  <c r="V48"/>
  <c r="V25"/>
  <c r="V24"/>
  <c r="V23"/>
  <c r="V22"/>
  <c r="P9"/>
  <c r="P7"/>
  <c r="P6"/>
  <c r="P5"/>
  <c r="M44" i="16"/>
  <c r="T19"/>
  <c r="M3"/>
  <c r="O62" i="5"/>
  <c r="J51"/>
  <c r="L34"/>
  <c r="O15"/>
  <c r="I3"/>
  <c r="U69" i="7"/>
  <c r="I57"/>
  <c r="N39"/>
  <c r="N19"/>
  <c r="L3"/>
  <c r="N69" i="15"/>
  <c r="J57"/>
  <c r="M43"/>
  <c r="S19"/>
  <c r="N3"/>
  <c r="P64" i="10"/>
  <c r="M50"/>
  <c r="O34"/>
  <c r="O16"/>
  <c r="M3"/>
  <c r="U52" i="13"/>
  <c r="Q34"/>
  <c r="O17"/>
  <c r="M3"/>
  <c r="K73" i="12"/>
  <c r="Q51"/>
  <c r="M35"/>
  <c r="P17"/>
  <c r="L3"/>
  <c r="M66" i="11"/>
  <c r="K53"/>
  <c r="M3"/>
  <c r="O17"/>
  <c r="Q34"/>
  <c r="E98" i="21"/>
  <c r="C97"/>
  <c r="C98"/>
  <c r="F98"/>
  <c r="G97"/>
  <c r="G98"/>
  <c r="V78"/>
  <c r="V81"/>
  <c r="V82"/>
  <c r="F100" i="20"/>
  <c r="G100"/>
  <c r="E101"/>
  <c r="C100"/>
  <c r="C101"/>
  <c r="F101"/>
  <c r="G101"/>
  <c r="P83"/>
  <c r="P85"/>
  <c r="P86"/>
  <c r="D82" i="19"/>
  <c r="F81"/>
  <c r="F82"/>
  <c r="C81"/>
  <c r="C82"/>
  <c r="E82"/>
  <c r="P68"/>
  <c r="P69"/>
  <c r="P70"/>
  <c r="E114" i="18"/>
  <c r="C113"/>
  <c r="C114"/>
  <c r="D113"/>
  <c r="D114"/>
  <c r="G114"/>
  <c r="P8"/>
  <c r="V27"/>
  <c r="Z88"/>
  <c r="Z89"/>
  <c r="Z92"/>
  <c r="I96" i="16"/>
  <c r="H96"/>
  <c r="G96"/>
  <c r="F96"/>
  <c r="E96"/>
  <c r="K96"/>
  <c r="D87" i="15"/>
  <c r="S75" i="16"/>
  <c r="S77"/>
  <c r="S78"/>
  <c r="S82"/>
  <c r="M62"/>
  <c r="M63"/>
  <c r="M60"/>
  <c r="S31" i="4"/>
  <c r="O14"/>
  <c r="K3"/>
  <c r="M53"/>
  <c r="L86"/>
  <c r="K79" i="5"/>
  <c r="L92" i="7"/>
  <c r="K82" i="17"/>
  <c r="I82"/>
  <c r="H82"/>
  <c r="F82"/>
  <c r="E82"/>
  <c r="N16"/>
  <c r="N18"/>
  <c r="N19"/>
  <c r="N22"/>
  <c r="N56"/>
  <c r="N52"/>
  <c r="N53"/>
  <c r="N54"/>
  <c r="N50"/>
  <c r="M33"/>
  <c r="M34"/>
  <c r="M37"/>
  <c r="M31"/>
  <c r="N36"/>
  <c r="M71"/>
  <c r="M70"/>
  <c r="M68"/>
  <c r="M67"/>
  <c r="M65"/>
  <c r="J8"/>
  <c r="J6"/>
  <c r="J5"/>
  <c r="J3"/>
  <c r="B82"/>
  <c r="K84"/>
  <c r="H83"/>
  <c r="G83"/>
  <c r="N70"/>
  <c r="N69"/>
  <c r="O56"/>
  <c r="O55"/>
  <c r="O54"/>
  <c r="O53"/>
  <c r="O52"/>
  <c r="N37"/>
  <c r="N35"/>
  <c r="N34"/>
  <c r="N33"/>
  <c r="O22"/>
  <c r="O21"/>
  <c r="O20"/>
  <c r="O19"/>
  <c r="O18"/>
  <c r="K8"/>
  <c r="K7"/>
  <c r="K6"/>
  <c r="K5"/>
  <c r="M46" i="16"/>
  <c r="M47"/>
  <c r="M49"/>
  <c r="N49"/>
  <c r="T21"/>
  <c r="T22"/>
  <c r="T23"/>
  <c r="T25"/>
  <c r="S24" i="15"/>
  <c r="M5" i="16"/>
  <c r="M6"/>
  <c r="M7"/>
  <c r="M8"/>
  <c r="N5"/>
  <c r="N6"/>
  <c r="N7"/>
  <c r="N8"/>
  <c r="N9"/>
  <c r="U21"/>
  <c r="U22"/>
  <c r="U23"/>
  <c r="U24"/>
  <c r="U25"/>
  <c r="N46"/>
  <c r="N47"/>
  <c r="N48"/>
  <c r="N50"/>
  <c r="N62"/>
  <c r="N63"/>
  <c r="N64"/>
  <c r="T77"/>
  <c r="T78"/>
  <c r="T79"/>
  <c r="T80"/>
  <c r="T81"/>
  <c r="T82"/>
  <c r="T83"/>
  <c r="B96"/>
  <c r="K98"/>
  <c r="C96"/>
  <c r="D96"/>
  <c r="C97"/>
  <c r="D97"/>
  <c r="E97"/>
  <c r="F97"/>
  <c r="G97"/>
  <c r="H97"/>
  <c r="I97"/>
  <c r="G87" i="15"/>
  <c r="E87"/>
  <c r="N71"/>
  <c r="N72"/>
  <c r="N77"/>
  <c r="O76"/>
  <c r="O75"/>
  <c r="J59"/>
  <c r="J60"/>
  <c r="K62"/>
  <c r="M46"/>
  <c r="M45"/>
  <c r="N48"/>
  <c r="S21"/>
  <c r="S22"/>
  <c r="S23"/>
  <c r="H87"/>
  <c r="S25"/>
  <c r="N5"/>
  <c r="N6"/>
  <c r="N8"/>
  <c r="F87"/>
  <c r="N9"/>
  <c r="O9"/>
  <c r="O8"/>
  <c r="O5"/>
  <c r="O6"/>
  <c r="O7"/>
  <c r="T21"/>
  <c r="T22"/>
  <c r="T23"/>
  <c r="T24"/>
  <c r="T25"/>
  <c r="N45"/>
  <c r="N46"/>
  <c r="N47"/>
  <c r="K59"/>
  <c r="K60"/>
  <c r="K61"/>
  <c r="O71"/>
  <c r="O72"/>
  <c r="O73"/>
  <c r="O74"/>
  <c r="O77"/>
  <c r="B87"/>
  <c r="H88"/>
  <c r="G88"/>
  <c r="C87"/>
  <c r="I87"/>
  <c r="C88"/>
  <c r="D88"/>
  <c r="E88"/>
  <c r="I88"/>
  <c r="F81" i="10"/>
  <c r="E81"/>
  <c r="P66"/>
  <c r="P67"/>
  <c r="P70"/>
  <c r="Q69"/>
  <c r="Q39" i="13"/>
  <c r="R39"/>
  <c r="Q54" i="12"/>
  <c r="Q56"/>
  <c r="Q58"/>
  <c r="B86"/>
  <c r="F86"/>
  <c r="E86"/>
  <c r="E87"/>
  <c r="F87"/>
  <c r="G87"/>
  <c r="H86" i="4"/>
  <c r="T37"/>
  <c r="T36"/>
  <c r="S38"/>
  <c r="S34"/>
  <c r="S33"/>
  <c r="O20"/>
  <c r="O16"/>
  <c r="O17"/>
  <c r="O19"/>
  <c r="K5"/>
  <c r="K6"/>
  <c r="O70"/>
  <c r="G81" i="11"/>
  <c r="F81"/>
  <c r="Q36"/>
  <c r="Q37"/>
  <c r="R40"/>
  <c r="R39"/>
  <c r="K55"/>
  <c r="K56"/>
  <c r="M68"/>
  <c r="M69"/>
  <c r="M70"/>
  <c r="H81"/>
  <c r="O19"/>
  <c r="O20"/>
  <c r="O22"/>
  <c r="M5"/>
  <c r="M6"/>
  <c r="K76" i="12"/>
  <c r="D86"/>
  <c r="D87"/>
  <c r="K75"/>
  <c r="C86"/>
  <c r="C87"/>
  <c r="L77"/>
  <c r="Q53"/>
  <c r="R57"/>
  <c r="R56"/>
  <c r="R58"/>
  <c r="R55"/>
  <c r="R54"/>
  <c r="R53"/>
  <c r="M37"/>
  <c r="M38"/>
  <c r="P19"/>
  <c r="P20"/>
  <c r="P23"/>
  <c r="H86"/>
  <c r="H87"/>
  <c r="L6"/>
  <c r="L5"/>
  <c r="L80" i="13"/>
  <c r="O23"/>
  <c r="G88"/>
  <c r="F88"/>
  <c r="U57"/>
  <c r="E88"/>
  <c r="L79"/>
  <c r="Q37"/>
  <c r="U55"/>
  <c r="O20"/>
  <c r="M6"/>
  <c r="D88"/>
  <c r="L78"/>
  <c r="Q36"/>
  <c r="U54"/>
  <c r="O19"/>
  <c r="M5"/>
  <c r="C88"/>
  <c r="B88"/>
  <c r="N5"/>
  <c r="N6"/>
  <c r="N7"/>
  <c r="P19"/>
  <c r="P20"/>
  <c r="P21"/>
  <c r="P22"/>
  <c r="P23"/>
  <c r="V54"/>
  <c r="V55"/>
  <c r="V56"/>
  <c r="V57"/>
  <c r="V58"/>
  <c r="R36"/>
  <c r="R37"/>
  <c r="R38"/>
  <c r="M78"/>
  <c r="M79"/>
  <c r="M80"/>
  <c r="C89"/>
  <c r="D89"/>
  <c r="E89"/>
  <c r="F89"/>
  <c r="G89"/>
  <c r="M5" i="12"/>
  <c r="M6"/>
  <c r="M7"/>
  <c r="Q19"/>
  <c r="Q20"/>
  <c r="Q21"/>
  <c r="Q22"/>
  <c r="Q23"/>
  <c r="N37"/>
  <c r="N38"/>
  <c r="N39"/>
  <c r="N40"/>
  <c r="L75"/>
  <c r="L76"/>
  <c r="L78"/>
  <c r="L79"/>
  <c r="N5" i="11"/>
  <c r="N6"/>
  <c r="N7"/>
  <c r="P19"/>
  <c r="P20"/>
  <c r="P21"/>
  <c r="P22"/>
  <c r="L55"/>
  <c r="L56"/>
  <c r="L57"/>
  <c r="L58"/>
  <c r="R36"/>
  <c r="R37"/>
  <c r="R38"/>
  <c r="R41"/>
  <c r="N68"/>
  <c r="N69"/>
  <c r="N70"/>
  <c r="B81"/>
  <c r="H82"/>
  <c r="C81"/>
  <c r="D81"/>
  <c r="C82"/>
  <c r="D82"/>
  <c r="E82"/>
  <c r="F82"/>
  <c r="G82"/>
  <c r="B81" i="10"/>
  <c r="M54"/>
  <c r="M7"/>
  <c r="G81"/>
  <c r="O37"/>
  <c r="M53"/>
  <c r="O19"/>
  <c r="M6"/>
  <c r="D81"/>
  <c r="O36"/>
  <c r="M52"/>
  <c r="O18"/>
  <c r="M5"/>
  <c r="C81"/>
  <c r="M57" i="4"/>
  <c r="G86"/>
  <c r="O74"/>
  <c r="O72"/>
  <c r="C86"/>
  <c r="O73"/>
  <c r="D86"/>
  <c r="O75"/>
  <c r="J86"/>
  <c r="O65" i="5"/>
  <c r="O64"/>
  <c r="M59" i="4"/>
  <c r="M56"/>
  <c r="M55"/>
  <c r="N59"/>
  <c r="N54" i="10"/>
  <c r="N53"/>
  <c r="N52"/>
  <c r="N5"/>
  <c r="N6"/>
  <c r="N7"/>
  <c r="P18"/>
  <c r="P19"/>
  <c r="P20"/>
  <c r="P21"/>
  <c r="P22"/>
  <c r="P36"/>
  <c r="P37"/>
  <c r="P38"/>
  <c r="Q66"/>
  <c r="Q67"/>
  <c r="Q68"/>
  <c r="Q70"/>
  <c r="C82"/>
  <c r="D82"/>
  <c r="E82"/>
  <c r="F82"/>
  <c r="G82"/>
  <c r="U78" i="7"/>
  <c r="N45"/>
  <c r="N27"/>
  <c r="L8"/>
  <c r="J92"/>
  <c r="U72"/>
  <c r="N42"/>
  <c r="I60"/>
  <c r="N22"/>
  <c r="L6"/>
  <c r="D92"/>
  <c r="B92"/>
  <c r="L94"/>
  <c r="D93"/>
  <c r="E92"/>
  <c r="E93"/>
  <c r="F92"/>
  <c r="F93"/>
  <c r="U74"/>
  <c r="N24"/>
  <c r="G92"/>
  <c r="G93"/>
  <c r="H93"/>
  <c r="I92"/>
  <c r="I93"/>
  <c r="J93"/>
  <c r="U71"/>
  <c r="N41"/>
  <c r="I59"/>
  <c r="N21"/>
  <c r="L5"/>
  <c r="C92"/>
  <c r="V72"/>
  <c r="V73"/>
  <c r="V74"/>
  <c r="V75"/>
  <c r="V76"/>
  <c r="V77"/>
  <c r="V78"/>
  <c r="V71"/>
  <c r="O44"/>
  <c r="J62"/>
  <c r="O25"/>
  <c r="O24"/>
  <c r="O23"/>
  <c r="O22"/>
  <c r="O21"/>
  <c r="O27"/>
  <c r="O26"/>
  <c r="M5"/>
  <c r="M6"/>
  <c r="M7"/>
  <c r="M8"/>
  <c r="J59"/>
  <c r="J60"/>
  <c r="J61"/>
  <c r="J63"/>
  <c r="O41"/>
  <c r="O42"/>
  <c r="O43"/>
  <c r="O45"/>
  <c r="C93"/>
  <c r="B86" i="4"/>
  <c r="L88"/>
  <c r="I87"/>
  <c r="H87"/>
  <c r="F87"/>
  <c r="E87"/>
  <c r="P75"/>
  <c r="P74"/>
  <c r="P73"/>
  <c r="P72"/>
  <c r="T38"/>
  <c r="T35"/>
  <c r="T34"/>
  <c r="T33"/>
  <c r="N58"/>
  <c r="N57"/>
  <c r="N56"/>
  <c r="N55"/>
  <c r="P20"/>
  <c r="P19"/>
  <c r="P18"/>
  <c r="P17"/>
  <c r="P16"/>
  <c r="L7"/>
  <c r="L6"/>
  <c r="L5"/>
  <c r="L36" i="5"/>
  <c r="J53"/>
  <c r="O17"/>
  <c r="I5"/>
  <c r="C79"/>
  <c r="L37"/>
  <c r="J54"/>
  <c r="O18"/>
  <c r="I6"/>
  <c r="D79"/>
  <c r="O67"/>
  <c r="L39"/>
  <c r="O21"/>
  <c r="I79"/>
  <c r="G79"/>
  <c r="B79"/>
  <c r="K81"/>
  <c r="H80"/>
  <c r="P67"/>
  <c r="P66"/>
  <c r="P65"/>
  <c r="P64"/>
  <c r="M39"/>
  <c r="M38"/>
  <c r="J5"/>
  <c r="J6"/>
  <c r="J7"/>
  <c r="J8"/>
  <c r="P17"/>
  <c r="P18"/>
  <c r="P19"/>
  <c r="P20"/>
  <c r="P21"/>
  <c r="K53"/>
  <c r="K54"/>
  <c r="K55"/>
  <c r="K56"/>
  <c r="M36"/>
  <c r="M37"/>
  <c r="C80"/>
  <c r="D80"/>
  <c r="E80"/>
  <c r="F80"/>
  <c r="G80"/>
  <c r="I80"/>
  <c r="C82" i="17"/>
  <c r="C83"/>
  <c r="D82"/>
  <c r="D83"/>
  <c r="I83"/>
  <c r="N67"/>
  <c r="N68"/>
  <c r="N71"/>
  <c r="E83"/>
  <c r="F83"/>
  <c r="F88" i="15"/>
  <c r="J87" i="4"/>
  <c r="D87"/>
  <c r="C87"/>
  <c r="G87"/>
</calcChain>
</file>

<file path=xl/sharedStrings.xml><?xml version="1.0" encoding="utf-8"?>
<sst xmlns="http://schemas.openxmlformats.org/spreadsheetml/2006/main" count="4463" uniqueCount="880">
  <si>
    <t>Candidate</t>
  </si>
  <si>
    <t>Party</t>
  </si>
  <si>
    <t>Count 1</t>
  </si>
  <si>
    <t>FG</t>
  </si>
  <si>
    <t>1st</t>
  </si>
  <si>
    <t>Turnout</t>
  </si>
  <si>
    <t>FF</t>
  </si>
  <si>
    <t>2nd</t>
  </si>
  <si>
    <t>Votes</t>
  </si>
  <si>
    <t>Share</t>
  </si>
  <si>
    <t>Seats</t>
  </si>
  <si>
    <t>3rd</t>
  </si>
  <si>
    <t>4th</t>
  </si>
  <si>
    <t>Oth</t>
  </si>
  <si>
    <t>6th</t>
  </si>
  <si>
    <t>5th</t>
  </si>
  <si>
    <t>7th</t>
  </si>
  <si>
    <t>Lab</t>
  </si>
  <si>
    <t>Total</t>
  </si>
  <si>
    <t>SF</t>
  </si>
  <si>
    <t>PD</t>
  </si>
  <si>
    <t>Joe Callanan*</t>
  </si>
  <si>
    <t>Michael Mullins*</t>
  </si>
  <si>
    <t>James Joyce</t>
  </si>
  <si>
    <t>Tomas Mannion</t>
  </si>
  <si>
    <t>Pat O'Sullivan*</t>
  </si>
  <si>
    <t>Michael Finnerty*</t>
  </si>
  <si>
    <t>John Molloy</t>
  </si>
  <si>
    <t>Ind</t>
  </si>
  <si>
    <t>Dermot Connolly</t>
  </si>
  <si>
    <t>-</t>
  </si>
  <si>
    <t>Tuam (7 seats) Total Electorate: 25,351 Total Poll: 15,377 Valid Poll: 15,105 Quota: 1,889</t>
  </si>
  <si>
    <t>Paul Connaughton*</t>
  </si>
  <si>
    <t>Kathleen Quinn*</t>
  </si>
  <si>
    <t>Paddy McHugh*</t>
  </si>
  <si>
    <t>Tom McHugh</t>
  </si>
  <si>
    <t>Tiarnan Walsh*</t>
  </si>
  <si>
    <t>Joe Burke*</t>
  </si>
  <si>
    <t>Michael Connolly</t>
  </si>
  <si>
    <t>Tom Reilly</t>
  </si>
  <si>
    <t>Pete Roche</t>
  </si>
  <si>
    <t>Colm Keaveney</t>
  </si>
  <si>
    <t>Tom Meehan</t>
  </si>
  <si>
    <t>John Brogan</t>
  </si>
  <si>
    <t>Bartley Furey</t>
  </si>
  <si>
    <t>Sean Hehir</t>
  </si>
  <si>
    <t>Oranmore (4 seats) Total Electorate: 15,503 Total Poll:8,406 Valid Poll: 8,332 Quota: 1,667</t>
  </si>
  <si>
    <t>Jarlath McDonagh*</t>
  </si>
  <si>
    <t>Noel Grealish</t>
  </si>
  <si>
    <t>Mary Hoade</t>
  </si>
  <si>
    <t>Tim Rabbitt</t>
  </si>
  <si>
    <t>Kathleen Carey</t>
  </si>
  <si>
    <t>Enda O'Rourke</t>
  </si>
  <si>
    <t>Loughrea (7 seats) Total Electorate: 23,845 Total Poll: 14,627 Valid Poll: 14,350 Quota: 1,794</t>
  </si>
  <si>
    <t>Michael Fahy*</t>
  </si>
  <si>
    <t>Ulick Burke*</t>
  </si>
  <si>
    <t>Jimmy McClearn*</t>
  </si>
  <si>
    <t>Michael Cunningham*</t>
  </si>
  <si>
    <t>Michael Regan*</t>
  </si>
  <si>
    <t>Matt Loughnane*</t>
  </si>
  <si>
    <t>Pat Hynes</t>
  </si>
  <si>
    <t>Willie Burke*</t>
  </si>
  <si>
    <t>Peter Feeney</t>
  </si>
  <si>
    <t>Joe Monaghan</t>
  </si>
  <si>
    <t>Walter Burke</t>
  </si>
  <si>
    <t>P.J. Baldwin</t>
  </si>
  <si>
    <t>Donal Healy</t>
  </si>
  <si>
    <t>Connemara (7 seats) Total Electorate: 25,628 Total Poll: 12,862 Valid Poll: 12,587 Quota: 1,574</t>
  </si>
  <si>
    <t>J.J. Mannion</t>
  </si>
  <si>
    <t>Seamus Gavin*</t>
  </si>
  <si>
    <t>Josie Conneely*</t>
  </si>
  <si>
    <t>Seamus Walsh</t>
  </si>
  <si>
    <t>Tom Welby</t>
  </si>
  <si>
    <t>Pierce O'Malley</t>
  </si>
  <si>
    <t>RSF</t>
  </si>
  <si>
    <t>Eithne Nic Dhonnchadha</t>
  </si>
  <si>
    <t>Eamonn McLoughlin</t>
  </si>
  <si>
    <t>Eamonn Mylotte</t>
  </si>
  <si>
    <t>Paul Stewart</t>
  </si>
  <si>
    <t>2004 (11 June) - Ballinasloe (5 seats) Total Electorate: 18,346 Total Poll: 11.622 Valid Poll: 11,420 Quota: 1,904</t>
  </si>
  <si>
    <t>Tomas Mannion*</t>
  </si>
  <si>
    <t>James Joyce*</t>
  </si>
  <si>
    <t>Joe Tierney</t>
  </si>
  <si>
    <t>Padraig McGann</t>
  </si>
  <si>
    <t>Martin Gormally*</t>
  </si>
  <si>
    <t>Michael Kilgannon</t>
  </si>
  <si>
    <t>Johnny Walsh</t>
  </si>
  <si>
    <t>Anne Ruane Devilly</t>
  </si>
  <si>
    <t>Ann Marie Kelly</t>
  </si>
  <si>
    <t>Tuam (7 seats) Total Electorate: 28,853 Total Poll: 18,397 Valid Poll: 18,114 Quota: 2,265</t>
  </si>
  <si>
    <t>Sinead Connaughton*</t>
  </si>
  <si>
    <t>Tom McHugh*</t>
  </si>
  <si>
    <t>Michael Connolly*</t>
  </si>
  <si>
    <t>Sean Canney</t>
  </si>
  <si>
    <t>Patrick O'Brien</t>
  </si>
  <si>
    <t>Seamus Quinn*</t>
  </si>
  <si>
    <t>Pat Gilmore</t>
  </si>
  <si>
    <t>Pat Donnellan</t>
  </si>
  <si>
    <t>Caitlin Garvey</t>
  </si>
  <si>
    <t>Siobhan Nevin</t>
  </si>
  <si>
    <t>GP</t>
  </si>
  <si>
    <t>Oranmore (4 seats) Total Electorate: 19,286 Total Poll: 11,982 Valid Poll: 11,823 Quota: 2,365</t>
  </si>
  <si>
    <t>Mary Hoade*</t>
  </si>
  <si>
    <t>Jim Cuddy*</t>
  </si>
  <si>
    <t>Tim Rabbitt*</t>
  </si>
  <si>
    <t>Fidelma Healy-Eames</t>
  </si>
  <si>
    <t>Michael Carey</t>
  </si>
  <si>
    <t>David Collins</t>
  </si>
  <si>
    <t>Cillian Morris</t>
  </si>
  <si>
    <t>Loughrea (7 seats) Total Electorate: 28,098 Total Poll: 17,572 Valid Poll: 17,294 Quota: 2,162</t>
  </si>
  <si>
    <t>Pat Hynes*</t>
  </si>
  <si>
    <t>Bridie Willers</t>
  </si>
  <si>
    <t>Willie Burke</t>
  </si>
  <si>
    <t>Peter Feeney*</t>
  </si>
  <si>
    <t>Ciaran Cannon</t>
  </si>
  <si>
    <t>Moira Coen</t>
  </si>
  <si>
    <t>Adrian Cummins</t>
  </si>
  <si>
    <t>Gabriel Burke</t>
  </si>
  <si>
    <t>Adrian Feeney</t>
  </si>
  <si>
    <t>Eoghan MacCormaic</t>
  </si>
  <si>
    <t>Connemara (7 seats) Total Electorate: 28,882 Total Poll: 17,005 Valid Poll: 16,669 Quota: 2,084</t>
  </si>
  <si>
    <t>Joseph Joyce</t>
  </si>
  <si>
    <t>Ronan Conboy</t>
  </si>
  <si>
    <t>Diarmuid Mulcahy</t>
  </si>
  <si>
    <t>Caroline Uí Rainne</t>
  </si>
  <si>
    <t>Pam Conroy</t>
  </si>
  <si>
    <t>Michael Walsh</t>
  </si>
  <si>
    <t>Sean Kyne</t>
  </si>
  <si>
    <t>Pierce O'Malley*</t>
  </si>
  <si>
    <t>Eileen Mannion Mullen</t>
  </si>
  <si>
    <t>Connie Ní Flatharta*</t>
  </si>
  <si>
    <t>Seamus Walsh*</t>
  </si>
  <si>
    <t>Year</t>
  </si>
  <si>
    <t>CnaT</t>
  </si>
  <si>
    <t>CnaP</t>
  </si>
  <si>
    <t>WP</t>
  </si>
  <si>
    <t>1967 (28 June) - Ballinasloe (5 seats) Total Electorate: 13,055 Total Poll: 9,385 Valid Poll: 9,199 Quota: 1,534</t>
  </si>
  <si>
    <t>John Callanan</t>
  </si>
  <si>
    <t>Thomas Curley</t>
  </si>
  <si>
    <t>Maura Croffey</t>
  </si>
  <si>
    <t>John Kenny</t>
  </si>
  <si>
    <t>Luke Nolan</t>
  </si>
  <si>
    <t>Tom Clarke</t>
  </si>
  <si>
    <t>Tom McQuinn</t>
  </si>
  <si>
    <t>Martin Coyne</t>
  </si>
  <si>
    <t>Paddy Hastings</t>
  </si>
  <si>
    <t>John Donnellan</t>
  </si>
  <si>
    <t>Joe O'Shaughnessy</t>
  </si>
  <si>
    <t>Tony Mongan</t>
  </si>
  <si>
    <t>Tim Joyce</t>
  </si>
  <si>
    <t>John Sirr</t>
  </si>
  <si>
    <t>Paddy Cunningham</t>
  </si>
  <si>
    <t>Peter Raftery</t>
  </si>
  <si>
    <t>Mark Killilea</t>
  </si>
  <si>
    <t>Jarlath McDonagh</t>
  </si>
  <si>
    <t>Seamus Gavin</t>
  </si>
  <si>
    <t>Paddy McHugh</t>
  </si>
  <si>
    <t>Padraig McCormack</t>
  </si>
  <si>
    <t>Evelyn Varley</t>
  </si>
  <si>
    <t>Murty McGrath</t>
  </si>
  <si>
    <t>Marie Halliday</t>
  </si>
  <si>
    <t>Tom Curran</t>
  </si>
  <si>
    <t>John Cunningham</t>
  </si>
  <si>
    <t>Patsy Clancy</t>
  </si>
  <si>
    <t>Connie Ní Flatharta</t>
  </si>
  <si>
    <t>Michael O'Neill</t>
  </si>
  <si>
    <t>Jimmy Geoghegan</t>
  </si>
  <si>
    <t>Malachy King</t>
  </si>
  <si>
    <t>Erin Gibbons</t>
  </si>
  <si>
    <t>Joe Molloy</t>
  </si>
  <si>
    <t>Oughterard (5 seats) Total Electorate: 12,464 Total Poll: 8,146 Valid Poll: 8,033 Quota: 1,340</t>
  </si>
  <si>
    <t>John Mannion*</t>
  </si>
  <si>
    <t>1974 (18 June) - Ballinasloe (5 seats) Total Electorate: 14,265 Total Poll: 10,089 Valid Poll: 9,850 Quota: 1,642</t>
  </si>
  <si>
    <t>John Callanan*</t>
  </si>
  <si>
    <t>Michael Kitt*</t>
  </si>
  <si>
    <t>Patrick Galvin*</t>
  </si>
  <si>
    <t>Maura Croffey*</t>
  </si>
  <si>
    <t>Joseph McEvoy</t>
  </si>
  <si>
    <t>Patrick Reilly</t>
  </si>
  <si>
    <t>Norman Morgan</t>
  </si>
  <si>
    <t>Tuam (7 seats) Total Electorate: 19,719 Total Poll: 14,782 Valid Poll: 14,610 Quota: 1,827</t>
  </si>
  <si>
    <t>Thomas Hussey*</t>
  </si>
  <si>
    <t>John Donnellan*</t>
  </si>
  <si>
    <t>Mark Killilea*</t>
  </si>
  <si>
    <t>Michael Ryan*</t>
  </si>
  <si>
    <t>Peter Raftery*</t>
  </si>
  <si>
    <t>Frank Glynn*</t>
  </si>
  <si>
    <t>Miko Kelly</t>
  </si>
  <si>
    <t>Paddy Cunningham*</t>
  </si>
  <si>
    <t>James O'Mara</t>
  </si>
  <si>
    <t>Harold Campbell</t>
  </si>
  <si>
    <t>Bobby Molloy</t>
  </si>
  <si>
    <t>Michael D. Higgins</t>
  </si>
  <si>
    <t>Fintan Coogan*</t>
  </si>
  <si>
    <t>Patrick Ruane*</t>
  </si>
  <si>
    <t>John Molloy*</t>
  </si>
  <si>
    <t>Thomas Welby</t>
  </si>
  <si>
    <t>Paddy Dempsey</t>
  </si>
  <si>
    <t>Jim Kyne</t>
  </si>
  <si>
    <t>Sean Donnellan*</t>
  </si>
  <si>
    <t>Brendan Holland*</t>
  </si>
  <si>
    <t>Jim Doolan</t>
  </si>
  <si>
    <t>Padraic Conneely</t>
  </si>
  <si>
    <t>Murtagh Rabbitt</t>
  </si>
  <si>
    <t>Stephen Deveney</t>
  </si>
  <si>
    <t>Paschal Walsh</t>
  </si>
  <si>
    <t>Jimmy Brick</t>
  </si>
  <si>
    <t>OSF</t>
  </si>
  <si>
    <t>Sean Meade</t>
  </si>
  <si>
    <t>8th</t>
  </si>
  <si>
    <t>9th</t>
  </si>
  <si>
    <t>Frank Fahey*</t>
  </si>
  <si>
    <t>Eddie Haverty*</t>
  </si>
  <si>
    <t>Toddie Byrne*</t>
  </si>
  <si>
    <t>Ulick Burke</t>
  </si>
  <si>
    <t>Tony Murphy</t>
  </si>
  <si>
    <t>Hugh Melvin</t>
  </si>
  <si>
    <t>Hugh Melvin*</t>
  </si>
  <si>
    <t>Peter Bourke</t>
  </si>
  <si>
    <t>Sean Cunningham</t>
  </si>
  <si>
    <t>Martin Foy</t>
  </si>
  <si>
    <t>Paul Waldron</t>
  </si>
  <si>
    <t>John Murray</t>
  </si>
  <si>
    <t>Sean Kelly</t>
  </si>
  <si>
    <t>Tony Coffey</t>
  </si>
  <si>
    <t>Loughrea (6 seats) Total Electorate: 19,907 Total Poll: 14,102 Valid Poll: 13,933 Quota: 1,991</t>
  </si>
  <si>
    <t>Connemara (4 seats) Total Electorate:  Total Poll: 8,176 Valid Poll: 8,041 Quota: 1,609</t>
  </si>
  <si>
    <t>Gerald Bartley</t>
  </si>
  <si>
    <t>Micheal O'Flaherty</t>
  </si>
  <si>
    <t>Seamus Kyne*</t>
  </si>
  <si>
    <t>Joseph Molloy</t>
  </si>
  <si>
    <t>Michael Laffey</t>
  </si>
  <si>
    <t>1979 (7 June) - Ballinasloe (5 seats) Total Electorate: 14,861 Total Poll: 10,558 Valid Poll: 10,406 Quota: 1,734</t>
  </si>
  <si>
    <t>Joe Brennan</t>
  </si>
  <si>
    <t>Michael Kilgannon*</t>
  </si>
  <si>
    <t>Michael Mullins</t>
  </si>
  <si>
    <t>Patsy Geraghty</t>
  </si>
  <si>
    <t>Joe McKeigue</t>
  </si>
  <si>
    <t>John Kelleher</t>
  </si>
  <si>
    <t>Tuam (7 seats) Total Electorate: 20,427 Total Poll: 15,092 Valid Poll: 14,904 Quota: 1,867</t>
  </si>
  <si>
    <t>Paul Connaughton</t>
  </si>
  <si>
    <t>Patrick Finnegan</t>
  </si>
  <si>
    <t>Joe Burke</t>
  </si>
  <si>
    <t>Michael Dunne</t>
  </si>
  <si>
    <t>Miko Kelly*</t>
  </si>
  <si>
    <t>Jarlath Keane</t>
  </si>
  <si>
    <t>Kevin Dwyer</t>
  </si>
  <si>
    <t>P.M. Stapleton*</t>
  </si>
  <si>
    <t>Loughrea (6 seats) Total Electorate: 20,629 Total Poll: 14,391 Valid Poll: 14,199 Quota: 2,029</t>
  </si>
  <si>
    <t>Michael Fahy</t>
  </si>
  <si>
    <t>Norman Morgan*</t>
  </si>
  <si>
    <t>Cyril Farrell</t>
  </si>
  <si>
    <t>Martin Lynch</t>
  </si>
  <si>
    <t>Brendan Madden</t>
  </si>
  <si>
    <t>T.R. Kelly</t>
  </si>
  <si>
    <t>Michael D. Higgins*</t>
  </si>
  <si>
    <t>Padraig McCormack*</t>
  </si>
  <si>
    <t>Thomas Welby*</t>
  </si>
  <si>
    <t>Pol O'Foighil</t>
  </si>
  <si>
    <t>Paddy Dempsey*</t>
  </si>
  <si>
    <t>Frank Kenny</t>
  </si>
  <si>
    <t>SFWP</t>
  </si>
  <si>
    <t>Nicholas Byrnes</t>
  </si>
  <si>
    <t>Tom Hannigan</t>
  </si>
  <si>
    <t>Peter Kenny</t>
  </si>
  <si>
    <t>Galway (9 seats) Total Electorate: 43,087 Total Poll: 24,419 Valid Poll: 24,010 Quota: 2,402</t>
  </si>
  <si>
    <t>Galway (9 seats) Total Electorate: 36,687 Total Poll: 20,666 Valid Poll: 19,903 Quota: 1,991</t>
  </si>
  <si>
    <t>Nicholas O'Connor</t>
  </si>
  <si>
    <t>Gerald Bartley*</t>
  </si>
  <si>
    <t>John O'Malley</t>
  </si>
  <si>
    <t>Padraig De Bhaldraithe</t>
  </si>
  <si>
    <t>Caoimhin MacCathmhaoil</t>
  </si>
  <si>
    <t>Connemara (4 seats) Total Electorate: 13,956 Total Poll: 8,318 Valid Poll: 8,150 Quota: 1,631</t>
  </si>
  <si>
    <t>1985 (20 June) - Ballinasloe (5 seats) Total Electorate: 15,563 Total Poll: 11,228 Valid Poll: 11,055 Quota: 1,843</t>
  </si>
  <si>
    <t>Joe Brennan*</t>
  </si>
  <si>
    <t>Michael Conneely</t>
  </si>
  <si>
    <t>Patrick O'Sullivan</t>
  </si>
  <si>
    <t>Liam Naughton</t>
  </si>
  <si>
    <t>Peter Conroy</t>
  </si>
  <si>
    <t>Sean Óg Hurley</t>
  </si>
  <si>
    <t>Tuam (7 seats) Total Electorate: 19,860 Total Poll: 14,160 Valid Poll: 13,979 Quota: 1,748</t>
  </si>
  <si>
    <t>Thomas Hussey</t>
  </si>
  <si>
    <t>Patrick Finnegan*</t>
  </si>
  <si>
    <t>Tiarnan Walsh</t>
  </si>
  <si>
    <t>Jim Mannion</t>
  </si>
  <si>
    <t>Clarke Kilgarriff-Fitzgerald</t>
  </si>
  <si>
    <t>Niall Joyce</t>
  </si>
  <si>
    <t>Gerard Rushe</t>
  </si>
  <si>
    <t>Galway (6 seats) Total Electorate: 17,220 Total Poll: 9,910 Valid Poll: 9,803 Quota: 1,401</t>
  </si>
  <si>
    <t>Liam MacCana</t>
  </si>
  <si>
    <t>Michael Kitt</t>
  </si>
  <si>
    <t>Loughrea (7 seats) Total Electorate: 22,507 Total Poll: 16,163 Valid Poll: 15,998 Quota: 2,000</t>
  </si>
  <si>
    <t>Noel Treacy</t>
  </si>
  <si>
    <t>Tony Murphy*</t>
  </si>
  <si>
    <t>Matt Loughnane</t>
  </si>
  <si>
    <t>Joe Lambert</t>
  </si>
  <si>
    <t>Jim McClearn</t>
  </si>
  <si>
    <t>Michael Loughrey</t>
  </si>
  <si>
    <t>Stan MacEoin</t>
  </si>
  <si>
    <t>Peter O'Driscoll</t>
  </si>
  <si>
    <t>Toddie Byrne</t>
  </si>
  <si>
    <t>Eddie Haverty</t>
  </si>
  <si>
    <t>Nicholas O'Connor*</t>
  </si>
  <si>
    <t>Paddy Clancy</t>
  </si>
  <si>
    <t>Eamonn Moylotte</t>
  </si>
  <si>
    <t>Connemara (5 seats) Total Electorate: 15,670 Total Poll: 9,378 Valid Poll: 9,224 Quota: 1,538</t>
  </si>
  <si>
    <t>Noel MacDonnchadha</t>
  </si>
  <si>
    <t>Christopher Walsh</t>
  </si>
  <si>
    <t>Connemara (5 seats) Total Electorate: 14,706 Total Poll: 8,975 Valid Poll: 8,840 Quota: 1,474</t>
  </si>
  <si>
    <t>Michael Gorham</t>
  </si>
  <si>
    <t>Galway (6 seats) Total Electorate: 18,636 Total Poll: 10,925 Valid Poll: 10,814 Quota: 1,545</t>
  </si>
  <si>
    <t>1991 (27 June) - Ballinasloe (5 seats) Total Electorate: 15,564 Total Poll: 9,460 Valid Poll: 9,365 Quota: 1,562</t>
  </si>
  <si>
    <t>Michael Finnerty</t>
  </si>
  <si>
    <t>Pat O'Sullivan</t>
  </si>
  <si>
    <t>Tuam (7 seats) Total Electorate: 19,649 Total Poll: 13,199 Valid Poll: 13,066 Quota: 1,634</t>
  </si>
  <si>
    <t>T.J. Gormley</t>
  </si>
  <si>
    <t>Kathleen Quinn</t>
  </si>
  <si>
    <t>Tom Ward</t>
  </si>
  <si>
    <t>Loughrea (7 seats) Total Electorate: 22,731 Total Poll: 15,142 Valid Poll: 15,008 Quota: 1,877</t>
  </si>
  <si>
    <t>Jimmy McClearn</t>
  </si>
  <si>
    <t>Michael Regan</t>
  </si>
  <si>
    <t>Martin Lynch*</t>
  </si>
  <si>
    <t>Bernie O'Connor</t>
  </si>
  <si>
    <t>Michael Cunningham</t>
  </si>
  <si>
    <t>Michael Flanagan</t>
  </si>
  <si>
    <t>Justin Flannery</t>
  </si>
  <si>
    <t>Donal O'Meara</t>
  </si>
  <si>
    <t>Stan McEoin</t>
  </si>
  <si>
    <t>Malcolm Samuel</t>
  </si>
  <si>
    <t>Margaret Murphy</t>
  </si>
  <si>
    <t>John Glynn*</t>
  </si>
  <si>
    <t>Michael Carty*</t>
  </si>
  <si>
    <t>Joe Lambert*</t>
  </si>
  <si>
    <t>Frank Mullins*</t>
  </si>
  <si>
    <t>John Geoghegan*</t>
  </si>
  <si>
    <t>Joseph Ridge*</t>
  </si>
  <si>
    <t>William Burke*</t>
  </si>
  <si>
    <t>Tony Coughlan</t>
  </si>
  <si>
    <t>Anthony Dervan</t>
  </si>
  <si>
    <t>Michael Hickey</t>
  </si>
  <si>
    <t>Michael Dillon</t>
  </si>
  <si>
    <t>Patrick Fahy</t>
  </si>
  <si>
    <t>Tuam (8 seats) Total Electorate: 18,829 Total Poll: 13,956 Valid Poll: 13,814 Quota: 1,535</t>
  </si>
  <si>
    <t>Loughrea (6 seats) Total Electorate: 18,079 Total Poll: 13,171 Valid Poll: 13,012 Quota: 1,859</t>
  </si>
  <si>
    <t>Padraic Joyce*</t>
  </si>
  <si>
    <t>Galway (8 seats) Total Electorate: 25,431 Total Poll: 16,676 Valid Poll: 16,179 Quota: 2,023</t>
  </si>
  <si>
    <t>Patrick Ruane</t>
  </si>
  <si>
    <t>Brendan Holland</t>
  </si>
  <si>
    <t>CoC</t>
  </si>
  <si>
    <t>Michael Smyth</t>
  </si>
  <si>
    <t>Joe Higgins</t>
  </si>
  <si>
    <t>Gerard Kelly</t>
  </si>
  <si>
    <t>Martin J. Walsh</t>
  </si>
  <si>
    <t>1960 (30 June) - Ballinasloe (5 seats) Total Electorate: 13,181 Total Poll: 8,302 Valid Poll: 8,197 Quota: 1,367</t>
  </si>
  <si>
    <t>Anthony Millar</t>
  </si>
  <si>
    <t>Patrick Collins*</t>
  </si>
  <si>
    <t>Ger Cruise</t>
  </si>
  <si>
    <t>Patrick Tierney</t>
  </si>
  <si>
    <t>Charles Soden</t>
  </si>
  <si>
    <t>Tuam (8 seats) Total Electorate: 19,647 Total Poll: 12,972 Valid Poll: 12,832 Quota: 1,426</t>
  </si>
  <si>
    <t>John Flaherty*</t>
  </si>
  <si>
    <t>Peter Sirr*</t>
  </si>
  <si>
    <t>Martin Mannion*</t>
  </si>
  <si>
    <t>Patrick Patten</t>
  </si>
  <si>
    <t>Frank Glynn</t>
  </si>
  <si>
    <t>Luke O'Brien</t>
  </si>
  <si>
    <t>Vincent Keaveney</t>
  </si>
  <si>
    <t>Mark Wall*</t>
  </si>
  <si>
    <t>Michael Murray</t>
  </si>
  <si>
    <t>John Connolly</t>
  </si>
  <si>
    <t>James Donnellan*</t>
  </si>
  <si>
    <t>Christy Mannion</t>
  </si>
  <si>
    <t>Bernard Higgins</t>
  </si>
  <si>
    <t>Patrick Diskin</t>
  </si>
  <si>
    <t>Loughrea (6 seats) Total Electorate: 18,211 Total Poll: 10,575 Valid Poll: 10,457 Quota: 1,494</t>
  </si>
  <si>
    <t>Sean Canning</t>
  </si>
  <si>
    <t>Edward Haverty</t>
  </si>
  <si>
    <t>Thomas Hanley</t>
  </si>
  <si>
    <t>Oughterard (5 seats) Total Electorate: 12,757 Total Poll: 7,517 Valid Poll: 7,449 Quota: 1,242</t>
  </si>
  <si>
    <t>Patrick Gibbons</t>
  </si>
  <si>
    <t>Seamus Kyne</t>
  </si>
  <si>
    <t>Galway (7 seats) Total Electorate: 23,140 Total Poll: 13,169 Valid Poll: 12,828 Quota: 1,604</t>
  </si>
  <si>
    <t>T. Donnellan</t>
  </si>
  <si>
    <t>T. Monaghan</t>
  </si>
  <si>
    <t>J. Kyne</t>
  </si>
  <si>
    <t>Bartley Flaherty</t>
  </si>
  <si>
    <t>Margaret Ashe*</t>
  </si>
  <si>
    <t>Peter Greene*</t>
  </si>
  <si>
    <t>James Cox</t>
  </si>
  <si>
    <t>Fursa Breathnach</t>
  </si>
  <si>
    <t>Thomas Feeney</t>
  </si>
  <si>
    <t>Thomas Costello</t>
  </si>
  <si>
    <t>Thomas King*</t>
  </si>
  <si>
    <t>Robert Lahiffe*</t>
  </si>
  <si>
    <t>James Ruane*</t>
  </si>
  <si>
    <t>Sean Canning*</t>
  </si>
  <si>
    <t>Frank Mullins</t>
  </si>
  <si>
    <t>Thomas Hanley*</t>
  </si>
  <si>
    <t>Gerard Kelly*</t>
  </si>
  <si>
    <t>1955 (27 June) - Ballinasloe (5 seats) Total Electorate: 12,764 Total Poll: 9,615 Valid Poll: 9,480 Quota: 1,581</t>
  </si>
  <si>
    <t>John O'Dowd*</t>
  </si>
  <si>
    <t>James Hession</t>
  </si>
  <si>
    <t>John Fallon</t>
  </si>
  <si>
    <t>Thomas Lally</t>
  </si>
  <si>
    <t>Patrick McDonnell</t>
  </si>
  <si>
    <t>J. Kelly</t>
  </si>
  <si>
    <t>Martin Quinn*</t>
  </si>
  <si>
    <t>Tuam (8 seats) Total Electorate: 21,220 Total Poll: 14,602 Valid Poll: 14,431 Quota: 1,604</t>
  </si>
  <si>
    <t>Martin Kelly</t>
  </si>
  <si>
    <t>Michael Hannon</t>
  </si>
  <si>
    <t>Patrick Treacy</t>
  </si>
  <si>
    <t>James Donnellan</t>
  </si>
  <si>
    <t>Patrick Cunningham</t>
  </si>
  <si>
    <t>John Raftery</t>
  </si>
  <si>
    <t>Jarlath O'Connell</t>
  </si>
  <si>
    <t>Patrick Colleran</t>
  </si>
  <si>
    <t>Michael Nicholson*</t>
  </si>
  <si>
    <t>Stephen McDonagh</t>
  </si>
  <si>
    <t>James J. Nestor*</t>
  </si>
  <si>
    <t>Loughrea (6 seats) Total Electorate: 19,445 Total Poll: 12,689 Valid Poll: 12,518 Quota: 1,789</t>
  </si>
  <si>
    <t>Vincent Shields*</t>
  </si>
  <si>
    <t>James Layng</t>
  </si>
  <si>
    <t>Seamus O'Reilly</t>
  </si>
  <si>
    <t>Peter Fahy</t>
  </si>
  <si>
    <t>Thomas McNamara</t>
  </si>
  <si>
    <t>John Devine</t>
  </si>
  <si>
    <t>2009 (5 June) - Ballinasloe (5 seats) Total Electorate: 22,702 Total Poll: 13,828 Valid Poll: 13,633 Quota: 2,273</t>
  </si>
  <si>
    <t>Tim Broderick</t>
  </si>
  <si>
    <t>John Goode</t>
  </si>
  <si>
    <t>Clare Flynn</t>
  </si>
  <si>
    <t>CSP</t>
  </si>
  <si>
    <t>Dermot Connolly*</t>
  </si>
  <si>
    <t>Connemara (7 seats) Total Electorate: 30,414 Total Poll: 16,760 Valid Poll: 16,404 Quota: 2,059</t>
  </si>
  <si>
    <t>Sean Kyne*</t>
  </si>
  <si>
    <t>Tom Welby*</t>
  </si>
  <si>
    <t>Eileen Mannion</t>
  </si>
  <si>
    <t>Kenneth Coyne</t>
  </si>
  <si>
    <t>Louise O'Connor</t>
  </si>
  <si>
    <t>Chris Walsh</t>
  </si>
  <si>
    <t>Loughrea (7 seats) Total Electorate: 30,971 Total Poll: 18,508 Valid Poll: 18,292 Quota: 2,287</t>
  </si>
  <si>
    <t>Bridie Willers*</t>
  </si>
  <si>
    <t>Gerry Finnerty</t>
  </si>
  <si>
    <t>Lorraine Higgins</t>
  </si>
  <si>
    <t>P.J. McDonnell</t>
  </si>
  <si>
    <t>Patrick Creed</t>
  </si>
  <si>
    <t>Enda Glynn</t>
  </si>
  <si>
    <t>Oranmore (4 seats) Total Electorate: 17,575 Total Poll: 9,348 Valid Poll: 9,251 Quota: 1,851</t>
  </si>
  <si>
    <t>Malachy Noone</t>
  </si>
  <si>
    <t>Liam Carroll</t>
  </si>
  <si>
    <t>Josette Farrell</t>
  </si>
  <si>
    <t>Michael Eames</t>
  </si>
  <si>
    <t>Dolores Kilroe</t>
  </si>
  <si>
    <t>Eamon Fox</t>
  </si>
  <si>
    <t>Anna Marley</t>
  </si>
  <si>
    <t>Eamon Coyle</t>
  </si>
  <si>
    <t>Tuam (7 seats) Total Electorate: 31,011 Total Poll: 18,952 Valid Poll: 18,773 Quota: 2,347</t>
  </si>
  <si>
    <t>Sean Canney*</t>
  </si>
  <si>
    <t>Colm Keaveney*</t>
  </si>
  <si>
    <t>Tom Reilly*</t>
  </si>
  <si>
    <t>Michael Carey*</t>
  </si>
  <si>
    <t>Grainne Morahan</t>
  </si>
  <si>
    <t>Total Electorate</t>
  </si>
  <si>
    <t>Oughterard (5 seats) Total Electorate: 14,003 Total Poll: 8,876 Valid Poll: 8,803 Quota: 1,468</t>
  </si>
  <si>
    <t>Michael O'Donnell*</t>
  </si>
  <si>
    <t>Padraic Joyce</t>
  </si>
  <si>
    <t>Edward Kyne</t>
  </si>
  <si>
    <t>Joseph Ridge</t>
  </si>
  <si>
    <t>Laurence O'Toole*</t>
  </si>
  <si>
    <t>Patrick D'Arcy</t>
  </si>
  <si>
    <t>Patrick Burke</t>
  </si>
  <si>
    <t>Padraic MacDonnchadha</t>
  </si>
  <si>
    <t>Galway (7 seats) Total Electorate: 24,141 Total Poll: 13,602 Valid Poll: 13,210 Quota: 1,652</t>
  </si>
  <si>
    <t>Fintan Coogan</t>
  </si>
  <si>
    <t>Peter Greene</t>
  </si>
  <si>
    <t>Bartley Nolan</t>
  </si>
  <si>
    <t>Edwin O'Toole</t>
  </si>
  <si>
    <t>Joseph Cunningham</t>
  </si>
  <si>
    <t>Peter Kelly</t>
  </si>
  <si>
    <t>Thomas Tierney</t>
  </si>
  <si>
    <t>Colman Hernon</t>
  </si>
  <si>
    <t>Stephen Ruane</t>
  </si>
  <si>
    <t>Andrew Keaveney</t>
  </si>
  <si>
    <t>Martin Hughes</t>
  </si>
  <si>
    <t>Michael Maher*</t>
  </si>
  <si>
    <t>1999 (11 June) - Ballinasloe (5 seats) Total Electorate: 16,521 Total Poll: 10,098 Valid Poll: 9,908 Quota: 1,652</t>
  </si>
  <si>
    <t>Sean Ó Tuairisg*</t>
  </si>
  <si>
    <t>Tomas Ó Currain</t>
  </si>
  <si>
    <t>Seosamh Ó Laoi</t>
  </si>
  <si>
    <t>Seosamh Ó Cuaig*</t>
  </si>
  <si>
    <t>Trevor Ó Clochartaigh</t>
  </si>
  <si>
    <t>Sean Ó Tuairisg</t>
  </si>
  <si>
    <t>Seosamh Ó Cuaig</t>
  </si>
  <si>
    <t>Jimí Ó Lorcain</t>
  </si>
  <si>
    <t>Tomas Ó Briain</t>
  </si>
  <si>
    <t>Pol Bainin Ó Foighil</t>
  </si>
  <si>
    <t>Sean Ó Neachtain*</t>
  </si>
  <si>
    <t>Sean Ó Neachtain</t>
  </si>
  <si>
    <t>Eamonn Ó Cuiv</t>
  </si>
  <si>
    <t>Peadar Ó Tuathail*</t>
  </si>
  <si>
    <t>Pol Ó Foighil</t>
  </si>
  <si>
    <t>Colm Ó Donnchadha</t>
  </si>
  <si>
    <t>Micheal Ó Morain*</t>
  </si>
  <si>
    <t>Peadar Ó Tuathail</t>
  </si>
  <si>
    <t>Seosamh Ó Maolaoidh</t>
  </si>
  <si>
    <t>Padraig Ó Ceallaigh</t>
  </si>
  <si>
    <t>Michael Ó hUiginn</t>
  </si>
  <si>
    <t>Gary Ó Lochlainn</t>
  </si>
  <si>
    <t>Micheal Ó Morain</t>
  </si>
  <si>
    <t>Liam MacDonncha</t>
  </si>
  <si>
    <t>Sean Ó Gormghaile</t>
  </si>
  <si>
    <t>Padraic Ó Ceallaigh</t>
  </si>
  <si>
    <t>1950 (20 September) - Ballinasloe (5 seats) Total Electorate: 14,011 Total Poll: 9,269 Valid Poll: 9,130 Quota: 1,522</t>
  </si>
  <si>
    <t>J. Casey</t>
  </si>
  <si>
    <t>Patrick Galvin</t>
  </si>
  <si>
    <t>Edward Stankard</t>
  </si>
  <si>
    <t>J. Dolan</t>
  </si>
  <si>
    <t>J. Hooban</t>
  </si>
  <si>
    <t>M. Connolly</t>
  </si>
  <si>
    <t>A. Monahan</t>
  </si>
  <si>
    <t>M. Finnerty</t>
  </si>
  <si>
    <t>John Flaherty</t>
  </si>
  <si>
    <t>Peter Sirr</t>
  </si>
  <si>
    <t>John Glynn</t>
  </si>
  <si>
    <t>Michael Nicholson</t>
  </si>
  <si>
    <t>Mark Wall</t>
  </si>
  <si>
    <t>William Burke</t>
  </si>
  <si>
    <t>M. Cooke</t>
  </si>
  <si>
    <t>T. Hession</t>
  </si>
  <si>
    <t>M. Concagh</t>
  </si>
  <si>
    <t>J. Fitzmaurice</t>
  </si>
  <si>
    <t>T. Joyce</t>
  </si>
  <si>
    <t>T. Morrissey</t>
  </si>
  <si>
    <t>C. Reynolds</t>
  </si>
  <si>
    <t>P. Brennan</t>
  </si>
  <si>
    <t>Tuam (8 seats) Total Electorate: 21,891 Total Poll: 13,451 Valid Poll: 13,294 Quota: 1,478</t>
  </si>
  <si>
    <t>Loughrea (6 seats) Total Electorate: 19,919 Total Poll: 13,505 Valid Poll: 13,148 Quota: 1,879</t>
  </si>
  <si>
    <t>Vincent Shields</t>
  </si>
  <si>
    <t>Robert Lahiffe</t>
  </si>
  <si>
    <t>Michael Carty</t>
  </si>
  <si>
    <t>James Ruane</t>
  </si>
  <si>
    <t>J. Downey</t>
  </si>
  <si>
    <t>J. Finn</t>
  </si>
  <si>
    <t>J. Melville</t>
  </si>
  <si>
    <t>J. Houlihan</t>
  </si>
  <si>
    <t>F. Mullins</t>
  </si>
  <si>
    <t>M. McEvoy</t>
  </si>
  <si>
    <t>M.J. Leary</t>
  </si>
  <si>
    <t>M. Whelan</t>
  </si>
  <si>
    <t>Patrick Cawley</t>
  </si>
  <si>
    <t>P. Keane</t>
  </si>
  <si>
    <t>G. O'Reilly</t>
  </si>
  <si>
    <t>John Geoghegan</t>
  </si>
  <si>
    <t>Michael O'Donnell</t>
  </si>
  <si>
    <t>Laurence O'Toole</t>
  </si>
  <si>
    <t>John Mannion</t>
  </si>
  <si>
    <t>Oughterard (5 seats) Total Electorate: 14,638 Total Poll: 9,448 Valid Poll: 9,353 Quota: 1,559</t>
  </si>
  <si>
    <t>J.M. Malley</t>
  </si>
  <si>
    <t>M. Conboy</t>
  </si>
  <si>
    <t>D. O'Sullivan</t>
  </si>
  <si>
    <t>Galway (7 seats) Total Electorate: 24,549 Total Poll: 13,468 Valid Poll: 13,091 Quota: 1,637</t>
  </si>
  <si>
    <t>O. Smyth</t>
  </si>
  <si>
    <t>T. Fitzgerald</t>
  </si>
  <si>
    <t>J.J. Kavanagh</t>
  </si>
  <si>
    <t>J.F. Silke</t>
  </si>
  <si>
    <t>J. Higgins</t>
  </si>
  <si>
    <t>William Cunningham</t>
  </si>
  <si>
    <t>T. O'Connor</t>
  </si>
  <si>
    <t>J.P. Joyce</t>
  </si>
  <si>
    <t>T. O'Sullivan</t>
  </si>
  <si>
    <t>J. Burke</t>
  </si>
  <si>
    <t>J. Fahy</t>
  </si>
  <si>
    <t>P.J. Parker</t>
  </si>
  <si>
    <t>J. Curran</t>
  </si>
  <si>
    <t>MR</t>
  </si>
  <si>
    <t>J. Craddock</t>
  </si>
  <si>
    <t>1945 (14 June) - Ballinasloe (5 seats) Total Electorate: 14,495 Total Poll: 9,281 Valid Poll: 9,036 Quota: 1,507</t>
  </si>
  <si>
    <t>Elected</t>
  </si>
  <si>
    <t>Tuam (8 seats) Total Electorate: 23,275 Total Poll: 15,102 Valid Poll: 14,698 Quota: 1,634</t>
  </si>
  <si>
    <t>N. Hughes</t>
  </si>
  <si>
    <t>P. Conway</t>
  </si>
  <si>
    <t>D. McCormack</t>
  </si>
  <si>
    <t>Loughrea (6 seats) Total Electorate: 20,289 Total Poll: 12,573 Valid Poll: 12,211 Quota: 1,745</t>
  </si>
  <si>
    <t>P. Nevin</t>
  </si>
  <si>
    <t>T.J. Fleming</t>
  </si>
  <si>
    <t>C. Sweeney</t>
  </si>
  <si>
    <t>P. Howley</t>
  </si>
  <si>
    <t>Old IRA</t>
  </si>
  <si>
    <t>M. Hickey</t>
  </si>
  <si>
    <t>T. Downey</t>
  </si>
  <si>
    <t>M. Conway</t>
  </si>
  <si>
    <t>Oughterard (5 seats) Total Electorate: 15,653 Total Poll: 9,578 Valid Poll: 9,424 Quota: 1,571</t>
  </si>
  <si>
    <t>H. O'Donnell</t>
  </si>
  <si>
    <t>Ind F.</t>
  </si>
  <si>
    <t>J.T. Curley</t>
  </si>
  <si>
    <t>Michael J. Higgins</t>
  </si>
  <si>
    <t>T. Feeney</t>
  </si>
  <si>
    <t>T. Hennelly</t>
  </si>
  <si>
    <t>Galway (7 seats) Total Electorate: 23,363 Total Poll: 12,788 Valid Poll: 12,211 Quota: 1,527</t>
  </si>
  <si>
    <t>J. Casey*</t>
  </si>
  <si>
    <t>Patrick Beegan*</t>
  </si>
  <si>
    <t>Michael Donnellan*</t>
  </si>
  <si>
    <t>Robert Burke*</t>
  </si>
  <si>
    <t>P. Cooke*</t>
  </si>
  <si>
    <t>John McElhinney</t>
  </si>
  <si>
    <t>Martin Newell</t>
  </si>
  <si>
    <t>John J. Keane*</t>
  </si>
  <si>
    <t>T. O'Connor*</t>
  </si>
  <si>
    <t>1942 (19 August) - Ballinasloe (5 seats) Total Electorate: 14,377 Total Poll: 8,893 Valid Poll: 8,735 Quota: 1,456</t>
  </si>
  <si>
    <t>Patrick Beegan</t>
  </si>
  <si>
    <t>Martin Quinn</t>
  </si>
  <si>
    <t>Patrick Collins</t>
  </si>
  <si>
    <t>William Dunne</t>
  </si>
  <si>
    <t>John McKeigue</t>
  </si>
  <si>
    <t>John Mitchell</t>
  </si>
  <si>
    <t>Michael Keane</t>
  </si>
  <si>
    <t>Thomas Burke</t>
  </si>
  <si>
    <t>M. Kilcommins</t>
  </si>
  <si>
    <t>Tuam (8 seats) Total Electorate: 23,674 Total Poll: 15,777 Valid Poll: 15,519 Quota: 1,725</t>
  </si>
  <si>
    <t>Michael Donnellan</t>
  </si>
  <si>
    <t>James J. Nestor</t>
  </si>
  <si>
    <t>Robert Burke</t>
  </si>
  <si>
    <t>James J. Cunningham</t>
  </si>
  <si>
    <t>Patrick Fannon</t>
  </si>
  <si>
    <t>T. Mannion</t>
  </si>
  <si>
    <t>Thomas O'Connor</t>
  </si>
  <si>
    <t>T.A. O'Donoghue</t>
  </si>
  <si>
    <t>P. Purcell</t>
  </si>
  <si>
    <t>Michael Acton</t>
  </si>
  <si>
    <t>Patrick Divilly</t>
  </si>
  <si>
    <t>J. Moran</t>
  </si>
  <si>
    <t>Michael Cahill</t>
  </si>
  <si>
    <t>James J. Cunningham*</t>
  </si>
  <si>
    <t>Patrick Fannon*</t>
  </si>
  <si>
    <t>Loughrea (6 seats) Total Electorate: 20,191 Total Poll: 12,756 Valid Poll: 12,573 Quota: 1,797</t>
  </si>
  <si>
    <t>Patrick Lambert</t>
  </si>
  <si>
    <t>Bernard F. Murphy</t>
  </si>
  <si>
    <t>Eamon Corbett</t>
  </si>
  <si>
    <t>John Burke</t>
  </si>
  <si>
    <t>John J. Shiel</t>
  </si>
  <si>
    <t>Stan Burke</t>
  </si>
  <si>
    <t>Sean D. O'Kelly</t>
  </si>
  <si>
    <t>Hugh Loughnane</t>
  </si>
  <si>
    <t>Ind Rep</t>
  </si>
  <si>
    <t>Michael Lyons</t>
  </si>
  <si>
    <t>Patrick O'Reilly</t>
  </si>
  <si>
    <t>Patrick Travers</t>
  </si>
  <si>
    <t>Patrick Lambert*</t>
  </si>
  <si>
    <t>Bernard F. Murphy*</t>
  </si>
  <si>
    <t>Oughterard (5 seats) Total Electorate: 15,008 Total Poll: 8,714 Valid Poll: 8,577 Quota: 1,430</t>
  </si>
  <si>
    <t>Nicholas Byrne</t>
  </si>
  <si>
    <t>R. King</t>
  </si>
  <si>
    <t>John J. Keane</t>
  </si>
  <si>
    <t>Tobias Joyce</t>
  </si>
  <si>
    <t>Harry O'Toole</t>
  </si>
  <si>
    <t>Harry O'Toole*</t>
  </si>
  <si>
    <t>Tobias Joyce*</t>
  </si>
  <si>
    <t>Stan Burke*</t>
  </si>
  <si>
    <t>Sean D. O'Kelly*</t>
  </si>
  <si>
    <t>N. Hughes*</t>
  </si>
  <si>
    <t>Edward Stankard*</t>
  </si>
  <si>
    <t>T.J. McLaughlin</t>
  </si>
  <si>
    <t>Peadar Ó Maille</t>
  </si>
  <si>
    <t>Martin Mylotte</t>
  </si>
  <si>
    <t>Galway (7 seats) Total Electorate: 24,823 Total Poll: 12,177 Valid Poll: 11,660 Quota: 1,458</t>
  </si>
  <si>
    <t>Margaret Ashe</t>
  </si>
  <si>
    <t>Thomas King</t>
  </si>
  <si>
    <t>Patrick Furey</t>
  </si>
  <si>
    <t>Patrick Furey*</t>
  </si>
  <si>
    <t>Michael Newell</t>
  </si>
  <si>
    <t>Patrick Carey</t>
  </si>
  <si>
    <t>Patrick Morris</t>
  </si>
  <si>
    <t>Ratep.</t>
  </si>
  <si>
    <t>John Hannon</t>
  </si>
  <si>
    <t>B. Keane</t>
  </si>
  <si>
    <t>J. Lydon</t>
  </si>
  <si>
    <t>Michael Newell*</t>
  </si>
  <si>
    <t>Patrick Morris*</t>
  </si>
  <si>
    <t>1928 (28 June) - Ballinasloe (7 seats) Total Electorate: 8,883 Total Poll: 4,207 Valid Poll: 4,140 Quota: 518</t>
  </si>
  <si>
    <t>CnaG</t>
  </si>
  <si>
    <t>Far</t>
  </si>
  <si>
    <t>Edward Gilmore</t>
  </si>
  <si>
    <t>Thomas Frehill</t>
  </si>
  <si>
    <t>Thomas Kenny*</t>
  </si>
  <si>
    <t>Martin Finnerty*</t>
  </si>
  <si>
    <t>John McKeigue*</t>
  </si>
  <si>
    <t>James Elder*</t>
  </si>
  <si>
    <t>Patrick Nolan</t>
  </si>
  <si>
    <t>Thomas Crowe*</t>
  </si>
  <si>
    <t>James Glynn</t>
  </si>
  <si>
    <t>Nicholas O'Carroll</t>
  </si>
  <si>
    <t>William Evans Dowling</t>
  </si>
  <si>
    <t>Michael Brannick</t>
  </si>
  <si>
    <t>Stephen O'Connor*</t>
  </si>
  <si>
    <t>Tuam (9 seats) Total Electorate: 16,202 Total Poll: 9,176 Valid Poll: 9,003 Quota: 901</t>
  </si>
  <si>
    <t>James Haverty</t>
  </si>
  <si>
    <t>Patrick McHugh</t>
  </si>
  <si>
    <t>Francis Kitt</t>
  </si>
  <si>
    <t>Martin Curley</t>
  </si>
  <si>
    <t>Thomas Kilgarriff</t>
  </si>
  <si>
    <t>Peter Brennan</t>
  </si>
  <si>
    <t>Peter Colleran</t>
  </si>
  <si>
    <t>John Ronaldson*</t>
  </si>
  <si>
    <t>Thomas Gilmore*</t>
  </si>
  <si>
    <t>John Finnegan</t>
  </si>
  <si>
    <t>James Morgan</t>
  </si>
  <si>
    <t>William Concannon*</t>
  </si>
  <si>
    <t>John Brennan</t>
  </si>
  <si>
    <t>Loughrea (8 seats) Total Electorate: 13,532 Total Poll: 7,621 Valid Poll: 7,411 Quota: 824</t>
  </si>
  <si>
    <t>Thomas Murphy*</t>
  </si>
  <si>
    <t>Eamon Corbett*</t>
  </si>
  <si>
    <t>Martin Fahy</t>
  </si>
  <si>
    <t>John Carolan</t>
  </si>
  <si>
    <t>Laurence Smyth</t>
  </si>
  <si>
    <t>Francis Ryan</t>
  </si>
  <si>
    <t>Patrick Cahill*</t>
  </si>
  <si>
    <t>Martin Hallinan*</t>
  </si>
  <si>
    <t>William O'Reilly</t>
  </si>
  <si>
    <t>Anthony Dervan*</t>
  </si>
  <si>
    <t>John Taylor*</t>
  </si>
  <si>
    <t>John Brady</t>
  </si>
  <si>
    <t>John Morrissey</t>
  </si>
  <si>
    <t>Unopposed</t>
  </si>
  <si>
    <t xml:space="preserve">Oughterard (8 seats) Total Electorate:  Total Poll:  Valid Poll:  Quota: </t>
  </si>
  <si>
    <t>Edward Sweeney*</t>
  </si>
  <si>
    <t>Martin Mylotte*</t>
  </si>
  <si>
    <t>Patrick Kyne*</t>
  </si>
  <si>
    <t>Mark Keeley</t>
  </si>
  <si>
    <t>Michael O'Neill*</t>
  </si>
  <si>
    <t>Galway (8 seats) Total Electorate: 12,292 Total Poll: 6,459 Valid Poll: 6,251 Quota: 695</t>
  </si>
  <si>
    <t>Martin Cooke</t>
  </si>
  <si>
    <t>Francis Loftus</t>
  </si>
  <si>
    <t>Patrick Murray</t>
  </si>
  <si>
    <t>Gilbert Lynch</t>
  </si>
  <si>
    <t>Bartley Lydon*</t>
  </si>
  <si>
    <t>Thomas Darcy</t>
  </si>
  <si>
    <t>Michael Harrington</t>
  </si>
  <si>
    <t>John McDonagh*</t>
  </si>
  <si>
    <t>Patrick Coen</t>
  </si>
  <si>
    <t>James Lee</t>
  </si>
  <si>
    <t>John O'Brien</t>
  </si>
  <si>
    <t>Timothy Keane</t>
  </si>
  <si>
    <t>Rep</t>
  </si>
  <si>
    <t>John J. Leonard</t>
  </si>
  <si>
    <t>Nicholas Kyne*</t>
  </si>
  <si>
    <t>Thomas Flanagan*</t>
  </si>
  <si>
    <t>Denis McSweeney</t>
  </si>
  <si>
    <t>Martin Finnerty</t>
  </si>
  <si>
    <t>Patrick Kyne</t>
  </si>
  <si>
    <t>Thomas Flanagan</t>
  </si>
  <si>
    <t>Tuam (9 seats) Total Electorate: 15,437 Total Poll: 11,420 Valid Poll: 11,290 Quota: 1,130</t>
  </si>
  <si>
    <t>John Monahan</t>
  </si>
  <si>
    <t>M. Grady</t>
  </si>
  <si>
    <t>Michael Quinn</t>
  </si>
  <si>
    <t>Thomas Mannion</t>
  </si>
  <si>
    <t>James Tarney</t>
  </si>
  <si>
    <t>Oughterard (8 seats) Total Electorate:  Total Poll: 7,079 Valid Poll: 7,019 Quota: 780</t>
  </si>
  <si>
    <t>Edward Sweeney</t>
  </si>
  <si>
    <t>T. Nee</t>
  </si>
  <si>
    <t>H. Magennis</t>
  </si>
  <si>
    <t>P.L. Conroy</t>
  </si>
  <si>
    <t>P. King</t>
  </si>
  <si>
    <t>M. Ryan</t>
  </si>
  <si>
    <t>Thomas F. Joyce</t>
  </si>
  <si>
    <t>Henry C. O'Toole</t>
  </si>
  <si>
    <t>John Cunningham*</t>
  </si>
  <si>
    <t>Galway (8 seats) Total Electorate: 12,852 Total Poll: 8,682 Valid Poll: 8,304 Quota: 923</t>
  </si>
  <si>
    <t>Peter Kelly*</t>
  </si>
  <si>
    <t>Martin McDonogh</t>
  </si>
  <si>
    <t>P.H. Joyce</t>
  </si>
  <si>
    <t>P. O'Rourke</t>
  </si>
  <si>
    <t>Thomas Raftery</t>
  </si>
  <si>
    <t>J.M. Pringle</t>
  </si>
  <si>
    <t>John Healy</t>
  </si>
  <si>
    <t>Frank Kelly</t>
  </si>
  <si>
    <t>Patrick Concannon</t>
  </si>
  <si>
    <t>Seamus Lee</t>
  </si>
  <si>
    <t>Edward O'Donnell</t>
  </si>
  <si>
    <t>Martin Cooke*</t>
  </si>
  <si>
    <t>M.J. Connolly</t>
  </si>
  <si>
    <t>D. Fagan</t>
  </si>
  <si>
    <t>1934 (26 June) - Ballinasloe (7 seats) Total Electorate: 8,566 Total Poll: 7,103 Valid Poll: 6,911 Quota: 864</t>
  </si>
  <si>
    <t>Patrick Monahan*</t>
  </si>
  <si>
    <t>Patrick Nolan*</t>
  </si>
  <si>
    <t>Stephen O'Connor</t>
  </si>
  <si>
    <t>Michael Brannick*</t>
  </si>
  <si>
    <t>Nicholas O'Carroll*</t>
  </si>
  <si>
    <t>John J. Shiel*</t>
  </si>
  <si>
    <t>J. Cosgrave</t>
  </si>
  <si>
    <t>P.C. Curley</t>
  </si>
  <si>
    <t>P. Fahy</t>
  </si>
  <si>
    <t>J. Rooney</t>
  </si>
  <si>
    <t>J. Thompson</t>
  </si>
  <si>
    <t>M. O'Sullivan</t>
  </si>
  <si>
    <t>Martin Regan</t>
  </si>
  <si>
    <t>Thomas McDonogh</t>
  </si>
  <si>
    <t>Patrick J. Flynn</t>
  </si>
  <si>
    <t>James A. Russell</t>
  </si>
  <si>
    <t>Paul A. Rothwell</t>
  </si>
  <si>
    <t>Loughrea (8 seats) Total Electorate: 12,208 Total Poll: 9,679 Valid Poll: 9,580 Quota: 1,065</t>
  </si>
  <si>
    <t>Peter Cooke</t>
  </si>
  <si>
    <t>Thomas C. Lydon</t>
  </si>
  <si>
    <t>James Brennan</t>
  </si>
  <si>
    <t>Peter Cooke*</t>
  </si>
  <si>
    <t>James Brennan*</t>
  </si>
  <si>
    <t>1925 (17 June) - Ballinasloe (7 seats) Total Electorate: 9,039 Total Poll: 4,858 Valid Poll: 4,608 Quota: 576</t>
  </si>
  <si>
    <t>Andrew Cahill</t>
  </si>
  <si>
    <t>Michael Colahan</t>
  </si>
  <si>
    <t>Thomas Cormican</t>
  </si>
  <si>
    <t>Peter Dolan</t>
  </si>
  <si>
    <t>Thomas Crowe</t>
  </si>
  <si>
    <t>Thomas Kenny</t>
  </si>
  <si>
    <t>James Elder</t>
  </si>
  <si>
    <t>Thomas Hibbett</t>
  </si>
  <si>
    <t>Thomas Kitt</t>
  </si>
  <si>
    <t>Joseph Fallon</t>
  </si>
  <si>
    <t>Laurence Kilcommins</t>
  </si>
  <si>
    <t>Martin Tyrrell</t>
  </si>
  <si>
    <t>Oughterard (8 seats) Total Electorate: 9,900 Total Poll: 6,122 Valid Poll: 5,802 Quota: 645</t>
  </si>
  <si>
    <t>Alice Cashel</t>
  </si>
  <si>
    <t>P.P. O'Connor</t>
  </si>
  <si>
    <t>J.J. Walsh</t>
  </si>
  <si>
    <t>J.W. Lydon</t>
  </si>
  <si>
    <t>William Clancy</t>
  </si>
  <si>
    <t>Peter Burke</t>
  </si>
  <si>
    <t>P.D. Conroy</t>
  </si>
  <si>
    <t>James Vallely</t>
  </si>
  <si>
    <t>J.J. Coyne</t>
  </si>
  <si>
    <t>T.J. Kyne</t>
  </si>
  <si>
    <t>Michael O'Connell</t>
  </si>
  <si>
    <t>Ambrose Lee</t>
  </si>
  <si>
    <t>Loughrea (8 seats) Total Electorate: 12,250 Total Poll: 6,272 Valid Poll: 6,022 Quota: 670</t>
  </si>
  <si>
    <t>Seamus Baraid</t>
  </si>
  <si>
    <t>John Cahill</t>
  </si>
  <si>
    <t>Patrick Coy</t>
  </si>
  <si>
    <t>Frank Finnerty</t>
  </si>
  <si>
    <t>Stephen Jordan</t>
  </si>
  <si>
    <t>Thomas Murphy</t>
  </si>
  <si>
    <t>Martin Daly</t>
  </si>
  <si>
    <t>John Taylor</t>
  </si>
  <si>
    <t>Martin Hallinan</t>
  </si>
  <si>
    <t>Florimond Quinn</t>
  </si>
  <si>
    <t>Martin Egan</t>
  </si>
  <si>
    <t>Stephen Glennon</t>
  </si>
  <si>
    <t>Patrick Cahill</t>
  </si>
  <si>
    <t>Sean Broderick</t>
  </si>
  <si>
    <t>Martin Coen</t>
  </si>
  <si>
    <t>Martin Forde</t>
  </si>
  <si>
    <t>John Newell</t>
  </si>
  <si>
    <t>John McDonagh</t>
  </si>
  <si>
    <t>Bartley Lydon</t>
  </si>
  <si>
    <t>Nicholas Kyne</t>
  </si>
  <si>
    <t>John Coogan</t>
  </si>
  <si>
    <t>Joseph Morris</t>
  </si>
  <si>
    <t>James Pringle</t>
  </si>
  <si>
    <t>Robert Potter</t>
  </si>
  <si>
    <t>Timothy Kyne</t>
  </si>
  <si>
    <t>Galway (8 seats) Total Electorate: 12,000 Total Poll: 4,833 Valid Poll: 4,475 Quota: 498</t>
  </si>
  <si>
    <t>Tuam (9 seats) Total Electorate: 17,250 Total Poll: 8,765 Valid Poll: 8,254 Quota: 826</t>
  </si>
  <si>
    <t>Thomas Gilmore</t>
  </si>
  <si>
    <t>John Ronaldson</t>
  </si>
  <si>
    <t>William Concannon</t>
  </si>
  <si>
    <t>James Cunningham</t>
  </si>
  <si>
    <t>Cornelius J. Kennedy</t>
  </si>
  <si>
    <t>Thomas Connolly</t>
  </si>
  <si>
    <t>Edward Donoghue</t>
  </si>
  <si>
    <t>Christopher Jones</t>
  </si>
  <si>
    <t>Michael Keaveney</t>
  </si>
  <si>
    <t>Michael J. Kelly</t>
  </si>
  <si>
    <t>John Quinn</t>
  </si>
  <si>
    <t>Patrick Dermody</t>
  </si>
  <si>
    <t>Aylmer Ellis</t>
  </si>
  <si>
    <t>Michael Dwyer</t>
  </si>
  <si>
    <t>John Egan</t>
  </si>
  <si>
    <t>John Hanlon</t>
  </si>
  <si>
    <t>Arthur O'Connor</t>
  </si>
  <si>
    <t>Thomas McDonagh</t>
  </si>
  <si>
    <t>John J. Fallon</t>
  </si>
  <si>
    <t>James McLoughlin</t>
  </si>
  <si>
    <t>William Naughton</t>
  </si>
  <si>
    <t>Cornelius J. Kennedy*</t>
  </si>
</sst>
</file>

<file path=xl/styles.xml><?xml version="1.0" encoding="utf-8"?>
<styleSheet xmlns="http://schemas.openxmlformats.org/spreadsheetml/2006/main">
  <numFmts count="2">
    <numFmt numFmtId="164" formatCode="_-* #,##0_-;\-* #,##0_-;_-* &quot;-&quot;_-;_-@_-"/>
    <numFmt numFmtId="165" formatCode="0.0%"/>
  </numFmts>
  <fonts count="58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name val="Arial"/>
      <family val="2"/>
    </font>
    <font>
      <b/>
      <sz val="11"/>
      <color indexed="17"/>
      <name val="Times New Roman"/>
      <family val="1"/>
    </font>
    <font>
      <sz val="11"/>
      <name val="Arial"/>
      <family val="2"/>
    </font>
    <font>
      <b/>
      <sz val="11"/>
      <color indexed="17"/>
      <name val="Arial"/>
      <family val="2"/>
    </font>
    <font>
      <b/>
      <sz val="11"/>
      <color indexed="12"/>
      <name val="Arial"/>
      <family val="2"/>
    </font>
    <font>
      <sz val="11"/>
      <color indexed="17"/>
      <name val="Times New Roman"/>
      <family val="1"/>
    </font>
    <font>
      <b/>
      <sz val="11"/>
      <color indexed="8"/>
      <name val="Arial"/>
      <family val="2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12"/>
      <name val="Times New Roman"/>
      <family val="1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b/>
      <sz val="11"/>
      <color indexed="52"/>
      <name val="Arial"/>
      <family val="2"/>
    </font>
    <font>
      <b/>
      <sz val="11"/>
      <color indexed="10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b/>
      <sz val="11"/>
      <color indexed="50"/>
      <name val="Times New Roman"/>
      <family val="1"/>
    </font>
    <font>
      <sz val="11"/>
      <color indexed="52"/>
      <name val="Times New Roman"/>
      <family val="1"/>
    </font>
    <font>
      <b/>
      <sz val="11"/>
      <color indexed="52"/>
      <name val="Times New Roman"/>
      <family val="1"/>
    </font>
    <font>
      <b/>
      <sz val="11"/>
      <color indexed="19"/>
      <name val="Arial"/>
      <family val="2"/>
    </font>
    <font>
      <b/>
      <sz val="11"/>
      <color indexed="57"/>
      <name val="Arial"/>
      <family val="2"/>
    </font>
    <font>
      <sz val="11"/>
      <color indexed="57"/>
      <name val="Times New Roman"/>
      <family val="1"/>
    </font>
    <font>
      <b/>
      <sz val="11"/>
      <color indexed="57"/>
      <name val="Times New Roman"/>
      <family val="1"/>
    </font>
    <font>
      <sz val="11"/>
      <color indexed="19"/>
      <name val="Times New Roman"/>
      <family val="1"/>
    </font>
    <font>
      <sz val="8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0"/>
      <color indexed="19"/>
      <name val="Arial"/>
      <family val="2"/>
    </font>
    <font>
      <b/>
      <sz val="10"/>
      <color indexed="21"/>
      <name val="Arial"/>
      <family val="2"/>
    </font>
    <font>
      <sz val="11"/>
      <color indexed="60"/>
      <name val="Times New Roman"/>
      <family val="1"/>
    </font>
    <font>
      <b/>
      <sz val="11"/>
      <color indexed="60"/>
      <name val="Times New Roman"/>
      <family val="1"/>
    </font>
    <font>
      <b/>
      <sz val="11"/>
      <color indexed="60"/>
      <name val="Arial"/>
      <family val="2"/>
    </font>
    <font>
      <sz val="11"/>
      <color indexed="21"/>
      <name val="Times New Roman"/>
      <family val="1"/>
    </font>
    <font>
      <b/>
      <sz val="11"/>
      <color indexed="49"/>
      <name val="Times New Roman"/>
      <family val="1"/>
    </font>
    <font>
      <b/>
      <sz val="11"/>
      <color indexed="23"/>
      <name val="Times New Roman"/>
      <family val="1"/>
    </font>
    <font>
      <sz val="11"/>
      <color indexed="23"/>
      <name val="Times New Roman"/>
      <family val="1"/>
    </font>
    <font>
      <b/>
      <sz val="11"/>
      <color indexed="49"/>
      <name val="Arial"/>
      <family val="2"/>
    </font>
    <font>
      <sz val="11"/>
      <color indexed="49"/>
      <name val="Times New Roman"/>
      <family val="1"/>
    </font>
    <font>
      <sz val="10"/>
      <name val="Arial"/>
      <family val="2"/>
    </font>
    <font>
      <b/>
      <sz val="10"/>
      <color indexed="52"/>
      <name val="Arial"/>
      <family val="2"/>
    </font>
    <font>
      <b/>
      <sz val="10"/>
      <color indexed="57"/>
      <name val="Arial"/>
      <family val="2"/>
    </font>
    <font>
      <b/>
      <sz val="10"/>
      <color indexed="8"/>
      <name val="Arial"/>
      <family val="2"/>
    </font>
    <font>
      <b/>
      <sz val="10"/>
      <color indexed="49"/>
      <name val="Arial"/>
      <family val="2"/>
    </font>
    <font>
      <sz val="11"/>
      <color indexed="1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0" xfId="0" applyFont="1"/>
    <xf numFmtId="10" fontId="3" fillId="0" borderId="0" xfId="1" applyNumberFormat="1" applyFont="1"/>
    <xf numFmtId="0" fontId="8" fillId="0" borderId="4" xfId="0" applyFont="1" applyBorder="1" applyAlignment="1">
      <alignment vertical="top" wrapText="1"/>
    </xf>
    <xf numFmtId="0" fontId="9" fillId="0" borderId="0" xfId="0" applyFont="1"/>
    <xf numFmtId="0" fontId="10" fillId="0" borderId="0" xfId="0" applyFont="1"/>
    <xf numFmtId="3" fontId="9" fillId="0" borderId="0" xfId="0" applyNumberFormat="1" applyFont="1"/>
    <xf numFmtId="10" fontId="9" fillId="0" borderId="0" xfId="1" applyNumberFormat="1" applyFont="1"/>
    <xf numFmtId="0" fontId="11" fillId="0" borderId="0" xfId="0" applyFont="1"/>
    <xf numFmtId="0" fontId="4" fillId="0" borderId="3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13" fillId="0" borderId="0" xfId="0" applyFont="1"/>
    <xf numFmtId="3" fontId="3" fillId="0" borderId="0" xfId="0" applyNumberFormat="1" applyFont="1"/>
    <xf numFmtId="0" fontId="14" fillId="0" borderId="4" xfId="0" applyFont="1" applyBorder="1" applyAlignment="1">
      <alignment vertical="top" wrapText="1"/>
    </xf>
    <xf numFmtId="3" fontId="7" fillId="0" borderId="0" xfId="0" applyNumberFormat="1" applyFont="1"/>
    <xf numFmtId="0" fontId="15" fillId="0" borderId="4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3" fontId="4" fillId="0" borderId="0" xfId="0" applyNumberFormat="1" applyFont="1" applyBorder="1" applyAlignment="1">
      <alignment vertical="top" wrapText="1"/>
    </xf>
    <xf numFmtId="0" fontId="17" fillId="0" borderId="0" xfId="0" applyFont="1"/>
    <xf numFmtId="0" fontId="19" fillId="0" borderId="0" xfId="0" applyFont="1"/>
    <xf numFmtId="3" fontId="2" fillId="0" borderId="0" xfId="0" applyNumberFormat="1" applyFont="1"/>
    <xf numFmtId="3" fontId="4" fillId="0" borderId="0" xfId="0" applyNumberFormat="1" applyFont="1"/>
    <xf numFmtId="0" fontId="21" fillId="0" borderId="0" xfId="0" applyFont="1"/>
    <xf numFmtId="0" fontId="24" fillId="0" borderId="4" xfId="0" applyFont="1" applyBorder="1" applyAlignment="1">
      <alignment vertical="top" wrapText="1"/>
    </xf>
    <xf numFmtId="3" fontId="5" fillId="0" borderId="1" xfId="0" applyNumberFormat="1" applyFont="1" applyBorder="1" applyAlignment="1">
      <alignment vertical="top" wrapText="1"/>
    </xf>
    <xf numFmtId="3" fontId="5" fillId="0" borderId="2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3" fontId="8" fillId="0" borderId="4" xfId="0" applyNumberFormat="1" applyFont="1" applyBorder="1" applyAlignment="1">
      <alignment vertical="top" wrapText="1"/>
    </xf>
    <xf numFmtId="3" fontId="6" fillId="0" borderId="4" xfId="0" applyNumberFormat="1" applyFont="1" applyBorder="1" applyAlignment="1">
      <alignment vertical="top" wrapText="1"/>
    </xf>
    <xf numFmtId="3" fontId="4" fillId="0" borderId="3" xfId="0" applyNumberFormat="1" applyFont="1" applyBorder="1" applyAlignment="1">
      <alignment vertical="top" wrapText="1"/>
    </xf>
    <xf numFmtId="3" fontId="12" fillId="0" borderId="4" xfId="0" applyNumberFormat="1" applyFont="1" applyBorder="1" applyAlignment="1">
      <alignment vertical="top" wrapText="1"/>
    </xf>
    <xf numFmtId="3" fontId="16" fillId="0" borderId="4" xfId="0" applyNumberFormat="1" applyFont="1" applyBorder="1" applyAlignment="1">
      <alignment vertical="top" wrapText="1"/>
    </xf>
    <xf numFmtId="3" fontId="22" fillId="0" borderId="4" xfId="0" applyNumberFormat="1" applyFont="1" applyBorder="1" applyAlignment="1">
      <alignment vertical="top" wrapText="1"/>
    </xf>
    <xf numFmtId="3" fontId="15" fillId="0" borderId="4" xfId="0" applyNumberFormat="1" applyFont="1" applyBorder="1" applyAlignment="1">
      <alignment vertical="top" wrapText="1"/>
    </xf>
    <xf numFmtId="3" fontId="2" fillId="0" borderId="2" xfId="0" applyNumberFormat="1" applyFont="1" applyBorder="1" applyAlignment="1">
      <alignment vertical="top" wrapText="1"/>
    </xf>
    <xf numFmtId="0" fontId="26" fillId="0" borderId="0" xfId="0" applyFont="1"/>
    <xf numFmtId="3" fontId="16" fillId="0" borderId="0" xfId="0" applyNumberFormat="1" applyFont="1" applyBorder="1" applyAlignment="1">
      <alignment vertical="top" wrapText="1"/>
    </xf>
    <xf numFmtId="3" fontId="10" fillId="0" borderId="0" xfId="0" applyNumberFormat="1" applyFont="1"/>
    <xf numFmtId="3" fontId="11" fillId="0" borderId="0" xfId="0" applyNumberFormat="1" applyFont="1"/>
    <xf numFmtId="3" fontId="18" fillId="0" borderId="4" xfId="0" applyNumberFormat="1" applyFont="1" applyBorder="1" applyAlignment="1">
      <alignment vertical="top" wrapText="1"/>
    </xf>
    <xf numFmtId="3" fontId="25" fillId="0" borderId="4" xfId="0" applyNumberFormat="1" applyFont="1" applyBorder="1" applyAlignment="1">
      <alignment vertical="top" wrapText="1"/>
    </xf>
    <xf numFmtId="3" fontId="14" fillId="0" borderId="4" xfId="0" applyNumberFormat="1" applyFont="1" applyBorder="1" applyAlignment="1">
      <alignment vertical="top" wrapText="1"/>
    </xf>
    <xf numFmtId="3" fontId="19" fillId="0" borderId="0" xfId="0" applyNumberFormat="1" applyFont="1"/>
    <xf numFmtId="0" fontId="27" fillId="0" borderId="0" xfId="0" applyFont="1"/>
    <xf numFmtId="3" fontId="28" fillId="0" borderId="4" xfId="0" applyNumberFormat="1" applyFont="1" applyBorder="1" applyAlignment="1">
      <alignment vertical="top" wrapText="1"/>
    </xf>
    <xf numFmtId="3" fontId="23" fillId="0" borderId="4" xfId="0" applyNumberFormat="1" applyFont="1" applyBorder="1" applyAlignment="1">
      <alignment vertical="top" wrapText="1"/>
    </xf>
    <xf numFmtId="3" fontId="30" fillId="0" borderId="4" xfId="0" applyNumberFormat="1" applyFont="1" applyBorder="1" applyAlignment="1">
      <alignment vertical="top" wrapText="1"/>
    </xf>
    <xf numFmtId="3" fontId="24" fillId="0" borderId="4" xfId="0" applyNumberFormat="1" applyFont="1" applyBorder="1" applyAlignment="1">
      <alignment vertical="top" wrapText="1"/>
    </xf>
    <xf numFmtId="3" fontId="20" fillId="0" borderId="4" xfId="0" applyNumberFormat="1" applyFont="1" applyBorder="1" applyAlignment="1">
      <alignment vertical="top" wrapText="1"/>
    </xf>
    <xf numFmtId="3" fontId="21" fillId="0" borderId="0" xfId="0" applyNumberFormat="1" applyFont="1"/>
    <xf numFmtId="0" fontId="25" fillId="0" borderId="4" xfId="0" applyFont="1" applyBorder="1" applyAlignment="1">
      <alignment vertical="top" wrapText="1"/>
    </xf>
    <xf numFmtId="0" fontId="22" fillId="0" borderId="4" xfId="0" applyFont="1" applyBorder="1" applyAlignment="1">
      <alignment vertical="top" wrapText="1"/>
    </xf>
    <xf numFmtId="3" fontId="0" fillId="0" borderId="0" xfId="0" applyNumberFormat="1"/>
    <xf numFmtId="0" fontId="32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/>
    <xf numFmtId="0" fontId="37" fillId="0" borderId="0" xfId="0" applyFont="1"/>
    <xf numFmtId="0" fontId="38" fillId="0" borderId="0" xfId="0" applyFont="1"/>
    <xf numFmtId="0" fontId="39" fillId="0" borderId="0" xfId="0" applyFont="1"/>
    <xf numFmtId="0" fontId="40" fillId="0" borderId="0" xfId="0" applyFont="1"/>
    <xf numFmtId="10" fontId="38" fillId="0" borderId="0" xfId="0" applyNumberFormat="1" applyFont="1"/>
    <xf numFmtId="10" fontId="0" fillId="0" borderId="0" xfId="0" applyNumberFormat="1"/>
    <xf numFmtId="10" fontId="1" fillId="0" borderId="0" xfId="1" applyNumberFormat="1"/>
    <xf numFmtId="10" fontId="1" fillId="0" borderId="0" xfId="1" applyNumberFormat="1" applyFont="1"/>
    <xf numFmtId="3" fontId="32" fillId="0" borderId="0" xfId="0" applyNumberFormat="1" applyFont="1"/>
    <xf numFmtId="0" fontId="41" fillId="0" borderId="0" xfId="0" applyFont="1"/>
    <xf numFmtId="0" fontId="2" fillId="0" borderId="0" xfId="0" applyFont="1" applyBorder="1" applyAlignment="1">
      <alignment vertical="top" wrapText="1"/>
    </xf>
    <xf numFmtId="3" fontId="12" fillId="0" borderId="0" xfId="0" applyNumberFormat="1" applyFont="1" applyBorder="1" applyAlignment="1">
      <alignment vertical="top" wrapText="1"/>
    </xf>
    <xf numFmtId="10" fontId="42" fillId="0" borderId="0" xfId="0" applyNumberFormat="1" applyFont="1"/>
    <xf numFmtId="165" fontId="3" fillId="0" borderId="0" xfId="0" applyNumberFormat="1" applyFont="1"/>
    <xf numFmtId="3" fontId="17" fillId="0" borderId="0" xfId="0" applyNumberFormat="1" applyFont="1"/>
    <xf numFmtId="3" fontId="43" fillId="0" borderId="4" xfId="0" applyNumberFormat="1" applyFont="1" applyBorder="1" applyAlignment="1">
      <alignment vertical="top" wrapText="1"/>
    </xf>
    <xf numFmtId="0" fontId="43" fillId="0" borderId="4" xfId="0" applyFont="1" applyBorder="1" applyAlignment="1">
      <alignment vertical="top" wrapText="1"/>
    </xf>
    <xf numFmtId="3" fontId="45" fillId="0" borderId="0" xfId="0" applyNumberFormat="1" applyFont="1"/>
    <xf numFmtId="0" fontId="18" fillId="0" borderId="4" xfId="0" applyFont="1" applyBorder="1" applyAlignment="1">
      <alignment vertical="top" wrapText="1"/>
    </xf>
    <xf numFmtId="0" fontId="45" fillId="0" borderId="0" xfId="0" applyFont="1"/>
    <xf numFmtId="3" fontId="46" fillId="0" borderId="4" xfId="0" applyNumberFormat="1" applyFont="1" applyBorder="1" applyAlignment="1">
      <alignment vertical="top" wrapText="1"/>
    </xf>
    <xf numFmtId="3" fontId="47" fillId="0" borderId="4" xfId="0" applyNumberFormat="1" applyFont="1" applyBorder="1" applyAlignment="1">
      <alignment vertical="top" wrapText="1"/>
    </xf>
    <xf numFmtId="3" fontId="48" fillId="0" borderId="4" xfId="0" applyNumberFormat="1" applyFont="1" applyBorder="1" applyAlignment="1">
      <alignment vertical="top" wrapText="1"/>
    </xf>
    <xf numFmtId="3" fontId="49" fillId="0" borderId="4" xfId="0" applyNumberFormat="1" applyFont="1" applyBorder="1" applyAlignment="1">
      <alignment vertical="top" wrapText="1"/>
    </xf>
    <xf numFmtId="3" fontId="44" fillId="0" borderId="4" xfId="0" applyNumberFormat="1" applyFont="1" applyBorder="1" applyAlignment="1">
      <alignment vertical="top" wrapText="1"/>
    </xf>
    <xf numFmtId="3" fontId="50" fillId="0" borderId="0" xfId="0" applyNumberFormat="1" applyFont="1"/>
    <xf numFmtId="3" fontId="51" fillId="0" borderId="4" xfId="0" applyNumberFormat="1" applyFont="1" applyBorder="1" applyAlignment="1">
      <alignment vertical="top" wrapText="1"/>
    </xf>
    <xf numFmtId="0" fontId="50" fillId="0" borderId="0" xfId="0" applyFont="1"/>
    <xf numFmtId="0" fontId="51" fillId="0" borderId="4" xfId="0" applyFont="1" applyBorder="1" applyAlignment="1">
      <alignment vertical="top" wrapText="1"/>
    </xf>
    <xf numFmtId="3" fontId="52" fillId="0" borderId="0" xfId="0" applyNumberFormat="1" applyFont="1"/>
    <xf numFmtId="0" fontId="52" fillId="0" borderId="0" xfId="0" applyFont="1"/>
    <xf numFmtId="0" fontId="53" fillId="0" borderId="0" xfId="0" applyFont="1"/>
    <xf numFmtId="0" fontId="54" fillId="0" borderId="0" xfId="0" applyFont="1"/>
    <xf numFmtId="9" fontId="32" fillId="0" borderId="0" xfId="1" applyNumberFormat="1" applyFont="1"/>
    <xf numFmtId="10" fontId="52" fillId="0" borderId="0" xfId="1" applyNumberFormat="1" applyFont="1"/>
    <xf numFmtId="3" fontId="29" fillId="0" borderId="4" xfId="0" applyNumberFormat="1" applyFont="1" applyBorder="1" applyAlignment="1">
      <alignment vertical="top" wrapText="1"/>
    </xf>
    <xf numFmtId="164" fontId="0" fillId="0" borderId="0" xfId="0" applyNumberFormat="1"/>
    <xf numFmtId="10" fontId="0" fillId="0" borderId="0" xfId="1" applyNumberFormat="1" applyFont="1"/>
    <xf numFmtId="0" fontId="55" fillId="0" borderId="0" xfId="0" applyFont="1"/>
    <xf numFmtId="164" fontId="52" fillId="0" borderId="0" xfId="0" applyNumberFormat="1" applyFont="1"/>
    <xf numFmtId="165" fontId="52" fillId="0" borderId="0" xfId="0" applyNumberFormat="1" applyFont="1"/>
    <xf numFmtId="164" fontId="32" fillId="0" borderId="0" xfId="0" applyNumberFormat="1" applyFont="1"/>
    <xf numFmtId="0" fontId="56" fillId="0" borderId="0" xfId="0" applyFont="1"/>
    <xf numFmtId="10" fontId="52" fillId="0" borderId="0" xfId="0" applyNumberFormat="1" applyFont="1"/>
    <xf numFmtId="0" fontId="1" fillId="0" borderId="0" xfId="0" applyFont="1"/>
    <xf numFmtId="3" fontId="1" fillId="0" borderId="0" xfId="0" applyNumberFormat="1" applyFont="1"/>
    <xf numFmtId="10" fontId="1" fillId="0" borderId="0" xfId="0" applyNumberFormat="1" applyFont="1"/>
    <xf numFmtId="0" fontId="4" fillId="0" borderId="0" xfId="0" applyFont="1" applyBorder="1" applyAlignment="1">
      <alignment vertical="top" wrapText="1"/>
    </xf>
    <xf numFmtId="0" fontId="57" fillId="0" borderId="0" xfId="0" applyFont="1"/>
    <xf numFmtId="0" fontId="47" fillId="0" borderId="4" xfId="0" applyFont="1" applyBorder="1" applyAlignment="1">
      <alignment vertical="top" wrapText="1"/>
    </xf>
    <xf numFmtId="0" fontId="44" fillId="0" borderId="4" xfId="0" applyFont="1" applyBorder="1" applyAlignment="1">
      <alignment vertical="top" wrapText="1"/>
    </xf>
    <xf numFmtId="3" fontId="14" fillId="0" borderId="4" xfId="0" applyNumberFormat="1" applyFont="1" applyBorder="1" applyAlignment="1">
      <alignment vertical="top"/>
    </xf>
    <xf numFmtId="3" fontId="15" fillId="0" borderId="4" xfId="0" applyNumberFormat="1" applyFont="1" applyBorder="1" applyAlignment="1">
      <alignment vertical="top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23"/>
  <sheetViews>
    <sheetView zoomScaleNormal="100" workbookViewId="0">
      <selection activeCell="Q3" sqref="Q3"/>
    </sheetView>
  </sheetViews>
  <sheetFormatPr defaultRowHeight="12.75"/>
  <cols>
    <col min="1" max="1" width="25.28515625" customWidth="1"/>
    <col min="2" max="3" width="8.5703125" customWidth="1"/>
    <col min="4" max="21" width="8.7109375" customWidth="1"/>
  </cols>
  <sheetData>
    <row r="1" spans="1:15" s="2" customFormat="1" ht="16.5" customHeight="1">
      <c r="A1" s="31" t="s">
        <v>804</v>
      </c>
      <c r="B1" s="23"/>
      <c r="C1" s="23"/>
      <c r="D1" s="23"/>
      <c r="E1" s="23"/>
      <c r="F1" s="23"/>
      <c r="G1" s="23"/>
      <c r="H1" s="23"/>
      <c r="I1" s="23"/>
      <c r="J1" s="23"/>
    </row>
    <row r="2" spans="1:15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5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5"/>
      <c r="L3" s="12" t="s">
        <v>5</v>
      </c>
      <c r="M3" s="13">
        <f>(4858/9039)</f>
        <v>0.53744883283549061</v>
      </c>
    </row>
    <row r="4" spans="1:15" s="2" customFormat="1" ht="16.5" customHeight="1" thickBot="1">
      <c r="A4" s="37" t="s">
        <v>612</v>
      </c>
      <c r="B4" s="52" t="s">
        <v>28</v>
      </c>
      <c r="C4" s="8">
        <v>912</v>
      </c>
      <c r="D4" s="9"/>
      <c r="E4" s="9"/>
      <c r="F4" s="9"/>
      <c r="G4" s="10"/>
      <c r="H4" s="9"/>
      <c r="I4" s="9"/>
      <c r="J4" s="9"/>
      <c r="K4" s="11" t="s">
        <v>4</v>
      </c>
      <c r="L4" s="15"/>
      <c r="M4" s="12" t="s">
        <v>8</v>
      </c>
      <c r="N4" s="12" t="s">
        <v>9</v>
      </c>
      <c r="O4" s="12" t="s">
        <v>10</v>
      </c>
    </row>
    <row r="5" spans="1:15" s="2" customFormat="1" ht="16.5" customHeight="1" thickBot="1">
      <c r="A5" s="37" t="s">
        <v>746</v>
      </c>
      <c r="B5" s="93" t="s">
        <v>679</v>
      </c>
      <c r="C5" s="9">
        <v>508</v>
      </c>
      <c r="D5" s="9"/>
      <c r="E5" s="9"/>
      <c r="F5" s="9"/>
      <c r="G5" s="9"/>
      <c r="H5" s="9"/>
      <c r="I5" s="9"/>
      <c r="J5" s="9"/>
      <c r="K5" s="11" t="s">
        <v>7</v>
      </c>
      <c r="L5" s="16" t="s">
        <v>741</v>
      </c>
      <c r="M5" s="17">
        <f>(C8+C18+C21)</f>
        <v>478</v>
      </c>
      <c r="N5" s="18">
        <f>SUM(M5/M10)</f>
        <v>0.1037326388888889</v>
      </c>
      <c r="O5" s="15">
        <v>1</v>
      </c>
    </row>
    <row r="6" spans="1:15" s="2" customFormat="1" ht="16.5" customHeight="1" thickBot="1">
      <c r="A6" s="37" t="s">
        <v>783</v>
      </c>
      <c r="B6" s="59" t="s">
        <v>17</v>
      </c>
      <c r="C6" s="9">
        <v>466</v>
      </c>
      <c r="D6" s="9"/>
      <c r="E6" s="9"/>
      <c r="F6" s="9"/>
      <c r="G6" s="9"/>
      <c r="H6" s="9"/>
      <c r="I6" s="9"/>
      <c r="J6" s="9"/>
      <c r="K6" s="11" t="s">
        <v>11</v>
      </c>
      <c r="L6" s="19" t="s">
        <v>678</v>
      </c>
      <c r="M6" s="17">
        <f>(C9+C10+C11+C16+C15+C20+C22)</f>
        <v>1124</v>
      </c>
      <c r="N6" s="18">
        <f>SUM(M6/M10)</f>
        <v>0.2439236111111111</v>
      </c>
      <c r="O6" s="15">
        <v>1</v>
      </c>
    </row>
    <row r="7" spans="1:15" s="2" customFormat="1" ht="16.5" customHeight="1" thickBot="1">
      <c r="A7" s="37" t="s">
        <v>809</v>
      </c>
      <c r="B7" s="93" t="s">
        <v>679</v>
      </c>
      <c r="C7" s="9">
        <v>325</v>
      </c>
      <c r="D7" s="9"/>
      <c r="E7" s="9"/>
      <c r="F7" s="9"/>
      <c r="G7" s="9"/>
      <c r="H7" s="9"/>
      <c r="I7" s="9"/>
      <c r="J7" s="9"/>
      <c r="K7" s="11" t="s">
        <v>14</v>
      </c>
      <c r="L7" s="88" t="s">
        <v>679</v>
      </c>
      <c r="M7" s="23">
        <f>(C5+C7+C19)</f>
        <v>948</v>
      </c>
      <c r="N7" s="13">
        <f>SUM(M7/M10)</f>
        <v>0.20572916666666666</v>
      </c>
      <c r="O7" s="15">
        <v>2</v>
      </c>
    </row>
    <row r="8" spans="1:15" s="2" customFormat="1" ht="16.5" customHeight="1" thickBot="1">
      <c r="A8" s="37" t="s">
        <v>810</v>
      </c>
      <c r="B8" s="38" t="s">
        <v>741</v>
      </c>
      <c r="C8" s="9">
        <v>247</v>
      </c>
      <c r="D8" s="9"/>
      <c r="E8" s="9"/>
      <c r="F8" s="9"/>
      <c r="G8" s="9"/>
      <c r="H8" s="9"/>
      <c r="I8" s="9"/>
      <c r="J8" s="9"/>
      <c r="K8" s="11" t="s">
        <v>15</v>
      </c>
      <c r="L8" s="29" t="s">
        <v>17</v>
      </c>
      <c r="M8" s="17">
        <v>466</v>
      </c>
      <c r="N8" s="18">
        <f>SUM(M8/M10)</f>
        <v>0.10112847222222222</v>
      </c>
      <c r="O8" s="2">
        <v>1</v>
      </c>
    </row>
    <row r="9" spans="1:15" s="2" customFormat="1" ht="16.5" customHeight="1" thickBot="1">
      <c r="A9" s="40" t="s">
        <v>806</v>
      </c>
      <c r="B9" s="42" t="s">
        <v>678</v>
      </c>
      <c r="C9" s="9">
        <v>211</v>
      </c>
      <c r="D9" s="9"/>
      <c r="E9" s="9"/>
      <c r="F9" s="9"/>
      <c r="G9" s="9"/>
      <c r="H9" s="9"/>
      <c r="I9" s="9"/>
      <c r="J9" s="9"/>
      <c r="K9" s="11"/>
      <c r="L9" s="22" t="s">
        <v>13</v>
      </c>
      <c r="M9" s="23">
        <f>(C4+C12+C13+C14+C17)</f>
        <v>1592</v>
      </c>
      <c r="N9" s="13">
        <f>SUM(M9/M10)</f>
        <v>0.3454861111111111</v>
      </c>
      <c r="O9" s="15">
        <v>2</v>
      </c>
    </row>
    <row r="10" spans="1:15" s="2" customFormat="1" ht="16.5" customHeight="1" thickBot="1">
      <c r="A10" s="37" t="s">
        <v>788</v>
      </c>
      <c r="B10" s="39" t="s">
        <v>678</v>
      </c>
      <c r="C10" s="9">
        <v>211</v>
      </c>
      <c r="D10" s="9"/>
      <c r="E10" s="9"/>
      <c r="F10" s="9"/>
      <c r="G10" s="9"/>
      <c r="H10" s="9"/>
      <c r="I10" s="9"/>
      <c r="J10" s="9"/>
      <c r="K10" s="11" t="s">
        <v>16</v>
      </c>
      <c r="M10" s="25">
        <v>4608</v>
      </c>
    </row>
    <row r="11" spans="1:15" s="2" customFormat="1" ht="16.5" customHeight="1" thickBot="1">
      <c r="A11" s="40" t="s">
        <v>690</v>
      </c>
      <c r="B11" s="42" t="s">
        <v>678</v>
      </c>
      <c r="C11" s="9">
        <v>210</v>
      </c>
      <c r="D11" s="9"/>
      <c r="E11" s="9"/>
      <c r="F11" s="9"/>
      <c r="G11" s="9"/>
      <c r="H11" s="9"/>
      <c r="I11" s="9"/>
      <c r="J11" s="9"/>
      <c r="K11" s="12"/>
    </row>
    <row r="12" spans="1:15" s="2" customFormat="1" ht="16.5" customHeight="1" thickBot="1">
      <c r="A12" s="37" t="s">
        <v>811</v>
      </c>
      <c r="B12" s="52" t="s">
        <v>28</v>
      </c>
      <c r="C12" s="9">
        <v>208</v>
      </c>
      <c r="D12" s="9"/>
      <c r="E12" s="9"/>
      <c r="F12" s="9"/>
      <c r="G12" s="9"/>
      <c r="H12" s="9"/>
      <c r="I12" s="9"/>
      <c r="J12" s="9"/>
      <c r="K12" s="8" t="s">
        <v>12</v>
      </c>
      <c r="L12" s="18"/>
      <c r="M12" s="17"/>
    </row>
    <row r="13" spans="1:15" s="2" customFormat="1" ht="16.5" customHeight="1" thickBot="1">
      <c r="A13" s="40" t="s">
        <v>813</v>
      </c>
      <c r="B13" s="44" t="s">
        <v>28</v>
      </c>
      <c r="C13" s="9">
        <v>165</v>
      </c>
      <c r="D13" s="9"/>
      <c r="E13" s="9"/>
      <c r="F13" s="9"/>
      <c r="G13" s="9"/>
      <c r="H13" s="9"/>
      <c r="I13" s="9"/>
    </row>
    <row r="14" spans="1:15" s="2" customFormat="1" ht="16.5" customHeight="1" thickBot="1">
      <c r="A14" s="40" t="s">
        <v>805</v>
      </c>
      <c r="B14" s="44" t="s">
        <v>28</v>
      </c>
      <c r="C14" s="9">
        <v>160</v>
      </c>
      <c r="D14" s="9"/>
      <c r="E14" s="9"/>
      <c r="F14" s="9"/>
      <c r="G14" s="9"/>
      <c r="H14" s="9"/>
      <c r="K14" s="12"/>
    </row>
    <row r="15" spans="1:15" s="2" customFormat="1" ht="16.5" customHeight="1" thickBot="1">
      <c r="A15" s="40" t="s">
        <v>815</v>
      </c>
      <c r="B15" s="42" t="s">
        <v>678</v>
      </c>
      <c r="C15" s="9">
        <v>158</v>
      </c>
      <c r="D15" s="9"/>
      <c r="E15" s="9"/>
      <c r="F15" s="9"/>
      <c r="G15" s="9"/>
      <c r="L15" s="18"/>
      <c r="M15" s="15"/>
    </row>
    <row r="16" spans="1:15" s="2" customFormat="1" ht="16.5" customHeight="1" thickBot="1">
      <c r="A16" s="40" t="s">
        <v>816</v>
      </c>
      <c r="B16" s="42" t="s">
        <v>678</v>
      </c>
      <c r="C16" s="9">
        <v>158</v>
      </c>
      <c r="D16" s="9"/>
      <c r="E16" s="9"/>
      <c r="F16" s="9"/>
    </row>
    <row r="17" spans="1:20" s="2" customFormat="1" ht="16.5" customHeight="1" thickBot="1">
      <c r="A17" s="40" t="s">
        <v>689</v>
      </c>
      <c r="B17" s="44" t="s">
        <v>28</v>
      </c>
      <c r="C17" s="9">
        <v>147</v>
      </c>
      <c r="D17" s="9"/>
      <c r="E17" s="9"/>
      <c r="F17" s="9"/>
      <c r="O17" s="18"/>
      <c r="P17" s="15"/>
    </row>
    <row r="18" spans="1:20" s="2" customFormat="1" ht="16.5" customHeight="1" thickBot="1">
      <c r="A18" s="40" t="s">
        <v>808</v>
      </c>
      <c r="B18" s="41" t="s">
        <v>741</v>
      </c>
      <c r="C18" s="9">
        <v>129</v>
      </c>
      <c r="D18" s="9"/>
      <c r="E18" s="9"/>
      <c r="F18" s="9"/>
    </row>
    <row r="19" spans="1:20" s="2" customFormat="1" ht="16.5" customHeight="1" thickBot="1">
      <c r="A19" s="40" t="s">
        <v>812</v>
      </c>
      <c r="B19" s="84" t="s">
        <v>679</v>
      </c>
      <c r="C19" s="9">
        <v>115</v>
      </c>
      <c r="D19" s="9"/>
      <c r="E19" s="9"/>
      <c r="F19" s="9"/>
    </row>
    <row r="20" spans="1:20" s="2" customFormat="1" ht="16.5" customHeight="1" thickBot="1">
      <c r="A20" s="40" t="s">
        <v>810</v>
      </c>
      <c r="B20" s="42" t="s">
        <v>678</v>
      </c>
      <c r="C20" s="9">
        <v>103</v>
      </c>
      <c r="D20" s="9"/>
      <c r="E20" s="9"/>
      <c r="O20" s="18"/>
      <c r="P20" s="15"/>
    </row>
    <row r="21" spans="1:20" s="2" customFormat="1" ht="16.5" customHeight="1" thickBot="1">
      <c r="A21" s="40" t="s">
        <v>807</v>
      </c>
      <c r="B21" s="41" t="s">
        <v>741</v>
      </c>
      <c r="C21" s="9">
        <v>102</v>
      </c>
      <c r="D21" s="9"/>
      <c r="E21" s="9"/>
    </row>
    <row r="22" spans="1:20" s="2" customFormat="1" ht="16.5" customHeight="1" thickBot="1">
      <c r="A22" s="40" t="s">
        <v>814</v>
      </c>
      <c r="B22" s="42" t="s">
        <v>678</v>
      </c>
      <c r="C22" s="9">
        <v>73</v>
      </c>
      <c r="D22" s="9"/>
      <c r="E22" s="9"/>
    </row>
    <row r="23" spans="1:20" s="2" customFormat="1" ht="10.5" customHeight="1">
      <c r="A23" s="31"/>
      <c r="B23" s="23"/>
      <c r="C23" s="23"/>
      <c r="D23" s="23"/>
      <c r="E23" s="23"/>
      <c r="F23" s="23"/>
      <c r="G23" s="23"/>
      <c r="H23" s="23"/>
      <c r="I23" s="23"/>
      <c r="J23" s="23"/>
    </row>
    <row r="24" spans="1:20" s="2" customFormat="1" ht="17.45" customHeight="1">
      <c r="A24" s="31" t="s">
        <v>857</v>
      </c>
      <c r="B24" s="23"/>
      <c r="C24" s="23"/>
      <c r="D24" s="23"/>
      <c r="E24" s="23"/>
      <c r="F24" s="23"/>
      <c r="G24" s="23"/>
      <c r="H24" s="23"/>
      <c r="I24" s="23"/>
      <c r="J24" s="23"/>
    </row>
    <row r="25" spans="1:20" s="2" customFormat="1" ht="10.5" customHeight="1" thickBot="1">
      <c r="A25" s="31"/>
      <c r="B25" s="23"/>
      <c r="C25" s="23"/>
      <c r="D25" s="23"/>
      <c r="E25" s="23"/>
      <c r="F25" s="23"/>
      <c r="G25" s="23"/>
      <c r="H25" s="23"/>
      <c r="I25" s="23"/>
      <c r="J25" s="23"/>
    </row>
    <row r="26" spans="1:20" s="2" customFormat="1" ht="16.5" customHeight="1" thickBot="1">
      <c r="A26" s="35" t="s">
        <v>0</v>
      </c>
      <c r="B26" s="36" t="s">
        <v>1</v>
      </c>
      <c r="C26" s="36" t="s">
        <v>2</v>
      </c>
      <c r="D26" s="36">
        <v>2</v>
      </c>
      <c r="E26" s="36">
        <v>3</v>
      </c>
      <c r="F26" s="36">
        <v>4</v>
      </c>
      <c r="G26" s="36">
        <v>5</v>
      </c>
      <c r="H26" s="36">
        <v>6</v>
      </c>
      <c r="I26" s="36">
        <v>7</v>
      </c>
      <c r="J26" s="36">
        <v>8</v>
      </c>
      <c r="K26" s="36">
        <v>9</v>
      </c>
      <c r="L26" s="36">
        <v>10</v>
      </c>
      <c r="M26" s="36">
        <v>11</v>
      </c>
      <c r="N26" s="36">
        <v>12</v>
      </c>
      <c r="O26" s="36">
        <v>13</v>
      </c>
      <c r="P26" s="45"/>
      <c r="Q26" s="12" t="s">
        <v>5</v>
      </c>
      <c r="R26" s="13">
        <f>(8765/17250)</f>
        <v>0.50811594202898547</v>
      </c>
    </row>
    <row r="27" spans="1:20" s="2" customFormat="1" ht="16.5" customHeight="1" thickBot="1">
      <c r="A27" s="37" t="s">
        <v>860</v>
      </c>
      <c r="B27" s="38" t="s">
        <v>741</v>
      </c>
      <c r="C27" s="8">
        <v>862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8" t="s">
        <v>4</v>
      </c>
      <c r="Q27" s="15"/>
      <c r="R27" s="12" t="s">
        <v>8</v>
      </c>
      <c r="S27" s="12" t="s">
        <v>9</v>
      </c>
      <c r="T27" s="12" t="s">
        <v>10</v>
      </c>
    </row>
    <row r="28" spans="1:20" s="2" customFormat="1" ht="16.5" customHeight="1" thickBot="1">
      <c r="A28" s="37" t="s">
        <v>866</v>
      </c>
      <c r="B28" s="39" t="s">
        <v>678</v>
      </c>
      <c r="C28" s="9">
        <v>766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8" t="s">
        <v>7</v>
      </c>
      <c r="Q28" s="16" t="s">
        <v>741</v>
      </c>
      <c r="R28" s="17">
        <f>(C27+C34+C40+C41+C48)</f>
        <v>1804</v>
      </c>
      <c r="S28" s="18">
        <f>SUM(R28/R33)</f>
        <v>0.21856069784346982</v>
      </c>
      <c r="T28" s="15">
        <v>2</v>
      </c>
    </row>
    <row r="29" spans="1:20" s="2" customFormat="1" ht="16.5" customHeight="1" thickBot="1">
      <c r="A29" s="37" t="s">
        <v>877</v>
      </c>
      <c r="B29" s="52" t="s">
        <v>28</v>
      </c>
      <c r="C29" s="9">
        <v>712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8"/>
      <c r="Q29" s="19" t="s">
        <v>678</v>
      </c>
      <c r="R29" s="17">
        <f>(C28+C31+C32+C33+C35+C36+C37+C49+C50)</f>
        <v>3361</v>
      </c>
      <c r="S29" s="18">
        <f>SUM(R29/R33)</f>
        <v>0.40719651078265084</v>
      </c>
      <c r="T29" s="15">
        <v>5</v>
      </c>
    </row>
    <row r="30" spans="1:20" s="2" customFormat="1" ht="16.5" customHeight="1" thickBot="1">
      <c r="A30" s="37" t="s">
        <v>619</v>
      </c>
      <c r="B30" s="93" t="s">
        <v>679</v>
      </c>
      <c r="C30" s="9">
        <v>665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8"/>
      <c r="Q30" s="88" t="s">
        <v>679</v>
      </c>
      <c r="R30" s="23">
        <f>(C30+C38+C39)</f>
        <v>1197</v>
      </c>
      <c r="S30" s="13">
        <f>SUM(R30/R33)</f>
        <v>0.14502059607463047</v>
      </c>
      <c r="T30" s="15">
        <v>1</v>
      </c>
    </row>
    <row r="31" spans="1:20" s="2" customFormat="1" ht="16.5" customHeight="1" thickBot="1">
      <c r="A31" s="37" t="s">
        <v>862</v>
      </c>
      <c r="B31" s="39" t="s">
        <v>678</v>
      </c>
      <c r="C31" s="9">
        <v>614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8"/>
      <c r="Q31" s="29" t="s">
        <v>17</v>
      </c>
      <c r="R31" s="17">
        <v>212</v>
      </c>
      <c r="S31" s="18">
        <f>SUM(R31/R33)</f>
        <v>2.5684516598013084E-2</v>
      </c>
    </row>
    <row r="32" spans="1:20" s="2" customFormat="1" ht="16.5" customHeight="1" thickBot="1">
      <c r="A32" s="37" t="s">
        <v>865</v>
      </c>
      <c r="B32" s="39" t="s">
        <v>678</v>
      </c>
      <c r="C32" s="9">
        <v>475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8"/>
      <c r="Q32" s="22" t="s">
        <v>13</v>
      </c>
      <c r="R32" s="17">
        <f>(C29+C43+C44+C45+C46+C47+C51+C52)</f>
        <v>1680</v>
      </c>
      <c r="S32" s="18">
        <f>SUM(R32/R33)</f>
        <v>0.20353767870123576</v>
      </c>
      <c r="T32" s="2">
        <v>1</v>
      </c>
    </row>
    <row r="33" spans="1:20" s="2" customFormat="1" ht="16.5" customHeight="1" thickBot="1">
      <c r="A33" s="37" t="s">
        <v>858</v>
      </c>
      <c r="B33" s="39" t="s">
        <v>678</v>
      </c>
      <c r="C33" s="9">
        <v>377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8"/>
      <c r="Q33" s="12"/>
      <c r="R33" s="25">
        <v>8254</v>
      </c>
      <c r="S33" s="13"/>
      <c r="T33" s="15"/>
    </row>
    <row r="34" spans="1:20" s="2" customFormat="1" ht="16.5" customHeight="1" thickBot="1">
      <c r="A34" s="37" t="s">
        <v>872</v>
      </c>
      <c r="B34" s="38" t="s">
        <v>741</v>
      </c>
      <c r="C34" s="9">
        <v>373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8"/>
    </row>
    <row r="35" spans="1:20" s="2" customFormat="1" ht="16.5" customHeight="1" thickBot="1">
      <c r="A35" s="40" t="s">
        <v>864</v>
      </c>
      <c r="B35" s="42" t="s">
        <v>678</v>
      </c>
      <c r="C35" s="9">
        <v>340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8"/>
      <c r="R35" s="23"/>
    </row>
    <row r="36" spans="1:20" s="2" customFormat="1" ht="16.5" customHeight="1" thickBot="1">
      <c r="A36" s="37" t="s">
        <v>859</v>
      </c>
      <c r="B36" s="39" t="s">
        <v>678</v>
      </c>
      <c r="C36" s="9">
        <v>311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8"/>
    </row>
    <row r="37" spans="1:20" s="2" customFormat="1" ht="16.5" customHeight="1" thickBot="1">
      <c r="A37" s="40" t="s">
        <v>867</v>
      </c>
      <c r="B37" s="42" t="s">
        <v>678</v>
      </c>
      <c r="C37" s="9">
        <v>275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</row>
    <row r="38" spans="1:20" s="2" customFormat="1" ht="16.5" customHeight="1" thickBot="1">
      <c r="A38" s="40" t="s">
        <v>869</v>
      </c>
      <c r="B38" s="84" t="s">
        <v>679</v>
      </c>
      <c r="C38" s="9">
        <v>272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</row>
    <row r="39" spans="1:20" s="2" customFormat="1" ht="16.5" customHeight="1" thickBot="1">
      <c r="A39" s="40" t="s">
        <v>875</v>
      </c>
      <c r="B39" s="84" t="s">
        <v>679</v>
      </c>
      <c r="C39" s="9">
        <v>260</v>
      </c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20" s="2" customFormat="1" ht="16.5" customHeight="1" thickBot="1">
      <c r="A40" s="40" t="s">
        <v>874</v>
      </c>
      <c r="B40" s="41" t="s">
        <v>741</v>
      </c>
      <c r="C40" s="9">
        <v>226</v>
      </c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20" s="2" customFormat="1" ht="16.5" customHeight="1" thickBot="1">
      <c r="A41" s="40" t="s">
        <v>873</v>
      </c>
      <c r="B41" s="41" t="s">
        <v>741</v>
      </c>
      <c r="C41" s="9">
        <v>218</v>
      </c>
      <c r="D41" s="9"/>
      <c r="E41" s="9"/>
      <c r="F41" s="9"/>
      <c r="G41" s="9"/>
      <c r="H41" s="9"/>
      <c r="I41" s="9"/>
      <c r="J41" s="9"/>
      <c r="K41" s="9"/>
      <c r="L41" s="9"/>
    </row>
    <row r="42" spans="1:20" s="2" customFormat="1" ht="16.5" customHeight="1" thickBot="1">
      <c r="A42" s="40" t="s">
        <v>861</v>
      </c>
      <c r="B42" s="50" t="s">
        <v>17</v>
      </c>
      <c r="C42" s="9">
        <v>212</v>
      </c>
      <c r="D42" s="9"/>
      <c r="E42" s="9"/>
      <c r="F42" s="9"/>
      <c r="G42" s="9"/>
      <c r="H42" s="9"/>
      <c r="I42" s="9"/>
      <c r="J42" s="9"/>
    </row>
    <row r="43" spans="1:20" s="2" customFormat="1" ht="16.5" customHeight="1" thickBot="1">
      <c r="A43" s="40" t="s">
        <v>871</v>
      </c>
      <c r="B43" s="44" t="s">
        <v>28</v>
      </c>
      <c r="C43" s="9">
        <v>211</v>
      </c>
      <c r="D43" s="9"/>
      <c r="E43" s="9"/>
      <c r="F43" s="9"/>
      <c r="G43" s="9"/>
      <c r="H43" s="9"/>
      <c r="I43" s="9"/>
      <c r="J43" s="9"/>
    </row>
    <row r="44" spans="1:20" s="2" customFormat="1" ht="16.5" customHeight="1" thickBot="1">
      <c r="A44" s="40" t="s">
        <v>870</v>
      </c>
      <c r="B44" s="44" t="s">
        <v>28</v>
      </c>
      <c r="C44" s="9">
        <v>167</v>
      </c>
      <c r="D44" s="9"/>
      <c r="E44" s="9"/>
      <c r="F44" s="9"/>
      <c r="G44" s="9"/>
      <c r="H44" s="9"/>
    </row>
    <row r="45" spans="1:20" s="2" customFormat="1" ht="16.5" customHeight="1" thickBot="1">
      <c r="A45" s="40" t="s">
        <v>706</v>
      </c>
      <c r="B45" s="44" t="s">
        <v>28</v>
      </c>
      <c r="C45" s="9">
        <v>165</v>
      </c>
      <c r="D45" s="9"/>
      <c r="E45" s="9"/>
      <c r="F45" s="9"/>
      <c r="G45" s="9"/>
      <c r="O45" s="13"/>
    </row>
    <row r="46" spans="1:20" s="2" customFormat="1" ht="16.5" customHeight="1" thickBot="1">
      <c r="A46" s="40" t="s">
        <v>694</v>
      </c>
      <c r="B46" s="44" t="s">
        <v>28</v>
      </c>
      <c r="C46" s="9">
        <v>149</v>
      </c>
      <c r="D46" s="9"/>
      <c r="E46" s="9"/>
      <c r="F46" s="9"/>
    </row>
    <row r="47" spans="1:20" s="2" customFormat="1" ht="16.5" customHeight="1" thickBot="1">
      <c r="A47" s="40" t="s">
        <v>391</v>
      </c>
      <c r="B47" s="44" t="s">
        <v>28</v>
      </c>
      <c r="C47" s="9">
        <v>139</v>
      </c>
      <c r="D47" s="9"/>
      <c r="E47" s="9"/>
    </row>
    <row r="48" spans="1:20" s="2" customFormat="1" ht="16.5" customHeight="1" thickBot="1">
      <c r="A48" s="40" t="s">
        <v>554</v>
      </c>
      <c r="B48" s="41" t="s">
        <v>741</v>
      </c>
      <c r="C48" s="9">
        <v>125</v>
      </c>
      <c r="D48" s="9"/>
      <c r="E48" s="9"/>
    </row>
    <row r="49" spans="1:19" s="2" customFormat="1" ht="16.5" customHeight="1" thickBot="1">
      <c r="A49" s="40" t="s">
        <v>868</v>
      </c>
      <c r="B49" s="42" t="s">
        <v>678</v>
      </c>
      <c r="C49" s="9">
        <v>124</v>
      </c>
      <c r="D49" s="9"/>
      <c r="E49" s="9"/>
    </row>
    <row r="50" spans="1:19" s="2" customFormat="1" ht="16.5" customHeight="1" thickBot="1">
      <c r="A50" s="40" t="s">
        <v>863</v>
      </c>
      <c r="B50" s="42" t="s">
        <v>678</v>
      </c>
      <c r="C50" s="9">
        <v>79</v>
      </c>
      <c r="D50" s="9"/>
      <c r="E50" s="9"/>
    </row>
    <row r="51" spans="1:19" s="2" customFormat="1" ht="16.5" customHeight="1" thickBot="1">
      <c r="A51" s="40" t="s">
        <v>876</v>
      </c>
      <c r="B51" s="44" t="s">
        <v>28</v>
      </c>
      <c r="C51" s="9">
        <v>71</v>
      </c>
      <c r="D51" s="9"/>
      <c r="E51" s="9"/>
      <c r="O51" s="13"/>
    </row>
    <row r="52" spans="1:19" s="2" customFormat="1" ht="16.5" customHeight="1" thickBot="1">
      <c r="A52" s="40" t="s">
        <v>878</v>
      </c>
      <c r="B52" s="44" t="s">
        <v>28</v>
      </c>
      <c r="C52" s="9">
        <v>66</v>
      </c>
      <c r="D52" s="9"/>
      <c r="E52" s="9"/>
      <c r="O52" s="13"/>
    </row>
    <row r="53" spans="1:19" s="2" customFormat="1" ht="12" customHeight="1">
      <c r="A53" s="28"/>
      <c r="B53" s="47"/>
      <c r="C53" s="28"/>
      <c r="D53" s="28"/>
      <c r="E53" s="28"/>
      <c r="F53" s="23"/>
      <c r="G53" s="23"/>
      <c r="H53" s="23"/>
      <c r="I53" s="23"/>
      <c r="J53" s="23"/>
      <c r="N53" s="18"/>
    </row>
    <row r="54" spans="1:19" s="2" customFormat="1" ht="17.45" customHeight="1">
      <c r="A54" s="1" t="s">
        <v>830</v>
      </c>
    </row>
    <row r="55" spans="1:19" s="2" customFormat="1" ht="10.5" customHeight="1" thickBot="1">
      <c r="A55" s="1"/>
    </row>
    <row r="56" spans="1:19" s="2" customFormat="1" ht="16.5" customHeight="1" thickBot="1">
      <c r="A56" s="3" t="s">
        <v>0</v>
      </c>
      <c r="B56" s="4" t="s">
        <v>1</v>
      </c>
      <c r="C56" s="4" t="s">
        <v>2</v>
      </c>
      <c r="D56" s="4">
        <v>2</v>
      </c>
      <c r="E56" s="4">
        <v>3</v>
      </c>
      <c r="F56" s="4">
        <v>4</v>
      </c>
      <c r="G56" s="4">
        <v>5</v>
      </c>
      <c r="H56" s="4">
        <v>6</v>
      </c>
      <c r="I56" s="4">
        <v>7</v>
      </c>
      <c r="J56" s="4">
        <v>8</v>
      </c>
      <c r="K56" s="4">
        <v>9</v>
      </c>
      <c r="L56" s="4">
        <v>10</v>
      </c>
      <c r="M56" s="4">
        <v>11</v>
      </c>
      <c r="N56" s="4">
        <v>12</v>
      </c>
      <c r="O56" s="5"/>
      <c r="P56" s="12" t="s">
        <v>5</v>
      </c>
      <c r="Q56" s="13">
        <f>(6272/12250)</f>
        <v>0.51200000000000001</v>
      </c>
    </row>
    <row r="57" spans="1:19" s="2" customFormat="1" ht="16.5" customHeight="1" thickBot="1">
      <c r="A57" s="6" t="s">
        <v>634</v>
      </c>
      <c r="B57" s="24" t="s">
        <v>28</v>
      </c>
      <c r="C57" s="8">
        <v>821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11" t="s">
        <v>4</v>
      </c>
      <c r="P57" s="15"/>
      <c r="Q57" s="12" t="s">
        <v>8</v>
      </c>
      <c r="R57" s="12" t="s">
        <v>9</v>
      </c>
      <c r="S57" s="12" t="s">
        <v>10</v>
      </c>
    </row>
    <row r="58" spans="1:19" s="2" customFormat="1" ht="16.5" customHeight="1" thickBot="1">
      <c r="A58" s="6" t="s">
        <v>841</v>
      </c>
      <c r="B58" s="119" t="s">
        <v>679</v>
      </c>
      <c r="C58" s="9">
        <v>548</v>
      </c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11" t="s">
        <v>7</v>
      </c>
      <c r="P58" s="16" t="s">
        <v>741</v>
      </c>
      <c r="Q58" s="17">
        <f>(C59+C61+C67+C69+C68+C76+C78)</f>
        <v>1682</v>
      </c>
      <c r="R58" s="18">
        <f>SUM(Q58/Q63)</f>
        <v>0.27930919960146133</v>
      </c>
      <c r="S58" s="15">
        <v>2</v>
      </c>
    </row>
    <row r="59" spans="1:19" s="2" customFormat="1" ht="16.5" customHeight="1" thickBot="1">
      <c r="A59" s="6" t="s">
        <v>836</v>
      </c>
      <c r="B59" s="14" t="s">
        <v>741</v>
      </c>
      <c r="C59" s="9">
        <v>517</v>
      </c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8" t="s">
        <v>11</v>
      </c>
      <c r="P59" s="19" t="s">
        <v>678</v>
      </c>
      <c r="Q59" s="17">
        <f>(C63+C65+C71+C72)</f>
        <v>965</v>
      </c>
      <c r="R59" s="18">
        <f>SUM(Q59/Q63)</f>
        <v>0.16024576552640318</v>
      </c>
      <c r="S59" s="15">
        <v>1</v>
      </c>
    </row>
    <row r="60" spans="1:19" s="2" customFormat="1" ht="16.5" customHeight="1" thickBot="1">
      <c r="A60" s="6" t="s">
        <v>838</v>
      </c>
      <c r="B60" s="119" t="s">
        <v>679</v>
      </c>
      <c r="C60" s="9">
        <v>493</v>
      </c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11" t="s">
        <v>15</v>
      </c>
      <c r="P60" s="88" t="s">
        <v>679</v>
      </c>
      <c r="Q60" s="23">
        <f>(C58+C60+C62+C64+C66+C70+C73)</f>
        <v>2335</v>
      </c>
      <c r="R60" s="13">
        <f>SUM(Q60/Q63)</f>
        <v>0.38774493523746262</v>
      </c>
      <c r="S60" s="15">
        <v>4</v>
      </c>
    </row>
    <row r="61" spans="1:19" s="2" customFormat="1" ht="16.5" customHeight="1" thickBot="1">
      <c r="A61" s="6" t="s">
        <v>636</v>
      </c>
      <c r="B61" s="14" t="s">
        <v>741</v>
      </c>
      <c r="C61" s="9">
        <v>485</v>
      </c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1" t="s">
        <v>12</v>
      </c>
      <c r="P61" s="29" t="s">
        <v>17</v>
      </c>
      <c r="Q61" s="17">
        <f>(C74+C75)</f>
        <v>171</v>
      </c>
      <c r="R61" s="18">
        <f>SUM(Q61/Q63)</f>
        <v>2.8395881766854866E-2</v>
      </c>
    </row>
    <row r="62" spans="1:19" s="2" customFormat="1" ht="16.5" customHeight="1" thickBot="1">
      <c r="A62" s="6" t="s">
        <v>338</v>
      </c>
      <c r="B62" s="119" t="s">
        <v>679</v>
      </c>
      <c r="C62" s="9">
        <v>451</v>
      </c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11" t="s">
        <v>16</v>
      </c>
      <c r="P62" s="12" t="s">
        <v>13</v>
      </c>
      <c r="Q62" s="23">
        <f>(C57+C77)</f>
        <v>869</v>
      </c>
      <c r="R62" s="13">
        <f>SUM(Q62/Q63)</f>
        <v>0.144304217867818</v>
      </c>
      <c r="S62" s="2">
        <v>1</v>
      </c>
    </row>
    <row r="63" spans="1:19" s="2" customFormat="1" ht="16.5" customHeight="1" thickBot="1">
      <c r="A63" s="6" t="s">
        <v>843</v>
      </c>
      <c r="B63" s="39" t="s">
        <v>678</v>
      </c>
      <c r="C63" s="9">
        <v>399</v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11" t="s">
        <v>209</v>
      </c>
      <c r="P63" s="15"/>
      <c r="Q63" s="25">
        <v>6022</v>
      </c>
    </row>
    <row r="64" spans="1:19" s="2" customFormat="1" ht="16.5" customHeight="1" thickBot="1">
      <c r="A64" s="6" t="s">
        <v>839</v>
      </c>
      <c r="B64" s="119" t="s">
        <v>679</v>
      </c>
      <c r="C64" s="9">
        <v>314</v>
      </c>
      <c r="D64" s="10"/>
      <c r="E64" s="9"/>
      <c r="F64" s="9"/>
      <c r="G64" s="9"/>
      <c r="H64" s="9"/>
      <c r="I64" s="9"/>
      <c r="J64" s="9"/>
      <c r="K64" s="9"/>
      <c r="L64" s="9"/>
      <c r="M64" s="9"/>
      <c r="N64" s="9"/>
      <c r="O64" s="11" t="s">
        <v>14</v>
      </c>
    </row>
    <row r="65" spans="1:15" s="2" customFormat="1" ht="16.5" customHeight="1" thickBot="1">
      <c r="A65" s="20" t="s">
        <v>844</v>
      </c>
      <c r="B65" s="42" t="s">
        <v>678</v>
      </c>
      <c r="C65" s="9">
        <v>285</v>
      </c>
      <c r="D65" s="10"/>
      <c r="E65" s="10"/>
      <c r="F65" s="9"/>
      <c r="G65" s="9"/>
      <c r="H65" s="9"/>
      <c r="I65" s="9"/>
      <c r="J65" s="9"/>
      <c r="K65" s="9"/>
      <c r="L65" s="9"/>
      <c r="M65" s="9"/>
      <c r="N65" s="9"/>
      <c r="O65" s="11"/>
    </row>
    <row r="66" spans="1:15" s="2" customFormat="1" ht="16.5" customHeight="1" thickBot="1">
      <c r="A66" s="20" t="s">
        <v>840</v>
      </c>
      <c r="B66" s="85" t="s">
        <v>679</v>
      </c>
      <c r="C66" s="9">
        <v>253</v>
      </c>
      <c r="D66" s="9"/>
      <c r="E66" s="9"/>
      <c r="F66" s="10"/>
      <c r="G66" s="9"/>
      <c r="H66" s="9"/>
      <c r="I66" s="9"/>
      <c r="J66" s="9"/>
      <c r="K66" s="9"/>
      <c r="L66" s="9"/>
      <c r="M66" s="9"/>
      <c r="N66" s="9"/>
    </row>
    <row r="67" spans="1:15" s="2" customFormat="1" ht="16.5" customHeight="1" thickBot="1">
      <c r="A67" s="20" t="s">
        <v>615</v>
      </c>
      <c r="B67" s="21" t="s">
        <v>741</v>
      </c>
      <c r="C67" s="9">
        <v>224</v>
      </c>
      <c r="D67" s="10"/>
      <c r="E67" s="10"/>
      <c r="F67" s="9"/>
      <c r="G67" s="9"/>
      <c r="H67" s="9"/>
      <c r="I67" s="9"/>
      <c r="J67" s="9"/>
    </row>
    <row r="68" spans="1:15" s="2" customFormat="1" ht="16.5" customHeight="1" thickBot="1">
      <c r="A68" s="20" t="s">
        <v>835</v>
      </c>
      <c r="B68" s="21" t="s">
        <v>741</v>
      </c>
      <c r="C68" s="9">
        <v>211</v>
      </c>
      <c r="D68" s="9"/>
      <c r="E68" s="9"/>
      <c r="F68" s="9"/>
      <c r="G68" s="9"/>
      <c r="H68" s="9"/>
      <c r="I68" s="9"/>
    </row>
    <row r="69" spans="1:15" s="2" customFormat="1" ht="16.5" customHeight="1" thickBot="1">
      <c r="A69" s="20" t="s">
        <v>832</v>
      </c>
      <c r="B69" s="21" t="s">
        <v>741</v>
      </c>
      <c r="C69" s="9">
        <v>165</v>
      </c>
      <c r="D69" s="10"/>
      <c r="E69" s="10"/>
      <c r="F69" s="9"/>
      <c r="G69" s="9"/>
      <c r="H69" s="9"/>
      <c r="I69" s="9"/>
    </row>
    <row r="70" spans="1:15" s="2" customFormat="1" ht="16.5" customHeight="1" thickBot="1">
      <c r="A70" s="20" t="s">
        <v>837</v>
      </c>
      <c r="B70" s="85" t="s">
        <v>679</v>
      </c>
      <c r="C70" s="9">
        <v>158</v>
      </c>
      <c r="D70" s="9"/>
      <c r="E70" s="9"/>
      <c r="F70" s="9"/>
      <c r="G70" s="9"/>
      <c r="H70" s="9"/>
      <c r="I70" s="9"/>
    </row>
    <row r="71" spans="1:15" s="2" customFormat="1" ht="16.5" customHeight="1" thickBot="1">
      <c r="A71" s="20" t="s">
        <v>846</v>
      </c>
      <c r="B71" s="42" t="s">
        <v>678</v>
      </c>
      <c r="C71" s="9">
        <v>145</v>
      </c>
      <c r="D71" s="9"/>
      <c r="E71" s="10"/>
      <c r="F71" s="9"/>
      <c r="G71" s="9"/>
    </row>
    <row r="72" spans="1:15" s="2" customFormat="1" ht="16.5" customHeight="1" thickBot="1">
      <c r="A72" s="20" t="s">
        <v>845</v>
      </c>
      <c r="B72" s="42" t="s">
        <v>678</v>
      </c>
      <c r="C72" s="9">
        <v>136</v>
      </c>
      <c r="D72" s="9"/>
      <c r="E72" s="9"/>
      <c r="F72" s="9"/>
      <c r="G72" s="9"/>
    </row>
    <row r="73" spans="1:15" s="2" customFormat="1" ht="16.5" customHeight="1" thickBot="1">
      <c r="A73" s="20" t="s">
        <v>842</v>
      </c>
      <c r="B73" s="85" t="s">
        <v>679</v>
      </c>
      <c r="C73" s="9">
        <v>118</v>
      </c>
      <c r="D73" s="10"/>
      <c r="E73" s="9"/>
      <c r="F73" s="9"/>
    </row>
    <row r="74" spans="1:15" s="2" customFormat="1" ht="16.5" customHeight="1" thickBot="1">
      <c r="A74" s="20" t="s">
        <v>831</v>
      </c>
      <c r="B74" s="50" t="s">
        <v>17</v>
      </c>
      <c r="C74" s="9">
        <v>115</v>
      </c>
      <c r="D74" s="9"/>
    </row>
    <row r="75" spans="1:15" s="2" customFormat="1" ht="16.5" customHeight="1" thickBot="1">
      <c r="A75" s="20" t="s">
        <v>716</v>
      </c>
      <c r="B75" s="50" t="s">
        <v>17</v>
      </c>
      <c r="C75" s="9">
        <v>56</v>
      </c>
      <c r="D75" s="10"/>
    </row>
    <row r="76" spans="1:15" s="2" customFormat="1" ht="16.5" customHeight="1" thickBot="1">
      <c r="A76" s="20" t="s">
        <v>834</v>
      </c>
      <c r="B76" s="21" t="s">
        <v>741</v>
      </c>
      <c r="C76" s="9">
        <v>56</v>
      </c>
      <c r="D76" s="9"/>
    </row>
    <row r="77" spans="1:15" s="2" customFormat="1" ht="16.5" customHeight="1" thickBot="1">
      <c r="A77" s="20" t="s">
        <v>847</v>
      </c>
      <c r="B77" s="26" t="s">
        <v>28</v>
      </c>
      <c r="C77" s="9">
        <v>48</v>
      </c>
      <c r="D77" s="9"/>
    </row>
    <row r="78" spans="1:15" s="2" customFormat="1" ht="16.5" customHeight="1" thickBot="1">
      <c r="A78" s="20" t="s">
        <v>833</v>
      </c>
      <c r="B78" s="21" t="s">
        <v>741</v>
      </c>
      <c r="C78" s="9">
        <v>24</v>
      </c>
      <c r="D78" s="9"/>
    </row>
    <row r="79" spans="1:15">
      <c r="C79" s="63"/>
    </row>
    <row r="80" spans="1:15" s="2" customFormat="1" ht="17.45" customHeight="1">
      <c r="A80" s="31" t="s">
        <v>817</v>
      </c>
      <c r="B80" s="23"/>
      <c r="C80" s="23"/>
      <c r="D80" s="23"/>
      <c r="E80" s="23"/>
      <c r="F80" s="23"/>
      <c r="G80" s="23"/>
      <c r="H80" s="23"/>
      <c r="I80" s="23"/>
      <c r="J80" s="23"/>
    </row>
    <row r="81" spans="1:21" s="2" customFormat="1" ht="8.25" customHeight="1" thickBot="1">
      <c r="A81" s="31"/>
      <c r="B81" s="23"/>
      <c r="C81" s="23"/>
      <c r="D81" s="23"/>
      <c r="E81" s="23"/>
      <c r="F81" s="23"/>
      <c r="G81" s="23"/>
      <c r="H81" s="23"/>
      <c r="I81" s="23"/>
      <c r="J81" s="23"/>
    </row>
    <row r="82" spans="1:21" s="2" customFormat="1" ht="17.45" customHeight="1" thickBot="1">
      <c r="A82" s="35" t="s">
        <v>0</v>
      </c>
      <c r="B82" s="36" t="s">
        <v>1</v>
      </c>
      <c r="C82" s="36" t="s">
        <v>2</v>
      </c>
      <c r="D82" s="36">
        <v>2</v>
      </c>
      <c r="E82" s="36">
        <v>3</v>
      </c>
      <c r="F82" s="36">
        <v>4</v>
      </c>
      <c r="G82" s="36">
        <v>5</v>
      </c>
      <c r="H82" s="36">
        <v>6</v>
      </c>
      <c r="I82" s="36">
        <v>7</v>
      </c>
      <c r="J82" s="36">
        <v>8</v>
      </c>
      <c r="K82" s="36">
        <v>9</v>
      </c>
      <c r="L82" s="36"/>
      <c r="M82" s="25" t="s">
        <v>5</v>
      </c>
      <c r="N82" s="13">
        <f>(6122/9900)</f>
        <v>0.61838383838383837</v>
      </c>
      <c r="P82" s="13"/>
    </row>
    <row r="83" spans="1:21" s="2" customFormat="1" ht="17.45" customHeight="1" thickBot="1">
      <c r="A83" s="37" t="s">
        <v>824</v>
      </c>
      <c r="B83" s="119" t="s">
        <v>679</v>
      </c>
      <c r="C83" s="120">
        <v>916</v>
      </c>
      <c r="D83" s="9"/>
      <c r="E83" s="9"/>
      <c r="F83" s="9"/>
      <c r="G83" s="9"/>
      <c r="H83" s="9"/>
      <c r="I83" s="9"/>
      <c r="J83" s="9"/>
      <c r="K83" s="9"/>
      <c r="L83" s="8" t="s">
        <v>4</v>
      </c>
      <c r="M83" s="17"/>
      <c r="N83" s="12" t="s">
        <v>8</v>
      </c>
      <c r="O83" s="12" t="s">
        <v>9</v>
      </c>
      <c r="P83" s="12" t="s">
        <v>10</v>
      </c>
    </row>
    <row r="84" spans="1:21" s="2" customFormat="1" ht="17.45" customHeight="1" thickBot="1">
      <c r="A84" s="37" t="s">
        <v>662</v>
      </c>
      <c r="B84" s="39" t="s">
        <v>678</v>
      </c>
      <c r="C84" s="120">
        <v>794</v>
      </c>
      <c r="D84" s="9"/>
      <c r="E84" s="9"/>
      <c r="F84" s="9"/>
      <c r="G84" s="9"/>
      <c r="H84" s="9"/>
      <c r="I84" s="9"/>
      <c r="J84" s="9"/>
      <c r="K84" s="9"/>
      <c r="L84" s="8" t="s">
        <v>7</v>
      </c>
      <c r="M84" s="48" t="s">
        <v>741</v>
      </c>
      <c r="N84" s="17">
        <f>(C85+C90+C91+C92+C96+C99)</f>
        <v>1566</v>
      </c>
      <c r="O84" s="18">
        <f>SUM(N84/N89)</f>
        <v>0.26990692864529475</v>
      </c>
      <c r="P84" s="15">
        <v>3</v>
      </c>
    </row>
    <row r="85" spans="1:21" s="2" customFormat="1" ht="17.45" customHeight="1" thickBot="1">
      <c r="A85" s="37" t="s">
        <v>819</v>
      </c>
      <c r="B85" s="38" t="s">
        <v>741</v>
      </c>
      <c r="C85" s="121">
        <v>481</v>
      </c>
      <c r="D85" s="9"/>
      <c r="E85" s="9"/>
      <c r="F85" s="9"/>
      <c r="G85" s="9"/>
      <c r="H85" s="9"/>
      <c r="I85" s="9"/>
      <c r="J85" s="9"/>
      <c r="K85" s="9"/>
      <c r="L85" s="8" t="s">
        <v>16</v>
      </c>
      <c r="M85" s="19" t="s">
        <v>678</v>
      </c>
      <c r="N85" s="23">
        <f>(C84+C86+C87+C88+C93+C94+C95)</f>
        <v>2726</v>
      </c>
      <c r="O85" s="13">
        <f>SUM(N85/N89)</f>
        <v>0.46983798690106859</v>
      </c>
      <c r="P85" s="2">
        <v>3</v>
      </c>
    </row>
    <row r="86" spans="1:21" s="2" customFormat="1" ht="17.45" customHeight="1" thickBot="1">
      <c r="A86" s="37" t="s">
        <v>829</v>
      </c>
      <c r="B86" s="39" t="s">
        <v>678</v>
      </c>
      <c r="C86" s="121">
        <v>468</v>
      </c>
      <c r="D86" s="9"/>
      <c r="E86" s="9"/>
      <c r="F86" s="9"/>
      <c r="G86" s="9"/>
      <c r="H86" s="9"/>
      <c r="I86" s="9"/>
      <c r="J86" s="9"/>
      <c r="K86" s="9"/>
      <c r="L86" s="8" t="s">
        <v>11</v>
      </c>
      <c r="M86" s="88" t="s">
        <v>679</v>
      </c>
      <c r="N86" s="23">
        <f>(C83+C97)</f>
        <v>1035</v>
      </c>
      <c r="O86" s="13">
        <f>SUM(N86/N89)</f>
        <v>0.17838676318510857</v>
      </c>
      <c r="P86" s="15">
        <v>1</v>
      </c>
    </row>
    <row r="87" spans="1:21" s="2" customFormat="1" ht="17.45" customHeight="1" thickBot="1">
      <c r="A87" s="37" t="s">
        <v>756</v>
      </c>
      <c r="B87" s="39" t="s">
        <v>678</v>
      </c>
      <c r="C87" s="121">
        <v>463</v>
      </c>
      <c r="D87" s="9"/>
      <c r="E87" s="9"/>
      <c r="F87" s="9"/>
      <c r="G87" s="9"/>
      <c r="H87" s="9"/>
      <c r="I87" s="9"/>
      <c r="J87" s="9"/>
      <c r="K87" s="9"/>
      <c r="L87" s="8" t="s">
        <v>15</v>
      </c>
      <c r="M87" s="29" t="s">
        <v>17</v>
      </c>
      <c r="N87" s="17">
        <v>79</v>
      </c>
      <c r="O87" s="18">
        <f>SUM(N87/N89)</f>
        <v>1.3615994484660462E-2</v>
      </c>
    </row>
    <row r="88" spans="1:21" s="2" customFormat="1" ht="17.45" customHeight="1" thickBot="1">
      <c r="A88" s="40" t="s">
        <v>828</v>
      </c>
      <c r="B88" s="42" t="s">
        <v>678</v>
      </c>
      <c r="C88" s="121">
        <v>397</v>
      </c>
      <c r="D88" s="9"/>
      <c r="E88" s="9"/>
      <c r="F88" s="9"/>
      <c r="G88" s="9"/>
      <c r="H88" s="9"/>
      <c r="I88" s="9"/>
      <c r="J88" s="9"/>
      <c r="K88" s="9"/>
      <c r="L88" s="8"/>
      <c r="M88" s="22" t="s">
        <v>13</v>
      </c>
      <c r="N88" s="17">
        <f>(C89+C100)</f>
        <v>396</v>
      </c>
      <c r="O88" s="18">
        <f>SUM(N88/N89)</f>
        <v>6.8252326783867626E-2</v>
      </c>
      <c r="P88" s="2">
        <v>1</v>
      </c>
    </row>
    <row r="89" spans="1:21" s="2" customFormat="1" ht="17.45" customHeight="1" thickBot="1">
      <c r="A89" s="37" t="s">
        <v>165</v>
      </c>
      <c r="B89" s="24" t="s">
        <v>28</v>
      </c>
      <c r="C89" s="121">
        <v>354</v>
      </c>
      <c r="D89" s="9"/>
      <c r="E89" s="9"/>
      <c r="F89" s="9"/>
      <c r="G89" s="9"/>
      <c r="H89" s="9"/>
      <c r="I89" s="9"/>
      <c r="J89" s="9"/>
      <c r="K89" s="9"/>
      <c r="L89" s="8" t="s">
        <v>14</v>
      </c>
      <c r="M89" s="60"/>
      <c r="N89" s="25">
        <v>5802</v>
      </c>
      <c r="O89" s="13"/>
    </row>
    <row r="90" spans="1:21" s="2" customFormat="1" ht="17.45" customHeight="1" thickBot="1">
      <c r="A90" s="37" t="s">
        <v>227</v>
      </c>
      <c r="B90" s="38" t="s">
        <v>741</v>
      </c>
      <c r="C90" s="121">
        <v>312</v>
      </c>
      <c r="D90" s="9"/>
      <c r="E90" s="9"/>
      <c r="F90" s="9"/>
      <c r="G90" s="9"/>
      <c r="H90" s="9"/>
      <c r="I90" s="9"/>
      <c r="J90" s="9"/>
      <c r="K90" s="9"/>
      <c r="L90" s="8" t="s">
        <v>12</v>
      </c>
      <c r="R90" s="23"/>
      <c r="S90" s="25"/>
      <c r="T90" s="23"/>
      <c r="U90" s="13"/>
    </row>
    <row r="91" spans="1:21" s="2" customFormat="1" ht="17.45" customHeight="1" thickBot="1">
      <c r="A91" s="37" t="s">
        <v>653</v>
      </c>
      <c r="B91" s="38" t="s">
        <v>741</v>
      </c>
      <c r="C91" s="121">
        <v>289</v>
      </c>
      <c r="D91" s="9"/>
      <c r="E91" s="9"/>
      <c r="F91" s="9"/>
      <c r="G91" s="9"/>
      <c r="H91" s="9"/>
      <c r="I91" s="9"/>
      <c r="J91" s="9"/>
      <c r="K91" s="9"/>
      <c r="L91" s="8" t="s">
        <v>209</v>
      </c>
      <c r="M91" s="17"/>
      <c r="N91" s="12"/>
      <c r="O91" s="12"/>
      <c r="P91" s="12"/>
    </row>
    <row r="92" spans="1:21" s="2" customFormat="1" ht="17.45" customHeight="1" thickBot="1">
      <c r="A92" s="40" t="s">
        <v>443</v>
      </c>
      <c r="B92" s="41" t="s">
        <v>741</v>
      </c>
      <c r="C92" s="121">
        <v>258</v>
      </c>
      <c r="D92" s="9"/>
      <c r="E92" s="9"/>
      <c r="F92" s="9"/>
      <c r="G92" s="9"/>
      <c r="H92" s="9"/>
      <c r="M92" s="48"/>
      <c r="N92" s="17"/>
      <c r="O92" s="18"/>
      <c r="P92" s="15"/>
    </row>
    <row r="93" spans="1:21" s="2" customFormat="1" ht="17.45" customHeight="1" thickBot="1">
      <c r="A93" s="40" t="s">
        <v>825</v>
      </c>
      <c r="B93" s="42" t="s">
        <v>678</v>
      </c>
      <c r="C93" s="121">
        <v>227</v>
      </c>
      <c r="D93" s="9"/>
      <c r="E93" s="9"/>
      <c r="F93" s="9"/>
      <c r="G93" s="9"/>
      <c r="H93" s="9"/>
      <c r="M93" s="19"/>
      <c r="N93" s="23"/>
      <c r="O93" s="13"/>
    </row>
    <row r="94" spans="1:21" s="2" customFormat="1" ht="17.45" customHeight="1" thickBot="1">
      <c r="A94" s="40" t="s">
        <v>826</v>
      </c>
      <c r="B94" s="42" t="s">
        <v>678</v>
      </c>
      <c r="C94" s="121">
        <v>210</v>
      </c>
      <c r="D94" s="9"/>
      <c r="E94" s="9"/>
      <c r="F94" s="9"/>
      <c r="G94" s="9"/>
      <c r="H94" s="9"/>
      <c r="M94" s="88"/>
      <c r="N94" s="23"/>
      <c r="O94" s="13"/>
      <c r="P94" s="15"/>
    </row>
    <row r="95" spans="1:21" s="2" customFormat="1" ht="17.45" customHeight="1" thickBot="1">
      <c r="A95" s="40" t="s">
        <v>827</v>
      </c>
      <c r="B95" s="42" t="s">
        <v>678</v>
      </c>
      <c r="C95" s="121">
        <v>167</v>
      </c>
      <c r="D95" s="9"/>
      <c r="E95" s="9"/>
      <c r="F95" s="9"/>
      <c r="G95" s="9"/>
      <c r="H95" s="9"/>
      <c r="M95" s="22"/>
      <c r="N95" s="17"/>
      <c r="O95" s="18"/>
    </row>
    <row r="96" spans="1:21" s="2" customFormat="1" ht="17.45" customHeight="1" thickBot="1">
      <c r="A96" s="40" t="s">
        <v>820</v>
      </c>
      <c r="B96" s="41" t="s">
        <v>741</v>
      </c>
      <c r="C96" s="121">
        <v>148</v>
      </c>
      <c r="D96" s="9"/>
      <c r="E96" s="9"/>
      <c r="F96" s="9"/>
      <c r="G96" s="9"/>
      <c r="H96" s="9"/>
      <c r="M96" s="60"/>
      <c r="N96" s="25"/>
      <c r="O96" s="13"/>
    </row>
    <row r="97" spans="1:21" s="2" customFormat="1" ht="17.45" customHeight="1" thickBot="1">
      <c r="A97" s="40" t="s">
        <v>823</v>
      </c>
      <c r="B97" s="85" t="s">
        <v>679</v>
      </c>
      <c r="C97" s="121">
        <v>119</v>
      </c>
      <c r="D97" s="9"/>
      <c r="E97" s="9"/>
      <c r="F97" s="9"/>
      <c r="G97" s="9"/>
      <c r="H97" s="9"/>
    </row>
    <row r="98" spans="1:21" s="2" customFormat="1" ht="17.45" customHeight="1" thickBot="1">
      <c r="A98" s="40" t="s">
        <v>821</v>
      </c>
      <c r="B98" s="50" t="s">
        <v>17</v>
      </c>
      <c r="C98" s="121">
        <v>79</v>
      </c>
      <c r="D98" s="9"/>
      <c r="E98" s="9"/>
      <c r="F98" s="9"/>
      <c r="G98" s="9"/>
      <c r="H98" s="9"/>
      <c r="R98" s="23"/>
      <c r="S98" s="25"/>
      <c r="T98" s="23"/>
      <c r="U98" s="13"/>
    </row>
    <row r="99" spans="1:21" s="2" customFormat="1" ht="17.45" customHeight="1" thickBot="1">
      <c r="A99" s="40" t="s">
        <v>818</v>
      </c>
      <c r="B99" s="41" t="s">
        <v>741</v>
      </c>
      <c r="C99" s="121">
        <v>78</v>
      </c>
      <c r="D99" s="9"/>
      <c r="E99" s="9"/>
      <c r="F99" s="9"/>
      <c r="G99" s="9"/>
      <c r="H99" s="9"/>
    </row>
    <row r="100" spans="1:21" s="2" customFormat="1" ht="17.45" customHeight="1" thickBot="1">
      <c r="A100" s="40" t="s">
        <v>822</v>
      </c>
      <c r="B100" s="26" t="s">
        <v>28</v>
      </c>
      <c r="C100" s="121">
        <v>42</v>
      </c>
      <c r="D100" s="9"/>
      <c r="E100" s="9"/>
      <c r="F100" s="9"/>
      <c r="G100" s="9"/>
      <c r="H100" s="9"/>
      <c r="R100" s="23"/>
      <c r="S100" s="25"/>
      <c r="T100" s="23"/>
      <c r="U100" s="13"/>
    </row>
    <row r="101" spans="1:21" s="2" customFormat="1" ht="13.5" customHeight="1">
      <c r="A101" s="28"/>
      <c r="B101" s="80"/>
      <c r="C101" s="28"/>
      <c r="D101" s="28"/>
      <c r="E101" s="28"/>
      <c r="F101" s="23"/>
      <c r="G101" s="23"/>
      <c r="H101" s="23"/>
      <c r="I101" s="23"/>
      <c r="J101" s="25"/>
      <c r="L101" s="13"/>
      <c r="M101" s="13"/>
    </row>
    <row r="102" spans="1:21" s="2" customFormat="1" ht="17.45" customHeight="1">
      <c r="A102" s="31" t="s">
        <v>856</v>
      </c>
      <c r="B102" s="23"/>
      <c r="C102" s="23"/>
      <c r="D102" s="23"/>
      <c r="E102" s="23"/>
      <c r="F102" s="23"/>
      <c r="G102" s="23"/>
      <c r="H102" s="23"/>
      <c r="I102" s="23"/>
      <c r="J102" s="23"/>
    </row>
    <row r="103" spans="1:21" s="2" customFormat="1" ht="10.5" customHeight="1" thickBot="1">
      <c r="A103" s="31"/>
      <c r="B103" s="23"/>
      <c r="C103" s="23"/>
      <c r="D103" s="23"/>
      <c r="E103" s="23"/>
      <c r="F103" s="23"/>
      <c r="G103" s="23"/>
      <c r="H103" s="23"/>
      <c r="I103" s="23"/>
      <c r="J103" s="23"/>
    </row>
    <row r="104" spans="1:21" s="2" customFormat="1" ht="16.5" customHeight="1" thickBot="1">
      <c r="A104" s="35" t="s">
        <v>0</v>
      </c>
      <c r="B104" s="36" t="s">
        <v>1</v>
      </c>
      <c r="C104" s="36" t="s">
        <v>2</v>
      </c>
      <c r="D104" s="36">
        <v>2</v>
      </c>
      <c r="E104" s="36">
        <v>3</v>
      </c>
      <c r="F104" s="36">
        <v>4</v>
      </c>
      <c r="G104" s="36">
        <v>5</v>
      </c>
      <c r="H104" s="36">
        <v>6</v>
      </c>
      <c r="I104" s="36">
        <v>7</v>
      </c>
      <c r="J104" s="36">
        <v>8</v>
      </c>
      <c r="K104" s="36">
        <v>9</v>
      </c>
      <c r="L104" s="45"/>
      <c r="M104" s="12" t="s">
        <v>5</v>
      </c>
      <c r="N104" s="13">
        <f>(4833/12000)</f>
        <v>0.40275</v>
      </c>
    </row>
    <row r="105" spans="1:21" s="2" customFormat="1" ht="16.5" customHeight="1" thickBot="1">
      <c r="A105" s="37" t="s">
        <v>748</v>
      </c>
      <c r="B105" s="38" t="s">
        <v>741</v>
      </c>
      <c r="C105" s="8">
        <v>869</v>
      </c>
      <c r="D105" s="9"/>
      <c r="E105" s="9"/>
      <c r="F105" s="9"/>
      <c r="G105" s="9"/>
      <c r="H105" s="9"/>
      <c r="I105" s="9"/>
      <c r="J105" s="9"/>
      <c r="K105" s="9"/>
      <c r="L105" s="8" t="s">
        <v>4</v>
      </c>
      <c r="M105" s="15"/>
      <c r="N105" s="12" t="s">
        <v>8</v>
      </c>
      <c r="O105" s="12" t="s">
        <v>9</v>
      </c>
      <c r="P105" s="12" t="s">
        <v>10</v>
      </c>
    </row>
    <row r="106" spans="1:21" s="2" customFormat="1" ht="16.5" customHeight="1" thickBot="1">
      <c r="A106" s="37" t="s">
        <v>666</v>
      </c>
      <c r="B106" s="93" t="s">
        <v>679</v>
      </c>
      <c r="C106" s="8">
        <v>568</v>
      </c>
      <c r="D106" s="9"/>
      <c r="E106" s="9"/>
      <c r="F106" s="9"/>
      <c r="G106" s="9"/>
      <c r="H106" s="9"/>
      <c r="I106" s="9"/>
      <c r="J106" s="9"/>
      <c r="K106" s="9"/>
      <c r="L106" s="8" t="s">
        <v>7</v>
      </c>
      <c r="M106" s="16" t="s">
        <v>741</v>
      </c>
      <c r="N106" s="17">
        <f>(C105+C109+C110+C113+C114)</f>
        <v>2065</v>
      </c>
      <c r="O106" s="18">
        <f>SUM(N106/N111)</f>
        <v>0.46145251396648046</v>
      </c>
      <c r="P106" s="15">
        <v>4</v>
      </c>
    </row>
    <row r="107" spans="1:21" s="2" customFormat="1" ht="16.5" customHeight="1" thickBot="1">
      <c r="A107" s="37" t="s">
        <v>851</v>
      </c>
      <c r="B107" s="39" t="s">
        <v>678</v>
      </c>
      <c r="C107" s="8">
        <v>565</v>
      </c>
      <c r="D107" s="9"/>
      <c r="E107" s="9"/>
      <c r="F107" s="9"/>
      <c r="G107" s="9"/>
      <c r="H107" s="9"/>
      <c r="I107" s="9"/>
      <c r="J107" s="9"/>
      <c r="K107" s="9"/>
      <c r="L107" s="8" t="s">
        <v>11</v>
      </c>
      <c r="M107" s="19" t="s">
        <v>678</v>
      </c>
      <c r="N107" s="23">
        <f>(C107+C111)</f>
        <v>819</v>
      </c>
      <c r="O107" s="13">
        <f>SUM(N107/N111)</f>
        <v>0.18301675977653631</v>
      </c>
      <c r="P107" s="2">
        <v>1</v>
      </c>
    </row>
    <row r="108" spans="1:21" s="2" customFormat="1" ht="16.5" customHeight="1" thickBot="1">
      <c r="A108" s="37" t="s">
        <v>848</v>
      </c>
      <c r="B108" s="93" t="s">
        <v>679</v>
      </c>
      <c r="C108" s="9">
        <v>442</v>
      </c>
      <c r="D108" s="9"/>
      <c r="E108" s="9"/>
      <c r="F108" s="9"/>
      <c r="G108" s="9"/>
      <c r="H108" s="9"/>
      <c r="I108" s="9"/>
      <c r="J108" s="9"/>
      <c r="K108" s="9"/>
      <c r="L108" s="8"/>
      <c r="M108" s="29" t="s">
        <v>17</v>
      </c>
      <c r="N108" s="17">
        <v>124</v>
      </c>
      <c r="O108" s="18">
        <f>SUM(N108/N111)</f>
        <v>2.7709497206703911E-2</v>
      </c>
    </row>
    <row r="109" spans="1:21" s="2" customFormat="1" ht="16.5" customHeight="1" thickBot="1">
      <c r="A109" s="37" t="s">
        <v>849</v>
      </c>
      <c r="B109" s="38" t="s">
        <v>741</v>
      </c>
      <c r="C109" s="9">
        <v>358</v>
      </c>
      <c r="D109" s="9"/>
      <c r="E109" s="9"/>
      <c r="F109" s="9"/>
      <c r="G109" s="9"/>
      <c r="H109" s="9"/>
      <c r="I109" s="9"/>
      <c r="J109" s="9"/>
      <c r="K109" s="9"/>
      <c r="L109" s="8"/>
      <c r="M109" s="88" t="s">
        <v>679</v>
      </c>
      <c r="N109" s="17">
        <f>(C106+C108+C115)</f>
        <v>1219</v>
      </c>
      <c r="O109" s="18">
        <f>SUM(N109/N111)</f>
        <v>0.27240223463687152</v>
      </c>
      <c r="P109" s="2">
        <v>3</v>
      </c>
    </row>
    <row r="110" spans="1:21" s="2" customFormat="1" ht="16.5" customHeight="1" thickBot="1">
      <c r="A110" s="37" t="s">
        <v>855</v>
      </c>
      <c r="B110" s="38" t="s">
        <v>741</v>
      </c>
      <c r="C110" s="9">
        <v>354</v>
      </c>
      <c r="D110" s="9"/>
      <c r="E110" s="9"/>
      <c r="F110" s="9"/>
      <c r="G110" s="9"/>
      <c r="H110" s="9"/>
      <c r="I110" s="9"/>
      <c r="J110" s="9"/>
      <c r="K110" s="9"/>
      <c r="L110" s="8"/>
      <c r="M110" s="22" t="s">
        <v>13</v>
      </c>
      <c r="N110" s="17">
        <v>248</v>
      </c>
      <c r="O110" s="18">
        <f>SUM(N110/N111)</f>
        <v>5.5418994413407821E-2</v>
      </c>
    </row>
    <row r="111" spans="1:21" s="2" customFormat="1" ht="16.5" customHeight="1" thickBot="1">
      <c r="A111" s="40" t="s">
        <v>852</v>
      </c>
      <c r="B111" s="42" t="s">
        <v>678</v>
      </c>
      <c r="C111" s="9">
        <v>254</v>
      </c>
      <c r="D111" s="9"/>
      <c r="E111" s="9"/>
      <c r="F111" s="9"/>
      <c r="G111" s="9"/>
      <c r="H111" s="9"/>
      <c r="I111" s="9"/>
      <c r="J111" s="9"/>
      <c r="K111" s="9"/>
      <c r="L111" s="8"/>
      <c r="M111" s="12"/>
      <c r="N111" s="25">
        <v>4475</v>
      </c>
      <c r="O111" s="13"/>
      <c r="P111" s="15"/>
    </row>
    <row r="112" spans="1:21" s="2" customFormat="1" ht="16.5" customHeight="1" thickBot="1">
      <c r="A112" s="40" t="s">
        <v>738</v>
      </c>
      <c r="B112" s="44" t="s">
        <v>28</v>
      </c>
      <c r="C112" s="9">
        <v>248</v>
      </c>
      <c r="D112" s="9"/>
      <c r="E112" s="9"/>
      <c r="F112" s="9"/>
      <c r="G112" s="9"/>
      <c r="H112" s="9"/>
      <c r="I112" s="9"/>
      <c r="J112" s="9"/>
      <c r="K112" s="9"/>
    </row>
    <row r="113" spans="1:23" s="2" customFormat="1" ht="16.5" customHeight="1" thickBot="1">
      <c r="A113" s="40" t="s">
        <v>854</v>
      </c>
      <c r="B113" s="41" t="s">
        <v>741</v>
      </c>
      <c r="C113" s="9">
        <v>243</v>
      </c>
      <c r="D113" s="9"/>
      <c r="E113" s="9"/>
      <c r="F113" s="9"/>
      <c r="G113" s="9"/>
      <c r="H113" s="9"/>
      <c r="I113" s="9"/>
      <c r="J113" s="9"/>
      <c r="K113" s="9"/>
    </row>
    <row r="114" spans="1:23" s="2" customFormat="1" ht="16.5" customHeight="1" thickBot="1">
      <c r="A114" s="37" t="s">
        <v>850</v>
      </c>
      <c r="B114" s="38" t="s">
        <v>741</v>
      </c>
      <c r="C114" s="9">
        <v>241</v>
      </c>
      <c r="D114" s="9"/>
      <c r="E114" s="9"/>
      <c r="F114" s="9"/>
      <c r="G114" s="9"/>
      <c r="H114" s="9"/>
      <c r="I114" s="9"/>
      <c r="J114" s="9"/>
      <c r="K114" s="9"/>
      <c r="L114" s="8"/>
    </row>
    <row r="115" spans="1:23" s="2" customFormat="1" ht="16.5" customHeight="1" thickBot="1">
      <c r="A115" s="37" t="s">
        <v>165</v>
      </c>
      <c r="B115" s="93" t="s">
        <v>679</v>
      </c>
      <c r="C115" s="9">
        <v>209</v>
      </c>
      <c r="D115" s="9"/>
      <c r="E115" s="9"/>
      <c r="F115" s="9"/>
      <c r="G115" s="9"/>
      <c r="H115" s="9"/>
      <c r="I115" s="9"/>
      <c r="J115" s="9"/>
      <c r="K115" s="9"/>
      <c r="L115" s="8"/>
    </row>
    <row r="116" spans="1:23" s="2" customFormat="1" ht="16.5" customHeight="1" thickBot="1">
      <c r="A116" s="40" t="s">
        <v>853</v>
      </c>
      <c r="B116" s="50" t="s">
        <v>17</v>
      </c>
      <c r="C116" s="9">
        <v>124</v>
      </c>
      <c r="D116" s="9"/>
      <c r="E116" s="9"/>
      <c r="F116" s="9"/>
      <c r="G116" s="9"/>
      <c r="H116" s="9"/>
      <c r="I116" s="9"/>
      <c r="J116" s="9"/>
      <c r="K116" s="9"/>
    </row>
    <row r="117" spans="1:23">
      <c r="C117" s="63"/>
      <c r="D117" s="63"/>
      <c r="E117" s="63"/>
    </row>
    <row r="118" spans="1:23" s="99" customFormat="1" ht="15" customHeight="1">
      <c r="B118" s="64" t="s">
        <v>18</v>
      </c>
      <c r="C118" s="66" t="s">
        <v>741</v>
      </c>
      <c r="D118" s="67" t="s">
        <v>678</v>
      </c>
      <c r="E118" s="68" t="s">
        <v>17</v>
      </c>
      <c r="F118" s="70" t="s">
        <v>679</v>
      </c>
      <c r="G118" s="64" t="s">
        <v>13</v>
      </c>
      <c r="K118" s="101"/>
      <c r="L118" s="64"/>
      <c r="V118" s="98"/>
      <c r="W118" s="103"/>
    </row>
    <row r="119" spans="1:23" s="99" customFormat="1" ht="15" customHeight="1">
      <c r="A119" s="99" t="s">
        <v>8</v>
      </c>
      <c r="B119" s="110">
        <f>SUM(M10+R33+N89+Q63+N111)</f>
        <v>29161</v>
      </c>
      <c r="C119" s="108">
        <f>SUM(N106+Q58+N84+R28+M5)</f>
        <v>7595</v>
      </c>
      <c r="D119" s="108">
        <f>(N107+N85+Q59+R29+M6)</f>
        <v>8995</v>
      </c>
      <c r="E119" s="108">
        <f>(N108+M8+N87+Q61+R31)</f>
        <v>1052</v>
      </c>
      <c r="F119" s="108">
        <f>(N109+Q60+N86+M7+R30)</f>
        <v>6734</v>
      </c>
      <c r="G119" s="108">
        <f>SUM(N110+Q62+R32+N88+M9)</f>
        <v>4785</v>
      </c>
      <c r="K119" s="98"/>
      <c r="L119" s="105"/>
      <c r="U119" s="107"/>
      <c r="V119" s="77"/>
      <c r="W119" s="103"/>
    </row>
    <row r="120" spans="1:23" s="99" customFormat="1" ht="15" customHeight="1">
      <c r="A120" s="99" t="s">
        <v>9</v>
      </c>
      <c r="B120" s="102">
        <v>1</v>
      </c>
      <c r="C120" s="103">
        <f>SUM(C119/$B$119)</f>
        <v>0.26045060183121294</v>
      </c>
      <c r="D120" s="103">
        <f>SUM(D119/$B$119)</f>
        <v>0.30845992935770378</v>
      </c>
      <c r="E120" s="103">
        <f>SUM(E119/$B$119)</f>
        <v>3.6075580398477421E-2</v>
      </c>
      <c r="F120" s="103">
        <f>SUM(F119/$B$119)</f>
        <v>0.23092486540242105</v>
      </c>
      <c r="G120" s="103">
        <f>SUM(G119/$B$119)</f>
        <v>0.16408902301018483</v>
      </c>
      <c r="K120" s="103"/>
      <c r="L120" s="64"/>
      <c r="U120" s="64"/>
    </row>
    <row r="121" spans="1:23" s="99" customFormat="1" ht="15" customHeight="1">
      <c r="A121" s="99" t="s">
        <v>10</v>
      </c>
      <c r="B121" s="110">
        <v>40</v>
      </c>
      <c r="C121" s="108">
        <v>12</v>
      </c>
      <c r="D121" s="108">
        <v>11</v>
      </c>
      <c r="E121" s="108">
        <v>1</v>
      </c>
      <c r="F121" s="108">
        <v>11</v>
      </c>
      <c r="G121" s="108">
        <v>5</v>
      </c>
      <c r="L121" s="106"/>
    </row>
    <row r="122" spans="1:23" s="2" customFormat="1" ht="16.5" customHeight="1">
      <c r="A122" s="1"/>
    </row>
    <row r="123" spans="1:23" ht="14.25">
      <c r="O123" s="2"/>
      <c r="P123" s="2"/>
      <c r="Q123" s="2"/>
      <c r="R123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01"/>
  <sheetViews>
    <sheetView zoomScaleNormal="100" workbookViewId="0">
      <selection activeCell="Q1" sqref="Q1"/>
    </sheetView>
  </sheetViews>
  <sheetFormatPr defaultRowHeight="12.75"/>
  <cols>
    <col min="1" max="1" width="25.28515625" customWidth="1"/>
    <col min="2" max="3" width="8.5703125" customWidth="1"/>
    <col min="4" max="21" width="8.7109375" customWidth="1"/>
  </cols>
  <sheetData>
    <row r="1" spans="1:18" s="2" customFormat="1" ht="16.5" customHeight="1">
      <c r="A1" s="31" t="s">
        <v>677</v>
      </c>
      <c r="B1" s="23"/>
      <c r="C1" s="23"/>
      <c r="D1" s="23"/>
      <c r="E1" s="23"/>
      <c r="F1" s="23"/>
      <c r="G1" s="23"/>
      <c r="H1" s="23"/>
      <c r="I1" s="23"/>
      <c r="J1" s="23"/>
    </row>
    <row r="2" spans="1:18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8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36">
        <v>9</v>
      </c>
      <c r="L3" s="36">
        <v>10</v>
      </c>
      <c r="M3" s="36">
        <v>11</v>
      </c>
      <c r="N3" s="5"/>
      <c r="O3" s="12" t="s">
        <v>5</v>
      </c>
      <c r="P3" s="13">
        <f>(4207/8883)</f>
        <v>0.47360126083530341</v>
      </c>
    </row>
    <row r="4" spans="1:18" s="2" customFormat="1" ht="16.5" customHeight="1" thickBot="1">
      <c r="A4" s="37" t="s">
        <v>683</v>
      </c>
      <c r="B4" s="52" t="s">
        <v>28</v>
      </c>
      <c r="C4" s="8">
        <v>595</v>
      </c>
      <c r="D4" s="9"/>
      <c r="E4" s="9"/>
      <c r="F4" s="9"/>
      <c r="G4" s="10"/>
      <c r="H4" s="9"/>
      <c r="I4" s="9"/>
      <c r="J4" s="9"/>
      <c r="K4" s="9"/>
      <c r="L4" s="9"/>
      <c r="M4" s="9"/>
      <c r="N4" s="11" t="s">
        <v>4</v>
      </c>
      <c r="O4" s="15"/>
      <c r="P4" s="12" t="s">
        <v>8</v>
      </c>
      <c r="Q4" s="12" t="s">
        <v>9</v>
      </c>
      <c r="R4" s="12" t="s">
        <v>10</v>
      </c>
    </row>
    <row r="5" spans="1:18" s="2" customFormat="1" ht="16.5" customHeight="1" thickBot="1">
      <c r="A5" s="37" t="s">
        <v>684</v>
      </c>
      <c r="B5" s="39" t="s">
        <v>678</v>
      </c>
      <c r="C5" s="9">
        <v>505</v>
      </c>
      <c r="D5" s="9">
        <v>506</v>
      </c>
      <c r="E5" s="8">
        <v>520</v>
      </c>
      <c r="F5" s="9"/>
      <c r="G5" s="9"/>
      <c r="H5" s="9"/>
      <c r="I5" s="9"/>
      <c r="J5" s="9"/>
      <c r="K5" s="9"/>
      <c r="L5" s="9"/>
      <c r="M5" s="9"/>
      <c r="N5" s="11" t="s">
        <v>7</v>
      </c>
      <c r="O5" s="16" t="s">
        <v>6</v>
      </c>
      <c r="P5" s="17">
        <f>(C10+C15+C17)</f>
        <v>561</v>
      </c>
      <c r="Q5" s="18">
        <f>SUM(P5/P9)</f>
        <v>0.13550724637681161</v>
      </c>
      <c r="R5" s="15">
        <v>1</v>
      </c>
    </row>
    <row r="6" spans="1:18" s="2" customFormat="1" ht="16.5" customHeight="1" thickBot="1">
      <c r="A6" s="37" t="s">
        <v>690</v>
      </c>
      <c r="B6" s="91" t="s">
        <v>671</v>
      </c>
      <c r="C6" s="9">
        <v>407</v>
      </c>
      <c r="D6" s="9">
        <v>424</v>
      </c>
      <c r="E6" s="9">
        <v>427</v>
      </c>
      <c r="F6" s="9">
        <v>488</v>
      </c>
      <c r="G6" s="9">
        <v>495</v>
      </c>
      <c r="H6" s="9">
        <v>510</v>
      </c>
      <c r="I6" s="8">
        <v>539</v>
      </c>
      <c r="J6" s="9"/>
      <c r="K6" s="9"/>
      <c r="L6" s="9"/>
      <c r="M6" s="9"/>
      <c r="N6" s="11" t="s">
        <v>11</v>
      </c>
      <c r="O6" s="19" t="s">
        <v>678</v>
      </c>
      <c r="P6" s="17">
        <f>(C5+C8+C16)</f>
        <v>975</v>
      </c>
      <c r="Q6" s="18">
        <f>SUM(P6/P9)</f>
        <v>0.23550724637681159</v>
      </c>
      <c r="R6" s="15">
        <v>2</v>
      </c>
    </row>
    <row r="7" spans="1:18" s="2" customFormat="1" ht="16.5" customHeight="1" thickBot="1">
      <c r="A7" s="40" t="s">
        <v>692</v>
      </c>
      <c r="B7" s="50" t="s">
        <v>17</v>
      </c>
      <c r="C7" s="9">
        <v>329</v>
      </c>
      <c r="D7" s="9">
        <v>330</v>
      </c>
      <c r="E7" s="9">
        <v>330</v>
      </c>
      <c r="F7" s="9">
        <v>333</v>
      </c>
      <c r="G7" s="9">
        <v>333</v>
      </c>
      <c r="H7" s="9">
        <v>337</v>
      </c>
      <c r="I7" s="9">
        <v>361</v>
      </c>
      <c r="J7" s="9">
        <v>362</v>
      </c>
      <c r="K7" s="9">
        <v>363</v>
      </c>
      <c r="L7" s="9">
        <v>365</v>
      </c>
      <c r="M7" s="9">
        <v>371</v>
      </c>
      <c r="N7" s="11"/>
      <c r="O7" s="29" t="s">
        <v>17</v>
      </c>
      <c r="P7" s="17">
        <v>329</v>
      </c>
      <c r="Q7" s="18">
        <f>SUM(P7/P9)</f>
        <v>7.9468599033816423E-2</v>
      </c>
    </row>
    <row r="8" spans="1:18" s="2" customFormat="1" ht="16.5" customHeight="1" thickBot="1">
      <c r="A8" s="37" t="s">
        <v>686</v>
      </c>
      <c r="B8" s="39" t="s">
        <v>678</v>
      </c>
      <c r="C8" s="9">
        <v>319</v>
      </c>
      <c r="D8" s="9">
        <v>320</v>
      </c>
      <c r="E8" s="9">
        <v>321</v>
      </c>
      <c r="F8" s="9">
        <v>337</v>
      </c>
      <c r="G8" s="9">
        <v>385</v>
      </c>
      <c r="H8" s="9">
        <v>389</v>
      </c>
      <c r="I8" s="9">
        <v>404</v>
      </c>
      <c r="J8" s="9">
        <v>405</v>
      </c>
      <c r="K8" s="9">
        <v>405</v>
      </c>
      <c r="L8" s="9">
        <v>409</v>
      </c>
      <c r="M8" s="8">
        <v>436</v>
      </c>
      <c r="N8" s="11" t="s">
        <v>16</v>
      </c>
      <c r="O8" s="22" t="s">
        <v>13</v>
      </c>
      <c r="P8" s="23">
        <f>(C4+C6+C9+C12+C11+C13+C14)</f>
        <v>2275</v>
      </c>
      <c r="Q8" s="13">
        <f>SUM(P8/P9)</f>
        <v>0.54951690821256038</v>
      </c>
      <c r="R8" s="15">
        <v>4</v>
      </c>
    </row>
    <row r="9" spans="1:18" s="2" customFormat="1" ht="16.5" customHeight="1" thickBot="1">
      <c r="A9" s="37" t="s">
        <v>689</v>
      </c>
      <c r="B9" s="91" t="s">
        <v>671</v>
      </c>
      <c r="C9" s="9">
        <v>315</v>
      </c>
      <c r="D9" s="9">
        <v>316</v>
      </c>
      <c r="E9" s="9">
        <v>317</v>
      </c>
      <c r="F9" s="9">
        <v>317</v>
      </c>
      <c r="G9" s="9">
        <v>318</v>
      </c>
      <c r="H9" s="9">
        <v>325</v>
      </c>
      <c r="I9" s="9">
        <v>389</v>
      </c>
      <c r="J9" s="9">
        <v>405</v>
      </c>
      <c r="K9" s="9">
        <v>406</v>
      </c>
      <c r="L9" s="9">
        <v>418</v>
      </c>
      <c r="M9" s="8">
        <v>493</v>
      </c>
      <c r="N9" s="11" t="s">
        <v>14</v>
      </c>
      <c r="P9" s="25">
        <v>4140</v>
      </c>
    </row>
    <row r="10" spans="1:18" s="2" customFormat="1" ht="16.5" customHeight="1" thickBot="1">
      <c r="A10" s="37" t="s">
        <v>682</v>
      </c>
      <c r="B10" s="38" t="s">
        <v>6</v>
      </c>
      <c r="C10" s="9">
        <v>308</v>
      </c>
      <c r="D10" s="9">
        <v>322</v>
      </c>
      <c r="E10" s="9">
        <v>348</v>
      </c>
      <c r="F10" s="9">
        <v>360</v>
      </c>
      <c r="G10" s="9">
        <v>435</v>
      </c>
      <c r="H10" s="9">
        <v>466</v>
      </c>
      <c r="I10" s="9">
        <v>499</v>
      </c>
      <c r="J10" s="8">
        <v>526</v>
      </c>
      <c r="K10" s="9"/>
      <c r="L10" s="9"/>
      <c r="M10" s="9"/>
      <c r="N10" s="11" t="s">
        <v>15</v>
      </c>
      <c r="P10" s="23"/>
    </row>
    <row r="11" spans="1:18" s="2" customFormat="1" ht="16.5" customHeight="1" thickBot="1">
      <c r="A11" s="40" t="s">
        <v>685</v>
      </c>
      <c r="B11" s="44" t="s">
        <v>28</v>
      </c>
      <c r="C11" s="9">
        <v>262</v>
      </c>
      <c r="D11" s="9">
        <v>264</v>
      </c>
      <c r="E11" s="9">
        <v>274</v>
      </c>
      <c r="F11" s="9">
        <v>283</v>
      </c>
      <c r="G11" s="9">
        <v>294</v>
      </c>
      <c r="H11" s="9">
        <v>304</v>
      </c>
      <c r="I11" s="9" t="s">
        <v>30</v>
      </c>
      <c r="N11" s="12"/>
    </row>
    <row r="12" spans="1:18" s="2" customFormat="1" ht="16.5" customHeight="1" thickBot="1">
      <c r="A12" s="40" t="s">
        <v>691</v>
      </c>
      <c r="B12" s="92" t="s">
        <v>671</v>
      </c>
      <c r="C12" s="9">
        <v>257</v>
      </c>
      <c r="D12" s="9">
        <v>259</v>
      </c>
      <c r="E12" s="9">
        <v>259</v>
      </c>
      <c r="F12" s="9">
        <v>268</v>
      </c>
      <c r="G12" s="9">
        <v>272</v>
      </c>
      <c r="H12" s="9">
        <v>308</v>
      </c>
      <c r="I12" s="9">
        <v>320</v>
      </c>
      <c r="J12" s="9" t="s">
        <v>30</v>
      </c>
      <c r="N12" s="25"/>
      <c r="O12" s="18"/>
      <c r="P12" s="15"/>
    </row>
    <row r="13" spans="1:18" s="2" customFormat="1" ht="16.5" customHeight="1" thickBot="1">
      <c r="A13" s="37" t="s">
        <v>688</v>
      </c>
      <c r="B13" s="91" t="s">
        <v>671</v>
      </c>
      <c r="C13" s="9">
        <v>239</v>
      </c>
      <c r="D13" s="9">
        <v>247</v>
      </c>
      <c r="E13" s="9">
        <v>254</v>
      </c>
      <c r="F13" s="9">
        <v>258</v>
      </c>
      <c r="G13" s="9">
        <v>296</v>
      </c>
      <c r="H13" s="9">
        <v>393</v>
      </c>
      <c r="I13" s="9">
        <v>487</v>
      </c>
      <c r="J13" s="8">
        <v>717</v>
      </c>
      <c r="K13" s="9"/>
      <c r="L13" s="9"/>
      <c r="M13" s="9"/>
      <c r="N13" s="8" t="s">
        <v>12</v>
      </c>
    </row>
    <row r="14" spans="1:18" s="2" customFormat="1" ht="16.5" customHeight="1" thickBot="1">
      <c r="A14" s="40" t="s">
        <v>514</v>
      </c>
      <c r="B14" s="92" t="s">
        <v>671</v>
      </c>
      <c r="C14" s="9">
        <v>200</v>
      </c>
      <c r="D14" s="9">
        <v>201</v>
      </c>
      <c r="E14" s="9">
        <v>201</v>
      </c>
      <c r="F14" s="9">
        <v>210</v>
      </c>
      <c r="G14" s="9">
        <v>212</v>
      </c>
      <c r="H14" s="9" t="s">
        <v>30</v>
      </c>
      <c r="N14" s="12"/>
    </row>
    <row r="15" spans="1:18" s="2" customFormat="1" ht="16.5" customHeight="1" thickBot="1">
      <c r="A15" s="40" t="s">
        <v>680</v>
      </c>
      <c r="B15" s="41" t="s">
        <v>6</v>
      </c>
      <c r="C15" s="9">
        <v>158</v>
      </c>
      <c r="D15" s="9">
        <v>162</v>
      </c>
      <c r="E15" s="9">
        <v>190</v>
      </c>
      <c r="F15" s="9">
        <v>195</v>
      </c>
      <c r="G15" s="9" t="s">
        <v>30</v>
      </c>
      <c r="O15" s="18"/>
      <c r="P15" s="15"/>
    </row>
    <row r="16" spans="1:18" s="2" customFormat="1" ht="16.5" customHeight="1" thickBot="1">
      <c r="A16" s="40" t="s">
        <v>687</v>
      </c>
      <c r="B16" s="42" t="s">
        <v>678</v>
      </c>
      <c r="C16" s="9">
        <v>151</v>
      </c>
      <c r="D16" s="9">
        <v>174</v>
      </c>
      <c r="E16" s="9">
        <v>175</v>
      </c>
      <c r="F16" s="9" t="s">
        <v>30</v>
      </c>
    </row>
    <row r="17" spans="1:22" s="2" customFormat="1" ht="16.5" customHeight="1" thickBot="1">
      <c r="A17" s="40" t="s">
        <v>681</v>
      </c>
      <c r="B17" s="41" t="s">
        <v>6</v>
      </c>
      <c r="C17" s="9">
        <v>95</v>
      </c>
      <c r="D17" s="9">
        <v>97</v>
      </c>
      <c r="E17" s="9" t="s">
        <v>30</v>
      </c>
    </row>
    <row r="18" spans="1:22" s="2" customFormat="1" ht="10.5" customHeight="1">
      <c r="A18" s="31"/>
      <c r="B18" s="23"/>
      <c r="C18" s="23"/>
      <c r="D18" s="23"/>
      <c r="E18" s="23"/>
      <c r="F18" s="23"/>
      <c r="G18" s="23"/>
      <c r="H18" s="23"/>
      <c r="I18" s="23"/>
      <c r="J18" s="23"/>
    </row>
    <row r="19" spans="1:22" s="2" customFormat="1" ht="17.45" customHeight="1">
      <c r="A19" s="31" t="s">
        <v>693</v>
      </c>
      <c r="B19" s="23"/>
      <c r="C19" s="23"/>
      <c r="D19" s="23"/>
      <c r="E19" s="23"/>
      <c r="F19" s="23"/>
      <c r="G19" s="23"/>
      <c r="H19" s="23"/>
      <c r="I19" s="23"/>
      <c r="J19" s="23"/>
    </row>
    <row r="20" spans="1:22" s="2" customFormat="1" ht="10.5" customHeight="1" thickBot="1">
      <c r="A20" s="31"/>
      <c r="B20" s="23"/>
      <c r="C20" s="23"/>
      <c r="D20" s="23"/>
      <c r="E20" s="23"/>
      <c r="F20" s="23"/>
      <c r="G20" s="23"/>
      <c r="H20" s="23"/>
      <c r="I20" s="23"/>
      <c r="J20" s="23"/>
    </row>
    <row r="21" spans="1:22" s="2" customFormat="1" ht="16.5" customHeight="1" thickBot="1">
      <c r="A21" s="35" t="s">
        <v>0</v>
      </c>
      <c r="B21" s="36" t="s">
        <v>1</v>
      </c>
      <c r="C21" s="36" t="s">
        <v>2</v>
      </c>
      <c r="D21" s="36">
        <v>2</v>
      </c>
      <c r="E21" s="36">
        <v>3</v>
      </c>
      <c r="F21" s="36">
        <v>4</v>
      </c>
      <c r="G21" s="36">
        <v>5</v>
      </c>
      <c r="H21" s="36">
        <v>6</v>
      </c>
      <c r="I21" s="36">
        <v>7</v>
      </c>
      <c r="J21" s="36">
        <v>8</v>
      </c>
      <c r="K21" s="36">
        <v>9</v>
      </c>
      <c r="L21" s="36">
        <v>10</v>
      </c>
      <c r="M21" s="36">
        <v>11</v>
      </c>
      <c r="N21" s="36">
        <v>12</v>
      </c>
      <c r="O21" s="36">
        <v>13</v>
      </c>
      <c r="P21" s="36">
        <v>14</v>
      </c>
      <c r="Q21" s="36">
        <v>15</v>
      </c>
      <c r="R21" s="45"/>
      <c r="S21" s="12" t="s">
        <v>5</v>
      </c>
      <c r="T21" s="13">
        <f>(9176/16202)</f>
        <v>0.56634983335390687</v>
      </c>
    </row>
    <row r="22" spans="1:22" s="2" customFormat="1" ht="16.5" customHeight="1" thickBot="1">
      <c r="A22" s="37" t="s">
        <v>703</v>
      </c>
      <c r="B22" s="39" t="s">
        <v>678</v>
      </c>
      <c r="C22" s="8">
        <v>912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8" t="s">
        <v>4</v>
      </c>
      <c r="S22" s="15"/>
      <c r="T22" s="12" t="s">
        <v>8</v>
      </c>
      <c r="U22" s="12" t="s">
        <v>9</v>
      </c>
      <c r="V22" s="12" t="s">
        <v>10</v>
      </c>
    </row>
    <row r="23" spans="1:22" s="2" customFormat="1" ht="16.5" customHeight="1" thickBot="1">
      <c r="A23" s="37" t="s">
        <v>705</v>
      </c>
      <c r="B23" s="52" t="s">
        <v>28</v>
      </c>
      <c r="C23" s="9">
        <v>803</v>
      </c>
      <c r="D23" s="9">
        <v>804</v>
      </c>
      <c r="E23" s="9">
        <v>805</v>
      </c>
      <c r="F23" s="9">
        <v>818</v>
      </c>
      <c r="G23" s="9">
        <v>877</v>
      </c>
      <c r="H23" s="8">
        <v>912</v>
      </c>
      <c r="I23" s="9"/>
      <c r="J23" s="9"/>
      <c r="K23" s="9"/>
      <c r="L23" s="9"/>
      <c r="M23" s="9"/>
      <c r="N23" s="9"/>
      <c r="O23" s="9"/>
      <c r="P23" s="9"/>
      <c r="Q23" s="9"/>
      <c r="R23" s="8" t="s">
        <v>7</v>
      </c>
      <c r="S23" s="16" t="s">
        <v>6</v>
      </c>
      <c r="T23" s="17">
        <f>(C24+C30+C33+C35+C36+C39+C40)</f>
        <v>2523</v>
      </c>
      <c r="U23" s="18">
        <f>SUM(T23/T26)</f>
        <v>0.28023992002665776</v>
      </c>
      <c r="V23" s="15">
        <v>2</v>
      </c>
    </row>
    <row r="24" spans="1:22" s="2" customFormat="1" ht="16.5" customHeight="1" thickBot="1">
      <c r="A24" s="37" t="s">
        <v>618</v>
      </c>
      <c r="B24" s="38" t="s">
        <v>6</v>
      </c>
      <c r="C24" s="9">
        <v>772</v>
      </c>
      <c r="D24" s="9">
        <v>774</v>
      </c>
      <c r="E24" s="9">
        <v>779</v>
      </c>
      <c r="F24" s="9">
        <v>785</v>
      </c>
      <c r="G24" s="9">
        <v>826</v>
      </c>
      <c r="H24" s="9">
        <v>836</v>
      </c>
      <c r="I24" s="9">
        <v>836</v>
      </c>
      <c r="J24" s="8">
        <v>930</v>
      </c>
      <c r="K24" s="9"/>
      <c r="L24" s="9"/>
      <c r="M24" s="9"/>
      <c r="N24" s="9"/>
      <c r="O24" s="9"/>
      <c r="P24" s="9"/>
      <c r="Q24" s="9"/>
      <c r="R24" s="8" t="s">
        <v>11</v>
      </c>
      <c r="S24" s="19" t="s">
        <v>678</v>
      </c>
      <c r="T24" s="17">
        <f>(C22+C25+C27+C29+C31+C32+C37)</f>
        <v>3830</v>
      </c>
      <c r="U24" s="18">
        <f>SUM(T24/T26)</f>
        <v>0.42541375097189826</v>
      </c>
      <c r="V24" s="15">
        <v>5</v>
      </c>
    </row>
    <row r="25" spans="1:22" s="2" customFormat="1" ht="16.5" customHeight="1" thickBot="1">
      <c r="A25" s="37" t="s">
        <v>704</v>
      </c>
      <c r="B25" s="39" t="s">
        <v>678</v>
      </c>
      <c r="C25" s="9">
        <v>696</v>
      </c>
      <c r="D25" s="9">
        <v>697</v>
      </c>
      <c r="E25" s="9">
        <v>700</v>
      </c>
      <c r="F25" s="9">
        <v>700</v>
      </c>
      <c r="G25" s="9">
        <v>701</v>
      </c>
      <c r="H25" s="9">
        <v>704</v>
      </c>
      <c r="I25" s="9">
        <v>704</v>
      </c>
      <c r="J25" s="9">
        <v>705</v>
      </c>
      <c r="K25" s="9">
        <v>705</v>
      </c>
      <c r="L25" s="9">
        <v>841</v>
      </c>
      <c r="M25" s="9">
        <v>842</v>
      </c>
      <c r="N25" s="9">
        <v>855</v>
      </c>
      <c r="O25" s="9">
        <v>875</v>
      </c>
      <c r="P25" s="9">
        <v>875</v>
      </c>
      <c r="Q25" s="8">
        <v>888</v>
      </c>
      <c r="R25" s="8" t="s">
        <v>14</v>
      </c>
      <c r="S25" s="22" t="s">
        <v>13</v>
      </c>
      <c r="T25" s="17">
        <f>(C23+C26+C28+C34+C38)</f>
        <v>2650</v>
      </c>
      <c r="U25" s="18">
        <f>SUM(T25/T26)</f>
        <v>0.29434632900144397</v>
      </c>
      <c r="V25" s="2">
        <v>2</v>
      </c>
    </row>
    <row r="26" spans="1:22" s="2" customFormat="1" ht="16.5" customHeight="1" thickBot="1">
      <c r="A26" s="37" t="s">
        <v>522</v>
      </c>
      <c r="B26" s="52" t="s">
        <v>28</v>
      </c>
      <c r="C26" s="9">
        <v>682</v>
      </c>
      <c r="D26" s="9">
        <v>682</v>
      </c>
      <c r="E26" s="9">
        <v>683</v>
      </c>
      <c r="F26" s="9">
        <v>684</v>
      </c>
      <c r="G26" s="9">
        <v>685</v>
      </c>
      <c r="H26" s="9">
        <v>685</v>
      </c>
      <c r="I26" s="9">
        <v>685</v>
      </c>
      <c r="J26" s="9">
        <v>687</v>
      </c>
      <c r="K26" s="9">
        <v>687</v>
      </c>
      <c r="L26" s="9">
        <v>863</v>
      </c>
      <c r="M26" s="9">
        <v>892</v>
      </c>
      <c r="N26" s="8">
        <v>920</v>
      </c>
      <c r="O26" s="9"/>
      <c r="P26" s="9"/>
      <c r="Q26" s="9"/>
      <c r="R26" s="8" t="s">
        <v>12</v>
      </c>
      <c r="S26" s="12"/>
      <c r="T26" s="25">
        <v>9003</v>
      </c>
      <c r="U26" s="13"/>
      <c r="V26" s="15"/>
    </row>
    <row r="27" spans="1:22" s="2" customFormat="1" ht="16.5" customHeight="1" thickBot="1">
      <c r="A27" s="37" t="s">
        <v>162</v>
      </c>
      <c r="B27" s="39" t="s">
        <v>678</v>
      </c>
      <c r="C27" s="9">
        <v>649</v>
      </c>
      <c r="D27" s="9">
        <v>650</v>
      </c>
      <c r="E27" s="9">
        <v>684</v>
      </c>
      <c r="F27" s="9">
        <v>687</v>
      </c>
      <c r="G27" s="9">
        <v>689</v>
      </c>
      <c r="H27" s="9">
        <v>696</v>
      </c>
      <c r="I27" s="9">
        <v>696</v>
      </c>
      <c r="J27" s="9">
        <v>699</v>
      </c>
      <c r="K27" s="9">
        <v>700</v>
      </c>
      <c r="L27" s="9">
        <v>705</v>
      </c>
      <c r="M27" s="9">
        <v>711</v>
      </c>
      <c r="N27" s="9">
        <v>846</v>
      </c>
      <c r="O27" s="8">
        <v>974</v>
      </c>
      <c r="P27" s="9"/>
      <c r="Q27" s="9"/>
      <c r="R27" s="8" t="s">
        <v>15</v>
      </c>
    </row>
    <row r="28" spans="1:22" s="2" customFormat="1" ht="16.5" customHeight="1" thickBot="1">
      <c r="A28" s="40" t="s">
        <v>879</v>
      </c>
      <c r="B28" s="44" t="s">
        <v>28</v>
      </c>
      <c r="C28" s="9">
        <v>577</v>
      </c>
      <c r="D28" s="9">
        <v>578</v>
      </c>
      <c r="E28" s="9">
        <v>580</v>
      </c>
      <c r="F28" s="9">
        <v>588</v>
      </c>
      <c r="G28" s="9">
        <v>607</v>
      </c>
      <c r="H28" s="9">
        <v>613</v>
      </c>
      <c r="I28" s="9">
        <v>613</v>
      </c>
      <c r="J28" s="9">
        <v>618</v>
      </c>
      <c r="K28" s="9">
        <v>618</v>
      </c>
      <c r="L28" s="9">
        <v>657</v>
      </c>
      <c r="M28" s="9">
        <v>667</v>
      </c>
      <c r="N28" s="9">
        <v>670</v>
      </c>
      <c r="O28" s="9">
        <v>688</v>
      </c>
      <c r="P28" s="9">
        <v>690</v>
      </c>
      <c r="Q28" s="9">
        <v>692</v>
      </c>
      <c r="R28" s="8"/>
    </row>
    <row r="29" spans="1:22" s="2" customFormat="1" ht="16.5" customHeight="1" thickBot="1">
      <c r="A29" s="37" t="s">
        <v>702</v>
      </c>
      <c r="B29" s="39" t="s">
        <v>678</v>
      </c>
      <c r="C29" s="9">
        <v>455</v>
      </c>
      <c r="D29" s="9">
        <v>456</v>
      </c>
      <c r="E29" s="9">
        <v>486</v>
      </c>
      <c r="F29" s="9">
        <v>486</v>
      </c>
      <c r="G29" s="9">
        <v>487</v>
      </c>
      <c r="H29" s="9">
        <v>519</v>
      </c>
      <c r="I29" s="9">
        <v>521</v>
      </c>
      <c r="J29" s="9">
        <v>571</v>
      </c>
      <c r="K29" s="9">
        <v>572</v>
      </c>
      <c r="L29" s="9">
        <v>578</v>
      </c>
      <c r="M29" s="9">
        <v>586</v>
      </c>
      <c r="N29" s="9">
        <v>618</v>
      </c>
      <c r="O29" s="9">
        <v>735</v>
      </c>
      <c r="P29" s="9">
        <v>735</v>
      </c>
      <c r="Q29" s="8">
        <v>766</v>
      </c>
      <c r="R29" s="8" t="s">
        <v>16</v>
      </c>
    </row>
    <row r="30" spans="1:22" s="2" customFormat="1" ht="16.5" customHeight="1" thickBot="1">
      <c r="A30" s="37" t="s">
        <v>698</v>
      </c>
      <c r="B30" s="38" t="s">
        <v>6</v>
      </c>
      <c r="C30" s="9">
        <v>450</v>
      </c>
      <c r="D30" s="9">
        <v>450</v>
      </c>
      <c r="E30" s="9">
        <v>451</v>
      </c>
      <c r="F30" s="9">
        <v>459</v>
      </c>
      <c r="G30" s="9">
        <v>467</v>
      </c>
      <c r="H30" s="9">
        <v>472</v>
      </c>
      <c r="I30" s="9">
        <v>473</v>
      </c>
      <c r="J30" s="9">
        <v>480</v>
      </c>
      <c r="K30" s="9">
        <v>487</v>
      </c>
      <c r="L30" s="9">
        <v>490</v>
      </c>
      <c r="M30" s="9">
        <v>573</v>
      </c>
      <c r="N30" s="9">
        <v>651</v>
      </c>
      <c r="O30" s="9">
        <v>686</v>
      </c>
      <c r="P30" s="9">
        <v>697</v>
      </c>
      <c r="Q30" s="8">
        <v>699</v>
      </c>
      <c r="R30" s="8" t="s">
        <v>210</v>
      </c>
    </row>
    <row r="31" spans="1:22" s="2" customFormat="1" ht="16.5" customHeight="1" thickBot="1">
      <c r="A31" s="40" t="s">
        <v>695</v>
      </c>
      <c r="B31" s="42" t="s">
        <v>678</v>
      </c>
      <c r="C31" s="9">
        <v>434</v>
      </c>
      <c r="D31" s="9">
        <v>435</v>
      </c>
      <c r="E31" s="9">
        <v>436</v>
      </c>
      <c r="F31" s="9">
        <v>436</v>
      </c>
      <c r="G31" s="9">
        <v>437</v>
      </c>
      <c r="H31" s="9">
        <v>440</v>
      </c>
      <c r="I31" s="9">
        <v>440</v>
      </c>
      <c r="J31" s="9">
        <v>442</v>
      </c>
      <c r="K31" s="9">
        <v>442</v>
      </c>
      <c r="L31" s="9" t="s">
        <v>30</v>
      </c>
      <c r="R31" s="13"/>
    </row>
    <row r="32" spans="1:22" s="2" customFormat="1" ht="16.5" customHeight="1" thickBot="1">
      <c r="A32" s="37" t="s">
        <v>701</v>
      </c>
      <c r="B32" s="39" t="s">
        <v>678</v>
      </c>
      <c r="C32" s="9">
        <v>416</v>
      </c>
      <c r="D32" s="9">
        <v>416</v>
      </c>
      <c r="E32" s="9">
        <v>417</v>
      </c>
      <c r="F32" s="9">
        <v>443</v>
      </c>
      <c r="G32" s="9">
        <v>467</v>
      </c>
      <c r="H32" s="9">
        <v>542</v>
      </c>
      <c r="I32" s="9">
        <v>546</v>
      </c>
      <c r="J32" s="9">
        <v>583</v>
      </c>
      <c r="K32" s="9">
        <v>587</v>
      </c>
      <c r="L32" s="9">
        <v>592</v>
      </c>
      <c r="M32" s="9">
        <v>693</v>
      </c>
      <c r="N32" s="9">
        <v>698</v>
      </c>
      <c r="O32" s="9">
        <v>720</v>
      </c>
      <c r="P32" s="9">
        <v>720</v>
      </c>
      <c r="Q32" s="8">
        <v>722</v>
      </c>
      <c r="R32" s="8" t="s">
        <v>209</v>
      </c>
    </row>
    <row r="33" spans="1:19" s="2" customFormat="1" ht="16.5" customHeight="1" thickBot="1">
      <c r="A33" s="40" t="s">
        <v>700</v>
      </c>
      <c r="B33" s="41" t="s">
        <v>6</v>
      </c>
      <c r="C33" s="9">
        <v>404</v>
      </c>
      <c r="D33" s="9">
        <v>404</v>
      </c>
      <c r="E33" s="9">
        <v>419</v>
      </c>
      <c r="F33" s="9">
        <v>424</v>
      </c>
      <c r="G33" s="9">
        <v>438</v>
      </c>
      <c r="H33" s="9">
        <v>439</v>
      </c>
      <c r="I33" s="9">
        <v>439</v>
      </c>
      <c r="J33" s="9">
        <v>447</v>
      </c>
      <c r="K33" s="9">
        <v>451</v>
      </c>
      <c r="L33" s="9">
        <v>452</v>
      </c>
      <c r="M33" s="9">
        <v>476</v>
      </c>
      <c r="N33" s="9" t="s">
        <v>30</v>
      </c>
    </row>
    <row r="34" spans="1:19" s="2" customFormat="1" ht="16.5" customHeight="1" thickBot="1">
      <c r="A34" s="40" t="s">
        <v>694</v>
      </c>
      <c r="B34" s="44" t="s">
        <v>28</v>
      </c>
      <c r="C34" s="9">
        <v>366</v>
      </c>
      <c r="D34" s="9">
        <v>369</v>
      </c>
      <c r="E34" s="9">
        <v>418</v>
      </c>
      <c r="F34" s="9">
        <v>419</v>
      </c>
      <c r="G34" s="9">
        <v>423</v>
      </c>
      <c r="H34" s="9">
        <v>426</v>
      </c>
      <c r="I34" s="9">
        <v>427</v>
      </c>
      <c r="J34" s="9">
        <v>445</v>
      </c>
      <c r="K34" s="9">
        <v>446</v>
      </c>
      <c r="L34" s="9">
        <v>452</v>
      </c>
      <c r="M34" s="9">
        <v>492</v>
      </c>
      <c r="N34" s="9">
        <v>520</v>
      </c>
      <c r="O34" s="9" t="s">
        <v>30</v>
      </c>
    </row>
    <row r="35" spans="1:19" s="2" customFormat="1" ht="16.5" customHeight="1" thickBot="1">
      <c r="A35" s="40" t="s">
        <v>554</v>
      </c>
      <c r="B35" s="41" t="s">
        <v>6</v>
      </c>
      <c r="C35" s="9">
        <v>282</v>
      </c>
      <c r="D35" s="9">
        <v>282</v>
      </c>
      <c r="E35" s="9">
        <v>302</v>
      </c>
      <c r="F35" s="9">
        <v>303</v>
      </c>
      <c r="G35" s="9">
        <v>303</v>
      </c>
      <c r="H35" s="9">
        <v>364</v>
      </c>
      <c r="I35" s="9">
        <v>366</v>
      </c>
      <c r="J35" s="9" t="s">
        <v>30</v>
      </c>
    </row>
    <row r="36" spans="1:19" s="2" customFormat="1" ht="16.5" customHeight="1" thickBot="1">
      <c r="A36" s="40" t="s">
        <v>391</v>
      </c>
      <c r="B36" s="41" t="s">
        <v>6</v>
      </c>
      <c r="C36" s="9">
        <v>270</v>
      </c>
      <c r="D36" s="9">
        <v>270</v>
      </c>
      <c r="E36" s="9">
        <v>271</v>
      </c>
      <c r="F36" s="9">
        <v>325</v>
      </c>
      <c r="G36" s="9">
        <v>363</v>
      </c>
      <c r="H36" s="9">
        <v>373</v>
      </c>
      <c r="I36" s="9">
        <v>374</v>
      </c>
      <c r="J36" s="9">
        <v>435</v>
      </c>
      <c r="K36" s="9">
        <v>446</v>
      </c>
      <c r="L36" s="9">
        <v>447</v>
      </c>
      <c r="M36" s="9" t="s">
        <v>30</v>
      </c>
    </row>
    <row r="37" spans="1:19" s="2" customFormat="1" ht="16.5" customHeight="1" thickBot="1">
      <c r="A37" s="40" t="s">
        <v>697</v>
      </c>
      <c r="B37" s="42" t="s">
        <v>678</v>
      </c>
      <c r="C37" s="9">
        <v>268</v>
      </c>
      <c r="D37" s="9">
        <v>268</v>
      </c>
      <c r="E37" s="9">
        <v>270</v>
      </c>
      <c r="F37" s="9">
        <v>272</v>
      </c>
      <c r="G37" s="9">
        <v>272</v>
      </c>
      <c r="H37" s="9" t="s">
        <v>30</v>
      </c>
    </row>
    <row r="38" spans="1:19" s="2" customFormat="1" ht="16.5" customHeight="1" thickBot="1">
      <c r="A38" s="40" t="s">
        <v>706</v>
      </c>
      <c r="B38" s="44" t="s">
        <v>28</v>
      </c>
      <c r="C38" s="9">
        <v>222</v>
      </c>
      <c r="D38" s="9">
        <v>222</v>
      </c>
      <c r="E38" s="9">
        <v>222</v>
      </c>
      <c r="F38" s="9">
        <v>252</v>
      </c>
      <c r="G38" s="9" t="s">
        <v>30</v>
      </c>
    </row>
    <row r="39" spans="1:19" s="2" customFormat="1" ht="16.5" customHeight="1" thickBot="1">
      <c r="A39" s="40" t="s">
        <v>699</v>
      </c>
      <c r="B39" s="41" t="s">
        <v>6</v>
      </c>
      <c r="C39" s="9">
        <v>173</v>
      </c>
      <c r="D39" s="9">
        <v>173</v>
      </c>
      <c r="E39" s="9">
        <v>173</v>
      </c>
      <c r="F39" s="9" t="s">
        <v>30</v>
      </c>
    </row>
    <row r="40" spans="1:19" s="2" customFormat="1" ht="16.5" customHeight="1" thickBot="1">
      <c r="A40" s="40" t="s">
        <v>696</v>
      </c>
      <c r="B40" s="41" t="s">
        <v>6</v>
      </c>
      <c r="C40" s="9">
        <v>172</v>
      </c>
      <c r="D40" s="9">
        <v>172</v>
      </c>
      <c r="E40" s="9" t="s">
        <v>30</v>
      </c>
      <c r="O40" s="13"/>
    </row>
    <row r="41" spans="1:19" s="2" customFormat="1" ht="12" customHeight="1">
      <c r="A41" s="28"/>
      <c r="B41" s="47"/>
      <c r="C41" s="28"/>
      <c r="D41" s="28"/>
      <c r="E41" s="28"/>
      <c r="F41" s="23"/>
      <c r="G41" s="23"/>
      <c r="H41" s="23"/>
      <c r="I41" s="23"/>
      <c r="J41" s="23"/>
      <c r="N41" s="18"/>
    </row>
    <row r="42" spans="1:19" s="2" customFormat="1" ht="17.45" customHeight="1">
      <c r="A42" s="1" t="s">
        <v>707</v>
      </c>
    </row>
    <row r="43" spans="1:19" s="2" customFormat="1" ht="10.5" customHeight="1" thickBot="1">
      <c r="A43" s="1"/>
    </row>
    <row r="44" spans="1:19" s="2" customFormat="1" ht="16.5" customHeight="1" thickBot="1">
      <c r="A44" s="3" t="s">
        <v>0</v>
      </c>
      <c r="B44" s="4" t="s">
        <v>1</v>
      </c>
      <c r="C44" s="4" t="s">
        <v>2</v>
      </c>
      <c r="D44" s="4">
        <v>2</v>
      </c>
      <c r="E44" s="4">
        <v>3</v>
      </c>
      <c r="F44" s="4">
        <v>4</v>
      </c>
      <c r="G44" s="4">
        <v>5</v>
      </c>
      <c r="H44" s="4">
        <v>6</v>
      </c>
      <c r="I44" s="4">
        <v>7</v>
      </c>
      <c r="J44" s="4">
        <v>8</v>
      </c>
      <c r="K44" s="4">
        <v>9</v>
      </c>
      <c r="L44" s="4">
        <v>10</v>
      </c>
      <c r="M44" s="4">
        <v>11</v>
      </c>
      <c r="N44" s="4">
        <v>12</v>
      </c>
      <c r="O44" s="5"/>
      <c r="P44" s="12" t="s">
        <v>5</v>
      </c>
      <c r="Q44" s="13">
        <f>(7621/13532)</f>
        <v>0.56318356488323973</v>
      </c>
    </row>
    <row r="45" spans="1:19" s="2" customFormat="1" ht="16.5" customHeight="1" thickBot="1">
      <c r="A45" s="6" t="s">
        <v>634</v>
      </c>
      <c r="B45" s="119" t="s">
        <v>679</v>
      </c>
      <c r="C45" s="8">
        <v>895</v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11" t="s">
        <v>4</v>
      </c>
      <c r="P45" s="15"/>
      <c r="Q45" s="12" t="s">
        <v>8</v>
      </c>
      <c r="R45" s="12" t="s">
        <v>9</v>
      </c>
      <c r="S45" s="12" t="s">
        <v>10</v>
      </c>
    </row>
    <row r="46" spans="1:19" s="2" customFormat="1" ht="16.5" customHeight="1" thickBot="1">
      <c r="A46" s="6" t="s">
        <v>708</v>
      </c>
      <c r="B46" s="24" t="s">
        <v>28</v>
      </c>
      <c r="C46" s="9">
        <v>783</v>
      </c>
      <c r="D46" s="9">
        <v>786</v>
      </c>
      <c r="E46" s="9">
        <v>793</v>
      </c>
      <c r="F46" s="9">
        <v>793</v>
      </c>
      <c r="G46" s="8">
        <v>825</v>
      </c>
      <c r="H46" s="9"/>
      <c r="I46" s="9"/>
      <c r="J46" s="9"/>
      <c r="K46" s="9"/>
      <c r="L46" s="9"/>
      <c r="M46" s="9"/>
      <c r="N46" s="9"/>
      <c r="O46" s="11" t="s">
        <v>7</v>
      </c>
      <c r="P46" s="16" t="s">
        <v>6</v>
      </c>
      <c r="Q46" s="17">
        <f>(C49+C48+C50+C59)</f>
        <v>2104</v>
      </c>
      <c r="R46" s="18">
        <f>SUM(Q46/Q50)</f>
        <v>0.28390230738092026</v>
      </c>
      <c r="S46" s="15">
        <v>3</v>
      </c>
    </row>
    <row r="47" spans="1:19" s="2" customFormat="1" ht="16.5" customHeight="1" thickBot="1">
      <c r="A47" s="6" t="s">
        <v>638</v>
      </c>
      <c r="B47" s="39" t="s">
        <v>678</v>
      </c>
      <c r="C47" s="9">
        <v>728</v>
      </c>
      <c r="D47" s="9">
        <v>728</v>
      </c>
      <c r="E47" s="9">
        <v>729</v>
      </c>
      <c r="F47" s="9">
        <v>734</v>
      </c>
      <c r="G47" s="9">
        <v>735</v>
      </c>
      <c r="H47" s="9">
        <v>766</v>
      </c>
      <c r="I47" s="9">
        <v>770</v>
      </c>
      <c r="J47" s="8">
        <v>861</v>
      </c>
      <c r="K47" s="9"/>
      <c r="L47" s="9"/>
      <c r="M47" s="9"/>
      <c r="N47" s="9"/>
      <c r="O47" s="8" t="s">
        <v>11</v>
      </c>
      <c r="P47" s="19" t="s">
        <v>678</v>
      </c>
      <c r="Q47" s="17">
        <f>(C47+C52+C51+C53+C56)</f>
        <v>2271</v>
      </c>
      <c r="R47" s="18">
        <f>SUM(Q47/Q50)</f>
        <v>0.30643637835649712</v>
      </c>
      <c r="S47" s="15">
        <v>2</v>
      </c>
    </row>
    <row r="48" spans="1:19" s="2" customFormat="1" ht="16.5" customHeight="1" thickBot="1">
      <c r="A48" s="6" t="s">
        <v>709</v>
      </c>
      <c r="B48" s="14" t="s">
        <v>6</v>
      </c>
      <c r="C48" s="9">
        <v>672</v>
      </c>
      <c r="D48" s="9">
        <v>684</v>
      </c>
      <c r="E48" s="9">
        <v>687</v>
      </c>
      <c r="F48" s="9">
        <v>732</v>
      </c>
      <c r="G48" s="9">
        <v>751</v>
      </c>
      <c r="H48" s="9">
        <v>756</v>
      </c>
      <c r="I48" s="9">
        <v>810</v>
      </c>
      <c r="J48" s="8">
        <v>835</v>
      </c>
      <c r="K48" s="9"/>
      <c r="L48" s="9"/>
      <c r="M48" s="9"/>
      <c r="N48" s="9"/>
      <c r="O48" s="11" t="s">
        <v>12</v>
      </c>
      <c r="P48" s="88" t="s">
        <v>679</v>
      </c>
      <c r="Q48" s="23">
        <f>(C45+C54+C55+C58)</f>
        <v>1932</v>
      </c>
      <c r="R48" s="13">
        <f>SUM(Q48/Q50)</f>
        <v>0.26069356362164348</v>
      </c>
      <c r="S48" s="15">
        <v>2</v>
      </c>
    </row>
    <row r="49" spans="1:19" s="2" customFormat="1" ht="16.5" customHeight="1" thickBot="1">
      <c r="A49" s="6" t="s">
        <v>710</v>
      </c>
      <c r="B49" s="14" t="s">
        <v>6</v>
      </c>
      <c r="C49" s="9">
        <v>605</v>
      </c>
      <c r="D49" s="9">
        <v>606</v>
      </c>
      <c r="E49" s="9">
        <v>628</v>
      </c>
      <c r="F49" s="9">
        <v>649</v>
      </c>
      <c r="G49" s="9">
        <v>732</v>
      </c>
      <c r="H49" s="9">
        <v>739</v>
      </c>
      <c r="I49" s="9">
        <v>772</v>
      </c>
      <c r="J49" s="9">
        <v>787</v>
      </c>
      <c r="K49" s="9">
        <v>788</v>
      </c>
      <c r="L49" s="9">
        <v>789</v>
      </c>
      <c r="M49" s="9">
        <v>793</v>
      </c>
      <c r="N49" s="8">
        <v>835</v>
      </c>
      <c r="O49" s="11" t="s">
        <v>15</v>
      </c>
      <c r="P49" s="12" t="s">
        <v>13</v>
      </c>
      <c r="Q49" s="23">
        <f>(C46+C57+C60)</f>
        <v>1104</v>
      </c>
      <c r="R49" s="13">
        <f>SUM(Q49/Q50)</f>
        <v>0.14896775064093914</v>
      </c>
      <c r="S49" s="2">
        <v>1</v>
      </c>
    </row>
    <row r="50" spans="1:19" s="2" customFormat="1" ht="16.5" customHeight="1" thickBot="1">
      <c r="A50" s="6" t="s">
        <v>712</v>
      </c>
      <c r="B50" s="14" t="s">
        <v>6</v>
      </c>
      <c r="C50" s="9">
        <v>595</v>
      </c>
      <c r="D50" s="9">
        <v>598</v>
      </c>
      <c r="E50" s="9">
        <v>599</v>
      </c>
      <c r="F50" s="9">
        <v>681</v>
      </c>
      <c r="G50" s="9">
        <v>683</v>
      </c>
      <c r="H50" s="9">
        <v>687</v>
      </c>
      <c r="I50" s="9">
        <v>697</v>
      </c>
      <c r="J50" s="9">
        <v>771</v>
      </c>
      <c r="K50" s="9">
        <v>771</v>
      </c>
      <c r="L50" s="9">
        <v>789</v>
      </c>
      <c r="M50" s="9">
        <v>791</v>
      </c>
      <c r="N50" s="8">
        <v>805</v>
      </c>
      <c r="O50" s="11" t="s">
        <v>14</v>
      </c>
      <c r="P50" s="15"/>
      <c r="Q50" s="25">
        <v>7411</v>
      </c>
    </row>
    <row r="51" spans="1:19" s="2" customFormat="1" ht="16.5" customHeight="1" thickBot="1">
      <c r="A51" s="6" t="s">
        <v>714</v>
      </c>
      <c r="B51" s="39" t="s">
        <v>678</v>
      </c>
      <c r="C51" s="9">
        <v>437</v>
      </c>
      <c r="D51" s="9">
        <v>437</v>
      </c>
      <c r="E51" s="9">
        <v>438</v>
      </c>
      <c r="F51" s="9">
        <v>439</v>
      </c>
      <c r="G51" s="9">
        <v>439</v>
      </c>
      <c r="H51" s="9">
        <v>449</v>
      </c>
      <c r="I51" s="9">
        <v>466</v>
      </c>
      <c r="J51" s="9">
        <v>482</v>
      </c>
      <c r="K51" s="9">
        <v>482</v>
      </c>
      <c r="L51" s="9">
        <v>488</v>
      </c>
      <c r="M51" s="9">
        <v>488</v>
      </c>
      <c r="N51" s="8">
        <v>684</v>
      </c>
      <c r="O51" s="11" t="s">
        <v>209</v>
      </c>
    </row>
    <row r="52" spans="1:19" s="2" customFormat="1" ht="16.5" customHeight="1" thickBot="1">
      <c r="A52" s="20" t="s">
        <v>713</v>
      </c>
      <c r="B52" s="42" t="s">
        <v>678</v>
      </c>
      <c r="C52" s="9">
        <v>421</v>
      </c>
      <c r="D52" s="10">
        <v>422</v>
      </c>
      <c r="E52" s="9">
        <v>423</v>
      </c>
      <c r="F52" s="9">
        <v>444</v>
      </c>
      <c r="G52" s="9">
        <v>446</v>
      </c>
      <c r="H52" s="9">
        <v>501</v>
      </c>
      <c r="I52" s="9">
        <v>521</v>
      </c>
      <c r="J52" s="9">
        <v>569</v>
      </c>
      <c r="K52" s="9">
        <v>569</v>
      </c>
      <c r="L52" s="9">
        <v>571</v>
      </c>
      <c r="M52" s="9">
        <v>572</v>
      </c>
      <c r="N52" s="9">
        <v>605</v>
      </c>
      <c r="O52" s="11"/>
    </row>
    <row r="53" spans="1:19" s="2" customFormat="1" ht="16.5" customHeight="1" thickBot="1">
      <c r="A53" s="20" t="s">
        <v>719</v>
      </c>
      <c r="B53" s="42" t="s">
        <v>678</v>
      </c>
      <c r="C53" s="9">
        <v>406</v>
      </c>
      <c r="D53" s="10">
        <v>426</v>
      </c>
      <c r="E53" s="10">
        <v>427</v>
      </c>
      <c r="F53" s="9">
        <v>427</v>
      </c>
      <c r="G53" s="9">
        <v>432</v>
      </c>
      <c r="H53" s="9">
        <v>434</v>
      </c>
      <c r="I53" s="9">
        <v>473</v>
      </c>
      <c r="J53" s="9">
        <v>480</v>
      </c>
      <c r="K53" s="9">
        <v>480</v>
      </c>
      <c r="L53" s="9">
        <v>481</v>
      </c>
      <c r="M53" s="9">
        <v>482</v>
      </c>
      <c r="N53" s="9" t="s">
        <v>30</v>
      </c>
    </row>
    <row r="54" spans="1:19" s="2" customFormat="1" ht="16.5" customHeight="1" thickBot="1">
      <c r="A54" s="6" t="s">
        <v>718</v>
      </c>
      <c r="B54" s="119" t="s">
        <v>679</v>
      </c>
      <c r="C54" s="9">
        <v>399</v>
      </c>
      <c r="D54" s="9">
        <v>399</v>
      </c>
      <c r="E54" s="9">
        <v>400</v>
      </c>
      <c r="F54" s="10">
        <v>422</v>
      </c>
      <c r="G54" s="9">
        <v>424</v>
      </c>
      <c r="H54" s="9">
        <v>568</v>
      </c>
      <c r="I54" s="9">
        <v>593</v>
      </c>
      <c r="J54" s="9">
        <v>735</v>
      </c>
      <c r="K54" s="9">
        <v>735</v>
      </c>
      <c r="L54" s="9">
        <v>744</v>
      </c>
      <c r="M54" s="9">
        <v>747</v>
      </c>
      <c r="N54" s="8">
        <v>773</v>
      </c>
      <c r="O54" s="11" t="s">
        <v>16</v>
      </c>
    </row>
    <row r="55" spans="1:19" s="2" customFormat="1" ht="16.5" customHeight="1" thickBot="1">
      <c r="A55" s="20" t="s">
        <v>717</v>
      </c>
      <c r="B55" s="85" t="s">
        <v>679</v>
      </c>
      <c r="C55" s="9">
        <v>365</v>
      </c>
      <c r="D55" s="10">
        <v>365</v>
      </c>
      <c r="E55" s="10">
        <v>367</v>
      </c>
      <c r="F55" s="9">
        <v>382</v>
      </c>
      <c r="G55" s="9">
        <v>385</v>
      </c>
      <c r="H55" s="9">
        <v>395</v>
      </c>
      <c r="I55" s="9">
        <v>459</v>
      </c>
      <c r="J55" s="9" t="s">
        <v>30</v>
      </c>
    </row>
    <row r="56" spans="1:19" s="2" customFormat="1" ht="16.5" customHeight="1" thickBot="1">
      <c r="A56" s="20" t="s">
        <v>720</v>
      </c>
      <c r="B56" s="42" t="s">
        <v>678</v>
      </c>
      <c r="C56" s="9">
        <v>279</v>
      </c>
      <c r="D56" s="9">
        <v>279</v>
      </c>
      <c r="E56" s="9">
        <v>280</v>
      </c>
      <c r="F56" s="9">
        <v>294</v>
      </c>
      <c r="G56" s="9">
        <v>299</v>
      </c>
      <c r="H56" s="9" t="s">
        <v>30</v>
      </c>
    </row>
    <row r="57" spans="1:19" s="2" customFormat="1" ht="16.5" customHeight="1" thickBot="1">
      <c r="A57" s="20" t="s">
        <v>522</v>
      </c>
      <c r="B57" s="26" t="s">
        <v>28</v>
      </c>
      <c r="C57" s="9">
        <v>274</v>
      </c>
      <c r="D57" s="10">
        <v>274</v>
      </c>
      <c r="E57" s="10">
        <v>283</v>
      </c>
      <c r="F57" s="9">
        <v>284</v>
      </c>
      <c r="G57" s="9" t="s">
        <v>30</v>
      </c>
    </row>
    <row r="58" spans="1:19" s="2" customFormat="1" ht="16.5" customHeight="1" thickBot="1">
      <c r="A58" s="20" t="s">
        <v>715</v>
      </c>
      <c r="B58" s="85" t="s">
        <v>679</v>
      </c>
      <c r="C58" s="9">
        <v>273</v>
      </c>
      <c r="D58" s="9">
        <v>273</v>
      </c>
      <c r="E58" s="9">
        <v>294</v>
      </c>
      <c r="F58" s="9">
        <v>294</v>
      </c>
      <c r="G58" s="9">
        <v>313</v>
      </c>
      <c r="H58" s="9">
        <v>317</v>
      </c>
      <c r="I58" s="9" t="s">
        <v>30</v>
      </c>
    </row>
    <row r="59" spans="1:19" s="2" customFormat="1" ht="16.5" customHeight="1" thickBot="1">
      <c r="A59" s="20" t="s">
        <v>711</v>
      </c>
      <c r="B59" s="21" t="s">
        <v>6</v>
      </c>
      <c r="C59" s="9">
        <v>232</v>
      </c>
      <c r="D59" s="9">
        <v>233</v>
      </c>
      <c r="E59" s="9">
        <v>233</v>
      </c>
      <c r="F59" s="9" t="s">
        <v>30</v>
      </c>
    </row>
    <row r="60" spans="1:19" s="2" customFormat="1" ht="16.5" customHeight="1" thickBot="1">
      <c r="A60" s="20" t="s">
        <v>716</v>
      </c>
      <c r="B60" s="26" t="s">
        <v>28</v>
      </c>
      <c r="C60" s="9">
        <v>47</v>
      </c>
      <c r="D60" s="9" t="s">
        <v>30</v>
      </c>
    </row>
    <row r="61" spans="1:19">
      <c r="C61" s="63"/>
    </row>
    <row r="62" spans="1:19" s="2" customFormat="1" ht="17.45" customHeight="1">
      <c r="A62" s="31" t="s">
        <v>722</v>
      </c>
      <c r="B62" s="23"/>
      <c r="C62" s="23"/>
      <c r="D62" s="23"/>
      <c r="E62" s="23"/>
      <c r="F62" s="23"/>
      <c r="G62" s="23"/>
      <c r="H62" s="23"/>
      <c r="I62" s="23"/>
      <c r="J62" s="23"/>
    </row>
    <row r="63" spans="1:19" s="2" customFormat="1" ht="8.25" customHeight="1" thickBot="1">
      <c r="A63" s="31"/>
      <c r="B63" s="23"/>
      <c r="C63" s="23"/>
      <c r="D63" s="23"/>
      <c r="E63" s="23"/>
      <c r="F63" s="23"/>
      <c r="G63" s="23"/>
      <c r="H63" s="23"/>
      <c r="I63" s="23"/>
      <c r="J63" s="23"/>
    </row>
    <row r="64" spans="1:19" s="2" customFormat="1" ht="17.45" customHeight="1" thickBot="1">
      <c r="A64" s="35" t="s">
        <v>0</v>
      </c>
      <c r="B64" s="36" t="s">
        <v>1</v>
      </c>
      <c r="C64" s="36" t="s">
        <v>2</v>
      </c>
      <c r="D64" s="36"/>
      <c r="E64" s="25" t="s">
        <v>5</v>
      </c>
      <c r="F64" s="13"/>
      <c r="H64" s="13"/>
    </row>
    <row r="65" spans="1:23" s="2" customFormat="1" ht="17.45" customHeight="1" thickBot="1">
      <c r="A65" s="37" t="s">
        <v>651</v>
      </c>
      <c r="B65" s="38" t="s">
        <v>6</v>
      </c>
      <c r="C65" s="120" t="s">
        <v>721</v>
      </c>
      <c r="D65" s="8"/>
      <c r="E65" s="17"/>
      <c r="F65" s="12" t="s">
        <v>8</v>
      </c>
      <c r="G65" s="12" t="s">
        <v>9</v>
      </c>
      <c r="H65" s="12" t="s">
        <v>10</v>
      </c>
    </row>
    <row r="66" spans="1:23" s="2" customFormat="1" ht="17.45" customHeight="1" thickBot="1">
      <c r="A66" s="37" t="s">
        <v>268</v>
      </c>
      <c r="B66" s="38" t="s">
        <v>6</v>
      </c>
      <c r="C66" s="120" t="s">
        <v>721</v>
      </c>
      <c r="D66" s="8"/>
      <c r="E66" s="48" t="s">
        <v>6</v>
      </c>
      <c r="F66" s="17">
        <v>0</v>
      </c>
      <c r="G66" s="18" t="e">
        <f>SUM(F66/F69)</f>
        <v>#DIV/0!</v>
      </c>
      <c r="H66" s="15">
        <v>5</v>
      </c>
    </row>
    <row r="67" spans="1:23" s="2" customFormat="1" ht="17.45" customHeight="1" thickBot="1">
      <c r="A67" s="37" t="s">
        <v>654</v>
      </c>
      <c r="B67" s="38" t="s">
        <v>6</v>
      </c>
      <c r="C67" s="120" t="s">
        <v>721</v>
      </c>
      <c r="D67" s="8"/>
      <c r="E67" s="19" t="s">
        <v>678</v>
      </c>
      <c r="F67" s="23">
        <v>0</v>
      </c>
      <c r="G67" s="13" t="e">
        <f>SUM(F67/F69)</f>
        <v>#DIV/0!</v>
      </c>
      <c r="H67" s="2">
        <v>2</v>
      </c>
    </row>
    <row r="68" spans="1:23" s="2" customFormat="1" ht="17.45" customHeight="1" thickBot="1">
      <c r="A68" s="37" t="s">
        <v>725</v>
      </c>
      <c r="B68" s="38" t="s">
        <v>6</v>
      </c>
      <c r="C68" s="120" t="s">
        <v>721</v>
      </c>
      <c r="D68" s="8"/>
      <c r="E68" s="22" t="s">
        <v>13</v>
      </c>
      <c r="F68" s="17">
        <v>0</v>
      </c>
      <c r="G68" s="18" t="e">
        <f>SUM(F68/F69)</f>
        <v>#DIV/0!</v>
      </c>
      <c r="H68" s="2">
        <v>1</v>
      </c>
    </row>
    <row r="69" spans="1:23" s="2" customFormat="1" ht="17.45" customHeight="1" thickBot="1">
      <c r="A69" s="37" t="s">
        <v>726</v>
      </c>
      <c r="B69" s="38" t="s">
        <v>6</v>
      </c>
      <c r="C69" s="120" t="s">
        <v>721</v>
      </c>
      <c r="D69" s="8"/>
      <c r="E69" s="60"/>
      <c r="F69" s="25">
        <v>0</v>
      </c>
      <c r="G69" s="13"/>
    </row>
    <row r="70" spans="1:23" s="2" customFormat="1" ht="17.45" customHeight="1" thickBot="1">
      <c r="A70" s="37" t="s">
        <v>723</v>
      </c>
      <c r="B70" s="39" t="s">
        <v>678</v>
      </c>
      <c r="C70" s="120" t="s">
        <v>721</v>
      </c>
      <c r="D70" s="8"/>
    </row>
    <row r="71" spans="1:23" s="2" customFormat="1" ht="17.45" customHeight="1" thickBot="1">
      <c r="A71" s="37" t="s">
        <v>724</v>
      </c>
      <c r="B71" s="39" t="s">
        <v>678</v>
      </c>
      <c r="C71" s="120" t="s">
        <v>721</v>
      </c>
      <c r="D71" s="8"/>
    </row>
    <row r="72" spans="1:23" s="2" customFormat="1" ht="17.45" customHeight="1" thickBot="1">
      <c r="A72" s="37" t="s">
        <v>727</v>
      </c>
      <c r="B72" s="24" t="s">
        <v>28</v>
      </c>
      <c r="C72" s="120" t="s">
        <v>721</v>
      </c>
      <c r="D72" s="8"/>
      <c r="J72" s="23"/>
      <c r="K72" s="25"/>
      <c r="L72" s="23"/>
      <c r="M72" s="13"/>
    </row>
    <row r="73" spans="1:23" s="2" customFormat="1" ht="13.5" customHeight="1">
      <c r="A73" s="28"/>
      <c r="B73" s="80"/>
      <c r="C73" s="28"/>
      <c r="D73" s="28"/>
      <c r="E73" s="28"/>
      <c r="F73" s="23"/>
      <c r="G73" s="23"/>
      <c r="H73" s="23"/>
      <c r="I73" s="23"/>
      <c r="J73" s="25"/>
      <c r="L73" s="13"/>
      <c r="M73" s="13"/>
    </row>
    <row r="74" spans="1:23" s="2" customFormat="1" ht="17.45" customHeight="1">
      <c r="A74" s="31" t="s">
        <v>728</v>
      </c>
      <c r="B74" s="23"/>
      <c r="C74" s="23"/>
      <c r="D74" s="23"/>
      <c r="E74" s="23"/>
      <c r="F74" s="23"/>
      <c r="G74" s="23"/>
      <c r="H74" s="23"/>
      <c r="I74" s="23"/>
      <c r="J74" s="23"/>
    </row>
    <row r="75" spans="1:23" s="2" customFormat="1" ht="10.5" customHeight="1" thickBot="1">
      <c r="A75" s="31"/>
      <c r="B75" s="23"/>
      <c r="C75" s="23"/>
      <c r="D75" s="23"/>
      <c r="E75" s="23"/>
      <c r="F75" s="23"/>
      <c r="G75" s="23"/>
      <c r="H75" s="23"/>
      <c r="I75" s="23"/>
      <c r="J75" s="23"/>
    </row>
    <row r="76" spans="1:23" s="2" customFormat="1" ht="16.5" customHeight="1" thickBot="1">
      <c r="A76" s="35" t="s">
        <v>0</v>
      </c>
      <c r="B76" s="36" t="s">
        <v>1</v>
      </c>
      <c r="C76" s="36" t="s">
        <v>2</v>
      </c>
      <c r="D76" s="36">
        <v>2</v>
      </c>
      <c r="E76" s="36">
        <v>3</v>
      </c>
      <c r="F76" s="36">
        <v>4</v>
      </c>
      <c r="G76" s="36">
        <v>5</v>
      </c>
      <c r="H76" s="36">
        <v>6</v>
      </c>
      <c r="I76" s="36">
        <v>7</v>
      </c>
      <c r="J76" s="36">
        <v>8</v>
      </c>
      <c r="K76" s="36">
        <v>9</v>
      </c>
      <c r="L76" s="36">
        <v>10</v>
      </c>
      <c r="M76" s="36">
        <v>11</v>
      </c>
      <c r="N76" s="36">
        <v>12</v>
      </c>
      <c r="O76" s="36">
        <v>13</v>
      </c>
      <c r="P76" s="36">
        <v>14</v>
      </c>
      <c r="Q76" s="36">
        <v>15</v>
      </c>
      <c r="R76" s="36">
        <v>16</v>
      </c>
      <c r="S76" s="45"/>
      <c r="T76" s="12" t="s">
        <v>5</v>
      </c>
      <c r="U76" s="13">
        <f>(6459/12292)</f>
        <v>0.52546371623820376</v>
      </c>
    </row>
    <row r="77" spans="1:23" s="2" customFormat="1" ht="16.5" customHeight="1" thickBot="1">
      <c r="A77" s="37" t="s">
        <v>729</v>
      </c>
      <c r="B77" s="52" t="s">
        <v>28</v>
      </c>
      <c r="C77" s="8">
        <v>1117</v>
      </c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8" t="s">
        <v>4</v>
      </c>
      <c r="T77" s="15"/>
      <c r="U77" s="12" t="s">
        <v>8</v>
      </c>
      <c r="V77" s="12" t="s">
        <v>9</v>
      </c>
      <c r="W77" s="12" t="s">
        <v>10</v>
      </c>
    </row>
    <row r="78" spans="1:23" s="2" customFormat="1" ht="16.5" customHeight="1" thickBot="1">
      <c r="A78" s="37" t="s">
        <v>666</v>
      </c>
      <c r="B78" s="93" t="s">
        <v>679</v>
      </c>
      <c r="C78" s="9">
        <v>690</v>
      </c>
      <c r="D78" s="8">
        <v>732</v>
      </c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8" t="s">
        <v>7</v>
      </c>
      <c r="T78" s="16" t="s">
        <v>6</v>
      </c>
      <c r="U78" s="17">
        <f>(C80+C81+C84+C88+C90)</f>
        <v>1633</v>
      </c>
      <c r="V78" s="18">
        <f>SUM(U78/U83)</f>
        <v>0.26123820188769797</v>
      </c>
      <c r="W78" s="15">
        <v>2</v>
      </c>
    </row>
    <row r="79" spans="1:23" s="2" customFormat="1" ht="16.5" customHeight="1" thickBot="1">
      <c r="A79" s="37" t="s">
        <v>732</v>
      </c>
      <c r="B79" s="59" t="s">
        <v>17</v>
      </c>
      <c r="C79" s="9">
        <v>574</v>
      </c>
      <c r="D79" s="9">
        <v>615</v>
      </c>
      <c r="E79" s="9">
        <v>615</v>
      </c>
      <c r="F79" s="9">
        <v>619</v>
      </c>
      <c r="G79" s="9">
        <v>619</v>
      </c>
      <c r="H79" s="9">
        <v>620</v>
      </c>
      <c r="I79" s="9">
        <v>620</v>
      </c>
      <c r="J79" s="9">
        <v>623</v>
      </c>
      <c r="K79" s="9">
        <v>628</v>
      </c>
      <c r="L79" s="9">
        <v>645</v>
      </c>
      <c r="M79" s="8">
        <v>697</v>
      </c>
      <c r="N79" s="9"/>
      <c r="O79" s="9"/>
      <c r="P79" s="9"/>
      <c r="Q79" s="9"/>
      <c r="R79" s="9"/>
      <c r="S79" s="8" t="s">
        <v>12</v>
      </c>
      <c r="T79" s="19" t="s">
        <v>678</v>
      </c>
      <c r="U79" s="23">
        <f>(C83+C86+C91)</f>
        <v>815</v>
      </c>
      <c r="V79" s="13">
        <f>SUM(U79/U83)</f>
        <v>0.13037913933770598</v>
      </c>
      <c r="W79" s="2">
        <v>1</v>
      </c>
    </row>
    <row r="80" spans="1:23" s="2" customFormat="1" ht="16.5" customHeight="1" thickBot="1">
      <c r="A80" s="37" t="s">
        <v>745</v>
      </c>
      <c r="B80" s="38" t="s">
        <v>6</v>
      </c>
      <c r="C80" s="9">
        <v>462</v>
      </c>
      <c r="D80" s="9">
        <v>498</v>
      </c>
      <c r="E80" s="9">
        <v>498</v>
      </c>
      <c r="F80" s="9">
        <v>500</v>
      </c>
      <c r="G80" s="9">
        <v>500</v>
      </c>
      <c r="H80" s="9">
        <v>501</v>
      </c>
      <c r="I80" s="9">
        <v>501</v>
      </c>
      <c r="J80" s="9">
        <v>509</v>
      </c>
      <c r="K80" s="9">
        <v>568</v>
      </c>
      <c r="L80" s="9">
        <v>584</v>
      </c>
      <c r="M80" s="9">
        <v>590</v>
      </c>
      <c r="N80" s="8">
        <v>707</v>
      </c>
      <c r="O80" s="9"/>
      <c r="P80" s="9"/>
      <c r="Q80" s="9"/>
      <c r="R80" s="9"/>
      <c r="S80" s="8" t="s">
        <v>14</v>
      </c>
      <c r="T80" s="29" t="s">
        <v>17</v>
      </c>
      <c r="U80" s="17">
        <v>574</v>
      </c>
      <c r="V80" s="18">
        <f>SUM(U80/U83)</f>
        <v>9.182530795072788E-2</v>
      </c>
      <c r="W80" s="2">
        <v>1</v>
      </c>
    </row>
    <row r="81" spans="1:23" s="2" customFormat="1" ht="16.5" customHeight="1" thickBot="1">
      <c r="A81" s="37" t="s">
        <v>733</v>
      </c>
      <c r="B81" s="38" t="s">
        <v>6</v>
      </c>
      <c r="C81" s="9">
        <v>459</v>
      </c>
      <c r="D81" s="9">
        <v>524</v>
      </c>
      <c r="E81" s="9">
        <v>530</v>
      </c>
      <c r="F81" s="9">
        <v>538</v>
      </c>
      <c r="G81" s="9">
        <v>543</v>
      </c>
      <c r="H81" s="9">
        <v>545</v>
      </c>
      <c r="I81" s="9">
        <v>547</v>
      </c>
      <c r="J81" s="9">
        <v>550</v>
      </c>
      <c r="K81" s="9">
        <v>593</v>
      </c>
      <c r="L81" s="9">
        <v>665</v>
      </c>
      <c r="M81" s="8">
        <v>729</v>
      </c>
      <c r="N81" s="9"/>
      <c r="O81" s="9"/>
      <c r="P81" s="9"/>
      <c r="Q81" s="9"/>
      <c r="R81" s="9"/>
      <c r="S81" s="8" t="s">
        <v>11</v>
      </c>
      <c r="T81" s="88" t="s">
        <v>679</v>
      </c>
      <c r="U81" s="17">
        <v>690</v>
      </c>
      <c r="V81" s="18">
        <f>SUM(U81/U83)</f>
        <v>0.11038233882578788</v>
      </c>
      <c r="W81" s="2">
        <v>1</v>
      </c>
    </row>
    <row r="82" spans="1:23" s="2" customFormat="1" ht="16.5" customHeight="1" thickBot="1">
      <c r="A82" s="37" t="s">
        <v>744</v>
      </c>
      <c r="B82" s="38" t="s">
        <v>741</v>
      </c>
      <c r="C82" s="9">
        <v>424</v>
      </c>
      <c r="D82" s="9">
        <v>514</v>
      </c>
      <c r="E82" s="9">
        <v>518</v>
      </c>
      <c r="F82" s="9">
        <v>522</v>
      </c>
      <c r="G82" s="9">
        <v>525</v>
      </c>
      <c r="H82" s="9">
        <v>533</v>
      </c>
      <c r="I82" s="9">
        <v>533</v>
      </c>
      <c r="J82" s="9">
        <v>536</v>
      </c>
      <c r="K82" s="9">
        <v>563</v>
      </c>
      <c r="L82" s="9">
        <v>635</v>
      </c>
      <c r="M82" s="8">
        <v>697</v>
      </c>
      <c r="N82" s="9"/>
      <c r="O82" s="9"/>
      <c r="P82" s="9"/>
      <c r="Q82" s="9"/>
      <c r="R82" s="9"/>
      <c r="S82" s="8" t="s">
        <v>15</v>
      </c>
      <c r="T82" s="22" t="s">
        <v>13</v>
      </c>
      <c r="U82" s="17">
        <f>(C77+C82+C85+C87+C89+C92+C93+C94)</f>
        <v>2539</v>
      </c>
      <c r="V82" s="18">
        <f>SUM(U82/U83)</f>
        <v>0.40617501199808032</v>
      </c>
      <c r="W82" s="2">
        <v>3</v>
      </c>
    </row>
    <row r="83" spans="1:23" s="2" customFormat="1" ht="16.5" customHeight="1" thickBot="1">
      <c r="A83" s="37" t="s">
        <v>477</v>
      </c>
      <c r="B83" s="39" t="s">
        <v>678</v>
      </c>
      <c r="C83" s="9">
        <v>419</v>
      </c>
      <c r="D83" s="9">
        <v>467</v>
      </c>
      <c r="E83" s="9">
        <v>486</v>
      </c>
      <c r="F83" s="9">
        <v>491</v>
      </c>
      <c r="G83" s="9">
        <v>492</v>
      </c>
      <c r="H83" s="9">
        <v>498</v>
      </c>
      <c r="I83" s="9">
        <v>500</v>
      </c>
      <c r="J83" s="9">
        <v>509</v>
      </c>
      <c r="K83" s="9">
        <v>527</v>
      </c>
      <c r="L83" s="9">
        <v>545</v>
      </c>
      <c r="M83" s="9">
        <v>577</v>
      </c>
      <c r="N83" s="9">
        <v>625</v>
      </c>
      <c r="O83" s="9">
        <v>634</v>
      </c>
      <c r="P83" s="9">
        <v>635</v>
      </c>
      <c r="Q83" s="9">
        <v>636</v>
      </c>
      <c r="R83" s="8">
        <v>636</v>
      </c>
      <c r="S83" s="8" t="s">
        <v>16</v>
      </c>
      <c r="T83" s="12"/>
      <c r="U83" s="25">
        <v>6251</v>
      </c>
      <c r="V83" s="13"/>
      <c r="W83" s="15"/>
    </row>
    <row r="84" spans="1:23" s="2" customFormat="1" ht="16.5" customHeight="1" thickBot="1">
      <c r="A84" s="40" t="s">
        <v>734</v>
      </c>
      <c r="B84" s="41" t="s">
        <v>6</v>
      </c>
      <c r="C84" s="9">
        <v>310</v>
      </c>
      <c r="D84" s="9">
        <v>323</v>
      </c>
      <c r="E84" s="9">
        <v>324</v>
      </c>
      <c r="F84" s="9">
        <v>324</v>
      </c>
      <c r="G84" s="9">
        <v>324</v>
      </c>
      <c r="H84" s="9">
        <v>338</v>
      </c>
      <c r="I84" s="9">
        <v>340</v>
      </c>
      <c r="J84" s="9">
        <v>360</v>
      </c>
      <c r="K84" s="9">
        <v>376</v>
      </c>
      <c r="L84" s="9">
        <v>381</v>
      </c>
      <c r="M84" s="9">
        <v>393</v>
      </c>
      <c r="N84" s="9" t="s">
        <v>30</v>
      </c>
    </row>
    <row r="85" spans="1:23" s="2" customFormat="1" ht="16.5" customHeight="1" thickBot="1">
      <c r="A85" s="37" t="s">
        <v>743</v>
      </c>
      <c r="B85" s="38" t="s">
        <v>741</v>
      </c>
      <c r="C85" s="9">
        <v>305</v>
      </c>
      <c r="D85" s="9">
        <v>310</v>
      </c>
      <c r="E85" s="9">
        <v>311</v>
      </c>
      <c r="F85" s="9">
        <v>311</v>
      </c>
      <c r="G85" s="9">
        <v>313</v>
      </c>
      <c r="H85" s="9">
        <v>325</v>
      </c>
      <c r="I85" s="9">
        <v>330</v>
      </c>
      <c r="J85" s="9">
        <v>378</v>
      </c>
      <c r="K85" s="9">
        <v>396</v>
      </c>
      <c r="L85" s="9">
        <v>428</v>
      </c>
      <c r="M85" s="9">
        <v>437</v>
      </c>
      <c r="N85" s="9">
        <v>509</v>
      </c>
      <c r="O85" s="9">
        <v>515</v>
      </c>
      <c r="P85" s="9">
        <v>515</v>
      </c>
      <c r="Q85" s="9">
        <v>516</v>
      </c>
      <c r="R85" s="8">
        <v>526</v>
      </c>
      <c r="S85" s="8" t="s">
        <v>209</v>
      </c>
    </row>
    <row r="86" spans="1:23" s="2" customFormat="1" ht="16.5" customHeight="1" thickBot="1">
      <c r="A86" s="40" t="s">
        <v>736</v>
      </c>
      <c r="B86" s="42" t="s">
        <v>678</v>
      </c>
      <c r="C86" s="9">
        <v>282</v>
      </c>
      <c r="D86" s="9">
        <v>295</v>
      </c>
      <c r="E86" s="9">
        <v>297</v>
      </c>
      <c r="F86" s="9">
        <v>301</v>
      </c>
      <c r="G86" s="9">
        <v>308</v>
      </c>
      <c r="H86" s="9">
        <v>317</v>
      </c>
      <c r="I86" s="9">
        <v>351</v>
      </c>
      <c r="J86" s="9">
        <v>417</v>
      </c>
      <c r="K86" s="9">
        <v>441</v>
      </c>
      <c r="L86" s="9">
        <v>460</v>
      </c>
      <c r="M86" s="9">
        <v>483</v>
      </c>
      <c r="N86" s="9">
        <v>513</v>
      </c>
      <c r="O86" s="9">
        <v>517</v>
      </c>
      <c r="P86" s="9">
        <v>518</v>
      </c>
      <c r="Q86" s="9">
        <v>518</v>
      </c>
      <c r="R86" s="9">
        <v>520</v>
      </c>
      <c r="S86" s="8"/>
    </row>
    <row r="87" spans="1:23" s="2" customFormat="1" ht="16.5" customHeight="1" thickBot="1">
      <c r="A87" s="40" t="s">
        <v>742</v>
      </c>
      <c r="B87" s="41" t="s">
        <v>741</v>
      </c>
      <c r="C87" s="9">
        <v>251</v>
      </c>
      <c r="D87" s="9">
        <v>268</v>
      </c>
      <c r="E87" s="9">
        <v>269</v>
      </c>
      <c r="F87" s="9">
        <v>270</v>
      </c>
      <c r="G87" s="9">
        <v>270</v>
      </c>
      <c r="H87" s="9">
        <v>270</v>
      </c>
      <c r="I87" s="9">
        <v>270</v>
      </c>
      <c r="J87" s="9">
        <v>275</v>
      </c>
      <c r="K87" s="9">
        <v>286</v>
      </c>
      <c r="L87" s="9" t="s">
        <v>30</v>
      </c>
    </row>
    <row r="88" spans="1:23" s="2" customFormat="1" ht="16.5" customHeight="1" thickBot="1">
      <c r="A88" s="40" t="s">
        <v>735</v>
      </c>
      <c r="B88" s="41" t="s">
        <v>6</v>
      </c>
      <c r="C88" s="9">
        <v>250</v>
      </c>
      <c r="D88" s="9">
        <v>254</v>
      </c>
      <c r="E88" s="9">
        <v>254</v>
      </c>
      <c r="F88" s="9">
        <v>254</v>
      </c>
      <c r="G88" s="9">
        <v>254</v>
      </c>
      <c r="H88" s="9">
        <v>254</v>
      </c>
      <c r="I88" s="9">
        <v>254</v>
      </c>
      <c r="J88" s="9">
        <v>264</v>
      </c>
      <c r="K88" s="9" t="s">
        <v>30</v>
      </c>
      <c r="L88" s="23"/>
    </row>
    <row r="89" spans="1:23" s="2" customFormat="1" ht="16.5" customHeight="1" thickBot="1">
      <c r="A89" s="40" t="s">
        <v>738</v>
      </c>
      <c r="B89" s="44" t="s">
        <v>28</v>
      </c>
      <c r="C89" s="9">
        <v>240</v>
      </c>
      <c r="D89" s="9">
        <v>279</v>
      </c>
      <c r="E89" s="9">
        <v>281</v>
      </c>
      <c r="F89" s="9">
        <v>289</v>
      </c>
      <c r="G89" s="9">
        <v>293</v>
      </c>
      <c r="H89" s="9">
        <v>296</v>
      </c>
      <c r="I89" s="9">
        <v>296</v>
      </c>
      <c r="J89" s="9">
        <v>296</v>
      </c>
      <c r="K89" s="9">
        <v>301</v>
      </c>
      <c r="L89" s="9">
        <v>313</v>
      </c>
      <c r="M89" s="9" t="s">
        <v>30</v>
      </c>
    </row>
    <row r="90" spans="1:23" s="2" customFormat="1" ht="16.5" customHeight="1" thickBot="1">
      <c r="A90" s="40" t="s">
        <v>731</v>
      </c>
      <c r="B90" s="41" t="s">
        <v>6</v>
      </c>
      <c r="C90" s="9">
        <v>152</v>
      </c>
      <c r="D90" s="9">
        <v>152</v>
      </c>
      <c r="E90" s="9">
        <v>152</v>
      </c>
      <c r="F90" s="9">
        <v>154</v>
      </c>
      <c r="G90" s="9">
        <v>167</v>
      </c>
      <c r="H90" s="9">
        <v>176</v>
      </c>
      <c r="I90" s="9">
        <v>230</v>
      </c>
      <c r="J90" s="9" t="s">
        <v>30</v>
      </c>
    </row>
    <row r="91" spans="1:23" s="2" customFormat="1" ht="16.5" customHeight="1" thickBot="1">
      <c r="A91" s="40" t="s">
        <v>737</v>
      </c>
      <c r="B91" s="42" t="s">
        <v>678</v>
      </c>
      <c r="C91" s="9">
        <v>114</v>
      </c>
      <c r="D91" s="9">
        <v>115</v>
      </c>
      <c r="E91" s="9">
        <v>116</v>
      </c>
      <c r="F91" s="9">
        <v>116</v>
      </c>
      <c r="G91" s="9">
        <v>117</v>
      </c>
      <c r="H91" s="9" t="s">
        <v>30</v>
      </c>
    </row>
    <row r="92" spans="1:23" s="2" customFormat="1" ht="16.5" customHeight="1" thickBot="1">
      <c r="A92" s="40" t="s">
        <v>739</v>
      </c>
      <c r="B92" s="44" t="s">
        <v>28</v>
      </c>
      <c r="C92" s="9">
        <v>112</v>
      </c>
      <c r="D92" s="9">
        <v>112</v>
      </c>
      <c r="E92" s="9">
        <v>112</v>
      </c>
      <c r="F92" s="9">
        <v>112</v>
      </c>
      <c r="G92" s="9">
        <v>120</v>
      </c>
      <c r="H92" s="9">
        <v>128</v>
      </c>
      <c r="I92" s="9" t="s">
        <v>30</v>
      </c>
      <c r="L92" s="23"/>
    </row>
    <row r="93" spans="1:23" s="2" customFormat="1" ht="16.5" customHeight="1" thickBot="1">
      <c r="A93" s="40" t="s">
        <v>730</v>
      </c>
      <c r="B93" s="44" t="s">
        <v>28</v>
      </c>
      <c r="C93" s="9">
        <v>51</v>
      </c>
      <c r="D93" s="9">
        <v>51</v>
      </c>
      <c r="E93" s="9">
        <v>51</v>
      </c>
      <c r="F93" s="9">
        <v>52</v>
      </c>
      <c r="G93" s="9" t="s">
        <v>30</v>
      </c>
    </row>
    <row r="94" spans="1:23" s="2" customFormat="1" ht="16.5" customHeight="1" thickBot="1">
      <c r="A94" s="40" t="s">
        <v>740</v>
      </c>
      <c r="B94" s="44" t="s">
        <v>28</v>
      </c>
      <c r="C94" s="9">
        <v>39</v>
      </c>
      <c r="D94" s="9">
        <v>47</v>
      </c>
      <c r="E94" s="9">
        <v>47</v>
      </c>
      <c r="F94" s="9" t="s">
        <v>30</v>
      </c>
      <c r="L94" s="23"/>
    </row>
    <row r="95" spans="1:23">
      <c r="C95" s="63"/>
      <c r="D95" s="63"/>
      <c r="E95" s="63"/>
    </row>
    <row r="96" spans="1:23" s="99" customFormat="1" ht="15" customHeight="1">
      <c r="B96" s="64" t="s">
        <v>18</v>
      </c>
      <c r="C96" s="66" t="s">
        <v>6</v>
      </c>
      <c r="D96" s="67" t="s">
        <v>678</v>
      </c>
      <c r="E96" s="68" t="s">
        <v>17</v>
      </c>
      <c r="F96" s="70" t="s">
        <v>679</v>
      </c>
      <c r="G96" s="64" t="s">
        <v>13</v>
      </c>
      <c r="K96" s="101"/>
      <c r="L96" s="64"/>
      <c r="V96" s="98"/>
      <c r="W96" s="103"/>
    </row>
    <row r="97" spans="1:23" s="99" customFormat="1" ht="15" customHeight="1">
      <c r="A97" s="99" t="s">
        <v>8</v>
      </c>
      <c r="B97" s="110">
        <f>SUM(P9+T26+F69+Q50+U83)</f>
        <v>26805</v>
      </c>
      <c r="C97" s="108">
        <f>SUM(U78+Q46+F66+T23+P5)</f>
        <v>6821</v>
      </c>
      <c r="D97" s="108">
        <f>(U79+F67+Q47+T24+P6)</f>
        <v>7891</v>
      </c>
      <c r="E97" s="108">
        <f>(U80+P7)</f>
        <v>903</v>
      </c>
      <c r="F97" s="108">
        <f>(U81+Q48)</f>
        <v>2622</v>
      </c>
      <c r="G97" s="108">
        <f>SUM(U82+Q49+T25+F68+P8)</f>
        <v>8568</v>
      </c>
      <c r="K97" s="98"/>
      <c r="L97" s="105"/>
      <c r="U97" s="107"/>
      <c r="V97" s="77"/>
      <c r="W97" s="103"/>
    </row>
    <row r="98" spans="1:23" s="99" customFormat="1" ht="15" customHeight="1">
      <c r="A98" s="99" t="s">
        <v>9</v>
      </c>
      <c r="B98" s="102">
        <v>1</v>
      </c>
      <c r="C98" s="103">
        <f>SUM(C97/$B$97)</f>
        <v>0.25446745010259281</v>
      </c>
      <c r="D98" s="103">
        <f>SUM(D97/$B$97)</f>
        <v>0.29438537586271218</v>
      </c>
      <c r="E98" s="103">
        <f>SUM(E97/$B$97)</f>
        <v>3.3687744823726919E-2</v>
      </c>
      <c r="F98" s="103">
        <f>SUM(F97/$B$97)</f>
        <v>9.7817571348628993E-2</v>
      </c>
      <c r="G98" s="103">
        <f>SUM(G97/$B$97)</f>
        <v>0.31964185786233912</v>
      </c>
      <c r="K98" s="103"/>
      <c r="L98" s="64"/>
      <c r="U98" s="64"/>
    </row>
    <row r="99" spans="1:23" s="99" customFormat="1" ht="15" customHeight="1">
      <c r="A99" s="99" t="s">
        <v>10</v>
      </c>
      <c r="B99" s="110">
        <v>40</v>
      </c>
      <c r="C99" s="108">
        <v>13</v>
      </c>
      <c r="D99" s="108">
        <v>12</v>
      </c>
      <c r="E99" s="108">
        <v>1</v>
      </c>
      <c r="F99" s="108">
        <v>3</v>
      </c>
      <c r="G99" s="108">
        <v>11</v>
      </c>
      <c r="L99" s="106"/>
    </row>
    <row r="100" spans="1:23" s="2" customFormat="1" ht="16.5" customHeight="1">
      <c r="A100" s="1"/>
    </row>
    <row r="101" spans="1:23" ht="14.25">
      <c r="O101" s="2"/>
      <c r="P101" s="2"/>
      <c r="Q101" s="2"/>
      <c r="R101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W114"/>
  <sheetViews>
    <sheetView zoomScaleNormal="100" workbookViewId="0">
      <selection activeCell="Q1" sqref="Q1"/>
    </sheetView>
  </sheetViews>
  <sheetFormatPr defaultRowHeight="12.75"/>
  <cols>
    <col min="1" max="1" width="25.28515625" customWidth="1"/>
    <col min="2" max="3" width="8.5703125" customWidth="1"/>
    <col min="4" max="21" width="8.7109375" customWidth="1"/>
  </cols>
  <sheetData>
    <row r="1" spans="1:19" s="2" customFormat="1" ht="16.5" customHeight="1">
      <c r="A1" s="31" t="s">
        <v>780</v>
      </c>
      <c r="B1" s="23"/>
      <c r="C1" s="23"/>
      <c r="D1" s="23"/>
      <c r="E1" s="23"/>
      <c r="F1" s="23"/>
      <c r="G1" s="23"/>
      <c r="H1" s="23"/>
      <c r="I1" s="23"/>
      <c r="J1" s="23"/>
    </row>
    <row r="2" spans="1:19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9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36">
        <v>9</v>
      </c>
      <c r="L3" s="36">
        <v>10</v>
      </c>
      <c r="M3" s="36">
        <v>11</v>
      </c>
      <c r="N3" s="36">
        <v>12</v>
      </c>
      <c r="O3" s="5"/>
      <c r="P3" s="12" t="s">
        <v>5</v>
      </c>
      <c r="Q3" s="13">
        <f>(7103/8566)</f>
        <v>0.82920849871585334</v>
      </c>
    </row>
    <row r="4" spans="1:19" s="2" customFormat="1" ht="16.5" customHeight="1" thickBot="1">
      <c r="A4" s="37" t="s">
        <v>608</v>
      </c>
      <c r="B4" s="38" t="s">
        <v>6</v>
      </c>
      <c r="C4" s="8">
        <v>1603</v>
      </c>
      <c r="D4" s="9"/>
      <c r="E4" s="9"/>
      <c r="F4" s="9"/>
      <c r="G4" s="10"/>
      <c r="H4" s="9"/>
      <c r="I4" s="9"/>
      <c r="J4" s="9"/>
      <c r="K4" s="9"/>
      <c r="L4" s="9"/>
      <c r="M4" s="9"/>
      <c r="N4" s="9"/>
      <c r="O4" s="11" t="s">
        <v>4</v>
      </c>
      <c r="P4" s="15"/>
      <c r="Q4" s="12" t="s">
        <v>8</v>
      </c>
      <c r="R4" s="12" t="s">
        <v>9</v>
      </c>
      <c r="S4" s="12" t="s">
        <v>10</v>
      </c>
    </row>
    <row r="5" spans="1:19" s="2" customFormat="1" ht="16.5" customHeight="1" thickBot="1">
      <c r="A5" s="37" t="s">
        <v>153</v>
      </c>
      <c r="B5" s="38" t="s">
        <v>6</v>
      </c>
      <c r="C5" s="9">
        <v>829</v>
      </c>
      <c r="D5" s="8">
        <v>1079</v>
      </c>
      <c r="E5" s="9"/>
      <c r="F5" s="9"/>
      <c r="G5" s="9"/>
      <c r="H5" s="9"/>
      <c r="I5" s="9"/>
      <c r="J5" s="9"/>
      <c r="K5" s="9"/>
      <c r="L5" s="9"/>
      <c r="M5" s="9"/>
      <c r="N5" s="9"/>
      <c r="O5" s="11" t="s">
        <v>7</v>
      </c>
      <c r="P5" s="16" t="s">
        <v>6</v>
      </c>
      <c r="Q5" s="17">
        <f>(C4+C5+C6+C11+C12)</f>
        <v>3910</v>
      </c>
      <c r="R5" s="18">
        <f>SUM(Q5/Q9)</f>
        <v>0.56576472290551294</v>
      </c>
      <c r="S5" s="15">
        <v>4</v>
      </c>
    </row>
    <row r="6" spans="1:19" s="2" customFormat="1" ht="16.5" customHeight="1" thickBot="1">
      <c r="A6" s="37" t="s">
        <v>683</v>
      </c>
      <c r="B6" s="38" t="s">
        <v>6</v>
      </c>
      <c r="C6" s="9">
        <v>825</v>
      </c>
      <c r="D6" s="8">
        <v>969</v>
      </c>
      <c r="E6" s="9"/>
      <c r="F6" s="9"/>
      <c r="G6" s="9"/>
      <c r="H6" s="9"/>
      <c r="I6" s="9"/>
      <c r="J6" s="9"/>
      <c r="K6" s="9"/>
      <c r="L6" s="9"/>
      <c r="M6" s="9"/>
      <c r="N6" s="9"/>
      <c r="O6" s="11" t="s">
        <v>11</v>
      </c>
      <c r="P6" s="19" t="s">
        <v>3</v>
      </c>
      <c r="Q6" s="17">
        <f>(C7+C8+C9+C10+C13+C14+C17)</f>
        <v>2554</v>
      </c>
      <c r="R6" s="18">
        <f>SUM(Q6/Q9)</f>
        <v>0.36955578063956013</v>
      </c>
      <c r="S6" s="15">
        <v>3</v>
      </c>
    </row>
    <row r="7" spans="1:19" s="2" customFormat="1" ht="16.5" customHeight="1" thickBot="1">
      <c r="A7" s="37" t="s">
        <v>684</v>
      </c>
      <c r="B7" s="39" t="s">
        <v>3</v>
      </c>
      <c r="C7" s="9">
        <v>577</v>
      </c>
      <c r="D7" s="9">
        <v>596</v>
      </c>
      <c r="E7" s="9">
        <v>604</v>
      </c>
      <c r="F7" s="9">
        <v>608</v>
      </c>
      <c r="G7" s="9">
        <v>612</v>
      </c>
      <c r="H7" s="9">
        <v>612</v>
      </c>
      <c r="I7" s="9">
        <v>660</v>
      </c>
      <c r="J7" s="9">
        <v>699</v>
      </c>
      <c r="K7" s="9">
        <v>723</v>
      </c>
      <c r="L7" s="9">
        <v>735</v>
      </c>
      <c r="M7" s="8">
        <v>1057</v>
      </c>
      <c r="N7" s="9"/>
      <c r="O7" s="11" t="s">
        <v>12</v>
      </c>
      <c r="P7" s="29" t="s">
        <v>17</v>
      </c>
      <c r="Q7" s="17">
        <v>182</v>
      </c>
      <c r="R7" s="18">
        <f>SUM(Q7/Q9)</f>
        <v>2.6334828534220808E-2</v>
      </c>
    </row>
    <row r="8" spans="1:19" s="2" customFormat="1" ht="16.5" customHeight="1" thickBot="1">
      <c r="A8" s="40" t="s">
        <v>782</v>
      </c>
      <c r="B8" s="42" t="s">
        <v>3</v>
      </c>
      <c r="C8" s="9">
        <v>477</v>
      </c>
      <c r="D8" s="9">
        <v>480</v>
      </c>
      <c r="E8" s="9">
        <v>481</v>
      </c>
      <c r="F8" s="9">
        <v>482</v>
      </c>
      <c r="G8" s="9">
        <v>484</v>
      </c>
      <c r="H8" s="9">
        <v>506</v>
      </c>
      <c r="I8" s="9">
        <v>511</v>
      </c>
      <c r="J8" s="9">
        <v>532</v>
      </c>
      <c r="K8" s="9">
        <v>541</v>
      </c>
      <c r="L8" s="9">
        <v>626</v>
      </c>
      <c r="M8" s="9" t="s">
        <v>30</v>
      </c>
      <c r="P8" s="22" t="s">
        <v>13</v>
      </c>
      <c r="Q8" s="23">
        <f>(C15+C18)</f>
        <v>265</v>
      </c>
      <c r="R8" s="13">
        <f>SUM(Q8/Q9)</f>
        <v>3.8344667920706121E-2</v>
      </c>
      <c r="S8" s="15"/>
    </row>
    <row r="9" spans="1:19" s="2" customFormat="1" ht="16.5" customHeight="1" thickBot="1">
      <c r="A9" s="37" t="s">
        <v>615</v>
      </c>
      <c r="B9" s="39" t="s">
        <v>3</v>
      </c>
      <c r="C9" s="9">
        <v>472</v>
      </c>
      <c r="D9" s="9">
        <v>486</v>
      </c>
      <c r="E9" s="9">
        <v>493</v>
      </c>
      <c r="F9" s="9">
        <v>495</v>
      </c>
      <c r="G9" s="9">
        <v>495</v>
      </c>
      <c r="H9" s="9">
        <v>500</v>
      </c>
      <c r="I9" s="9">
        <v>524</v>
      </c>
      <c r="J9" s="9">
        <v>541</v>
      </c>
      <c r="K9" s="9">
        <v>624</v>
      </c>
      <c r="L9" s="9">
        <v>640</v>
      </c>
      <c r="M9" s="9">
        <v>739</v>
      </c>
      <c r="N9" s="8">
        <v>818</v>
      </c>
      <c r="O9" s="11" t="s">
        <v>14</v>
      </c>
      <c r="Q9" s="25">
        <v>6911</v>
      </c>
    </row>
    <row r="10" spans="1:19" s="2" customFormat="1" ht="16.5" customHeight="1" thickBot="1">
      <c r="A10" s="37" t="s">
        <v>659</v>
      </c>
      <c r="B10" s="39" t="s">
        <v>3</v>
      </c>
      <c r="C10" s="9">
        <v>439</v>
      </c>
      <c r="D10" s="9">
        <v>446</v>
      </c>
      <c r="E10" s="9">
        <v>446</v>
      </c>
      <c r="F10" s="9">
        <v>447</v>
      </c>
      <c r="G10" s="9">
        <v>452</v>
      </c>
      <c r="H10" s="9">
        <v>460</v>
      </c>
      <c r="I10" s="9">
        <v>463</v>
      </c>
      <c r="J10" s="9">
        <v>497</v>
      </c>
      <c r="K10" s="9">
        <v>605</v>
      </c>
      <c r="L10" s="9">
        <v>659</v>
      </c>
      <c r="M10" s="9">
        <v>836</v>
      </c>
      <c r="N10" s="8">
        <v>926</v>
      </c>
      <c r="O10" s="11" t="s">
        <v>15</v>
      </c>
      <c r="Q10" s="23"/>
    </row>
    <row r="11" spans="1:19" s="2" customFormat="1" ht="16.5" customHeight="1" thickBot="1">
      <c r="A11" s="37" t="s">
        <v>609</v>
      </c>
      <c r="B11" s="38" t="s">
        <v>6</v>
      </c>
      <c r="C11" s="9">
        <v>417</v>
      </c>
      <c r="D11" s="9">
        <v>494</v>
      </c>
      <c r="E11" s="9">
        <v>596</v>
      </c>
      <c r="F11" s="9">
        <v>666</v>
      </c>
      <c r="G11" s="9">
        <v>724</v>
      </c>
      <c r="H11" s="9">
        <v>731</v>
      </c>
      <c r="I11" s="9">
        <v>738</v>
      </c>
      <c r="J11" s="9">
        <v>753</v>
      </c>
      <c r="K11" s="9">
        <v>758</v>
      </c>
      <c r="L11" s="9">
        <v>775</v>
      </c>
      <c r="M11" s="9">
        <v>794</v>
      </c>
      <c r="N11" s="8">
        <v>800</v>
      </c>
      <c r="O11" s="8" t="s">
        <v>16</v>
      </c>
    </row>
    <row r="12" spans="1:19" s="2" customFormat="1" ht="16.5" customHeight="1" thickBot="1">
      <c r="A12" s="40" t="s">
        <v>796</v>
      </c>
      <c r="B12" s="41" t="s">
        <v>6</v>
      </c>
      <c r="C12" s="9">
        <v>236</v>
      </c>
      <c r="D12" s="9">
        <v>406</v>
      </c>
      <c r="E12" s="9">
        <v>486</v>
      </c>
      <c r="F12" s="9">
        <v>498</v>
      </c>
      <c r="G12" s="9">
        <v>501</v>
      </c>
      <c r="H12" s="9">
        <v>510</v>
      </c>
      <c r="I12" s="9">
        <v>611</v>
      </c>
      <c r="J12" s="9">
        <v>631</v>
      </c>
      <c r="K12" s="9">
        <v>637</v>
      </c>
      <c r="L12" s="9">
        <v>670</v>
      </c>
      <c r="M12" s="9">
        <v>685</v>
      </c>
      <c r="N12" s="9">
        <v>689</v>
      </c>
      <c r="O12" s="11"/>
      <c r="P12" s="15"/>
    </row>
    <row r="13" spans="1:19" s="2" customFormat="1" ht="16.5" customHeight="1" thickBot="1">
      <c r="A13" s="40" t="s">
        <v>795</v>
      </c>
      <c r="B13" s="42" t="s">
        <v>3</v>
      </c>
      <c r="C13" s="9">
        <v>222</v>
      </c>
      <c r="D13" s="9">
        <v>225</v>
      </c>
      <c r="E13" s="9">
        <v>228</v>
      </c>
      <c r="F13" s="9">
        <v>228</v>
      </c>
      <c r="G13" s="9">
        <v>228</v>
      </c>
      <c r="H13" s="9">
        <v>267</v>
      </c>
      <c r="I13" s="9">
        <v>289</v>
      </c>
      <c r="J13" s="9">
        <v>340</v>
      </c>
      <c r="K13" s="9">
        <v>349</v>
      </c>
      <c r="L13" s="9" t="s">
        <v>30</v>
      </c>
    </row>
    <row r="14" spans="1:19" s="2" customFormat="1" ht="16.5" customHeight="1" thickBot="1">
      <c r="A14" s="40" t="s">
        <v>784</v>
      </c>
      <c r="B14" s="42" t="s">
        <v>3</v>
      </c>
      <c r="C14" s="9">
        <v>212</v>
      </c>
      <c r="D14" s="9">
        <v>234</v>
      </c>
      <c r="E14" s="9">
        <v>234</v>
      </c>
      <c r="F14" s="9">
        <v>235</v>
      </c>
      <c r="G14" s="9">
        <v>248</v>
      </c>
      <c r="H14" s="9">
        <v>249</v>
      </c>
      <c r="I14" s="9">
        <v>249</v>
      </c>
      <c r="J14" s="9">
        <v>266</v>
      </c>
      <c r="K14" s="9" t="s">
        <v>30</v>
      </c>
      <c r="N14" s="12"/>
    </row>
    <row r="15" spans="1:19" s="2" customFormat="1" ht="16.5" customHeight="1" thickBot="1">
      <c r="A15" s="40" t="s">
        <v>797</v>
      </c>
      <c r="B15" s="44" t="s">
        <v>28</v>
      </c>
      <c r="C15" s="9">
        <v>192</v>
      </c>
      <c r="D15" s="9">
        <v>203</v>
      </c>
      <c r="E15" s="9">
        <v>205</v>
      </c>
      <c r="F15" s="9">
        <v>207</v>
      </c>
      <c r="G15" s="9">
        <v>209</v>
      </c>
      <c r="H15" s="9">
        <v>234</v>
      </c>
      <c r="I15" s="9">
        <v>244</v>
      </c>
      <c r="J15" s="9" t="s">
        <v>30</v>
      </c>
      <c r="O15" s="18"/>
      <c r="P15" s="15"/>
    </row>
    <row r="16" spans="1:19" s="2" customFormat="1" ht="16.5" customHeight="1" thickBot="1">
      <c r="A16" s="40" t="s">
        <v>783</v>
      </c>
      <c r="B16" s="50" t="s">
        <v>17</v>
      </c>
      <c r="C16" s="9">
        <v>182</v>
      </c>
      <c r="D16" s="9">
        <v>188</v>
      </c>
      <c r="E16" s="9">
        <v>190</v>
      </c>
      <c r="F16" s="9">
        <v>194</v>
      </c>
      <c r="G16" s="9">
        <v>195</v>
      </c>
      <c r="H16" s="9">
        <v>204</v>
      </c>
      <c r="I16" s="9" t="s">
        <v>30</v>
      </c>
    </row>
    <row r="17" spans="1:20" s="2" customFormat="1" ht="16.5" customHeight="1" thickBot="1">
      <c r="A17" s="40" t="s">
        <v>785</v>
      </c>
      <c r="B17" s="42" t="s">
        <v>3</v>
      </c>
      <c r="C17" s="9">
        <v>155</v>
      </c>
      <c r="D17" s="9">
        <v>157</v>
      </c>
      <c r="E17" s="9">
        <v>160</v>
      </c>
      <c r="F17" s="9">
        <v>161</v>
      </c>
      <c r="G17" s="9">
        <v>164</v>
      </c>
      <c r="H17" s="9" t="s">
        <v>30</v>
      </c>
    </row>
    <row r="18" spans="1:20" s="2" customFormat="1" ht="16.5" customHeight="1" thickBot="1">
      <c r="A18" s="40" t="s">
        <v>781</v>
      </c>
      <c r="B18" s="44" t="s">
        <v>28</v>
      </c>
      <c r="C18" s="9">
        <v>73</v>
      </c>
      <c r="D18" s="9">
        <v>84</v>
      </c>
      <c r="E18" s="9">
        <v>91</v>
      </c>
      <c r="F18" s="9">
        <v>91</v>
      </c>
      <c r="G18" s="9" t="s">
        <v>30</v>
      </c>
    </row>
    <row r="19" spans="1:20" s="2" customFormat="1" ht="10.5" customHeight="1">
      <c r="A19" s="31"/>
      <c r="B19" s="23"/>
      <c r="C19" s="23"/>
      <c r="D19" s="23"/>
      <c r="E19" s="23"/>
      <c r="F19" s="23"/>
      <c r="G19" s="23"/>
      <c r="H19" s="23"/>
      <c r="I19" s="23"/>
      <c r="J19" s="23"/>
    </row>
    <row r="20" spans="1:20" s="2" customFormat="1" ht="17.45" customHeight="1">
      <c r="A20" s="31" t="s">
        <v>749</v>
      </c>
      <c r="B20" s="23"/>
      <c r="C20" s="23"/>
      <c r="D20" s="23"/>
      <c r="E20" s="23"/>
      <c r="F20" s="23"/>
      <c r="G20" s="23"/>
      <c r="H20" s="23"/>
      <c r="I20" s="23"/>
      <c r="J20" s="23"/>
    </row>
    <row r="21" spans="1:20" s="2" customFormat="1" ht="10.5" customHeight="1" thickBot="1">
      <c r="A21" s="31"/>
      <c r="B21" s="23"/>
      <c r="C21" s="23"/>
      <c r="D21" s="23"/>
      <c r="E21" s="23"/>
      <c r="F21" s="23"/>
      <c r="G21" s="23"/>
      <c r="H21" s="23"/>
      <c r="I21" s="23"/>
      <c r="J21" s="23"/>
    </row>
    <row r="22" spans="1:20" s="2" customFormat="1" ht="16.5" customHeight="1" thickBot="1">
      <c r="A22" s="35" t="s">
        <v>0</v>
      </c>
      <c r="B22" s="36" t="s">
        <v>1</v>
      </c>
      <c r="C22" s="36" t="s">
        <v>2</v>
      </c>
      <c r="D22" s="36">
        <v>2</v>
      </c>
      <c r="E22" s="36">
        <v>3</v>
      </c>
      <c r="F22" s="36">
        <v>4</v>
      </c>
      <c r="G22" s="36">
        <v>5</v>
      </c>
      <c r="H22" s="36">
        <v>6</v>
      </c>
      <c r="I22" s="36">
        <v>7</v>
      </c>
      <c r="J22" s="36">
        <v>8</v>
      </c>
      <c r="K22" s="36">
        <v>9</v>
      </c>
      <c r="L22" s="36">
        <v>10</v>
      </c>
      <c r="M22" s="36">
        <v>11</v>
      </c>
      <c r="N22" s="36">
        <v>12</v>
      </c>
      <c r="O22" s="36">
        <v>13</v>
      </c>
      <c r="P22" s="45"/>
      <c r="Q22" s="12" t="s">
        <v>5</v>
      </c>
      <c r="R22" s="13">
        <f>(11420/15437)</f>
        <v>0.73978104553993651</v>
      </c>
    </row>
    <row r="23" spans="1:20" s="2" customFormat="1" ht="16.5" customHeight="1" thickBot="1">
      <c r="A23" s="37" t="s">
        <v>705</v>
      </c>
      <c r="B23" s="52" t="s">
        <v>642</v>
      </c>
      <c r="C23" s="9">
        <v>1006</v>
      </c>
      <c r="D23" s="9">
        <v>1040</v>
      </c>
      <c r="E23" s="8">
        <v>1146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8" t="s">
        <v>4</v>
      </c>
      <c r="Q23" s="15"/>
      <c r="R23" s="12" t="s">
        <v>8</v>
      </c>
      <c r="S23" s="12" t="s">
        <v>9</v>
      </c>
      <c r="T23" s="12" t="s">
        <v>10</v>
      </c>
    </row>
    <row r="24" spans="1:20" s="2" customFormat="1" ht="16.5" customHeight="1" thickBot="1">
      <c r="A24" s="37" t="s">
        <v>753</v>
      </c>
      <c r="B24" s="38" t="s">
        <v>6</v>
      </c>
      <c r="C24" s="9">
        <v>993</v>
      </c>
      <c r="D24" s="9">
        <v>993</v>
      </c>
      <c r="E24" s="9">
        <v>1004</v>
      </c>
      <c r="F24" s="9">
        <v>1020</v>
      </c>
      <c r="G24" s="9">
        <v>1061</v>
      </c>
      <c r="H24" s="9">
        <v>1062</v>
      </c>
      <c r="I24" s="9">
        <v>1069</v>
      </c>
      <c r="J24" s="9">
        <v>1078</v>
      </c>
      <c r="K24" s="9">
        <v>1128</v>
      </c>
      <c r="L24" s="8">
        <v>1137</v>
      </c>
      <c r="M24" s="9"/>
      <c r="N24" s="9"/>
      <c r="O24" s="9"/>
      <c r="P24" s="8" t="s">
        <v>15</v>
      </c>
      <c r="Q24" s="16" t="s">
        <v>6</v>
      </c>
      <c r="R24" s="17">
        <f>(C24+C26+C27+C28+C35+C36)</f>
        <v>4449</v>
      </c>
      <c r="S24" s="18">
        <f>SUM(R24/R28)</f>
        <v>0.39406554472984945</v>
      </c>
      <c r="T24" s="15">
        <v>4</v>
      </c>
    </row>
    <row r="25" spans="1:20" s="2" customFormat="1" ht="16.5" customHeight="1" thickBot="1">
      <c r="A25" s="37" t="s">
        <v>619</v>
      </c>
      <c r="B25" s="39" t="s">
        <v>3</v>
      </c>
      <c r="C25" s="9">
        <v>907</v>
      </c>
      <c r="D25" s="9">
        <v>930</v>
      </c>
      <c r="E25" s="9">
        <v>933</v>
      </c>
      <c r="F25" s="9">
        <v>937</v>
      </c>
      <c r="G25" s="9">
        <v>947</v>
      </c>
      <c r="H25" s="9">
        <v>948</v>
      </c>
      <c r="I25" s="9">
        <v>948</v>
      </c>
      <c r="J25" s="9">
        <v>968</v>
      </c>
      <c r="K25" s="9">
        <v>972</v>
      </c>
      <c r="L25" s="8">
        <v>1365</v>
      </c>
      <c r="M25" s="9"/>
      <c r="N25" s="9"/>
      <c r="O25" s="9"/>
      <c r="P25" s="8" t="s">
        <v>12</v>
      </c>
      <c r="Q25" s="19" t="s">
        <v>3</v>
      </c>
      <c r="R25" s="17">
        <f>(C25+C29+C30+C31+C32+C33+C34+C37+C39)</f>
        <v>5466</v>
      </c>
      <c r="S25" s="18">
        <f>SUM(R25/R28)</f>
        <v>0.48414526129317981</v>
      </c>
      <c r="T25" s="15">
        <v>4</v>
      </c>
    </row>
    <row r="26" spans="1:20" s="2" customFormat="1" ht="16.5" customHeight="1" thickBot="1">
      <c r="A26" s="37" t="s">
        <v>625</v>
      </c>
      <c r="B26" s="38" t="s">
        <v>6</v>
      </c>
      <c r="C26" s="9">
        <v>887</v>
      </c>
      <c r="D26" s="9">
        <v>913</v>
      </c>
      <c r="E26" s="9">
        <v>985</v>
      </c>
      <c r="F26" s="9">
        <v>1060</v>
      </c>
      <c r="G26" s="9">
        <v>1061</v>
      </c>
      <c r="H26" s="9">
        <v>1062</v>
      </c>
      <c r="I26" s="9">
        <v>1073</v>
      </c>
      <c r="J26" s="9">
        <v>1086</v>
      </c>
      <c r="K26" s="8">
        <v>1237</v>
      </c>
      <c r="L26" s="9"/>
      <c r="M26" s="9"/>
      <c r="N26" s="9"/>
      <c r="O26" s="9"/>
      <c r="P26" s="8" t="s">
        <v>11</v>
      </c>
      <c r="Q26" s="29" t="s">
        <v>17</v>
      </c>
      <c r="R26" s="17">
        <v>369</v>
      </c>
      <c r="S26" s="18">
        <f>SUM(R26/R28)</f>
        <v>3.2683790965456157E-2</v>
      </c>
    </row>
    <row r="27" spans="1:20" s="2" customFormat="1" ht="16.5" customHeight="1" thickBot="1">
      <c r="A27" s="37" t="s">
        <v>752</v>
      </c>
      <c r="B27" s="38" t="s">
        <v>6</v>
      </c>
      <c r="C27" s="9">
        <v>831</v>
      </c>
      <c r="D27" s="9">
        <v>832</v>
      </c>
      <c r="E27" s="9">
        <v>834</v>
      </c>
      <c r="F27" s="9">
        <v>834</v>
      </c>
      <c r="G27" s="8">
        <v>1172</v>
      </c>
      <c r="H27" s="9"/>
      <c r="I27" s="9"/>
      <c r="J27" s="9"/>
      <c r="K27" s="9"/>
      <c r="L27" s="9"/>
      <c r="M27" s="9"/>
      <c r="N27" s="9"/>
      <c r="O27" s="9"/>
      <c r="P27" s="8" t="s">
        <v>7</v>
      </c>
      <c r="Q27" s="22" t="s">
        <v>13</v>
      </c>
      <c r="R27" s="17">
        <v>1006</v>
      </c>
      <c r="S27" s="18">
        <f>SUM(R27/R28)</f>
        <v>8.9105403011514608E-2</v>
      </c>
      <c r="T27" s="2">
        <v>1</v>
      </c>
    </row>
    <row r="28" spans="1:20" s="2" customFormat="1" ht="16.5" customHeight="1" thickBot="1">
      <c r="A28" s="37" t="s">
        <v>700</v>
      </c>
      <c r="B28" s="38" t="s">
        <v>6</v>
      </c>
      <c r="C28" s="9">
        <v>751</v>
      </c>
      <c r="D28" s="9">
        <v>752</v>
      </c>
      <c r="E28" s="9">
        <v>757</v>
      </c>
      <c r="F28" s="9">
        <v>762</v>
      </c>
      <c r="G28" s="9">
        <v>777</v>
      </c>
      <c r="H28" s="9">
        <v>777</v>
      </c>
      <c r="I28" s="9">
        <v>782</v>
      </c>
      <c r="J28" s="9">
        <v>785</v>
      </c>
      <c r="K28" s="9">
        <v>1003</v>
      </c>
      <c r="L28" s="9">
        <v>1004</v>
      </c>
      <c r="M28" s="9">
        <v>1026</v>
      </c>
      <c r="N28" s="9">
        <v>1027</v>
      </c>
      <c r="O28" s="8">
        <v>1028</v>
      </c>
      <c r="P28" s="8" t="s">
        <v>209</v>
      </c>
      <c r="Q28" s="12"/>
      <c r="R28" s="25">
        <v>11290</v>
      </c>
      <c r="S28" s="13"/>
      <c r="T28" s="15"/>
    </row>
    <row r="29" spans="1:20" s="2" customFormat="1" ht="16.5" customHeight="1" thickBot="1">
      <c r="A29" s="37" t="s">
        <v>751</v>
      </c>
      <c r="B29" s="39" t="s">
        <v>3</v>
      </c>
      <c r="C29" s="9">
        <v>749</v>
      </c>
      <c r="D29" s="9">
        <v>750</v>
      </c>
      <c r="E29" s="9">
        <v>754</v>
      </c>
      <c r="F29" s="9">
        <v>756</v>
      </c>
      <c r="G29" s="9">
        <v>758</v>
      </c>
      <c r="H29" s="9">
        <v>758</v>
      </c>
      <c r="I29" s="9">
        <v>758</v>
      </c>
      <c r="J29" s="9">
        <v>862</v>
      </c>
      <c r="K29" s="9">
        <v>893</v>
      </c>
      <c r="L29" s="9">
        <v>1083</v>
      </c>
      <c r="M29" s="9">
        <v>1086</v>
      </c>
      <c r="N29" s="8">
        <v>1274</v>
      </c>
      <c r="O29" s="9"/>
      <c r="P29" s="8" t="s">
        <v>14</v>
      </c>
    </row>
    <row r="30" spans="1:20" s="2" customFormat="1" ht="16.5" customHeight="1" thickBot="1">
      <c r="A30" s="37" t="s">
        <v>764</v>
      </c>
      <c r="B30" s="39" t="s">
        <v>3</v>
      </c>
      <c r="C30" s="9">
        <v>682</v>
      </c>
      <c r="D30" s="9">
        <v>689</v>
      </c>
      <c r="E30" s="9">
        <v>693</v>
      </c>
      <c r="F30" s="9">
        <v>698</v>
      </c>
      <c r="G30" s="9">
        <v>698</v>
      </c>
      <c r="H30" s="9">
        <v>698</v>
      </c>
      <c r="I30" s="9">
        <v>698</v>
      </c>
      <c r="J30" s="9">
        <v>847</v>
      </c>
      <c r="K30" s="9">
        <v>889</v>
      </c>
      <c r="L30" s="9">
        <v>904</v>
      </c>
      <c r="M30" s="9">
        <v>909</v>
      </c>
      <c r="N30" s="9">
        <v>924</v>
      </c>
      <c r="O30" s="8">
        <v>1006</v>
      </c>
      <c r="P30" s="8" t="s">
        <v>210</v>
      </c>
    </row>
    <row r="31" spans="1:20" s="2" customFormat="1" ht="16.5" customHeight="1" thickBot="1">
      <c r="A31" s="40" t="s">
        <v>410</v>
      </c>
      <c r="B31" s="42" t="s">
        <v>3</v>
      </c>
      <c r="C31" s="9">
        <v>653</v>
      </c>
      <c r="D31" s="9">
        <v>645</v>
      </c>
      <c r="E31" s="9">
        <v>658</v>
      </c>
      <c r="F31" s="9">
        <v>700</v>
      </c>
      <c r="G31" s="9">
        <v>737</v>
      </c>
      <c r="H31" s="9">
        <v>737</v>
      </c>
      <c r="I31" s="9">
        <v>758</v>
      </c>
      <c r="J31" s="9">
        <v>765</v>
      </c>
      <c r="K31" s="9">
        <v>854</v>
      </c>
      <c r="L31" s="9">
        <v>860</v>
      </c>
      <c r="M31" s="9">
        <v>930</v>
      </c>
      <c r="N31" s="9">
        <v>933</v>
      </c>
      <c r="O31" s="9">
        <v>935</v>
      </c>
      <c r="P31" s="8"/>
    </row>
    <row r="32" spans="1:20" s="2" customFormat="1" ht="16.5" customHeight="1" thickBot="1">
      <c r="A32" s="40" t="s">
        <v>695</v>
      </c>
      <c r="B32" s="42" t="s">
        <v>3</v>
      </c>
      <c r="C32" s="9">
        <v>643</v>
      </c>
      <c r="D32" s="9">
        <v>646</v>
      </c>
      <c r="E32" s="9">
        <v>648</v>
      </c>
      <c r="F32" s="9">
        <v>650</v>
      </c>
      <c r="G32" s="9">
        <v>692</v>
      </c>
      <c r="H32" s="9">
        <v>692</v>
      </c>
      <c r="I32" s="9">
        <v>693</v>
      </c>
      <c r="J32" s="9">
        <v>703</v>
      </c>
      <c r="K32" s="9">
        <v>705</v>
      </c>
      <c r="L32" s="9" t="s">
        <v>30</v>
      </c>
    </row>
    <row r="33" spans="1:19" s="2" customFormat="1" ht="16.5" customHeight="1" thickBot="1">
      <c r="A33" s="37" t="s">
        <v>630</v>
      </c>
      <c r="B33" s="39" t="s">
        <v>3</v>
      </c>
      <c r="C33" s="9">
        <v>602</v>
      </c>
      <c r="D33" s="9">
        <v>759</v>
      </c>
      <c r="E33" s="9">
        <v>851</v>
      </c>
      <c r="F33" s="9">
        <v>885</v>
      </c>
      <c r="G33" s="9">
        <v>885</v>
      </c>
      <c r="H33" s="9">
        <v>889</v>
      </c>
      <c r="I33" s="9">
        <v>889</v>
      </c>
      <c r="J33" s="9">
        <v>1026</v>
      </c>
      <c r="K33" s="9">
        <v>1037</v>
      </c>
      <c r="L33" s="9">
        <v>1044</v>
      </c>
      <c r="M33" s="9">
        <v>1048</v>
      </c>
      <c r="N33" s="9">
        <v>1074</v>
      </c>
      <c r="O33" s="8">
        <v>1121</v>
      </c>
      <c r="P33" s="8" t="s">
        <v>16</v>
      </c>
    </row>
    <row r="34" spans="1:19" s="2" customFormat="1" ht="16.5" customHeight="1" thickBot="1">
      <c r="A34" s="40" t="s">
        <v>702</v>
      </c>
      <c r="B34" s="42" t="s">
        <v>3</v>
      </c>
      <c r="C34" s="9">
        <v>580</v>
      </c>
      <c r="D34" s="9">
        <v>584</v>
      </c>
      <c r="E34" s="9">
        <v>586</v>
      </c>
      <c r="F34" s="9">
        <v>609</v>
      </c>
      <c r="G34" s="9">
        <v>609</v>
      </c>
      <c r="H34" s="9">
        <v>609</v>
      </c>
      <c r="I34" s="9">
        <v>609</v>
      </c>
      <c r="J34" s="9" t="s">
        <v>30</v>
      </c>
    </row>
    <row r="35" spans="1:19" s="2" customFormat="1" ht="16.5" customHeight="1" thickBot="1">
      <c r="A35" s="40" t="s">
        <v>754</v>
      </c>
      <c r="B35" s="41" t="s">
        <v>6</v>
      </c>
      <c r="C35" s="9">
        <v>513</v>
      </c>
      <c r="D35" s="9">
        <v>514</v>
      </c>
      <c r="E35" s="9">
        <v>517</v>
      </c>
      <c r="F35" s="9">
        <v>524</v>
      </c>
      <c r="G35" s="9" t="s">
        <v>30</v>
      </c>
    </row>
    <row r="36" spans="1:19" s="2" customFormat="1" ht="16.5" customHeight="1" thickBot="1">
      <c r="A36" s="40" t="s">
        <v>694</v>
      </c>
      <c r="B36" s="41" t="s">
        <v>6</v>
      </c>
      <c r="C36" s="9">
        <v>474</v>
      </c>
      <c r="D36" s="9">
        <v>474</v>
      </c>
      <c r="E36" s="9">
        <v>483</v>
      </c>
      <c r="F36" s="9">
        <v>597</v>
      </c>
      <c r="G36" s="9">
        <v>605</v>
      </c>
      <c r="H36" s="9">
        <v>607</v>
      </c>
      <c r="I36" s="9">
        <v>611</v>
      </c>
      <c r="J36" s="9">
        <v>700</v>
      </c>
      <c r="K36" s="9" t="s">
        <v>30</v>
      </c>
    </row>
    <row r="37" spans="1:19" s="2" customFormat="1" ht="16.5" customHeight="1" thickBot="1">
      <c r="A37" s="40" t="s">
        <v>750</v>
      </c>
      <c r="B37" s="42" t="s">
        <v>3</v>
      </c>
      <c r="C37" s="9">
        <v>373</v>
      </c>
      <c r="D37" s="9">
        <v>378</v>
      </c>
      <c r="E37" s="9">
        <v>387</v>
      </c>
      <c r="F37" s="9" t="s">
        <v>30</v>
      </c>
    </row>
    <row r="38" spans="1:19" s="2" customFormat="1" ht="16.5" customHeight="1" thickBot="1">
      <c r="A38" s="40" t="s">
        <v>620</v>
      </c>
      <c r="B38" s="50" t="s">
        <v>17</v>
      </c>
      <c r="C38" s="9">
        <v>369</v>
      </c>
      <c r="D38" s="9">
        <v>375</v>
      </c>
      <c r="E38" s="9" t="s">
        <v>30</v>
      </c>
    </row>
    <row r="39" spans="1:19" s="2" customFormat="1" ht="16.5" customHeight="1" thickBot="1">
      <c r="A39" s="40" t="s">
        <v>701</v>
      </c>
      <c r="B39" s="42" t="s">
        <v>3</v>
      </c>
      <c r="C39" s="9">
        <v>277</v>
      </c>
      <c r="D39" s="9" t="s">
        <v>30</v>
      </c>
      <c r="O39" s="13"/>
    </row>
    <row r="40" spans="1:19" s="2" customFormat="1" ht="12" customHeight="1">
      <c r="A40" s="28"/>
      <c r="B40" s="47"/>
      <c r="C40" s="28"/>
      <c r="D40" s="28"/>
      <c r="E40" s="28"/>
      <c r="F40" s="23"/>
      <c r="G40" s="23"/>
      <c r="H40" s="23"/>
      <c r="I40" s="23"/>
      <c r="J40" s="23"/>
      <c r="N40" s="18"/>
    </row>
    <row r="41" spans="1:19" s="2" customFormat="1" ht="17.45" customHeight="1">
      <c r="A41" s="1" t="s">
        <v>798</v>
      </c>
    </row>
    <row r="42" spans="1:19" s="2" customFormat="1" ht="10.5" customHeight="1" thickBot="1">
      <c r="A42" s="1"/>
    </row>
    <row r="43" spans="1:19" s="2" customFormat="1" ht="16.5" customHeight="1" thickBot="1">
      <c r="A43" s="3" t="s">
        <v>0</v>
      </c>
      <c r="B43" s="4" t="s">
        <v>1</v>
      </c>
      <c r="C43" s="4" t="s">
        <v>2</v>
      </c>
      <c r="D43" s="4">
        <v>2</v>
      </c>
      <c r="E43" s="4">
        <v>3</v>
      </c>
      <c r="F43" s="4">
        <v>4</v>
      </c>
      <c r="G43" s="4">
        <v>5</v>
      </c>
      <c r="H43" s="4">
        <v>6</v>
      </c>
      <c r="I43" s="4">
        <v>7</v>
      </c>
      <c r="J43" s="4">
        <v>8</v>
      </c>
      <c r="K43" s="4">
        <v>9</v>
      </c>
      <c r="L43" s="4">
        <v>10</v>
      </c>
      <c r="M43" s="4">
        <v>11</v>
      </c>
      <c r="N43" s="4">
        <v>12</v>
      </c>
      <c r="O43" s="5"/>
      <c r="P43" s="12" t="s">
        <v>5</v>
      </c>
      <c r="Q43" s="13">
        <f>(9679/12208)</f>
        <v>0.79284076015727389</v>
      </c>
    </row>
    <row r="44" spans="1:19" s="2" customFormat="1" ht="16.5" customHeight="1" thickBot="1">
      <c r="A44" s="6" t="s">
        <v>709</v>
      </c>
      <c r="B44" s="14" t="s">
        <v>6</v>
      </c>
      <c r="C44" s="8">
        <v>1264</v>
      </c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11"/>
      <c r="P44" s="15"/>
      <c r="Q44" s="12" t="s">
        <v>8</v>
      </c>
      <c r="R44" s="12" t="s">
        <v>9</v>
      </c>
      <c r="S44" s="12" t="s">
        <v>10</v>
      </c>
    </row>
    <row r="45" spans="1:19" s="2" customFormat="1" ht="16.5" customHeight="1" thickBot="1">
      <c r="A45" s="6" t="s">
        <v>787</v>
      </c>
      <c r="B45" s="14" t="s">
        <v>6</v>
      </c>
      <c r="C45" s="9">
        <v>984</v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11"/>
      <c r="P45" s="16" t="s">
        <v>6</v>
      </c>
      <c r="Q45" s="17">
        <f>(C48+C47+C49+C58)</f>
        <v>2112</v>
      </c>
      <c r="R45" s="18">
        <f>SUM(Q45/Q49)</f>
        <v>0.22045929018789143</v>
      </c>
      <c r="S45" s="15">
        <v>3</v>
      </c>
    </row>
    <row r="46" spans="1:19" s="2" customFormat="1" ht="16.5" customHeight="1" thickBot="1">
      <c r="A46" s="6" t="s">
        <v>708</v>
      </c>
      <c r="B46" s="24" t="s">
        <v>28</v>
      </c>
      <c r="C46" s="9">
        <v>933</v>
      </c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8"/>
      <c r="P46" s="19" t="s">
        <v>3</v>
      </c>
      <c r="Q46" s="17">
        <f>(C46+C51+C50+C52+C55)</f>
        <v>2696</v>
      </c>
      <c r="R46" s="18">
        <f>SUM(Q46/Q49)</f>
        <v>0.28141962421711902</v>
      </c>
      <c r="S46" s="15">
        <v>3</v>
      </c>
    </row>
    <row r="47" spans="1:19" s="2" customFormat="1" ht="16.5" customHeight="1" thickBot="1">
      <c r="A47" s="6" t="s">
        <v>646</v>
      </c>
      <c r="B47" s="39" t="s">
        <v>3</v>
      </c>
      <c r="C47" s="9">
        <v>768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11"/>
      <c r="P47" s="29" t="s">
        <v>17</v>
      </c>
      <c r="Q47" s="17">
        <v>423</v>
      </c>
      <c r="R47" s="18">
        <f>SUM(Q47/Q49)</f>
        <v>4.4154488517745304E-2</v>
      </c>
    </row>
    <row r="48" spans="1:19" s="2" customFormat="1" ht="16.5" customHeight="1" thickBot="1">
      <c r="A48" s="6" t="s">
        <v>641</v>
      </c>
      <c r="B48" s="24" t="s">
        <v>28</v>
      </c>
      <c r="C48" s="9">
        <v>559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11"/>
      <c r="P48" s="12" t="s">
        <v>13</v>
      </c>
      <c r="Q48" s="23">
        <f>(C45+C56+C59)</f>
        <v>1567</v>
      </c>
      <c r="R48" s="13">
        <f>SUM(Q48/Q49)</f>
        <v>0.16356993736951983</v>
      </c>
      <c r="S48" s="2">
        <v>2</v>
      </c>
    </row>
    <row r="49" spans="1:17" s="2" customFormat="1" ht="16.5" customHeight="1" thickBot="1">
      <c r="A49" s="20" t="s">
        <v>790</v>
      </c>
      <c r="B49" s="42" t="s">
        <v>3</v>
      </c>
      <c r="C49" s="9">
        <v>492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11"/>
      <c r="P49" s="15"/>
      <c r="Q49" s="25">
        <v>9580</v>
      </c>
    </row>
    <row r="50" spans="1:17" s="2" customFormat="1" ht="16.5" customHeight="1" thickBot="1">
      <c r="A50" s="6" t="s">
        <v>793</v>
      </c>
      <c r="B50" s="14" t="s">
        <v>6</v>
      </c>
      <c r="C50" s="9">
        <v>491</v>
      </c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11"/>
    </row>
    <row r="51" spans="1:17" s="2" customFormat="1" ht="16.5" customHeight="1" thickBot="1">
      <c r="A51" s="20" t="s">
        <v>714</v>
      </c>
      <c r="B51" s="42" t="s">
        <v>3</v>
      </c>
      <c r="C51" s="9">
        <v>437</v>
      </c>
      <c r="D51" s="10"/>
      <c r="E51" s="9"/>
      <c r="F51" s="9"/>
      <c r="G51" s="9"/>
      <c r="H51" s="9"/>
      <c r="I51" s="9"/>
      <c r="J51" s="9"/>
      <c r="K51" s="9"/>
      <c r="L51" s="9"/>
      <c r="M51" s="9"/>
      <c r="N51" s="9"/>
      <c r="O51" s="11"/>
    </row>
    <row r="52" spans="1:17" s="2" customFormat="1" ht="16.5" customHeight="1" thickBot="1">
      <c r="A52" s="20" t="s">
        <v>792</v>
      </c>
      <c r="B52" s="50" t="s">
        <v>17</v>
      </c>
      <c r="C52" s="9">
        <v>423</v>
      </c>
      <c r="D52" s="10"/>
      <c r="E52" s="10"/>
      <c r="F52" s="9"/>
      <c r="G52" s="9"/>
      <c r="H52" s="9"/>
      <c r="I52" s="9"/>
      <c r="J52" s="9"/>
      <c r="K52" s="9"/>
    </row>
    <row r="53" spans="1:17" s="2" customFormat="1" ht="16.5" customHeight="1" thickBot="1">
      <c r="A53" s="6" t="s">
        <v>550</v>
      </c>
      <c r="B53" s="39" t="s">
        <v>3</v>
      </c>
      <c r="C53" s="9">
        <v>416</v>
      </c>
      <c r="D53" s="9"/>
      <c r="E53" s="9"/>
      <c r="F53" s="10"/>
      <c r="G53" s="9"/>
      <c r="H53" s="9"/>
      <c r="I53" s="9"/>
      <c r="J53" s="9"/>
      <c r="K53" s="9"/>
      <c r="L53" s="9"/>
      <c r="M53" s="9"/>
      <c r="N53" s="9"/>
      <c r="O53" s="11"/>
    </row>
    <row r="54" spans="1:17" s="2" customFormat="1" ht="16.5" customHeight="1" thickBot="1">
      <c r="A54" s="6" t="s">
        <v>375</v>
      </c>
      <c r="B54" s="39" t="s">
        <v>3</v>
      </c>
      <c r="C54" s="9">
        <v>412</v>
      </c>
      <c r="D54" s="10"/>
      <c r="E54" s="10"/>
      <c r="F54" s="9"/>
      <c r="G54" s="9"/>
      <c r="H54" s="9"/>
      <c r="I54" s="9"/>
      <c r="J54" s="9"/>
      <c r="K54" s="9"/>
      <c r="L54" s="9"/>
      <c r="M54" s="9"/>
      <c r="N54" s="9"/>
      <c r="O54" s="11"/>
    </row>
    <row r="55" spans="1:17" s="2" customFormat="1" ht="16.5" customHeight="1" thickBot="1">
      <c r="A55" s="20" t="s">
        <v>539</v>
      </c>
      <c r="B55" s="26" t="s">
        <v>28</v>
      </c>
      <c r="C55" s="9">
        <v>412</v>
      </c>
      <c r="D55" s="9"/>
      <c r="E55" s="9"/>
      <c r="F55" s="9"/>
      <c r="G55" s="9"/>
      <c r="H55" s="9"/>
      <c r="I55" s="9"/>
      <c r="J55" s="9"/>
      <c r="K55" s="9"/>
    </row>
    <row r="56" spans="1:17" s="2" customFormat="1" ht="16.5" customHeight="1" thickBot="1">
      <c r="A56" s="20" t="s">
        <v>786</v>
      </c>
      <c r="B56" s="26" t="s">
        <v>28</v>
      </c>
      <c r="C56" s="9">
        <v>344</v>
      </c>
      <c r="D56" s="10"/>
      <c r="E56" s="10"/>
      <c r="F56" s="9"/>
      <c r="G56" s="9"/>
      <c r="H56" s="9"/>
      <c r="I56" s="9"/>
    </row>
    <row r="57" spans="1:17" s="2" customFormat="1" ht="16.5" customHeight="1" thickBot="1">
      <c r="A57" s="20" t="s">
        <v>349</v>
      </c>
      <c r="B57" s="21" t="s">
        <v>6</v>
      </c>
      <c r="C57" s="9">
        <v>329</v>
      </c>
      <c r="D57" s="9"/>
      <c r="E57" s="9"/>
      <c r="F57" s="9"/>
      <c r="G57" s="9"/>
    </row>
    <row r="58" spans="1:17" s="2" customFormat="1" ht="16.5" customHeight="1" thickBot="1">
      <c r="A58" s="20" t="s">
        <v>338</v>
      </c>
      <c r="B58" s="26" t="s">
        <v>28</v>
      </c>
      <c r="C58" s="9">
        <v>293</v>
      </c>
      <c r="D58" s="9"/>
      <c r="E58" s="9"/>
      <c r="F58" s="9"/>
      <c r="G58" s="9"/>
    </row>
    <row r="59" spans="1:17" s="2" customFormat="1" ht="16.5" customHeight="1" thickBot="1">
      <c r="A59" s="20" t="s">
        <v>588</v>
      </c>
      <c r="B59" s="26" t="s">
        <v>28</v>
      </c>
      <c r="C59" s="9">
        <v>239</v>
      </c>
      <c r="D59" s="9"/>
      <c r="E59" s="10"/>
      <c r="F59" s="9"/>
    </row>
    <row r="60" spans="1:17" s="2" customFormat="1" ht="16.5" customHeight="1" thickBot="1">
      <c r="A60" s="20" t="s">
        <v>789</v>
      </c>
      <c r="B60" s="42" t="s">
        <v>3</v>
      </c>
      <c r="C60" s="9">
        <v>242</v>
      </c>
      <c r="D60" s="10"/>
      <c r="E60" s="9"/>
      <c r="F60" s="9"/>
    </row>
    <row r="61" spans="1:17" s="2" customFormat="1" ht="16.5" customHeight="1" thickBot="1">
      <c r="A61" s="20" t="s">
        <v>791</v>
      </c>
      <c r="B61" s="42" t="s">
        <v>3</v>
      </c>
      <c r="C61" s="9">
        <v>219</v>
      </c>
      <c r="D61" s="9"/>
      <c r="E61" s="9"/>
      <c r="F61" s="9"/>
    </row>
    <row r="62" spans="1:17" s="2" customFormat="1" ht="16.5" customHeight="1" thickBot="1">
      <c r="A62" s="20" t="s">
        <v>718</v>
      </c>
      <c r="B62" s="26" t="s">
        <v>28</v>
      </c>
      <c r="C62" s="9">
        <v>163</v>
      </c>
      <c r="D62" s="9"/>
    </row>
    <row r="63" spans="1:17" s="2" customFormat="1" ht="16.5" customHeight="1" thickBot="1">
      <c r="A63" s="20" t="s">
        <v>788</v>
      </c>
      <c r="B63" s="42" t="s">
        <v>3</v>
      </c>
      <c r="C63" s="9">
        <v>160</v>
      </c>
      <c r="D63" s="9"/>
    </row>
    <row r="64" spans="1:17">
      <c r="C64" s="63">
        <f>SUM(C44:C63)</f>
        <v>9580</v>
      </c>
    </row>
    <row r="65" spans="1:21" s="2" customFormat="1" ht="17.45" customHeight="1">
      <c r="A65" s="31" t="s">
        <v>755</v>
      </c>
      <c r="B65" s="23"/>
      <c r="C65" s="23"/>
      <c r="D65" s="23"/>
      <c r="E65" s="23"/>
      <c r="F65" s="23"/>
      <c r="G65" s="23"/>
      <c r="H65" s="23"/>
      <c r="I65" s="23"/>
      <c r="J65" s="23"/>
    </row>
    <row r="66" spans="1:21" s="2" customFormat="1" ht="8.25" customHeight="1" thickBot="1">
      <c r="A66" s="31"/>
      <c r="B66" s="23"/>
      <c r="C66" s="23"/>
      <c r="D66" s="23"/>
      <c r="E66" s="23"/>
      <c r="F66" s="23"/>
      <c r="G66" s="23"/>
      <c r="H66" s="23"/>
      <c r="I66" s="23"/>
      <c r="J66" s="23"/>
    </row>
    <row r="67" spans="1:21" s="2" customFormat="1" ht="17.45" customHeight="1" thickBot="1">
      <c r="A67" s="35" t="s">
        <v>0</v>
      </c>
      <c r="B67" s="36" t="s">
        <v>1</v>
      </c>
      <c r="C67" s="36" t="s">
        <v>2</v>
      </c>
      <c r="D67" s="36">
        <v>2</v>
      </c>
      <c r="E67" s="36">
        <v>3</v>
      </c>
      <c r="F67" s="36">
        <v>4</v>
      </c>
      <c r="G67" s="36">
        <v>5</v>
      </c>
      <c r="H67" s="36">
        <v>6</v>
      </c>
      <c r="I67" s="36">
        <v>7</v>
      </c>
      <c r="J67" s="36">
        <v>8</v>
      </c>
      <c r="K67" s="36">
        <v>9</v>
      </c>
      <c r="L67" s="36"/>
      <c r="M67" s="25" t="s">
        <v>5</v>
      </c>
      <c r="N67" s="13"/>
      <c r="P67" s="13"/>
    </row>
    <row r="68" spans="1:21" s="2" customFormat="1" ht="17.45" customHeight="1" thickBot="1">
      <c r="A68" s="37" t="s">
        <v>605</v>
      </c>
      <c r="B68" s="38" t="s">
        <v>6</v>
      </c>
      <c r="C68" s="120">
        <v>827</v>
      </c>
      <c r="D68" s="9"/>
      <c r="E68" s="9"/>
      <c r="F68" s="9"/>
      <c r="G68" s="9"/>
      <c r="H68" s="9"/>
      <c r="I68" s="9"/>
      <c r="J68" s="9"/>
      <c r="K68" s="9"/>
      <c r="L68" s="8" t="s">
        <v>4</v>
      </c>
      <c r="M68" s="17"/>
      <c r="N68" s="12" t="s">
        <v>8</v>
      </c>
      <c r="O68" s="12" t="s">
        <v>9</v>
      </c>
      <c r="P68" s="12" t="s">
        <v>10</v>
      </c>
    </row>
    <row r="69" spans="1:21" s="2" customFormat="1" ht="17.45" customHeight="1" thickBot="1">
      <c r="A69" s="37" t="s">
        <v>757</v>
      </c>
      <c r="B69" s="38" t="s">
        <v>6</v>
      </c>
      <c r="C69" s="121">
        <v>713</v>
      </c>
      <c r="D69" s="9">
        <v>736</v>
      </c>
      <c r="E69" s="9">
        <v>741</v>
      </c>
      <c r="F69" s="9">
        <v>741</v>
      </c>
      <c r="G69" s="9">
        <v>741</v>
      </c>
      <c r="H69" s="8">
        <v>795</v>
      </c>
      <c r="I69" s="9"/>
      <c r="J69" s="9"/>
      <c r="K69" s="9"/>
      <c r="L69" s="8" t="s">
        <v>7</v>
      </c>
      <c r="M69" s="48" t="s">
        <v>6</v>
      </c>
      <c r="N69" s="17">
        <f>(C68+C69+C70+C73+C77+C78+C80)</f>
        <v>3840</v>
      </c>
      <c r="O69" s="18">
        <f>SUM(N69/N72)</f>
        <v>0.54708647955549228</v>
      </c>
      <c r="P69" s="15">
        <v>4</v>
      </c>
    </row>
    <row r="70" spans="1:21" s="2" customFormat="1" ht="17.45" customHeight="1" thickBot="1">
      <c r="A70" s="40" t="s">
        <v>760</v>
      </c>
      <c r="B70" s="41" t="s">
        <v>6</v>
      </c>
      <c r="C70" s="121">
        <v>607</v>
      </c>
      <c r="D70" s="9">
        <v>609</v>
      </c>
      <c r="E70" s="9">
        <v>609</v>
      </c>
      <c r="F70" s="9">
        <v>641</v>
      </c>
      <c r="G70" s="9">
        <v>643</v>
      </c>
      <c r="H70" s="9">
        <v>663</v>
      </c>
      <c r="I70" s="9">
        <v>671</v>
      </c>
      <c r="J70" s="9">
        <v>673</v>
      </c>
      <c r="K70" s="9">
        <v>676</v>
      </c>
      <c r="L70" s="8"/>
      <c r="M70" s="19" t="s">
        <v>3</v>
      </c>
      <c r="N70" s="23">
        <f>(C71+C72+C74+C75+C76+C79+C81)</f>
        <v>3077</v>
      </c>
      <c r="O70" s="13">
        <f>SUM(N70/N72)</f>
        <v>0.43838153583131501</v>
      </c>
      <c r="P70" s="2">
        <v>4</v>
      </c>
    </row>
    <row r="71" spans="1:21" s="2" customFormat="1" ht="17.45" customHeight="1" thickBot="1">
      <c r="A71" s="37" t="s">
        <v>759</v>
      </c>
      <c r="B71" s="39" t="s">
        <v>3</v>
      </c>
      <c r="C71" s="121">
        <v>597</v>
      </c>
      <c r="D71" s="9">
        <v>597</v>
      </c>
      <c r="E71" s="9">
        <v>602</v>
      </c>
      <c r="F71" s="9">
        <v>605</v>
      </c>
      <c r="G71" s="9">
        <v>742</v>
      </c>
      <c r="H71" s="9">
        <v>745</v>
      </c>
      <c r="I71" s="9">
        <v>753</v>
      </c>
      <c r="J71" s="9">
        <v>754</v>
      </c>
      <c r="K71" s="8">
        <v>755</v>
      </c>
      <c r="L71" s="8" t="s">
        <v>16</v>
      </c>
      <c r="M71" s="22" t="s">
        <v>13</v>
      </c>
      <c r="N71" s="17">
        <v>102</v>
      </c>
      <c r="O71" s="18">
        <f>SUM(N71/N72)</f>
        <v>1.4531984613192762E-2</v>
      </c>
    </row>
    <row r="72" spans="1:21" s="2" customFormat="1" ht="17.45" customHeight="1" thickBot="1">
      <c r="A72" s="37" t="s">
        <v>762</v>
      </c>
      <c r="B72" s="39" t="s">
        <v>3</v>
      </c>
      <c r="C72" s="121">
        <v>541</v>
      </c>
      <c r="D72" s="9">
        <v>543</v>
      </c>
      <c r="E72" s="9">
        <v>547</v>
      </c>
      <c r="F72" s="9">
        <v>547</v>
      </c>
      <c r="G72" s="9">
        <v>547</v>
      </c>
      <c r="H72" s="9">
        <v>622</v>
      </c>
      <c r="I72" s="9">
        <v>644</v>
      </c>
      <c r="J72" s="9">
        <v>645</v>
      </c>
      <c r="K72" s="8">
        <v>793</v>
      </c>
      <c r="L72" s="8" t="s">
        <v>12</v>
      </c>
      <c r="M72" s="60"/>
      <c r="N72" s="25">
        <v>7019</v>
      </c>
      <c r="O72" s="13"/>
    </row>
    <row r="73" spans="1:21" s="2" customFormat="1" ht="17.45" customHeight="1" thickBot="1">
      <c r="A73" s="37" t="s">
        <v>758</v>
      </c>
      <c r="B73" s="38" t="s">
        <v>6</v>
      </c>
      <c r="C73" s="121">
        <v>525</v>
      </c>
      <c r="D73" s="9">
        <v>537</v>
      </c>
      <c r="E73" s="9">
        <v>543</v>
      </c>
      <c r="F73" s="9">
        <v>549</v>
      </c>
      <c r="G73" s="9">
        <v>622</v>
      </c>
      <c r="H73" s="9">
        <v>711</v>
      </c>
      <c r="I73" s="9">
        <v>734</v>
      </c>
      <c r="J73" s="9">
        <v>770</v>
      </c>
      <c r="K73" s="8">
        <v>793</v>
      </c>
      <c r="L73" s="8" t="s">
        <v>15</v>
      </c>
    </row>
    <row r="74" spans="1:21" s="2" customFormat="1" ht="17.45" customHeight="1" thickBot="1">
      <c r="A74" s="37" t="s">
        <v>724</v>
      </c>
      <c r="B74" s="39" t="s">
        <v>3</v>
      </c>
      <c r="C74" s="121">
        <v>464</v>
      </c>
      <c r="D74" s="9">
        <v>478</v>
      </c>
      <c r="E74" s="9">
        <v>608</v>
      </c>
      <c r="F74" s="9">
        <v>608</v>
      </c>
      <c r="G74" s="9">
        <v>672</v>
      </c>
      <c r="H74" s="9">
        <v>691</v>
      </c>
      <c r="I74" s="9">
        <v>693</v>
      </c>
      <c r="J74" s="9">
        <v>693</v>
      </c>
      <c r="K74" s="8">
        <v>716</v>
      </c>
      <c r="L74" s="8" t="s">
        <v>209</v>
      </c>
    </row>
    <row r="75" spans="1:21" s="2" customFormat="1" ht="17.45" customHeight="1" thickBot="1">
      <c r="A75" s="37" t="s">
        <v>763</v>
      </c>
      <c r="B75" s="39" t="s">
        <v>3</v>
      </c>
      <c r="C75" s="121">
        <v>451</v>
      </c>
      <c r="D75" s="9">
        <v>467</v>
      </c>
      <c r="E75" s="9">
        <v>514</v>
      </c>
      <c r="F75" s="9">
        <v>514</v>
      </c>
      <c r="G75" s="9">
        <v>527</v>
      </c>
      <c r="H75" s="9">
        <v>534</v>
      </c>
      <c r="I75" s="9">
        <v>548</v>
      </c>
      <c r="J75" s="9">
        <v>548</v>
      </c>
      <c r="K75" s="8">
        <v>773</v>
      </c>
      <c r="L75" s="8" t="s">
        <v>14</v>
      </c>
      <c r="R75" s="23"/>
      <c r="S75" s="25"/>
      <c r="T75" s="23"/>
      <c r="U75" s="13"/>
    </row>
    <row r="76" spans="1:21" s="2" customFormat="1" ht="17.45" customHeight="1" thickBot="1">
      <c r="A76" s="40" t="s">
        <v>652</v>
      </c>
      <c r="B76" s="42" t="s">
        <v>3</v>
      </c>
      <c r="C76" s="121">
        <v>442</v>
      </c>
      <c r="D76" s="9">
        <v>452</v>
      </c>
      <c r="E76" s="9">
        <v>452</v>
      </c>
      <c r="F76" s="9">
        <v>473</v>
      </c>
      <c r="G76" s="9">
        <v>484</v>
      </c>
      <c r="H76" s="9">
        <v>501</v>
      </c>
      <c r="I76" s="9">
        <v>504</v>
      </c>
      <c r="J76" s="9">
        <v>504</v>
      </c>
      <c r="K76" s="9" t="s">
        <v>30</v>
      </c>
      <c r="M76" s="48"/>
      <c r="N76" s="17"/>
      <c r="O76" s="18"/>
      <c r="P76" s="15"/>
    </row>
    <row r="77" spans="1:21" s="2" customFormat="1" ht="17.45" customHeight="1" thickBot="1">
      <c r="A77" s="40" t="s">
        <v>725</v>
      </c>
      <c r="B77" s="41" t="s">
        <v>6</v>
      </c>
      <c r="C77" s="121">
        <v>433</v>
      </c>
      <c r="D77" s="9">
        <v>434</v>
      </c>
      <c r="E77" s="9">
        <v>434</v>
      </c>
      <c r="F77" s="9">
        <v>434</v>
      </c>
      <c r="G77" s="9">
        <v>437</v>
      </c>
      <c r="H77" s="9">
        <v>439</v>
      </c>
      <c r="I77" s="9" t="s">
        <v>30</v>
      </c>
      <c r="L77" s="23"/>
      <c r="M77" s="13"/>
    </row>
    <row r="78" spans="1:21" s="2" customFormat="1" ht="17.45" customHeight="1" thickBot="1">
      <c r="A78" s="37" t="s">
        <v>654</v>
      </c>
      <c r="B78" s="38" t="s">
        <v>6</v>
      </c>
      <c r="C78" s="121">
        <v>427</v>
      </c>
      <c r="D78" s="9">
        <v>433</v>
      </c>
      <c r="E78" s="9">
        <v>438</v>
      </c>
      <c r="F78" s="9">
        <v>439</v>
      </c>
      <c r="G78" s="9">
        <v>457</v>
      </c>
      <c r="H78" s="9">
        <v>492</v>
      </c>
      <c r="I78" s="8">
        <v>820</v>
      </c>
      <c r="J78" s="9"/>
      <c r="K78" s="9"/>
      <c r="L78" s="8" t="s">
        <v>11</v>
      </c>
      <c r="M78" s="18"/>
    </row>
    <row r="79" spans="1:21" s="2" customFormat="1" ht="17.45" customHeight="1" thickBot="1">
      <c r="A79" s="40" t="s">
        <v>756</v>
      </c>
      <c r="B79" s="42" t="s">
        <v>3</v>
      </c>
      <c r="C79" s="121">
        <v>331</v>
      </c>
      <c r="D79" s="9">
        <v>331</v>
      </c>
      <c r="E79" s="9">
        <v>333</v>
      </c>
      <c r="F79" s="9">
        <v>333</v>
      </c>
      <c r="G79" s="9" t="s">
        <v>30</v>
      </c>
      <c r="L79" s="25"/>
      <c r="M79" s="13"/>
    </row>
    <row r="80" spans="1:21" s="2" customFormat="1" ht="17.45" customHeight="1" thickBot="1">
      <c r="A80" s="40" t="s">
        <v>726</v>
      </c>
      <c r="B80" s="41" t="s">
        <v>6</v>
      </c>
      <c r="C80" s="121">
        <v>308</v>
      </c>
      <c r="D80" s="9">
        <v>318</v>
      </c>
      <c r="E80" s="9">
        <v>318</v>
      </c>
      <c r="F80" s="9">
        <v>338</v>
      </c>
      <c r="G80" s="9">
        <v>338</v>
      </c>
      <c r="H80" s="9" t="s">
        <v>30</v>
      </c>
    </row>
    <row r="81" spans="1:23" s="2" customFormat="1" ht="17.45" customHeight="1" thickBot="1">
      <c r="A81" s="40" t="s">
        <v>761</v>
      </c>
      <c r="B81" s="42" t="s">
        <v>3</v>
      </c>
      <c r="C81" s="121">
        <v>251</v>
      </c>
      <c r="D81" s="9">
        <v>253</v>
      </c>
      <c r="E81" s="9" t="s">
        <v>30</v>
      </c>
      <c r="F81" s="23"/>
      <c r="G81" s="23"/>
      <c r="H81" s="23"/>
    </row>
    <row r="82" spans="1:23" s="2" customFormat="1" ht="17.45" customHeight="1" thickBot="1">
      <c r="A82" s="40" t="s">
        <v>727</v>
      </c>
      <c r="B82" s="26" t="s">
        <v>28</v>
      </c>
      <c r="C82" s="121">
        <v>102</v>
      </c>
      <c r="D82" s="9" t="s">
        <v>30</v>
      </c>
      <c r="P82" s="23"/>
      <c r="Q82" s="25"/>
      <c r="R82" s="23"/>
      <c r="S82" s="13"/>
    </row>
    <row r="83" spans="1:23" s="2" customFormat="1" ht="13.5" customHeight="1">
      <c r="A83" s="28"/>
      <c r="B83" s="80"/>
      <c r="C83" s="28"/>
      <c r="D83" s="28"/>
      <c r="E83" s="28"/>
      <c r="F83" s="23"/>
      <c r="G83" s="23"/>
      <c r="H83" s="23"/>
      <c r="I83" s="23"/>
      <c r="J83" s="25"/>
      <c r="L83" s="13"/>
      <c r="M83" s="13"/>
    </row>
    <row r="84" spans="1:23" s="2" customFormat="1" ht="17.45" customHeight="1">
      <c r="A84" s="31" t="s">
        <v>765</v>
      </c>
      <c r="B84" s="23"/>
      <c r="C84" s="23"/>
      <c r="D84" s="23"/>
      <c r="E84" s="23"/>
      <c r="F84" s="23"/>
      <c r="G84" s="23"/>
      <c r="H84" s="23"/>
      <c r="I84" s="23"/>
      <c r="J84" s="23"/>
    </row>
    <row r="85" spans="1:23" s="2" customFormat="1" ht="10.5" customHeight="1" thickBot="1">
      <c r="A85" s="31"/>
      <c r="B85" s="23"/>
      <c r="C85" s="23"/>
      <c r="D85" s="23"/>
      <c r="E85" s="23"/>
      <c r="F85" s="23"/>
      <c r="G85" s="23"/>
      <c r="H85" s="23"/>
      <c r="I85" s="23"/>
      <c r="J85" s="23"/>
    </row>
    <row r="86" spans="1:23" s="2" customFormat="1" ht="16.5" customHeight="1" thickBot="1">
      <c r="A86" s="35" t="s">
        <v>0</v>
      </c>
      <c r="B86" s="36" t="s">
        <v>1</v>
      </c>
      <c r="C86" s="36" t="s">
        <v>2</v>
      </c>
      <c r="D86" s="36">
        <v>2</v>
      </c>
      <c r="E86" s="36">
        <v>3</v>
      </c>
      <c r="F86" s="36">
        <v>4</v>
      </c>
      <c r="G86" s="36">
        <v>5</v>
      </c>
      <c r="H86" s="36">
        <v>6</v>
      </c>
      <c r="I86" s="36">
        <v>7</v>
      </c>
      <c r="J86" s="36">
        <v>8</v>
      </c>
      <c r="K86" s="36">
        <v>9</v>
      </c>
      <c r="L86" s="36">
        <v>10</v>
      </c>
      <c r="M86" s="36">
        <v>11</v>
      </c>
      <c r="N86" s="36">
        <v>12</v>
      </c>
      <c r="O86" s="36">
        <v>13</v>
      </c>
      <c r="P86" s="36">
        <v>14</v>
      </c>
      <c r="Q86" s="36">
        <v>15</v>
      </c>
      <c r="R86" s="36">
        <v>16</v>
      </c>
      <c r="S86" s="45"/>
      <c r="T86" s="12" t="s">
        <v>5</v>
      </c>
      <c r="U86" s="13">
        <f>(8682/12852)</f>
        <v>0.6755368814192344</v>
      </c>
    </row>
    <row r="87" spans="1:23" s="2" customFormat="1" ht="16.5" customHeight="1" thickBot="1">
      <c r="A87" s="37" t="s">
        <v>767</v>
      </c>
      <c r="B87" s="39" t="s">
        <v>3</v>
      </c>
      <c r="C87" s="8">
        <v>1205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8"/>
      <c r="T87" s="15"/>
      <c r="U87" s="12" t="s">
        <v>8</v>
      </c>
      <c r="V87" s="12" t="s">
        <v>9</v>
      </c>
      <c r="W87" s="12" t="s">
        <v>10</v>
      </c>
    </row>
    <row r="88" spans="1:23" s="2" customFormat="1" ht="16.5" customHeight="1" thickBot="1">
      <c r="A88" s="37" t="s">
        <v>668</v>
      </c>
      <c r="B88" s="38" t="s">
        <v>6</v>
      </c>
      <c r="C88" s="9">
        <v>792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8"/>
      <c r="T88" s="16" t="s">
        <v>6</v>
      </c>
      <c r="U88" s="17">
        <f>(C88+C89+C91+C93+C97+C102)</f>
        <v>3033</v>
      </c>
      <c r="V88" s="18">
        <f>SUM(U88/U92)</f>
        <v>0.3652456647398844</v>
      </c>
      <c r="W88" s="15">
        <v>3</v>
      </c>
    </row>
    <row r="89" spans="1:23" s="2" customFormat="1" ht="16.5" customHeight="1" thickBot="1">
      <c r="A89" s="37" t="s">
        <v>774</v>
      </c>
      <c r="B89" s="38" t="s">
        <v>6</v>
      </c>
      <c r="C89" s="9">
        <v>613</v>
      </c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8"/>
      <c r="T89" s="19" t="s">
        <v>3</v>
      </c>
      <c r="U89" s="23">
        <f>(C87+C96+C98+C100+C101+C104)</f>
        <v>2584</v>
      </c>
      <c r="V89" s="13">
        <f>SUM(U89/U92)</f>
        <v>0.31117533718689788</v>
      </c>
      <c r="W89" s="2">
        <v>2</v>
      </c>
    </row>
    <row r="90" spans="1:23" s="2" customFormat="1" ht="16.5" customHeight="1" thickBot="1">
      <c r="A90" s="37" t="s">
        <v>667</v>
      </c>
      <c r="B90" s="52" t="s">
        <v>28</v>
      </c>
      <c r="C90" s="9">
        <v>612</v>
      </c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8"/>
      <c r="T90" s="29" t="s">
        <v>17</v>
      </c>
      <c r="U90" s="17">
        <f>(C99+C103+C105)</f>
        <v>611</v>
      </c>
      <c r="V90" s="18">
        <f>SUM(U90/U92)</f>
        <v>7.357899807321773E-2</v>
      </c>
    </row>
    <row r="91" spans="1:23" s="2" customFormat="1" ht="16.5" customHeight="1" thickBot="1">
      <c r="A91" s="37" t="s">
        <v>664</v>
      </c>
      <c r="B91" s="38" t="s">
        <v>6</v>
      </c>
      <c r="C91" s="9">
        <v>593</v>
      </c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8"/>
      <c r="T91" s="22" t="s">
        <v>13</v>
      </c>
      <c r="U91" s="17">
        <f>(C90+C92+C94+C95+C106+C107)</f>
        <v>2076</v>
      </c>
      <c r="V91" s="18">
        <f>SUM(U91/U92)</f>
        <v>0.25</v>
      </c>
      <c r="W91" s="2">
        <v>3</v>
      </c>
    </row>
    <row r="92" spans="1:23" s="2" customFormat="1" ht="16.5" customHeight="1" thickBot="1">
      <c r="A92" s="37" t="s">
        <v>777</v>
      </c>
      <c r="B92" s="52" t="s">
        <v>28</v>
      </c>
      <c r="C92" s="9">
        <v>572</v>
      </c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8"/>
      <c r="T92" s="12"/>
      <c r="U92" s="25">
        <v>8304</v>
      </c>
      <c r="V92" s="13"/>
      <c r="W92" s="15"/>
    </row>
    <row r="93" spans="1:23" s="2" customFormat="1" ht="16.5" customHeight="1" thickBot="1">
      <c r="A93" s="40" t="s">
        <v>733</v>
      </c>
      <c r="B93" s="41" t="s">
        <v>6</v>
      </c>
      <c r="C93" s="9">
        <v>459</v>
      </c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8"/>
    </row>
    <row r="94" spans="1:23" s="2" customFormat="1" ht="16.5" customHeight="1" thickBot="1">
      <c r="A94" s="37" t="s">
        <v>744</v>
      </c>
      <c r="B94" s="38" t="s">
        <v>741</v>
      </c>
      <c r="C94" s="9">
        <v>426</v>
      </c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8"/>
    </row>
    <row r="95" spans="1:23" s="2" customFormat="1" ht="16.5" customHeight="1" thickBot="1">
      <c r="A95" s="40" t="s">
        <v>743</v>
      </c>
      <c r="B95" s="41" t="s">
        <v>741</v>
      </c>
      <c r="C95" s="9">
        <v>359</v>
      </c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</row>
    <row r="96" spans="1:23" s="2" customFormat="1" ht="16.5" customHeight="1" thickBot="1">
      <c r="A96" s="40" t="s">
        <v>768</v>
      </c>
      <c r="B96" s="42" t="s">
        <v>3</v>
      </c>
      <c r="C96" s="9">
        <v>355</v>
      </c>
      <c r="D96" s="9"/>
      <c r="E96" s="9"/>
      <c r="F96" s="9"/>
      <c r="G96" s="9"/>
      <c r="H96" s="9"/>
      <c r="I96" s="9"/>
      <c r="J96" s="9"/>
      <c r="K96" s="9"/>
      <c r="L96" s="9"/>
    </row>
    <row r="97" spans="1:23" s="2" customFormat="1" ht="16.5" customHeight="1" thickBot="1">
      <c r="A97" s="40" t="s">
        <v>776</v>
      </c>
      <c r="B97" s="41" t="s">
        <v>6</v>
      </c>
      <c r="C97" s="9">
        <v>350</v>
      </c>
      <c r="D97" s="9"/>
      <c r="E97" s="9"/>
      <c r="F97" s="9"/>
      <c r="G97" s="9"/>
      <c r="H97" s="9"/>
      <c r="I97" s="9"/>
      <c r="J97" s="9"/>
      <c r="K97" s="9"/>
      <c r="L97" s="9"/>
    </row>
    <row r="98" spans="1:23" s="2" customFormat="1" ht="16.5" customHeight="1" thickBot="1">
      <c r="A98" s="40" t="s">
        <v>766</v>
      </c>
      <c r="B98" s="42" t="s">
        <v>3</v>
      </c>
      <c r="C98" s="9">
        <v>332</v>
      </c>
      <c r="D98" s="9"/>
      <c r="E98" s="9"/>
      <c r="F98" s="9"/>
      <c r="G98" s="9"/>
      <c r="H98" s="9"/>
      <c r="I98" s="9"/>
      <c r="J98" s="9"/>
      <c r="K98" s="9"/>
      <c r="L98" s="9"/>
    </row>
    <row r="99" spans="1:23" s="2" customFormat="1" ht="16.5" customHeight="1" thickBot="1">
      <c r="A99" s="40" t="s">
        <v>772</v>
      </c>
      <c r="B99" s="50" t="s">
        <v>17</v>
      </c>
      <c r="C99" s="9">
        <v>321</v>
      </c>
      <c r="D99" s="9"/>
      <c r="E99" s="9"/>
      <c r="F99" s="9"/>
      <c r="G99" s="9"/>
      <c r="H99" s="9"/>
      <c r="I99" s="9"/>
      <c r="J99" s="9"/>
      <c r="K99" s="9"/>
      <c r="L99" s="9"/>
    </row>
    <row r="100" spans="1:23" s="2" customFormat="1" ht="16.5" customHeight="1" thickBot="1">
      <c r="A100" s="40" t="s">
        <v>769</v>
      </c>
      <c r="B100" s="42" t="s">
        <v>3</v>
      </c>
      <c r="C100" s="9">
        <v>317</v>
      </c>
      <c r="D100" s="9"/>
      <c r="E100" s="9"/>
      <c r="F100" s="9"/>
      <c r="G100" s="9"/>
      <c r="H100" s="9"/>
      <c r="I100" s="9"/>
      <c r="J100" s="9"/>
      <c r="K100" s="9"/>
      <c r="L100" s="9"/>
    </row>
    <row r="101" spans="1:23" s="2" customFormat="1" ht="16.5" customHeight="1" thickBot="1">
      <c r="A101" s="37" t="s">
        <v>794</v>
      </c>
      <c r="B101" s="39" t="s">
        <v>3</v>
      </c>
      <c r="C101" s="9">
        <v>235</v>
      </c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8"/>
      <c r="S101" s="8"/>
    </row>
    <row r="102" spans="1:23" s="2" customFormat="1" ht="16.5" customHeight="1" thickBot="1">
      <c r="A102" s="40" t="s">
        <v>775</v>
      </c>
      <c r="B102" s="41" t="s">
        <v>6</v>
      </c>
      <c r="C102" s="9">
        <v>226</v>
      </c>
      <c r="D102" s="9"/>
      <c r="E102" s="9"/>
      <c r="F102" s="9"/>
      <c r="G102" s="9"/>
      <c r="H102" s="9"/>
      <c r="L102" s="23"/>
    </row>
    <row r="103" spans="1:23" s="2" customFormat="1" ht="16.5" customHeight="1" thickBot="1">
      <c r="A103" s="40" t="s">
        <v>773</v>
      </c>
      <c r="B103" s="50" t="s">
        <v>17</v>
      </c>
      <c r="C103" s="9">
        <v>209</v>
      </c>
      <c r="D103" s="9"/>
      <c r="E103" s="9"/>
      <c r="F103" s="9"/>
      <c r="G103" s="9"/>
      <c r="H103" s="9"/>
    </row>
    <row r="104" spans="1:23" s="2" customFormat="1" ht="16.5" customHeight="1" thickBot="1">
      <c r="A104" s="40" t="s">
        <v>770</v>
      </c>
      <c r="B104" s="42" t="s">
        <v>3</v>
      </c>
      <c r="C104" s="9">
        <v>140</v>
      </c>
      <c r="D104" s="9"/>
      <c r="E104" s="9"/>
      <c r="F104" s="9"/>
      <c r="L104" s="23"/>
    </row>
    <row r="105" spans="1:23" s="2" customFormat="1" ht="16.5" customHeight="1" thickBot="1">
      <c r="A105" s="40" t="s">
        <v>771</v>
      </c>
      <c r="B105" s="50" t="s">
        <v>17</v>
      </c>
      <c r="C105" s="9">
        <v>81</v>
      </c>
      <c r="D105" s="9"/>
      <c r="E105" s="9"/>
      <c r="F105" s="9"/>
      <c r="L105" s="23"/>
    </row>
    <row r="106" spans="1:23" s="2" customFormat="1" ht="16.5" customHeight="1" thickBot="1">
      <c r="A106" s="40" t="s">
        <v>779</v>
      </c>
      <c r="B106" s="44" t="s">
        <v>28</v>
      </c>
      <c r="C106" s="9">
        <v>79</v>
      </c>
      <c r="D106" s="9"/>
      <c r="E106" s="9"/>
      <c r="F106" s="9"/>
    </row>
    <row r="107" spans="1:23" s="2" customFormat="1" ht="16.5" customHeight="1" thickBot="1">
      <c r="A107" s="40" t="s">
        <v>778</v>
      </c>
      <c r="B107" s="44" t="s">
        <v>28</v>
      </c>
      <c r="C107" s="9">
        <v>28</v>
      </c>
      <c r="D107" s="9"/>
      <c r="E107" s="9"/>
      <c r="F107" s="9"/>
      <c r="L107" s="23"/>
    </row>
    <row r="108" spans="1:23">
      <c r="C108" s="63"/>
      <c r="D108" s="63"/>
      <c r="E108" s="63"/>
    </row>
    <row r="109" spans="1:23" s="99" customFormat="1" ht="15" customHeight="1">
      <c r="B109" s="64" t="s">
        <v>18</v>
      </c>
      <c r="C109" s="66" t="s">
        <v>6</v>
      </c>
      <c r="D109" s="67" t="s">
        <v>3</v>
      </c>
      <c r="E109" s="68" t="s">
        <v>17</v>
      </c>
      <c r="F109" s="64" t="s">
        <v>13</v>
      </c>
      <c r="K109" s="101"/>
      <c r="L109" s="64"/>
      <c r="V109" s="98"/>
      <c r="W109" s="103"/>
    </row>
    <row r="110" spans="1:23" s="99" customFormat="1" ht="15" customHeight="1">
      <c r="A110" s="99" t="s">
        <v>8</v>
      </c>
      <c r="B110" s="110">
        <f>SUM(Q9+R28+N72+Q49+U92)</f>
        <v>43104</v>
      </c>
      <c r="C110" s="108">
        <f>SUM(U88+Q45+N69+R24+Q5)</f>
        <v>17344</v>
      </c>
      <c r="D110" s="108">
        <f>(U89+N70+Q46+R25+Q6)</f>
        <v>16377</v>
      </c>
      <c r="E110" s="108">
        <f>(U90+Q47+R26+Q7)</f>
        <v>1585</v>
      </c>
      <c r="F110" s="108">
        <f>SUM(U91+Q48+R27+N71+Q8)</f>
        <v>5016</v>
      </c>
      <c r="K110" s="98"/>
      <c r="L110" s="105"/>
      <c r="U110" s="107"/>
      <c r="V110" s="77"/>
      <c r="W110" s="103"/>
    </row>
    <row r="111" spans="1:23" s="99" customFormat="1" ht="15" customHeight="1">
      <c r="A111" s="99" t="s">
        <v>9</v>
      </c>
      <c r="B111" s="102">
        <v>1</v>
      </c>
      <c r="C111" s="103">
        <f>SUM(C110/$B$110)</f>
        <v>0.4023756495916852</v>
      </c>
      <c r="D111" s="103">
        <f>SUM(D110/$B$110)</f>
        <v>0.37994153674832964</v>
      </c>
      <c r="E111" s="103">
        <f>SUM(E110/$B$110)</f>
        <v>3.6771529324424644E-2</v>
      </c>
      <c r="F111" s="103">
        <f>SUM(F110/$B$110)</f>
        <v>0.11636971046770601</v>
      </c>
      <c r="K111" s="103"/>
      <c r="L111" s="64"/>
      <c r="U111" s="64"/>
    </row>
    <row r="112" spans="1:23" s="99" customFormat="1" ht="15" customHeight="1">
      <c r="A112" s="99" t="s">
        <v>10</v>
      </c>
      <c r="B112" s="110">
        <v>40</v>
      </c>
      <c r="C112" s="108">
        <v>18</v>
      </c>
      <c r="D112" s="108">
        <v>16</v>
      </c>
      <c r="E112" s="108">
        <v>0</v>
      </c>
      <c r="F112" s="108">
        <v>6</v>
      </c>
      <c r="L112" s="106"/>
    </row>
    <row r="113" spans="1:18" s="2" customFormat="1" ht="16.5" customHeight="1">
      <c r="A113" s="1"/>
    </row>
    <row r="114" spans="1:18" ht="14.25">
      <c r="O114" s="2"/>
      <c r="P114" s="2"/>
      <c r="Q114" s="2"/>
      <c r="R114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W104"/>
  <sheetViews>
    <sheetView zoomScaleNormal="100" workbookViewId="0">
      <selection activeCell="O6" sqref="O6:R6"/>
    </sheetView>
  </sheetViews>
  <sheetFormatPr defaultRowHeight="12.75"/>
  <cols>
    <col min="1" max="1" width="25.28515625" customWidth="1"/>
    <col min="2" max="3" width="8.5703125" customWidth="1"/>
    <col min="4" max="21" width="8.7109375" customWidth="1"/>
  </cols>
  <sheetData>
    <row r="1" spans="1:18" s="2" customFormat="1" ht="16.5" customHeight="1">
      <c r="A1" s="31" t="s">
        <v>607</v>
      </c>
      <c r="B1" s="23"/>
      <c r="C1" s="23"/>
      <c r="D1" s="23"/>
      <c r="E1" s="23"/>
      <c r="F1" s="23"/>
      <c r="G1" s="23"/>
      <c r="H1" s="23"/>
      <c r="I1" s="23"/>
      <c r="J1" s="23"/>
    </row>
    <row r="2" spans="1:18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8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36">
        <v>9</v>
      </c>
      <c r="L3" s="36">
        <v>10</v>
      </c>
      <c r="M3" s="36">
        <v>11</v>
      </c>
      <c r="N3" s="5"/>
      <c r="O3" s="12" t="s">
        <v>5</v>
      </c>
      <c r="P3" s="13">
        <f>(8893/14377)</f>
        <v>0.61855741809835152</v>
      </c>
    </row>
    <row r="4" spans="1:18" s="2" customFormat="1" ht="16.5" customHeight="1" thickBot="1">
      <c r="A4" s="37" t="s">
        <v>608</v>
      </c>
      <c r="B4" s="38" t="s">
        <v>6</v>
      </c>
      <c r="C4" s="8">
        <v>2665</v>
      </c>
      <c r="D4" s="9"/>
      <c r="E4" s="9"/>
      <c r="F4" s="9"/>
      <c r="G4" s="10"/>
      <c r="H4" s="9"/>
      <c r="I4" s="9"/>
      <c r="J4" s="9"/>
      <c r="K4" s="9"/>
      <c r="L4" s="9"/>
      <c r="M4" s="9"/>
      <c r="N4" s="11" t="s">
        <v>4</v>
      </c>
      <c r="O4" s="15"/>
      <c r="P4" s="12" t="s">
        <v>8</v>
      </c>
      <c r="Q4" s="12" t="s">
        <v>9</v>
      </c>
      <c r="R4" s="12" t="s">
        <v>10</v>
      </c>
    </row>
    <row r="5" spans="1:18" s="2" customFormat="1" ht="16.5" customHeight="1" thickBot="1">
      <c r="A5" s="37" t="s">
        <v>609</v>
      </c>
      <c r="B5" s="38" t="s">
        <v>6</v>
      </c>
      <c r="C5" s="9">
        <v>764</v>
      </c>
      <c r="D5" s="9"/>
      <c r="E5" s="9"/>
      <c r="F5" s="9"/>
      <c r="G5" s="9"/>
      <c r="H5" s="9"/>
      <c r="I5" s="9"/>
      <c r="J5" s="9"/>
      <c r="K5" s="9"/>
      <c r="L5" s="8" t="s">
        <v>576</v>
      </c>
      <c r="M5" s="9"/>
      <c r="N5" s="11" t="s">
        <v>7</v>
      </c>
      <c r="O5" s="16" t="s">
        <v>6</v>
      </c>
      <c r="P5" s="17">
        <f>(C4+C5+C15)</f>
        <v>3720</v>
      </c>
      <c r="Q5" s="18">
        <f>SUM(P5/P8)</f>
        <v>0.42587292501431023</v>
      </c>
      <c r="R5" s="15">
        <v>3</v>
      </c>
    </row>
    <row r="6" spans="1:18" s="2" customFormat="1" ht="16.5" customHeight="1" thickBot="1">
      <c r="A6" s="37" t="s">
        <v>514</v>
      </c>
      <c r="B6" s="93" t="s">
        <v>133</v>
      </c>
      <c r="C6" s="9">
        <v>687</v>
      </c>
      <c r="D6" s="9"/>
      <c r="E6" s="9"/>
      <c r="F6" s="9"/>
      <c r="G6" s="9"/>
      <c r="H6" s="9"/>
      <c r="I6" s="9"/>
      <c r="J6" s="9"/>
      <c r="K6" s="9"/>
      <c r="L6" s="9"/>
      <c r="M6" s="8">
        <v>1191</v>
      </c>
      <c r="N6" s="11" t="s">
        <v>12</v>
      </c>
      <c r="O6" s="88" t="s">
        <v>133</v>
      </c>
      <c r="P6" s="23">
        <f>(C6+C7+C9+C16+C17)</f>
        <v>2475</v>
      </c>
      <c r="Q6" s="13">
        <f>SUM(P6/P8)</f>
        <v>0.28334287349742415</v>
      </c>
      <c r="R6" s="15">
        <v>2</v>
      </c>
    </row>
    <row r="7" spans="1:18" s="2" customFormat="1" ht="16.5" customHeight="1" thickBot="1">
      <c r="A7" s="37" t="s">
        <v>610</v>
      </c>
      <c r="B7" s="93" t="s">
        <v>133</v>
      </c>
      <c r="C7" s="9">
        <v>668</v>
      </c>
      <c r="D7" s="9"/>
      <c r="E7" s="9"/>
      <c r="F7" s="9"/>
      <c r="G7" s="9"/>
      <c r="H7" s="9"/>
      <c r="I7" s="9"/>
      <c r="J7" s="9"/>
      <c r="K7" s="9"/>
      <c r="L7" s="9"/>
      <c r="M7" s="8">
        <v>1401</v>
      </c>
      <c r="N7" s="11" t="s">
        <v>11</v>
      </c>
      <c r="O7" s="22" t="s">
        <v>13</v>
      </c>
      <c r="P7" s="23">
        <f>(C8+C10+C11+C12+C13+C14)</f>
        <v>2540</v>
      </c>
      <c r="Q7" s="13">
        <f>SUM(P7/P8)</f>
        <v>0.29078420148826561</v>
      </c>
      <c r="R7" s="15"/>
    </row>
    <row r="8" spans="1:18" s="2" customFormat="1" ht="16.5" customHeight="1" thickBot="1">
      <c r="A8" s="40" t="s">
        <v>612</v>
      </c>
      <c r="B8" s="44" t="s">
        <v>28</v>
      </c>
      <c r="C8" s="9">
        <v>609</v>
      </c>
      <c r="D8" s="9"/>
      <c r="E8" s="9"/>
      <c r="F8" s="9"/>
      <c r="G8" s="9"/>
      <c r="H8" s="9"/>
      <c r="I8" s="9"/>
      <c r="J8" s="9"/>
      <c r="K8" s="9"/>
      <c r="L8" s="9" t="s">
        <v>30</v>
      </c>
      <c r="N8" s="12"/>
      <c r="P8" s="25">
        <v>8735</v>
      </c>
    </row>
    <row r="9" spans="1:18" s="2" customFormat="1" ht="16.5" customHeight="1" thickBot="1">
      <c r="A9" s="40" t="s">
        <v>401</v>
      </c>
      <c r="B9" s="84" t="s">
        <v>133</v>
      </c>
      <c r="C9" s="9">
        <v>607</v>
      </c>
      <c r="D9" s="9"/>
      <c r="E9" s="9"/>
      <c r="F9" s="9"/>
      <c r="G9" s="9"/>
      <c r="H9" s="9"/>
      <c r="I9" s="9"/>
      <c r="J9" s="9"/>
      <c r="K9" s="9"/>
      <c r="L9" s="9"/>
      <c r="M9" s="9"/>
      <c r="N9" s="11"/>
    </row>
    <row r="10" spans="1:18" s="2" customFormat="1" ht="16.5" customHeight="1" thickBot="1">
      <c r="A10" s="40" t="s">
        <v>746</v>
      </c>
      <c r="B10" s="44" t="s">
        <v>28</v>
      </c>
      <c r="C10" s="9">
        <v>510</v>
      </c>
      <c r="D10" s="9"/>
      <c r="E10" s="9"/>
      <c r="F10" s="9"/>
      <c r="G10" s="9"/>
      <c r="H10" s="9"/>
      <c r="I10" s="9"/>
      <c r="J10" s="9"/>
      <c r="K10" s="9" t="s">
        <v>30</v>
      </c>
      <c r="N10" s="12"/>
    </row>
    <row r="11" spans="1:18" s="2" customFormat="1" ht="16.5" customHeight="1" thickBot="1">
      <c r="A11" s="40" t="s">
        <v>616</v>
      </c>
      <c r="B11" s="44" t="s">
        <v>592</v>
      </c>
      <c r="C11" s="9">
        <v>445</v>
      </c>
      <c r="D11" s="9"/>
      <c r="E11" s="9"/>
      <c r="F11" s="9"/>
      <c r="G11" s="9"/>
      <c r="H11" s="9"/>
      <c r="I11" s="9"/>
      <c r="J11" s="9" t="s">
        <v>30</v>
      </c>
      <c r="N11" s="12"/>
    </row>
    <row r="12" spans="1:18" s="2" customFormat="1" ht="16.5" customHeight="1" thickBot="1">
      <c r="A12" s="40" t="s">
        <v>615</v>
      </c>
      <c r="B12" s="44" t="s">
        <v>28</v>
      </c>
      <c r="C12" s="9">
        <v>351</v>
      </c>
      <c r="D12" s="9"/>
      <c r="E12" s="9"/>
      <c r="F12" s="9"/>
      <c r="G12" s="9"/>
      <c r="H12" s="9"/>
      <c r="I12" s="9" t="s">
        <v>30</v>
      </c>
      <c r="N12" s="25"/>
      <c r="O12" s="18"/>
      <c r="P12" s="15"/>
    </row>
    <row r="13" spans="1:18" s="2" customFormat="1" ht="16.5" customHeight="1" thickBot="1">
      <c r="A13" s="40" t="s">
        <v>614</v>
      </c>
      <c r="B13" s="44" t="s">
        <v>28</v>
      </c>
      <c r="C13" s="9">
        <v>317</v>
      </c>
      <c r="D13" s="9"/>
      <c r="E13" s="9"/>
      <c r="F13" s="9"/>
      <c r="G13" s="9" t="s">
        <v>30</v>
      </c>
      <c r="N13" s="12"/>
    </row>
    <row r="14" spans="1:18" s="2" customFormat="1" ht="16.5" customHeight="1" thickBot="1">
      <c r="A14" s="40" t="s">
        <v>38</v>
      </c>
      <c r="B14" s="44" t="s">
        <v>28</v>
      </c>
      <c r="C14" s="9">
        <v>308</v>
      </c>
      <c r="D14" s="9"/>
      <c r="E14" s="9"/>
      <c r="F14" s="9"/>
      <c r="G14" s="9"/>
      <c r="H14" s="9" t="s">
        <v>30</v>
      </c>
      <c r="N14" s="12"/>
    </row>
    <row r="15" spans="1:18" s="2" customFormat="1" ht="16.5" customHeight="1" thickBot="1">
      <c r="A15" s="37" t="s">
        <v>611</v>
      </c>
      <c r="B15" s="38" t="s">
        <v>6</v>
      </c>
      <c r="C15" s="9">
        <v>291</v>
      </c>
      <c r="D15" s="9"/>
      <c r="E15" s="9"/>
      <c r="F15" s="9"/>
      <c r="G15" s="9"/>
      <c r="H15" s="9"/>
      <c r="I15" s="9"/>
      <c r="J15" s="9"/>
      <c r="K15" s="9"/>
      <c r="L15" s="9"/>
      <c r="M15" s="8">
        <v>1075</v>
      </c>
      <c r="N15" s="8" t="s">
        <v>15</v>
      </c>
      <c r="O15" s="18"/>
      <c r="P15" s="15"/>
    </row>
    <row r="16" spans="1:18" s="2" customFormat="1" ht="16.5" customHeight="1" thickBot="1">
      <c r="A16" s="40" t="s">
        <v>572</v>
      </c>
      <c r="B16" s="84" t="s">
        <v>133</v>
      </c>
      <c r="C16" s="9">
        <v>267</v>
      </c>
      <c r="D16" s="9"/>
      <c r="E16" s="9"/>
      <c r="F16" s="9" t="s">
        <v>30</v>
      </c>
    </row>
    <row r="17" spans="1:23" s="2" customFormat="1" ht="16.5" customHeight="1" thickBot="1">
      <c r="A17" s="40" t="s">
        <v>613</v>
      </c>
      <c r="B17" s="84" t="s">
        <v>133</v>
      </c>
      <c r="C17" s="9">
        <v>246</v>
      </c>
      <c r="D17" s="9"/>
      <c r="E17" s="9" t="s">
        <v>30</v>
      </c>
    </row>
    <row r="18" spans="1:23" s="2" customFormat="1" ht="10.5" customHeight="1">
      <c r="A18" s="31"/>
      <c r="B18" s="23"/>
      <c r="C18" s="23"/>
      <c r="D18" s="23"/>
      <c r="E18" s="23"/>
      <c r="F18" s="23"/>
      <c r="G18" s="23"/>
      <c r="H18" s="23"/>
      <c r="I18" s="23"/>
      <c r="J18" s="23"/>
    </row>
    <row r="19" spans="1:23" s="2" customFormat="1" ht="17.45" customHeight="1">
      <c r="A19" s="31" t="s">
        <v>617</v>
      </c>
      <c r="B19" s="23"/>
      <c r="C19" s="23"/>
      <c r="D19" s="23"/>
      <c r="E19" s="23"/>
      <c r="F19" s="23"/>
      <c r="G19" s="23"/>
      <c r="H19" s="23"/>
      <c r="I19" s="23"/>
      <c r="J19" s="23"/>
    </row>
    <row r="20" spans="1:23" s="2" customFormat="1" ht="10.5" customHeight="1" thickBot="1">
      <c r="A20" s="31"/>
      <c r="B20" s="23"/>
      <c r="C20" s="23"/>
      <c r="D20" s="23"/>
      <c r="E20" s="23"/>
      <c r="F20" s="23"/>
      <c r="G20" s="23"/>
      <c r="H20" s="23"/>
      <c r="I20" s="23"/>
      <c r="J20" s="23"/>
    </row>
    <row r="21" spans="1:23" s="2" customFormat="1" ht="16.5" customHeight="1" thickBot="1">
      <c r="A21" s="35" t="s">
        <v>0</v>
      </c>
      <c r="B21" s="36" t="s">
        <v>1</v>
      </c>
      <c r="C21" s="36" t="s">
        <v>2</v>
      </c>
      <c r="D21" s="36">
        <v>2</v>
      </c>
      <c r="E21" s="36">
        <v>3</v>
      </c>
      <c r="F21" s="36">
        <v>4</v>
      </c>
      <c r="G21" s="36">
        <v>5</v>
      </c>
      <c r="H21" s="36">
        <v>6</v>
      </c>
      <c r="I21" s="36">
        <v>7</v>
      </c>
      <c r="J21" s="36">
        <v>8</v>
      </c>
      <c r="K21" s="36">
        <v>9</v>
      </c>
      <c r="L21" s="36">
        <v>10</v>
      </c>
      <c r="M21" s="36">
        <v>11</v>
      </c>
      <c r="N21" s="36">
        <v>12</v>
      </c>
      <c r="O21" s="36">
        <v>13</v>
      </c>
      <c r="P21" s="36">
        <v>14</v>
      </c>
      <c r="Q21" s="36">
        <v>15</v>
      </c>
      <c r="R21" s="36">
        <v>16</v>
      </c>
      <c r="S21" s="45"/>
      <c r="T21" s="12" t="s">
        <v>5</v>
      </c>
      <c r="U21" s="13">
        <f>(15777/23674)</f>
        <v>0.66642730421559515</v>
      </c>
    </row>
    <row r="22" spans="1:23" s="2" customFormat="1" ht="16.5" customHeight="1" thickBot="1">
      <c r="A22" s="37" t="s">
        <v>620</v>
      </c>
      <c r="B22" s="59" t="s">
        <v>17</v>
      </c>
      <c r="C22" s="8">
        <v>2129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8" t="s">
        <v>4</v>
      </c>
      <c r="T22" s="15"/>
      <c r="U22" s="12" t="s">
        <v>8</v>
      </c>
      <c r="V22" s="12" t="s">
        <v>9</v>
      </c>
      <c r="W22" s="12" t="s">
        <v>10</v>
      </c>
    </row>
    <row r="23" spans="1:23" s="2" customFormat="1" ht="16.5" customHeight="1" thickBot="1">
      <c r="A23" s="37" t="s">
        <v>618</v>
      </c>
      <c r="B23" s="93" t="s">
        <v>133</v>
      </c>
      <c r="C23" s="8">
        <v>2095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8" t="s">
        <v>7</v>
      </c>
      <c r="T23" s="16" t="s">
        <v>6</v>
      </c>
      <c r="U23" s="17">
        <f>(C26+C29+C31+C32+C34+C36+C37+C40)</f>
        <v>4549</v>
      </c>
      <c r="V23" s="18">
        <f>SUM(U23/U27)</f>
        <v>0.29312455699465173</v>
      </c>
      <c r="W23" s="15">
        <v>2</v>
      </c>
    </row>
    <row r="24" spans="1:23" s="2" customFormat="1" ht="16.5" customHeight="1" thickBot="1">
      <c r="A24" s="37" t="s">
        <v>619</v>
      </c>
      <c r="B24" s="52" t="s">
        <v>28</v>
      </c>
      <c r="C24" s="9">
        <v>1468</v>
      </c>
      <c r="D24" s="9"/>
      <c r="E24" s="9"/>
      <c r="F24" s="9"/>
      <c r="G24" s="9"/>
      <c r="H24" s="9"/>
      <c r="I24" s="9"/>
      <c r="J24" s="9"/>
      <c r="K24" s="9"/>
      <c r="L24" s="8">
        <v>1759</v>
      </c>
      <c r="M24" s="9"/>
      <c r="N24" s="9"/>
      <c r="O24" s="9"/>
      <c r="P24" s="9"/>
      <c r="Q24" s="9"/>
      <c r="R24" s="9"/>
      <c r="S24" s="8" t="s">
        <v>11</v>
      </c>
      <c r="T24" s="88" t="s">
        <v>133</v>
      </c>
      <c r="U24" s="17">
        <f>(C23+C27+C30+C35+C39)</f>
        <v>4382</v>
      </c>
      <c r="V24" s="18">
        <f>SUM(U24/U27)</f>
        <v>0.28236355435272892</v>
      </c>
      <c r="W24" s="2">
        <v>3</v>
      </c>
    </row>
    <row r="25" spans="1:23" s="2" customFormat="1" ht="16.5" customHeight="1" thickBot="1">
      <c r="A25" s="37" t="s">
        <v>323</v>
      </c>
      <c r="B25" s="52" t="s">
        <v>28</v>
      </c>
      <c r="C25" s="9">
        <v>1292</v>
      </c>
      <c r="D25" s="9"/>
      <c r="E25" s="9"/>
      <c r="F25" s="9"/>
      <c r="G25" s="9"/>
      <c r="H25" s="9"/>
      <c r="I25" s="9"/>
      <c r="J25" s="9"/>
      <c r="K25" s="9"/>
      <c r="L25" s="9"/>
      <c r="M25" s="8">
        <v>1831</v>
      </c>
      <c r="N25" s="9"/>
      <c r="O25" s="9"/>
      <c r="P25" s="9"/>
      <c r="Q25" s="9"/>
      <c r="R25" s="9"/>
      <c r="S25" s="8" t="s">
        <v>12</v>
      </c>
      <c r="T25" s="29" t="s">
        <v>17</v>
      </c>
      <c r="U25" s="17">
        <v>2129</v>
      </c>
      <c r="V25" s="18">
        <f>SUM(U25/U27)</f>
        <v>0.13718667439912366</v>
      </c>
      <c r="W25" s="2">
        <v>1</v>
      </c>
    </row>
    <row r="26" spans="1:23" s="2" customFormat="1" ht="16.5" customHeight="1" thickBot="1">
      <c r="A26" s="40" t="s">
        <v>522</v>
      </c>
      <c r="B26" s="41" t="s">
        <v>6</v>
      </c>
      <c r="C26" s="9">
        <v>1093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8"/>
      <c r="T26" s="22" t="s">
        <v>13</v>
      </c>
      <c r="U26" s="17">
        <f>(C24+C25+C33+C38+C28)</f>
        <v>4459</v>
      </c>
      <c r="V26" s="18">
        <f>SUM(U26/U27)</f>
        <v>0.28732521425349572</v>
      </c>
      <c r="W26" s="2">
        <v>2</v>
      </c>
    </row>
    <row r="27" spans="1:23" s="2" customFormat="1" ht="16.5" customHeight="1" thickBot="1">
      <c r="A27" s="37" t="s">
        <v>622</v>
      </c>
      <c r="B27" s="93" t="s">
        <v>133</v>
      </c>
      <c r="C27" s="9">
        <v>963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">
        <v>1271</v>
      </c>
      <c r="S27" s="8" t="s">
        <v>16</v>
      </c>
      <c r="T27" s="12"/>
      <c r="U27" s="25">
        <v>15519</v>
      </c>
      <c r="V27" s="13"/>
      <c r="W27" s="15"/>
    </row>
    <row r="28" spans="1:23" s="2" customFormat="1" ht="16.5" customHeight="1" thickBot="1">
      <c r="A28" s="40" t="s">
        <v>627</v>
      </c>
      <c r="B28" s="44" t="s">
        <v>28</v>
      </c>
      <c r="C28" s="9">
        <v>865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 t="s">
        <v>30</v>
      </c>
    </row>
    <row r="29" spans="1:23" s="2" customFormat="1" ht="16.5" customHeight="1" thickBot="1">
      <c r="A29" s="37" t="s">
        <v>621</v>
      </c>
      <c r="B29" s="38" t="s">
        <v>6</v>
      </c>
      <c r="C29" s="9">
        <v>766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">
        <v>1236</v>
      </c>
      <c r="S29" s="8" t="s">
        <v>209</v>
      </c>
    </row>
    <row r="30" spans="1:23" s="2" customFormat="1" ht="16.5" customHeight="1" thickBot="1">
      <c r="A30" s="37" t="s">
        <v>578</v>
      </c>
      <c r="B30" s="93" t="s">
        <v>133</v>
      </c>
      <c r="C30" s="9">
        <v>745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">
        <v>1367</v>
      </c>
      <c r="S30" s="8" t="s">
        <v>14</v>
      </c>
    </row>
    <row r="31" spans="1:23" s="2" customFormat="1" ht="16.5" customHeight="1" thickBot="1">
      <c r="A31" s="40" t="s">
        <v>700</v>
      </c>
      <c r="B31" s="41" t="s">
        <v>6</v>
      </c>
      <c r="C31" s="9">
        <v>656</v>
      </c>
      <c r="D31" s="9"/>
      <c r="E31" s="9"/>
      <c r="F31" s="9"/>
      <c r="G31" s="9"/>
      <c r="H31" s="9"/>
      <c r="I31" s="9"/>
      <c r="J31" s="9"/>
      <c r="K31" s="9"/>
      <c r="L31" s="9"/>
      <c r="M31" s="9" t="s">
        <v>30</v>
      </c>
      <c r="S31" s="13"/>
    </row>
    <row r="32" spans="1:23" s="2" customFormat="1" ht="16.5" customHeight="1" thickBot="1">
      <c r="A32" s="37" t="s">
        <v>153</v>
      </c>
      <c r="B32" s="38" t="s">
        <v>6</v>
      </c>
      <c r="C32" s="9">
        <v>619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8">
        <v>1755</v>
      </c>
      <c r="R32" s="9"/>
      <c r="S32" s="8" t="s">
        <v>15</v>
      </c>
    </row>
    <row r="33" spans="1:21" s="2" customFormat="1" ht="16.5" customHeight="1" thickBot="1">
      <c r="A33" s="40" t="s">
        <v>630</v>
      </c>
      <c r="B33" s="44" t="s">
        <v>28</v>
      </c>
      <c r="C33" s="9">
        <v>619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 t="s">
        <v>30</v>
      </c>
    </row>
    <row r="34" spans="1:21" s="2" customFormat="1" ht="16.5" customHeight="1" thickBot="1">
      <c r="A34" s="40" t="s">
        <v>623</v>
      </c>
      <c r="B34" s="41" t="s">
        <v>6</v>
      </c>
      <c r="C34" s="9">
        <v>569</v>
      </c>
      <c r="D34" s="9"/>
      <c r="E34" s="9"/>
      <c r="F34" s="9"/>
      <c r="G34" s="9"/>
      <c r="H34" s="9"/>
      <c r="I34" s="9"/>
      <c r="J34" s="9"/>
      <c r="K34" s="9"/>
      <c r="L34" s="9" t="s">
        <v>30</v>
      </c>
      <c r="O34" s="13"/>
    </row>
    <row r="35" spans="1:21" s="2" customFormat="1" ht="16.5" customHeight="1" thickBot="1">
      <c r="A35" s="40" t="s">
        <v>628</v>
      </c>
      <c r="B35" s="84" t="s">
        <v>133</v>
      </c>
      <c r="C35" s="9">
        <v>473</v>
      </c>
      <c r="D35" s="9"/>
      <c r="E35" s="9"/>
      <c r="F35" s="9"/>
      <c r="G35" s="9"/>
      <c r="H35" s="9"/>
      <c r="I35" s="9"/>
      <c r="J35" s="9"/>
      <c r="K35" s="9" t="s">
        <v>30</v>
      </c>
    </row>
    <row r="36" spans="1:21" s="2" customFormat="1" ht="16.5" customHeight="1" thickBot="1">
      <c r="A36" s="40" t="s">
        <v>624</v>
      </c>
      <c r="B36" s="41" t="s">
        <v>6</v>
      </c>
      <c r="C36" s="9">
        <v>451</v>
      </c>
      <c r="D36" s="9"/>
      <c r="E36" s="9"/>
      <c r="F36" s="9"/>
      <c r="G36" s="9"/>
      <c r="H36" s="9"/>
      <c r="I36" s="9"/>
      <c r="J36" s="9" t="s">
        <v>30</v>
      </c>
    </row>
    <row r="37" spans="1:21" s="2" customFormat="1" ht="16.5" customHeight="1" thickBot="1">
      <c r="A37" s="40" t="s">
        <v>625</v>
      </c>
      <c r="B37" s="41" t="s">
        <v>6</v>
      </c>
      <c r="C37" s="9">
        <v>317</v>
      </c>
      <c r="D37" s="9"/>
      <c r="E37" s="9"/>
      <c r="F37" s="9"/>
      <c r="G37" s="9"/>
      <c r="H37" s="9"/>
      <c r="I37" s="9" t="s">
        <v>30</v>
      </c>
    </row>
    <row r="38" spans="1:21" s="2" customFormat="1" ht="16.5" customHeight="1" thickBot="1">
      <c r="A38" s="40" t="s">
        <v>408</v>
      </c>
      <c r="B38" s="44" t="s">
        <v>28</v>
      </c>
      <c r="C38" s="9">
        <v>215</v>
      </c>
      <c r="D38" s="9"/>
      <c r="E38" s="9"/>
      <c r="F38" s="9"/>
      <c r="G38" s="9"/>
      <c r="H38" s="9" t="s">
        <v>30</v>
      </c>
    </row>
    <row r="39" spans="1:21" s="2" customFormat="1" ht="16.5" customHeight="1" thickBot="1">
      <c r="A39" s="40" t="s">
        <v>629</v>
      </c>
      <c r="B39" s="84" t="s">
        <v>133</v>
      </c>
      <c r="C39" s="9">
        <v>106</v>
      </c>
      <c r="D39" s="9"/>
      <c r="E39" s="9"/>
      <c r="F39" s="9"/>
      <c r="G39" s="9" t="s">
        <v>30</v>
      </c>
    </row>
    <row r="40" spans="1:21" s="2" customFormat="1" ht="16.5" customHeight="1" thickBot="1">
      <c r="A40" s="40" t="s">
        <v>626</v>
      </c>
      <c r="B40" s="41" t="s">
        <v>6</v>
      </c>
      <c r="C40" s="9">
        <v>78</v>
      </c>
      <c r="D40" s="9"/>
      <c r="E40" s="9"/>
      <c r="F40" s="9" t="s">
        <v>30</v>
      </c>
      <c r="O40" s="13"/>
    </row>
    <row r="41" spans="1:21" s="2" customFormat="1" ht="12" customHeight="1">
      <c r="A41" s="28"/>
      <c r="B41" s="47"/>
      <c r="C41" s="28"/>
      <c r="D41" s="28"/>
      <c r="E41" s="28"/>
      <c r="F41" s="23"/>
      <c r="G41" s="23"/>
      <c r="H41" s="23"/>
      <c r="I41" s="23"/>
      <c r="J41" s="23"/>
      <c r="N41" s="18"/>
    </row>
    <row r="42" spans="1:21" s="2" customFormat="1" ht="17.45" customHeight="1">
      <c r="A42" s="1" t="s">
        <v>633</v>
      </c>
    </row>
    <row r="43" spans="1:21" s="2" customFormat="1" ht="10.5" customHeight="1" thickBot="1">
      <c r="A43" s="1"/>
    </row>
    <row r="44" spans="1:21" s="2" customFormat="1" ht="16.5" customHeight="1" thickBot="1">
      <c r="A44" s="3" t="s">
        <v>0</v>
      </c>
      <c r="B44" s="4" t="s">
        <v>1</v>
      </c>
      <c r="C44" s="4" t="s">
        <v>2</v>
      </c>
      <c r="D44" s="4">
        <v>2</v>
      </c>
      <c r="E44" s="4">
        <v>3</v>
      </c>
      <c r="F44" s="4">
        <v>4</v>
      </c>
      <c r="G44" s="4">
        <v>5</v>
      </c>
      <c r="H44" s="4">
        <v>6</v>
      </c>
      <c r="I44" s="4">
        <v>7</v>
      </c>
      <c r="J44" s="4">
        <v>8</v>
      </c>
      <c r="K44" s="4">
        <v>9</v>
      </c>
      <c r="L44" s="4">
        <v>10</v>
      </c>
      <c r="M44" s="4">
        <v>11</v>
      </c>
      <c r="N44" s="4">
        <v>12</v>
      </c>
      <c r="O44" s="4">
        <v>13</v>
      </c>
      <c r="P44" s="4">
        <v>14</v>
      </c>
      <c r="Q44" s="5"/>
      <c r="R44" s="12" t="s">
        <v>5</v>
      </c>
      <c r="S44" s="13">
        <f>(12756/20191)</f>
        <v>0.63176662869595368</v>
      </c>
    </row>
    <row r="45" spans="1:21" s="2" customFormat="1" ht="16.5" customHeight="1" thickBot="1">
      <c r="A45" s="6" t="s">
        <v>635</v>
      </c>
      <c r="B45" s="24" t="s">
        <v>28</v>
      </c>
      <c r="C45" s="9">
        <v>1384</v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8">
        <v>1820</v>
      </c>
      <c r="Q45" s="11" t="s">
        <v>11</v>
      </c>
      <c r="R45" s="15"/>
      <c r="S45" s="12" t="s">
        <v>8</v>
      </c>
      <c r="T45" s="12" t="s">
        <v>9</v>
      </c>
      <c r="U45" s="12" t="s">
        <v>10</v>
      </c>
    </row>
    <row r="46" spans="1:21" s="2" customFormat="1" ht="16.5" customHeight="1" thickBot="1">
      <c r="A46" s="6" t="s">
        <v>636</v>
      </c>
      <c r="B46" s="14" t="s">
        <v>6</v>
      </c>
      <c r="C46" s="9">
        <v>1326</v>
      </c>
      <c r="D46" s="9"/>
      <c r="E46" s="9"/>
      <c r="F46" s="9"/>
      <c r="G46" s="9"/>
      <c r="H46" s="9"/>
      <c r="I46" s="9"/>
      <c r="J46" s="9"/>
      <c r="K46" s="9"/>
      <c r="L46" s="9"/>
      <c r="M46" s="8">
        <v>1837</v>
      </c>
      <c r="N46" s="9"/>
      <c r="O46" s="9"/>
      <c r="P46" s="9"/>
      <c r="Q46" s="11" t="s">
        <v>4</v>
      </c>
      <c r="R46" s="16" t="s">
        <v>6</v>
      </c>
      <c r="S46" s="17">
        <f>(C46+C48+C49+C58+C60)</f>
        <v>4000</v>
      </c>
      <c r="T46" s="18">
        <f>SUM(S46/S49)</f>
        <v>0.31814205042551497</v>
      </c>
      <c r="U46" s="15">
        <v>2</v>
      </c>
    </row>
    <row r="47" spans="1:21" s="2" customFormat="1" ht="16.5" customHeight="1" thickBot="1">
      <c r="A47" s="6" t="s">
        <v>634</v>
      </c>
      <c r="B47" s="24" t="s">
        <v>28</v>
      </c>
      <c r="C47" s="9">
        <v>1034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8">
        <v>2043</v>
      </c>
      <c r="P47" s="9"/>
      <c r="Q47" s="8" t="s">
        <v>7</v>
      </c>
      <c r="R47" s="88" t="s">
        <v>133</v>
      </c>
      <c r="S47" s="23">
        <f>(C51+C52+C53+C55+C57+C62+C63)</f>
        <v>3620</v>
      </c>
      <c r="T47" s="13">
        <f>SUM(S47/S49)</f>
        <v>0.28791855563509106</v>
      </c>
      <c r="U47" s="15">
        <v>2</v>
      </c>
    </row>
    <row r="48" spans="1:21" s="2" customFormat="1" ht="16.5" customHeight="1" thickBot="1">
      <c r="A48" s="20" t="s">
        <v>638</v>
      </c>
      <c r="B48" s="21" t="s">
        <v>6</v>
      </c>
      <c r="C48" s="9">
        <v>994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11"/>
      <c r="R48" s="12" t="s">
        <v>13</v>
      </c>
      <c r="S48" s="23">
        <f>(C45+C47+C50+C54+C56+C59+C61)</f>
        <v>4953</v>
      </c>
      <c r="T48" s="13">
        <f>SUM(S48/S49)</f>
        <v>0.39393939393939392</v>
      </c>
      <c r="U48" s="2">
        <v>2</v>
      </c>
    </row>
    <row r="49" spans="1:19" s="2" customFormat="1" ht="16.5" customHeight="1" thickBot="1">
      <c r="A49" s="6" t="s">
        <v>793</v>
      </c>
      <c r="B49" s="14" t="s">
        <v>6</v>
      </c>
      <c r="C49" s="9">
        <v>974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8">
        <v>1595</v>
      </c>
      <c r="Q49" s="11" t="s">
        <v>12</v>
      </c>
      <c r="R49" s="15"/>
      <c r="S49" s="25">
        <v>12573</v>
      </c>
    </row>
    <row r="50" spans="1:19" s="2" customFormat="1" ht="16.5" customHeight="1" thickBot="1">
      <c r="A50" s="20" t="s">
        <v>641</v>
      </c>
      <c r="B50" s="26" t="s">
        <v>642</v>
      </c>
      <c r="C50" s="9">
        <v>813</v>
      </c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 t="s">
        <v>30</v>
      </c>
    </row>
    <row r="51" spans="1:19" s="2" customFormat="1" ht="16.5" customHeight="1" thickBot="1">
      <c r="A51" s="6" t="s">
        <v>640</v>
      </c>
      <c r="B51" s="119" t="s">
        <v>133</v>
      </c>
      <c r="C51" s="9">
        <v>762</v>
      </c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8">
        <v>1379</v>
      </c>
      <c r="Q51" s="11" t="s">
        <v>14</v>
      </c>
    </row>
    <row r="52" spans="1:19" s="2" customFormat="1" ht="16.5" customHeight="1" thickBot="1">
      <c r="A52" s="6" t="s">
        <v>639</v>
      </c>
      <c r="B52" s="119" t="s">
        <v>133</v>
      </c>
      <c r="C52" s="9">
        <v>720</v>
      </c>
      <c r="D52" s="10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8">
        <v>1510</v>
      </c>
      <c r="Q52" s="11" t="s">
        <v>15</v>
      </c>
    </row>
    <row r="53" spans="1:19" s="2" customFormat="1" ht="16.5" customHeight="1" thickBot="1">
      <c r="A53" s="20" t="s">
        <v>338</v>
      </c>
      <c r="B53" s="85" t="s">
        <v>133</v>
      </c>
      <c r="C53" s="9">
        <v>632</v>
      </c>
      <c r="D53" s="10"/>
      <c r="E53" s="10"/>
      <c r="F53" s="9"/>
      <c r="G53" s="9"/>
      <c r="H53" s="9"/>
      <c r="I53" s="9"/>
      <c r="J53" s="9"/>
      <c r="K53" s="9"/>
      <c r="L53" s="9"/>
      <c r="M53" s="9" t="s">
        <v>30</v>
      </c>
    </row>
    <row r="54" spans="1:19" s="2" customFormat="1" ht="16.5" customHeight="1" thickBot="1">
      <c r="A54" s="20" t="s">
        <v>539</v>
      </c>
      <c r="B54" s="26" t="s">
        <v>28</v>
      </c>
      <c r="C54" s="9">
        <v>599</v>
      </c>
      <c r="D54" s="9"/>
      <c r="E54" s="9"/>
      <c r="F54" s="10"/>
      <c r="G54" s="9"/>
      <c r="H54" s="9"/>
      <c r="I54" s="9"/>
      <c r="J54" s="9"/>
      <c r="K54" s="9"/>
      <c r="L54" s="9" t="s">
        <v>30</v>
      </c>
    </row>
    <row r="55" spans="1:19" s="2" customFormat="1" ht="16.5" customHeight="1" thickBot="1">
      <c r="A55" s="20" t="s">
        <v>589</v>
      </c>
      <c r="B55" s="85" t="s">
        <v>133</v>
      </c>
      <c r="C55" s="9">
        <v>595</v>
      </c>
      <c r="D55" s="10"/>
      <c r="E55" s="10"/>
      <c r="F55" s="9"/>
      <c r="G55" s="9"/>
      <c r="H55" s="9"/>
      <c r="I55" s="9"/>
      <c r="J55" s="9"/>
      <c r="K55" s="9"/>
      <c r="L55" s="9"/>
      <c r="M55" s="9"/>
      <c r="N55" s="9" t="s">
        <v>30</v>
      </c>
    </row>
    <row r="56" spans="1:19" s="2" customFormat="1" ht="16.5" customHeight="1" thickBot="1">
      <c r="A56" s="20" t="s">
        <v>637</v>
      </c>
      <c r="B56" s="26" t="s">
        <v>28</v>
      </c>
      <c r="C56" s="9">
        <v>499</v>
      </c>
      <c r="D56" s="9"/>
      <c r="E56" s="9"/>
      <c r="F56" s="9"/>
      <c r="G56" s="9"/>
      <c r="H56" s="9"/>
      <c r="I56" s="9"/>
      <c r="J56" s="9" t="s">
        <v>30</v>
      </c>
    </row>
    <row r="57" spans="1:19" s="2" customFormat="1" ht="16.5" customHeight="1" thickBot="1">
      <c r="A57" s="20" t="s">
        <v>643</v>
      </c>
      <c r="B57" s="85" t="s">
        <v>133</v>
      </c>
      <c r="C57" s="9">
        <v>458</v>
      </c>
      <c r="D57" s="10"/>
      <c r="E57" s="10"/>
      <c r="F57" s="9"/>
      <c r="G57" s="9"/>
      <c r="H57" s="9"/>
      <c r="I57" s="9" t="s">
        <v>30</v>
      </c>
    </row>
    <row r="58" spans="1:19" s="2" customFormat="1" ht="16.5" customHeight="1" thickBot="1">
      <c r="A58" s="20" t="s">
        <v>349</v>
      </c>
      <c r="B58" s="21" t="s">
        <v>6</v>
      </c>
      <c r="C58" s="9">
        <v>436</v>
      </c>
      <c r="D58" s="9"/>
      <c r="E58" s="9"/>
      <c r="F58" s="9"/>
      <c r="G58" s="9"/>
      <c r="H58" s="9"/>
      <c r="I58" s="9"/>
      <c r="J58" s="9"/>
      <c r="K58" s="9" t="s">
        <v>30</v>
      </c>
    </row>
    <row r="59" spans="1:19" s="2" customFormat="1" ht="16.5" customHeight="1" thickBot="1">
      <c r="A59" s="20" t="s">
        <v>375</v>
      </c>
      <c r="B59" s="26" t="s">
        <v>28</v>
      </c>
      <c r="C59" s="9">
        <v>382</v>
      </c>
      <c r="D59" s="9"/>
      <c r="E59" s="9"/>
      <c r="F59" s="9"/>
      <c r="G59" s="9"/>
      <c r="H59" s="9" t="s">
        <v>30</v>
      </c>
    </row>
    <row r="60" spans="1:19" s="2" customFormat="1" ht="16.5" customHeight="1" thickBot="1">
      <c r="A60" s="20" t="s">
        <v>410</v>
      </c>
      <c r="B60" s="21" t="s">
        <v>6</v>
      </c>
      <c r="C60" s="9">
        <v>270</v>
      </c>
      <c r="D60" s="9"/>
      <c r="E60" s="9"/>
      <c r="F60" s="9"/>
      <c r="G60" s="9" t="s">
        <v>30</v>
      </c>
    </row>
    <row r="61" spans="1:19" s="2" customFormat="1" ht="16.5" customHeight="1" thickBot="1">
      <c r="A61" s="20" t="s">
        <v>422</v>
      </c>
      <c r="B61" s="26" t="s">
        <v>28</v>
      </c>
      <c r="C61" s="9">
        <v>242</v>
      </c>
      <c r="D61" s="10"/>
      <c r="E61" s="9"/>
      <c r="F61" s="9" t="s">
        <v>30</v>
      </c>
    </row>
    <row r="62" spans="1:19" s="2" customFormat="1" ht="16.5" customHeight="1" thickBot="1">
      <c r="A62" s="20" t="s">
        <v>645</v>
      </c>
      <c r="B62" s="85" t="s">
        <v>133</v>
      </c>
      <c r="C62" s="9">
        <v>231</v>
      </c>
      <c r="D62" s="9"/>
      <c r="E62" s="9" t="s">
        <v>30</v>
      </c>
    </row>
    <row r="63" spans="1:19" s="2" customFormat="1" ht="16.5" customHeight="1" thickBot="1">
      <c r="A63" s="20" t="s">
        <v>644</v>
      </c>
      <c r="B63" s="85" t="s">
        <v>133</v>
      </c>
      <c r="C63" s="9">
        <v>222</v>
      </c>
      <c r="D63" s="9" t="s">
        <v>30</v>
      </c>
    </row>
    <row r="64" spans="1:19">
      <c r="C64" s="63"/>
    </row>
    <row r="65" spans="1:19" s="2" customFormat="1" ht="17.45" customHeight="1">
      <c r="A65" s="31" t="s">
        <v>648</v>
      </c>
      <c r="B65" s="23"/>
      <c r="C65" s="23"/>
      <c r="D65" s="23"/>
      <c r="E65" s="23"/>
      <c r="F65" s="23"/>
      <c r="G65" s="23"/>
      <c r="H65" s="23"/>
      <c r="I65" s="23"/>
      <c r="J65" s="23"/>
    </row>
    <row r="66" spans="1:19" s="2" customFormat="1" ht="8.25" customHeight="1" thickBot="1">
      <c r="A66" s="31"/>
      <c r="B66" s="23"/>
      <c r="C66" s="23"/>
      <c r="D66" s="23"/>
      <c r="E66" s="23"/>
      <c r="F66" s="23"/>
      <c r="G66" s="23"/>
      <c r="H66" s="23"/>
      <c r="I66" s="23"/>
      <c r="J66" s="23"/>
    </row>
    <row r="67" spans="1:19" s="2" customFormat="1" ht="17.45" customHeight="1" thickBot="1">
      <c r="A67" s="35" t="s">
        <v>0</v>
      </c>
      <c r="B67" s="36" t="s">
        <v>1</v>
      </c>
      <c r="C67" s="36" t="s">
        <v>2</v>
      </c>
      <c r="D67" s="36">
        <v>2</v>
      </c>
      <c r="E67" s="36">
        <v>3</v>
      </c>
      <c r="F67" s="36">
        <v>4</v>
      </c>
      <c r="G67" s="36">
        <v>5</v>
      </c>
      <c r="H67" s="36">
        <v>6</v>
      </c>
      <c r="I67" s="36">
        <v>7</v>
      </c>
      <c r="J67" s="36"/>
      <c r="K67" s="25" t="s">
        <v>5</v>
      </c>
      <c r="L67" s="13">
        <f>(8714/15008)</f>
        <v>0.58062366737739868</v>
      </c>
      <c r="N67" s="13"/>
    </row>
    <row r="68" spans="1:19" s="2" customFormat="1" ht="17.45" customHeight="1" thickBot="1">
      <c r="A68" s="37" t="s">
        <v>651</v>
      </c>
      <c r="B68" s="38" t="s">
        <v>6</v>
      </c>
      <c r="C68" s="52">
        <v>1791</v>
      </c>
      <c r="D68" s="9"/>
      <c r="E68" s="9"/>
      <c r="F68" s="9"/>
      <c r="G68" s="9"/>
      <c r="H68" s="9"/>
      <c r="I68" s="9"/>
      <c r="J68" s="8" t="s">
        <v>4</v>
      </c>
      <c r="K68" s="17"/>
      <c r="L68" s="12" t="s">
        <v>8</v>
      </c>
      <c r="M68" s="12" t="s">
        <v>9</v>
      </c>
      <c r="N68" s="12" t="s">
        <v>10</v>
      </c>
    </row>
    <row r="69" spans="1:19" s="2" customFormat="1" ht="17.45" customHeight="1" thickBot="1">
      <c r="A69" s="37" t="s">
        <v>652</v>
      </c>
      <c r="B69" s="39" t="s">
        <v>3</v>
      </c>
      <c r="C69" s="9">
        <v>1256</v>
      </c>
      <c r="D69" s="9"/>
      <c r="E69" s="9"/>
      <c r="F69" s="9"/>
      <c r="G69" s="9"/>
      <c r="H69" s="8">
        <v>1678</v>
      </c>
      <c r="I69" s="9"/>
      <c r="J69" s="8" t="s">
        <v>7</v>
      </c>
      <c r="K69" s="48" t="s">
        <v>6</v>
      </c>
      <c r="L69" s="17">
        <f>(C68+C72+C73+C74)</f>
        <v>4207</v>
      </c>
      <c r="M69" s="18">
        <f>SUM(L69/L73)</f>
        <v>0.49049784306867206</v>
      </c>
      <c r="N69" s="15">
        <v>3</v>
      </c>
    </row>
    <row r="70" spans="1:19" s="2" customFormat="1" ht="17.45" customHeight="1" thickBot="1">
      <c r="A70" s="37" t="s">
        <v>662</v>
      </c>
      <c r="B70" s="39" t="s">
        <v>3</v>
      </c>
      <c r="C70" s="9">
        <v>1121</v>
      </c>
      <c r="D70" s="9"/>
      <c r="E70" s="9"/>
      <c r="F70" s="9"/>
      <c r="G70" s="9"/>
      <c r="H70" s="9"/>
      <c r="I70" s="8">
        <v>1268</v>
      </c>
      <c r="J70" s="8" t="s">
        <v>15</v>
      </c>
      <c r="K70" s="19" t="s">
        <v>3</v>
      </c>
      <c r="L70" s="23">
        <f>(C69+C70)</f>
        <v>2377</v>
      </c>
      <c r="M70" s="13">
        <f>SUM(L70/L73)</f>
        <v>0.2771365279235164</v>
      </c>
      <c r="N70" s="2">
        <v>2</v>
      </c>
    </row>
    <row r="71" spans="1:19" s="2" customFormat="1" ht="17.45" customHeight="1" thickBot="1">
      <c r="A71" s="40" t="s">
        <v>466</v>
      </c>
      <c r="B71" s="85" t="s">
        <v>133</v>
      </c>
      <c r="C71" s="9">
        <v>915</v>
      </c>
      <c r="D71" s="9"/>
      <c r="E71" s="9"/>
      <c r="F71" s="9"/>
      <c r="G71" s="9"/>
      <c r="H71" s="9"/>
      <c r="I71" s="9">
        <v>1005</v>
      </c>
      <c r="J71" s="8"/>
      <c r="K71" s="88" t="s">
        <v>133</v>
      </c>
      <c r="L71" s="23">
        <v>915</v>
      </c>
      <c r="M71" s="13">
        <f>SUM(L71/L73)</f>
        <v>0.10668065757257783</v>
      </c>
    </row>
    <row r="72" spans="1:19" s="2" customFormat="1" ht="17.45" customHeight="1" thickBot="1">
      <c r="A72" s="37" t="s">
        <v>653</v>
      </c>
      <c r="B72" s="38" t="s">
        <v>6</v>
      </c>
      <c r="C72" s="9">
        <v>829</v>
      </c>
      <c r="D72" s="9"/>
      <c r="E72" s="9"/>
      <c r="F72" s="9"/>
      <c r="G72" s="9"/>
      <c r="H72" s="8">
        <v>1488</v>
      </c>
      <c r="I72" s="9"/>
      <c r="J72" s="8" t="s">
        <v>11</v>
      </c>
      <c r="K72" s="22" t="s">
        <v>13</v>
      </c>
      <c r="L72" s="17">
        <f>(C76+C77+C75)</f>
        <v>1078</v>
      </c>
      <c r="M72" s="18">
        <f>SUM(L72/L73)</f>
        <v>0.12568497143523377</v>
      </c>
    </row>
    <row r="73" spans="1:19" s="2" customFormat="1" ht="17.45" customHeight="1" thickBot="1">
      <c r="A73" s="37" t="s">
        <v>747</v>
      </c>
      <c r="B73" s="38" t="s">
        <v>6</v>
      </c>
      <c r="C73" s="9">
        <v>819</v>
      </c>
      <c r="D73" s="9"/>
      <c r="E73" s="9"/>
      <c r="F73" s="9"/>
      <c r="G73" s="9"/>
      <c r="H73" s="9"/>
      <c r="I73" s="8">
        <v>1307</v>
      </c>
      <c r="J73" s="8" t="s">
        <v>12</v>
      </c>
      <c r="K73" s="60"/>
      <c r="L73" s="25">
        <v>8577</v>
      </c>
      <c r="M73" s="13"/>
    </row>
    <row r="74" spans="1:19" s="2" customFormat="1" ht="17.45" customHeight="1" thickBot="1">
      <c r="A74" s="40" t="s">
        <v>650</v>
      </c>
      <c r="B74" s="41" t="s">
        <v>6</v>
      </c>
      <c r="C74" s="9">
        <v>768</v>
      </c>
      <c r="D74" s="9"/>
      <c r="E74" s="9"/>
      <c r="F74" s="9"/>
      <c r="G74" s="9">
        <v>838</v>
      </c>
      <c r="H74" s="9" t="s">
        <v>30</v>
      </c>
      <c r="I74" s="23"/>
      <c r="J74" s="23"/>
    </row>
    <row r="75" spans="1:19" s="2" customFormat="1" ht="17.45" customHeight="1" thickBot="1">
      <c r="A75" s="40" t="s">
        <v>661</v>
      </c>
      <c r="B75" s="26" t="s">
        <v>28</v>
      </c>
      <c r="C75" s="9">
        <v>563</v>
      </c>
      <c r="D75" s="9"/>
      <c r="E75" s="9"/>
      <c r="F75" s="9">
        <v>620</v>
      </c>
      <c r="G75" s="9" t="s">
        <v>30</v>
      </c>
      <c r="P75" s="23"/>
      <c r="Q75" s="25"/>
      <c r="R75" s="23"/>
      <c r="S75" s="13"/>
    </row>
    <row r="76" spans="1:19" s="2" customFormat="1" ht="17.45" customHeight="1" thickBot="1">
      <c r="A76" s="40" t="s">
        <v>649</v>
      </c>
      <c r="B76" s="26" t="s">
        <v>28</v>
      </c>
      <c r="C76" s="9">
        <v>443</v>
      </c>
      <c r="D76" s="9"/>
      <c r="E76" s="9">
        <v>443</v>
      </c>
      <c r="F76" s="9" t="s">
        <v>30</v>
      </c>
      <c r="H76" s="23"/>
      <c r="I76" s="23"/>
    </row>
    <row r="77" spans="1:19" s="2" customFormat="1" ht="17.45" customHeight="1" thickBot="1">
      <c r="A77" s="40" t="s">
        <v>660</v>
      </c>
      <c r="B77" s="26" t="s">
        <v>28</v>
      </c>
      <c r="C77" s="9">
        <v>72</v>
      </c>
      <c r="D77" s="9" t="s">
        <v>30</v>
      </c>
      <c r="P77" s="23"/>
      <c r="Q77" s="25"/>
      <c r="R77" s="23"/>
      <c r="S77" s="13"/>
    </row>
    <row r="78" spans="1:19" s="2" customFormat="1" ht="13.5" customHeight="1">
      <c r="A78" s="28"/>
      <c r="B78" s="80"/>
      <c r="C78" s="28"/>
      <c r="D78" s="28"/>
      <c r="E78" s="28"/>
      <c r="F78" s="23"/>
      <c r="G78" s="23"/>
      <c r="H78" s="23"/>
      <c r="I78" s="23"/>
      <c r="J78" s="25"/>
      <c r="L78" s="13"/>
      <c r="M78" s="13"/>
    </row>
    <row r="79" spans="1:19" s="2" customFormat="1" ht="17.45" customHeight="1">
      <c r="A79" s="31" t="s">
        <v>663</v>
      </c>
      <c r="B79" s="23"/>
      <c r="C79" s="23"/>
      <c r="D79" s="23"/>
      <c r="E79" s="23"/>
      <c r="F79" s="23"/>
      <c r="G79" s="23"/>
      <c r="H79" s="23"/>
      <c r="I79" s="23"/>
      <c r="J79" s="23"/>
    </row>
    <row r="80" spans="1:19" s="2" customFormat="1" ht="10.5" customHeight="1" thickBot="1">
      <c r="A80" s="31"/>
      <c r="B80" s="23"/>
      <c r="C80" s="23"/>
      <c r="D80" s="23"/>
      <c r="E80" s="23"/>
      <c r="F80" s="23"/>
      <c r="G80" s="23"/>
      <c r="H80" s="23"/>
      <c r="I80" s="23"/>
      <c r="J80" s="23"/>
    </row>
    <row r="81" spans="1:17" s="2" customFormat="1" ht="16.5" customHeight="1" thickBot="1">
      <c r="A81" s="35" t="s">
        <v>0</v>
      </c>
      <c r="B81" s="36" t="s">
        <v>1</v>
      </c>
      <c r="C81" s="36" t="s">
        <v>2</v>
      </c>
      <c r="D81" s="36">
        <v>2</v>
      </c>
      <c r="E81" s="36">
        <v>3</v>
      </c>
      <c r="F81" s="36">
        <v>4</v>
      </c>
      <c r="G81" s="36">
        <v>5</v>
      </c>
      <c r="H81" s="36">
        <v>6</v>
      </c>
      <c r="I81" s="36">
        <v>7</v>
      </c>
      <c r="J81" s="36">
        <v>8</v>
      </c>
      <c r="K81" s="36">
        <v>9</v>
      </c>
      <c r="L81" s="36">
        <v>10</v>
      </c>
      <c r="M81" s="45"/>
      <c r="N81" s="12" t="s">
        <v>5</v>
      </c>
      <c r="O81" s="13">
        <f>(12177/24823)</f>
        <v>0.49055311606171698</v>
      </c>
    </row>
    <row r="82" spans="1:17" s="2" customFormat="1" ht="16.5" customHeight="1" thickBot="1">
      <c r="A82" s="37" t="s">
        <v>664</v>
      </c>
      <c r="B82" s="52" t="s">
        <v>28</v>
      </c>
      <c r="C82" s="8">
        <v>1637</v>
      </c>
      <c r="D82" s="9"/>
      <c r="E82" s="9"/>
      <c r="F82" s="9"/>
      <c r="G82" s="9"/>
      <c r="H82" s="9"/>
      <c r="I82" s="9"/>
      <c r="J82" s="9"/>
      <c r="K82" s="9"/>
      <c r="L82" s="9"/>
      <c r="M82" s="8" t="s">
        <v>4</v>
      </c>
      <c r="N82" s="15"/>
      <c r="O82" s="12" t="s">
        <v>8</v>
      </c>
      <c r="P82" s="12" t="s">
        <v>9</v>
      </c>
      <c r="Q82" s="12" t="s">
        <v>10</v>
      </c>
    </row>
    <row r="83" spans="1:17" s="2" customFormat="1" ht="16.5" customHeight="1" thickBot="1">
      <c r="A83" s="37" t="s">
        <v>666</v>
      </c>
      <c r="B83" s="52" t="s">
        <v>592</v>
      </c>
      <c r="C83" s="9">
        <v>1269</v>
      </c>
      <c r="D83" s="9"/>
      <c r="E83" s="9"/>
      <c r="F83" s="9"/>
      <c r="G83" s="9"/>
      <c r="H83" s="8">
        <v>1458</v>
      </c>
      <c r="I83" s="9"/>
      <c r="J83" s="9"/>
      <c r="K83" s="9"/>
      <c r="L83" s="9"/>
      <c r="M83" s="8" t="s">
        <v>7</v>
      </c>
      <c r="N83" s="16" t="s">
        <v>6</v>
      </c>
      <c r="O83" s="17">
        <f>(C86+C88+C89+C92)</f>
        <v>2998</v>
      </c>
      <c r="P83" s="18">
        <f>SUM(O83/O87)</f>
        <v>0.25711835334476846</v>
      </c>
      <c r="Q83" s="15">
        <v>2</v>
      </c>
    </row>
    <row r="84" spans="1:17" s="2" customFormat="1" ht="16.5" customHeight="1" thickBot="1">
      <c r="A84" s="37" t="s">
        <v>799</v>
      </c>
      <c r="B84" s="52" t="s">
        <v>28</v>
      </c>
      <c r="C84" s="9">
        <v>973</v>
      </c>
      <c r="D84" s="9"/>
      <c r="E84" s="9"/>
      <c r="F84" s="9"/>
      <c r="G84" s="9"/>
      <c r="H84" s="9"/>
      <c r="I84" s="9"/>
      <c r="J84" s="9"/>
      <c r="K84" s="9"/>
      <c r="L84" s="8">
        <v>1457</v>
      </c>
      <c r="M84" s="8" t="s">
        <v>11</v>
      </c>
      <c r="N84" s="29" t="s">
        <v>17</v>
      </c>
      <c r="O84" s="17">
        <v>826</v>
      </c>
      <c r="P84" s="18">
        <f>SUM(O84/O87)</f>
        <v>7.0840480274442535E-2</v>
      </c>
    </row>
    <row r="85" spans="1:17" s="2" customFormat="1" ht="16.5" customHeight="1" thickBot="1">
      <c r="A85" s="37" t="s">
        <v>801</v>
      </c>
      <c r="B85" s="91" t="s">
        <v>671</v>
      </c>
      <c r="C85" s="9">
        <v>969</v>
      </c>
      <c r="D85" s="9"/>
      <c r="E85" s="9"/>
      <c r="F85" s="9"/>
      <c r="G85" s="9"/>
      <c r="H85" s="9"/>
      <c r="I85" s="9"/>
      <c r="J85" s="9"/>
      <c r="K85" s="9"/>
      <c r="L85" s="8">
        <v>1252</v>
      </c>
      <c r="M85" s="8" t="s">
        <v>15</v>
      </c>
      <c r="N85" s="88" t="s">
        <v>133</v>
      </c>
      <c r="O85" s="17">
        <f>(C91+C94+C95+C96)</f>
        <v>1679</v>
      </c>
      <c r="P85" s="18">
        <f>SUM(O85/O87)</f>
        <v>0.14399656946826758</v>
      </c>
      <c r="Q85" s="2">
        <v>1</v>
      </c>
    </row>
    <row r="86" spans="1:17" s="2" customFormat="1" ht="16.5" customHeight="1" thickBot="1">
      <c r="A86" s="37" t="s">
        <v>668</v>
      </c>
      <c r="B86" s="38" t="s">
        <v>6</v>
      </c>
      <c r="C86" s="9">
        <v>929</v>
      </c>
      <c r="D86" s="9"/>
      <c r="E86" s="9"/>
      <c r="F86" s="9"/>
      <c r="G86" s="9"/>
      <c r="H86" s="9"/>
      <c r="I86" s="9"/>
      <c r="J86" s="9"/>
      <c r="K86" s="9"/>
      <c r="L86" s="8">
        <v>1301</v>
      </c>
      <c r="M86" s="8" t="s">
        <v>12</v>
      </c>
      <c r="N86" s="22" t="s">
        <v>13</v>
      </c>
      <c r="O86" s="17">
        <f>(C82+C83+C84+C85+C90+C93+C97)</f>
        <v>6157</v>
      </c>
      <c r="P86" s="18">
        <f>SUM(O86/O87)</f>
        <v>0.52804459691252148</v>
      </c>
      <c r="Q86" s="2">
        <v>4</v>
      </c>
    </row>
    <row r="87" spans="1:17" s="2" customFormat="1" ht="16.5" customHeight="1" thickBot="1">
      <c r="A87" s="40" t="s">
        <v>673</v>
      </c>
      <c r="B87" s="50" t="s">
        <v>17</v>
      </c>
      <c r="C87" s="9">
        <v>826</v>
      </c>
      <c r="D87" s="9"/>
      <c r="E87" s="9"/>
      <c r="F87" s="9"/>
      <c r="G87" s="9"/>
      <c r="H87" s="9"/>
      <c r="I87" s="9"/>
      <c r="J87" s="9"/>
      <c r="K87" s="9"/>
      <c r="L87" s="9"/>
      <c r="M87" s="8"/>
      <c r="N87" s="12"/>
      <c r="O87" s="25">
        <v>11660</v>
      </c>
      <c r="P87" s="13"/>
      <c r="Q87" s="15"/>
    </row>
    <row r="88" spans="1:17" s="2" customFormat="1" ht="16.5" customHeight="1" thickBot="1">
      <c r="A88" s="37" t="s">
        <v>800</v>
      </c>
      <c r="B88" s="38" t="s">
        <v>6</v>
      </c>
      <c r="C88" s="9">
        <v>780</v>
      </c>
      <c r="D88" s="9"/>
      <c r="E88" s="9"/>
      <c r="F88" s="9"/>
      <c r="G88" s="9"/>
      <c r="H88" s="9"/>
      <c r="I88" s="9"/>
      <c r="J88" s="9"/>
      <c r="K88" s="9"/>
      <c r="L88" s="8">
        <v>1219</v>
      </c>
      <c r="M88" s="8" t="s">
        <v>16</v>
      </c>
    </row>
    <row r="89" spans="1:17" s="2" customFormat="1" ht="16.5" customHeight="1" thickBot="1">
      <c r="A89" s="40" t="s">
        <v>665</v>
      </c>
      <c r="B89" s="41" t="s">
        <v>6</v>
      </c>
      <c r="C89" s="9">
        <v>670</v>
      </c>
      <c r="D89" s="9"/>
      <c r="E89" s="9"/>
      <c r="F89" s="9"/>
      <c r="G89" s="9"/>
      <c r="H89" s="9"/>
      <c r="I89" s="9"/>
      <c r="J89" s="9"/>
      <c r="K89" s="9">
        <v>905</v>
      </c>
      <c r="L89" s="9" t="s">
        <v>30</v>
      </c>
    </row>
    <row r="90" spans="1:17" s="2" customFormat="1" ht="16.5" customHeight="1" thickBot="1">
      <c r="A90" s="40" t="s">
        <v>748</v>
      </c>
      <c r="B90" s="44" t="s">
        <v>642</v>
      </c>
      <c r="C90" s="9">
        <v>668</v>
      </c>
      <c r="D90" s="9"/>
      <c r="E90" s="9"/>
      <c r="F90" s="9"/>
      <c r="G90" s="9"/>
      <c r="H90" s="9"/>
      <c r="I90" s="9"/>
      <c r="J90" s="9">
        <v>834</v>
      </c>
      <c r="K90" s="9" t="s">
        <v>30</v>
      </c>
    </row>
    <row r="91" spans="1:17" s="2" customFormat="1" ht="16.5" customHeight="1" thickBot="1">
      <c r="A91" s="37" t="s">
        <v>670</v>
      </c>
      <c r="B91" s="93" t="s">
        <v>133</v>
      </c>
      <c r="C91" s="9">
        <v>663</v>
      </c>
      <c r="D91" s="9"/>
      <c r="E91" s="9"/>
      <c r="F91" s="9"/>
      <c r="G91" s="9"/>
      <c r="H91" s="9"/>
      <c r="I91" s="9"/>
      <c r="J91" s="9"/>
      <c r="K91" s="9"/>
      <c r="L91" s="8">
        <v>1247</v>
      </c>
      <c r="M91" s="8" t="s">
        <v>14</v>
      </c>
    </row>
    <row r="92" spans="1:17" s="2" customFormat="1" ht="16.5" customHeight="1" thickBot="1">
      <c r="A92" s="40" t="s">
        <v>669</v>
      </c>
      <c r="B92" s="41" t="s">
        <v>6</v>
      </c>
      <c r="C92" s="9">
        <v>619</v>
      </c>
      <c r="D92" s="9"/>
      <c r="E92" s="9"/>
      <c r="F92" s="9"/>
      <c r="G92" s="9"/>
      <c r="H92" s="9">
        <v>636</v>
      </c>
      <c r="I92" s="9" t="s">
        <v>30</v>
      </c>
    </row>
    <row r="93" spans="1:17" s="2" customFormat="1" ht="16.5" customHeight="1" thickBot="1">
      <c r="A93" s="40" t="s">
        <v>477</v>
      </c>
      <c r="B93" s="44" t="s">
        <v>28</v>
      </c>
      <c r="C93" s="9">
        <v>503</v>
      </c>
      <c r="D93" s="9"/>
      <c r="E93" s="9"/>
      <c r="F93" s="9"/>
      <c r="G93" s="9"/>
      <c r="H93" s="9" t="s">
        <v>30</v>
      </c>
      <c r="L93" s="23"/>
    </row>
    <row r="94" spans="1:17" s="2" customFormat="1" ht="16.5" customHeight="1" thickBot="1">
      <c r="A94" s="40" t="s">
        <v>481</v>
      </c>
      <c r="B94" s="84" t="s">
        <v>133</v>
      </c>
      <c r="C94" s="9">
        <v>494</v>
      </c>
      <c r="D94" s="9"/>
      <c r="E94" s="9"/>
      <c r="F94" s="9"/>
      <c r="G94" s="9"/>
      <c r="H94" s="9"/>
      <c r="I94" s="9">
        <v>667</v>
      </c>
      <c r="J94" s="9" t="s">
        <v>30</v>
      </c>
    </row>
    <row r="95" spans="1:17" s="2" customFormat="1" ht="16.5" customHeight="1" thickBot="1">
      <c r="A95" s="40" t="s">
        <v>482</v>
      </c>
      <c r="B95" s="84" t="s">
        <v>133</v>
      </c>
      <c r="C95" s="9">
        <v>319</v>
      </c>
      <c r="D95" s="9"/>
      <c r="E95" s="9"/>
      <c r="F95" s="9">
        <v>359</v>
      </c>
      <c r="G95" s="9" t="s">
        <v>30</v>
      </c>
    </row>
    <row r="96" spans="1:17" s="2" customFormat="1" ht="16.5" customHeight="1" thickBot="1">
      <c r="A96" s="40" t="s">
        <v>672</v>
      </c>
      <c r="B96" s="84" t="s">
        <v>133</v>
      </c>
      <c r="C96" s="9">
        <v>203</v>
      </c>
      <c r="D96" s="9"/>
      <c r="E96" s="9">
        <v>204</v>
      </c>
      <c r="F96" s="9" t="s">
        <v>30</v>
      </c>
    </row>
    <row r="97" spans="1:23" s="2" customFormat="1" ht="16.5" customHeight="1" thickBot="1">
      <c r="A97" s="40" t="s">
        <v>674</v>
      </c>
      <c r="B97" s="44" t="s">
        <v>28</v>
      </c>
      <c r="C97" s="9">
        <v>138</v>
      </c>
      <c r="D97" s="9">
        <v>140</v>
      </c>
      <c r="E97" s="9" t="s">
        <v>30</v>
      </c>
      <c r="L97" s="23"/>
    </row>
    <row r="98" spans="1:23">
      <c r="C98" s="63"/>
      <c r="D98" s="63"/>
      <c r="E98" s="63"/>
    </row>
    <row r="99" spans="1:23" s="99" customFormat="1" ht="15" customHeight="1">
      <c r="B99" s="64" t="s">
        <v>18</v>
      </c>
      <c r="C99" s="66" t="s">
        <v>6</v>
      </c>
      <c r="D99" s="67" t="s">
        <v>3</v>
      </c>
      <c r="E99" s="68" t="s">
        <v>17</v>
      </c>
      <c r="F99" s="70" t="s">
        <v>133</v>
      </c>
      <c r="G99" s="64" t="s">
        <v>13</v>
      </c>
      <c r="K99" s="101"/>
      <c r="L99" s="64"/>
      <c r="V99" s="98"/>
      <c r="W99" s="103"/>
    </row>
    <row r="100" spans="1:23" s="99" customFormat="1" ht="15" customHeight="1">
      <c r="A100" s="99" t="s">
        <v>8</v>
      </c>
      <c r="B100" s="110">
        <f>SUM(P8+U27+L73+S49+O87)</f>
        <v>57064</v>
      </c>
      <c r="C100" s="108">
        <f>SUM(O83+S46+L69+U23+P5)</f>
        <v>19474</v>
      </c>
      <c r="D100" s="108">
        <v>2377</v>
      </c>
      <c r="E100" s="108">
        <f>(O84+U25)</f>
        <v>2955</v>
      </c>
      <c r="F100" s="108">
        <f>SUM(O85+S47+U24+P6+L71)</f>
        <v>13071</v>
      </c>
      <c r="G100" s="108">
        <f>SUM(O86+S48+U26+L72+P7)</f>
        <v>19187</v>
      </c>
      <c r="K100" s="98"/>
      <c r="L100" s="105"/>
      <c r="U100" s="107"/>
      <c r="V100" s="77"/>
      <c r="W100" s="103"/>
    </row>
    <row r="101" spans="1:23" s="99" customFormat="1" ht="15" customHeight="1">
      <c r="A101" s="99" t="s">
        <v>9</v>
      </c>
      <c r="B101" s="102">
        <v>1</v>
      </c>
      <c r="C101" s="103">
        <f>SUM(C100/$B$100)</f>
        <v>0.34126594700686946</v>
      </c>
      <c r="D101" s="103">
        <f>SUM(D100/$B$100)</f>
        <v>4.1654983877751295E-2</v>
      </c>
      <c r="E101" s="103">
        <f>SUM(E100/$B$100)</f>
        <v>5.1783961867376979E-2</v>
      </c>
      <c r="F101" s="103">
        <f>SUM(F100/$B$100)</f>
        <v>0.22905860086919949</v>
      </c>
      <c r="G101" s="103">
        <f>SUM(G100/$B$100)</f>
        <v>0.33623650637880276</v>
      </c>
      <c r="K101" s="103"/>
      <c r="L101" s="64"/>
      <c r="U101" s="64"/>
    </row>
    <row r="102" spans="1:23" s="99" customFormat="1" ht="15" customHeight="1">
      <c r="A102" s="99" t="s">
        <v>10</v>
      </c>
      <c r="B102" s="110">
        <v>31</v>
      </c>
      <c r="C102" s="108">
        <v>12</v>
      </c>
      <c r="D102" s="108">
        <v>2</v>
      </c>
      <c r="E102" s="108">
        <v>1</v>
      </c>
      <c r="F102" s="108">
        <v>8</v>
      </c>
      <c r="G102" s="108">
        <v>8</v>
      </c>
      <c r="L102" s="106"/>
    </row>
    <row r="103" spans="1:23" s="2" customFormat="1" ht="16.5" customHeight="1">
      <c r="A103" s="1"/>
    </row>
    <row r="104" spans="1:23" ht="14.25">
      <c r="O104" s="2"/>
      <c r="P104" s="2"/>
      <c r="Q104" s="2"/>
      <c r="R104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V85"/>
  <sheetViews>
    <sheetView zoomScaleNormal="100" workbookViewId="0">
      <selection activeCell="N1" sqref="N1"/>
    </sheetView>
  </sheetViews>
  <sheetFormatPr defaultRowHeight="12.75"/>
  <cols>
    <col min="1" max="1" width="25.28515625" customWidth="1"/>
    <col min="2" max="3" width="8.5703125" customWidth="1"/>
    <col min="4" max="21" width="8.7109375" customWidth="1"/>
  </cols>
  <sheetData>
    <row r="1" spans="1:15" s="2" customFormat="1" ht="16.5" customHeight="1">
      <c r="A1" s="31" t="s">
        <v>575</v>
      </c>
      <c r="B1" s="23"/>
      <c r="C1" s="23"/>
      <c r="D1" s="23"/>
      <c r="E1" s="23"/>
      <c r="F1" s="23"/>
      <c r="G1" s="23"/>
      <c r="H1" s="23"/>
      <c r="I1" s="23"/>
      <c r="J1" s="23"/>
    </row>
    <row r="2" spans="1:15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5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5"/>
      <c r="L3" s="12" t="s">
        <v>5</v>
      </c>
      <c r="M3" s="13">
        <f>(9281/14495)</f>
        <v>0.64028975508796138</v>
      </c>
    </row>
    <row r="4" spans="1:15" s="2" customFormat="1" ht="16.5" customHeight="1" thickBot="1">
      <c r="A4" s="37" t="s">
        <v>599</v>
      </c>
      <c r="B4" s="38" t="s">
        <v>6</v>
      </c>
      <c r="C4" s="8">
        <v>3257</v>
      </c>
      <c r="D4" s="9"/>
      <c r="E4" s="9"/>
      <c r="F4" s="9"/>
      <c r="G4" s="10"/>
      <c r="H4" s="9"/>
      <c r="I4" s="9"/>
      <c r="J4" s="9"/>
      <c r="K4" s="11" t="s">
        <v>4</v>
      </c>
      <c r="L4" s="15"/>
      <c r="M4" s="12" t="s">
        <v>8</v>
      </c>
      <c r="N4" s="12" t="s">
        <v>9</v>
      </c>
      <c r="O4" s="12" t="s">
        <v>10</v>
      </c>
    </row>
    <row r="5" spans="1:15" s="2" customFormat="1" ht="16.5" customHeight="1" thickBot="1">
      <c r="A5" s="37" t="s">
        <v>290</v>
      </c>
      <c r="B5" s="38" t="s">
        <v>6</v>
      </c>
      <c r="C5" s="9">
        <v>1069</v>
      </c>
      <c r="D5" s="8">
        <v>1508</v>
      </c>
      <c r="E5" s="9"/>
      <c r="F5" s="9"/>
      <c r="G5" s="9"/>
      <c r="H5" s="9"/>
      <c r="I5" s="9"/>
      <c r="J5" s="9"/>
      <c r="K5" s="11" t="s">
        <v>7</v>
      </c>
      <c r="L5" s="16" t="s">
        <v>6</v>
      </c>
      <c r="M5" s="17">
        <f>(C4+C6+C5+C11)</f>
        <v>5771</v>
      </c>
      <c r="N5" s="18">
        <f>SUM(M5/M9)</f>
        <v>0.63866755201416558</v>
      </c>
      <c r="O5" s="15">
        <v>3</v>
      </c>
    </row>
    <row r="6" spans="1:15" s="2" customFormat="1" ht="16.5" customHeight="1" thickBot="1">
      <c r="A6" s="37" t="s">
        <v>406</v>
      </c>
      <c r="B6" s="38" t="s">
        <v>6</v>
      </c>
      <c r="C6" s="9">
        <v>929</v>
      </c>
      <c r="D6" s="9">
        <v>1454</v>
      </c>
      <c r="E6" s="9">
        <v>1458</v>
      </c>
      <c r="F6" s="9">
        <v>1468</v>
      </c>
      <c r="G6" s="9">
        <v>1497</v>
      </c>
      <c r="H6" s="8">
        <v>1567</v>
      </c>
      <c r="I6" s="9"/>
      <c r="J6" s="9"/>
      <c r="K6" s="11" t="s">
        <v>11</v>
      </c>
      <c r="L6" s="88" t="s">
        <v>133</v>
      </c>
      <c r="M6" s="23">
        <f>(C7+C8+C10+C13)</f>
        <v>2137</v>
      </c>
      <c r="N6" s="13">
        <f>SUM(M6/M9)</f>
        <v>0.23649845064187694</v>
      </c>
      <c r="O6" s="15">
        <v>2</v>
      </c>
    </row>
    <row r="7" spans="1:15" s="2" customFormat="1" ht="16.5" customHeight="1" thickBot="1">
      <c r="A7" s="37" t="s">
        <v>355</v>
      </c>
      <c r="B7" s="93" t="s">
        <v>133</v>
      </c>
      <c r="C7" s="9">
        <v>667</v>
      </c>
      <c r="D7" s="9">
        <v>764</v>
      </c>
      <c r="E7" s="9">
        <v>767</v>
      </c>
      <c r="F7" s="9">
        <v>978</v>
      </c>
      <c r="G7" s="9">
        <v>987</v>
      </c>
      <c r="H7" s="9">
        <v>1203</v>
      </c>
      <c r="I7" s="9">
        <v>1209</v>
      </c>
      <c r="J7" s="8" t="s">
        <v>576</v>
      </c>
      <c r="K7" s="11" t="s">
        <v>12</v>
      </c>
      <c r="L7" s="29" t="s">
        <v>17</v>
      </c>
      <c r="M7" s="17">
        <v>459</v>
      </c>
      <c r="N7" s="18">
        <f>SUM(M7/M9)</f>
        <v>5.0796812749003988E-2</v>
      </c>
      <c r="O7" s="15"/>
    </row>
    <row r="8" spans="1:15" s="2" customFormat="1" ht="16.5" customHeight="1" thickBot="1">
      <c r="A8" s="40" t="s">
        <v>659</v>
      </c>
      <c r="B8" s="84" t="s">
        <v>133</v>
      </c>
      <c r="C8" s="9">
        <v>628</v>
      </c>
      <c r="D8" s="9">
        <v>728</v>
      </c>
      <c r="E8" s="9">
        <v>730</v>
      </c>
      <c r="F8" s="9">
        <v>747</v>
      </c>
      <c r="G8" s="9">
        <v>761</v>
      </c>
      <c r="H8" s="9" t="s">
        <v>30</v>
      </c>
      <c r="L8" s="22" t="s">
        <v>13</v>
      </c>
      <c r="M8" s="23">
        <f>(C9+C14)</f>
        <v>669</v>
      </c>
      <c r="N8" s="13">
        <f>SUM(M8/M9)</f>
        <v>7.4037184594953523E-2</v>
      </c>
      <c r="O8" s="15"/>
    </row>
    <row r="9" spans="1:15" s="2" customFormat="1" ht="16.5" customHeight="1" thickBot="1">
      <c r="A9" s="40" t="s">
        <v>612</v>
      </c>
      <c r="B9" s="44" t="s">
        <v>28</v>
      </c>
      <c r="C9" s="9">
        <v>587</v>
      </c>
      <c r="D9" s="9">
        <v>697</v>
      </c>
      <c r="E9" s="9">
        <v>704</v>
      </c>
      <c r="F9" s="9">
        <v>708</v>
      </c>
      <c r="G9" s="9">
        <v>781</v>
      </c>
      <c r="H9" s="9">
        <v>845</v>
      </c>
      <c r="I9" s="9">
        <v>852</v>
      </c>
      <c r="J9" s="9" t="s">
        <v>30</v>
      </c>
      <c r="M9" s="25">
        <v>9036</v>
      </c>
    </row>
    <row r="10" spans="1:15" s="2" customFormat="1" ht="16.5" customHeight="1" thickBot="1">
      <c r="A10" s="37" t="s">
        <v>512</v>
      </c>
      <c r="B10" s="93" t="s">
        <v>133</v>
      </c>
      <c r="C10" s="9">
        <v>536</v>
      </c>
      <c r="D10" s="9">
        <v>665</v>
      </c>
      <c r="E10" s="9">
        <v>699</v>
      </c>
      <c r="F10" s="9">
        <v>711</v>
      </c>
      <c r="G10" s="9">
        <v>846</v>
      </c>
      <c r="H10" s="9">
        <v>1102</v>
      </c>
      <c r="I10" s="9">
        <v>1112</v>
      </c>
      <c r="J10" s="8" t="s">
        <v>576</v>
      </c>
      <c r="K10" s="11" t="s">
        <v>15</v>
      </c>
    </row>
    <row r="11" spans="1:15" s="2" customFormat="1" ht="16.5" customHeight="1" thickBot="1">
      <c r="A11" s="40" t="s">
        <v>571</v>
      </c>
      <c r="B11" s="41" t="s">
        <v>6</v>
      </c>
      <c r="C11" s="9">
        <v>516</v>
      </c>
      <c r="D11" s="9">
        <v>767</v>
      </c>
      <c r="E11" s="9">
        <v>767</v>
      </c>
      <c r="F11" s="9">
        <v>776</v>
      </c>
      <c r="G11" s="9">
        <v>882</v>
      </c>
      <c r="H11" s="9">
        <v>905</v>
      </c>
      <c r="I11" s="9">
        <v>911</v>
      </c>
      <c r="J11" s="9"/>
      <c r="K11" s="9"/>
    </row>
    <row r="12" spans="1:15" s="2" customFormat="1" ht="16.5" customHeight="1" thickBot="1">
      <c r="A12" s="40" t="s">
        <v>614</v>
      </c>
      <c r="B12" s="50" t="s">
        <v>17</v>
      </c>
      <c r="C12" s="9">
        <v>459</v>
      </c>
      <c r="D12" s="9">
        <v>519</v>
      </c>
      <c r="E12" s="9">
        <v>547</v>
      </c>
      <c r="F12" s="9">
        <v>557</v>
      </c>
      <c r="G12" s="9" t="s">
        <v>30</v>
      </c>
      <c r="K12" s="17"/>
      <c r="L12" s="18"/>
      <c r="M12" s="15"/>
    </row>
    <row r="13" spans="1:15" s="2" customFormat="1" ht="16.5" customHeight="1" thickBot="1">
      <c r="A13" s="40" t="s">
        <v>572</v>
      </c>
      <c r="B13" s="84" t="s">
        <v>133</v>
      </c>
      <c r="C13" s="9">
        <v>306</v>
      </c>
      <c r="D13" s="9">
        <v>328</v>
      </c>
      <c r="E13" s="9">
        <v>329</v>
      </c>
      <c r="F13" s="9" t="s">
        <v>30</v>
      </c>
    </row>
    <row r="14" spans="1:15" s="2" customFormat="1" ht="16.5" customHeight="1" thickBot="1">
      <c r="A14" s="40" t="s">
        <v>574</v>
      </c>
      <c r="B14" s="44" t="s">
        <v>573</v>
      </c>
      <c r="C14" s="9">
        <v>82</v>
      </c>
      <c r="D14" s="9">
        <v>99</v>
      </c>
      <c r="E14" s="9" t="s">
        <v>30</v>
      </c>
    </row>
    <row r="15" spans="1:15" s="2" customFormat="1" ht="10.5" customHeight="1">
      <c r="A15" s="31"/>
      <c r="B15" s="23"/>
      <c r="C15" s="23"/>
      <c r="D15" s="23"/>
      <c r="E15" s="23"/>
      <c r="F15" s="23"/>
      <c r="G15" s="23"/>
      <c r="H15" s="23"/>
      <c r="I15" s="23"/>
      <c r="J15" s="23"/>
    </row>
    <row r="16" spans="1:15" s="2" customFormat="1" ht="17.45" customHeight="1">
      <c r="A16" s="31" t="s">
        <v>577</v>
      </c>
      <c r="B16" s="23"/>
      <c r="C16" s="23"/>
      <c r="D16" s="23"/>
      <c r="E16" s="23"/>
      <c r="F16" s="23"/>
      <c r="G16" s="23"/>
      <c r="H16" s="23"/>
      <c r="I16" s="23"/>
      <c r="J16" s="23"/>
    </row>
    <row r="17" spans="1:15" s="2" customFormat="1" ht="10.5" customHeight="1" thickBot="1">
      <c r="A17" s="31"/>
      <c r="B17" s="23"/>
      <c r="C17" s="23"/>
      <c r="D17" s="23"/>
      <c r="E17" s="23"/>
      <c r="F17" s="23"/>
      <c r="G17" s="23"/>
      <c r="H17" s="23"/>
      <c r="I17" s="23"/>
      <c r="J17" s="23"/>
    </row>
    <row r="18" spans="1:15" s="2" customFormat="1" ht="16.5" customHeight="1" thickBot="1">
      <c r="A18" s="35" t="s">
        <v>0</v>
      </c>
      <c r="B18" s="36" t="s">
        <v>1</v>
      </c>
      <c r="C18" s="36" t="s">
        <v>2</v>
      </c>
      <c r="D18" s="36">
        <v>2</v>
      </c>
      <c r="E18" s="36">
        <v>3</v>
      </c>
      <c r="F18" s="36">
        <v>4</v>
      </c>
      <c r="G18" s="36">
        <v>5</v>
      </c>
      <c r="H18" s="36">
        <v>6</v>
      </c>
      <c r="I18" s="36">
        <v>7</v>
      </c>
      <c r="J18" s="45"/>
      <c r="K18" s="12" t="s">
        <v>5</v>
      </c>
      <c r="L18" s="13">
        <f>(15102/23275)</f>
        <v>0.64885069817400642</v>
      </c>
    </row>
    <row r="19" spans="1:15" s="2" customFormat="1" ht="16.5" customHeight="1" thickBot="1">
      <c r="A19" s="37" t="s">
        <v>600</v>
      </c>
      <c r="B19" s="93" t="s">
        <v>133</v>
      </c>
      <c r="C19" s="8">
        <v>2957</v>
      </c>
      <c r="D19" s="9"/>
      <c r="E19" s="9"/>
      <c r="F19" s="9"/>
      <c r="G19" s="9"/>
      <c r="H19" s="9"/>
      <c r="I19" s="9"/>
      <c r="J19" s="8" t="s">
        <v>4</v>
      </c>
      <c r="K19" s="15"/>
      <c r="L19" s="12" t="s">
        <v>8</v>
      </c>
      <c r="M19" s="12" t="s">
        <v>9</v>
      </c>
      <c r="N19" s="12" t="s">
        <v>10</v>
      </c>
    </row>
    <row r="20" spans="1:15" s="2" customFormat="1" ht="16.5" customHeight="1" thickBot="1">
      <c r="A20" s="37" t="s">
        <v>183</v>
      </c>
      <c r="B20" s="38" t="s">
        <v>6</v>
      </c>
      <c r="C20" s="8">
        <v>2212</v>
      </c>
      <c r="D20" s="9"/>
      <c r="E20" s="9"/>
      <c r="F20" s="9"/>
      <c r="G20" s="9"/>
      <c r="H20" s="9"/>
      <c r="I20" s="9"/>
      <c r="J20" s="8" t="s">
        <v>7</v>
      </c>
      <c r="K20" s="16" t="s">
        <v>6</v>
      </c>
      <c r="L20" s="17">
        <f>(C20+C21+C24+C25+C27)</f>
        <v>6569</v>
      </c>
      <c r="M20" s="18">
        <f>SUM(L20/L24)</f>
        <v>0.44693155531364809</v>
      </c>
      <c r="N20" s="15">
        <v>4</v>
      </c>
    </row>
    <row r="21" spans="1:15" s="2" customFormat="1" ht="16.5" customHeight="1" thickBot="1">
      <c r="A21" s="37" t="s">
        <v>522</v>
      </c>
      <c r="B21" s="38" t="s">
        <v>6</v>
      </c>
      <c r="C21" s="9">
        <v>1432</v>
      </c>
      <c r="D21" s="9">
        <v>1476</v>
      </c>
      <c r="E21" s="9">
        <v>1520</v>
      </c>
      <c r="F21" s="9">
        <v>1524</v>
      </c>
      <c r="G21" s="9">
        <v>1528</v>
      </c>
      <c r="H21" s="9">
        <v>1535</v>
      </c>
      <c r="I21" s="8">
        <v>1746</v>
      </c>
      <c r="J21" s="8" t="s">
        <v>12</v>
      </c>
      <c r="K21" s="88" t="s">
        <v>133</v>
      </c>
      <c r="L21" s="17">
        <f>(C19+C26+C28+C29+C30+C31)</f>
        <v>5552</v>
      </c>
      <c r="M21" s="18">
        <f>SUM(L21/L24)</f>
        <v>0.37773846781875087</v>
      </c>
      <c r="N21" s="2">
        <v>2</v>
      </c>
    </row>
    <row r="22" spans="1:15" s="2" customFormat="1" ht="16.5" customHeight="1" thickBot="1">
      <c r="A22" s="37" t="s">
        <v>418</v>
      </c>
      <c r="B22" s="52" t="s">
        <v>28</v>
      </c>
      <c r="C22" s="9">
        <v>1369</v>
      </c>
      <c r="D22" s="9">
        <v>1565</v>
      </c>
      <c r="E22" s="9">
        <v>1611</v>
      </c>
      <c r="F22" s="9">
        <v>1615</v>
      </c>
      <c r="G22" s="8">
        <v>1635</v>
      </c>
      <c r="H22" s="9"/>
      <c r="I22" s="9"/>
      <c r="J22" s="8" t="s">
        <v>11</v>
      </c>
      <c r="K22" s="29" t="s">
        <v>17</v>
      </c>
      <c r="L22" s="17">
        <v>1208</v>
      </c>
      <c r="M22" s="18">
        <f>SUM(L22/L24)</f>
        <v>8.2188052796298816E-2</v>
      </c>
      <c r="N22" s="2">
        <v>1</v>
      </c>
    </row>
    <row r="23" spans="1:15" s="2" customFormat="1" ht="16.5" customHeight="1" thickBot="1">
      <c r="A23" s="37" t="s">
        <v>601</v>
      </c>
      <c r="B23" s="59" t="s">
        <v>17</v>
      </c>
      <c r="C23" s="9">
        <v>1208</v>
      </c>
      <c r="D23" s="9">
        <v>1315</v>
      </c>
      <c r="E23" s="9">
        <v>1351</v>
      </c>
      <c r="F23" s="9">
        <v>1362</v>
      </c>
      <c r="G23" s="9">
        <v>1415</v>
      </c>
      <c r="H23" s="9">
        <v>1490</v>
      </c>
      <c r="I23" s="8">
        <v>1711</v>
      </c>
      <c r="J23" s="8" t="s">
        <v>15</v>
      </c>
      <c r="K23" s="22" t="s">
        <v>13</v>
      </c>
      <c r="L23" s="17">
        <v>1369</v>
      </c>
      <c r="M23" s="18">
        <f>SUM(L23/L24)</f>
        <v>9.3141924071302215E-2</v>
      </c>
      <c r="N23" s="2">
        <v>1</v>
      </c>
    </row>
    <row r="24" spans="1:15" s="2" customFormat="1" ht="16.5" customHeight="1" thickBot="1">
      <c r="A24" s="37" t="s">
        <v>631</v>
      </c>
      <c r="B24" s="38" t="s">
        <v>6</v>
      </c>
      <c r="C24" s="9">
        <v>1113</v>
      </c>
      <c r="D24" s="9">
        <v>1166</v>
      </c>
      <c r="E24" s="9">
        <v>1212</v>
      </c>
      <c r="F24" s="9">
        <v>1221</v>
      </c>
      <c r="G24" s="9">
        <v>1230</v>
      </c>
      <c r="H24" s="9">
        <v>1311</v>
      </c>
      <c r="I24" s="8">
        <v>1473</v>
      </c>
      <c r="J24" s="8" t="s">
        <v>14</v>
      </c>
      <c r="K24" s="12"/>
      <c r="L24" s="25">
        <v>14698</v>
      </c>
      <c r="M24" s="13"/>
      <c r="N24" s="15"/>
    </row>
    <row r="25" spans="1:15" s="2" customFormat="1" ht="16.5" customHeight="1" thickBot="1">
      <c r="A25" s="37" t="s">
        <v>700</v>
      </c>
      <c r="B25" s="38" t="s">
        <v>6</v>
      </c>
      <c r="C25" s="9">
        <v>1098</v>
      </c>
      <c r="D25" s="9">
        <v>1112</v>
      </c>
      <c r="E25" s="9">
        <v>1176</v>
      </c>
      <c r="F25" s="9">
        <v>1255</v>
      </c>
      <c r="G25" s="9">
        <v>1259</v>
      </c>
      <c r="H25" s="9">
        <v>1296</v>
      </c>
      <c r="I25" s="8">
        <v>1386</v>
      </c>
      <c r="J25" s="8" t="s">
        <v>209</v>
      </c>
    </row>
    <row r="26" spans="1:15" s="2" customFormat="1" ht="16.5" customHeight="1" thickBot="1">
      <c r="A26" s="37" t="s">
        <v>632</v>
      </c>
      <c r="B26" s="93" t="s">
        <v>133</v>
      </c>
      <c r="C26" s="9">
        <v>869</v>
      </c>
      <c r="D26" s="9">
        <v>1161</v>
      </c>
      <c r="E26" s="9">
        <v>1166</v>
      </c>
      <c r="F26" s="9">
        <v>1236</v>
      </c>
      <c r="G26" s="9">
        <v>1265</v>
      </c>
      <c r="H26" s="9">
        <v>1447</v>
      </c>
      <c r="I26" s="8">
        <v>1452</v>
      </c>
      <c r="J26" s="8" t="s">
        <v>16</v>
      </c>
    </row>
    <row r="27" spans="1:15" s="2" customFormat="1" ht="16.5" customHeight="1" thickBot="1">
      <c r="A27" s="40" t="s">
        <v>580</v>
      </c>
      <c r="B27" s="41" t="s">
        <v>6</v>
      </c>
      <c r="C27" s="9">
        <v>714</v>
      </c>
      <c r="D27" s="9">
        <v>735</v>
      </c>
      <c r="E27" s="9">
        <v>1026</v>
      </c>
      <c r="F27" s="9">
        <v>1027</v>
      </c>
      <c r="G27" s="9">
        <v>1056</v>
      </c>
      <c r="H27" s="9">
        <v>1083</v>
      </c>
      <c r="I27" s="9" t="s">
        <v>30</v>
      </c>
    </row>
    <row r="28" spans="1:15" s="2" customFormat="1" ht="16.5" customHeight="1" thickBot="1">
      <c r="A28" s="40" t="s">
        <v>658</v>
      </c>
      <c r="B28" s="84" t="s">
        <v>133</v>
      </c>
      <c r="C28" s="9">
        <v>516</v>
      </c>
      <c r="D28" s="9">
        <v>681</v>
      </c>
      <c r="E28" s="9">
        <v>691</v>
      </c>
      <c r="F28" s="9">
        <v>857</v>
      </c>
      <c r="G28" s="9">
        <v>888</v>
      </c>
      <c r="H28" s="9" t="s">
        <v>30</v>
      </c>
      <c r="J28" s="13"/>
    </row>
    <row r="29" spans="1:15" s="2" customFormat="1" ht="16.5" customHeight="1" thickBot="1">
      <c r="A29" s="40" t="s">
        <v>627</v>
      </c>
      <c r="B29" s="84" t="s">
        <v>133</v>
      </c>
      <c r="C29" s="9">
        <v>495</v>
      </c>
      <c r="D29" s="9">
        <v>748</v>
      </c>
      <c r="E29" s="9">
        <v>763</v>
      </c>
      <c r="F29" s="9">
        <v>767</v>
      </c>
      <c r="G29" s="9">
        <v>939</v>
      </c>
      <c r="H29" s="9">
        <v>1088</v>
      </c>
      <c r="I29" s="9">
        <v>1112</v>
      </c>
      <c r="J29" s="8"/>
    </row>
    <row r="30" spans="1:15" s="2" customFormat="1" ht="16.5" customHeight="1" thickBot="1">
      <c r="A30" s="40" t="s">
        <v>409</v>
      </c>
      <c r="B30" s="84" t="s">
        <v>133</v>
      </c>
      <c r="C30" s="9">
        <v>358</v>
      </c>
      <c r="D30" s="9">
        <v>422</v>
      </c>
      <c r="E30" s="9">
        <v>426</v>
      </c>
      <c r="F30" s="9" t="s">
        <v>30</v>
      </c>
    </row>
    <row r="31" spans="1:15" s="2" customFormat="1" ht="16.5" customHeight="1" thickBot="1">
      <c r="A31" s="40" t="s">
        <v>579</v>
      </c>
      <c r="B31" s="84" t="s">
        <v>133</v>
      </c>
      <c r="C31" s="9">
        <v>357</v>
      </c>
      <c r="D31" s="9">
        <v>471</v>
      </c>
      <c r="E31" s="9">
        <v>488</v>
      </c>
      <c r="F31" s="9">
        <v>490</v>
      </c>
      <c r="G31" s="9" t="s">
        <v>30</v>
      </c>
      <c r="O31" s="13"/>
    </row>
    <row r="32" spans="1:15" s="2" customFormat="1" ht="12" customHeight="1">
      <c r="A32" s="28"/>
      <c r="B32" s="47"/>
      <c r="C32" s="28"/>
      <c r="D32" s="28"/>
      <c r="E32" s="28"/>
      <c r="F32" s="23"/>
      <c r="G32" s="23"/>
      <c r="H32" s="23"/>
      <c r="I32" s="23"/>
      <c r="J32" s="23"/>
      <c r="N32" s="18"/>
    </row>
    <row r="33" spans="1:17" s="2" customFormat="1" ht="17.45" customHeight="1">
      <c r="A33" s="1" t="s">
        <v>581</v>
      </c>
    </row>
    <row r="34" spans="1:17" s="2" customFormat="1" ht="10.5" customHeight="1" thickBot="1">
      <c r="A34" s="1"/>
    </row>
    <row r="35" spans="1:17" s="2" customFormat="1" ht="16.5" customHeight="1" thickBot="1">
      <c r="A35" s="3" t="s">
        <v>0</v>
      </c>
      <c r="B35" s="4" t="s">
        <v>1</v>
      </c>
      <c r="C35" s="4" t="s">
        <v>2</v>
      </c>
      <c r="D35" s="4">
        <v>2</v>
      </c>
      <c r="E35" s="4">
        <v>3</v>
      </c>
      <c r="F35" s="4">
        <v>4</v>
      </c>
      <c r="G35" s="4">
        <v>5</v>
      </c>
      <c r="H35" s="4">
        <v>6</v>
      </c>
      <c r="I35" s="4">
        <v>7</v>
      </c>
      <c r="J35" s="4">
        <v>8</v>
      </c>
      <c r="K35" s="4">
        <v>9</v>
      </c>
      <c r="L35" s="4">
        <v>10</v>
      </c>
      <c r="M35" s="5"/>
      <c r="N35" s="12" t="s">
        <v>5</v>
      </c>
      <c r="O35" s="13">
        <f>(12573/20289)</f>
        <v>0.6196954014490611</v>
      </c>
    </row>
    <row r="36" spans="1:17" s="2" customFormat="1" ht="16.5" customHeight="1" thickBot="1">
      <c r="A36" s="6" t="s">
        <v>646</v>
      </c>
      <c r="B36" s="119" t="s">
        <v>133</v>
      </c>
      <c r="C36" s="9">
        <v>1502</v>
      </c>
      <c r="D36" s="9">
        <v>1512</v>
      </c>
      <c r="E36" s="9">
        <v>1572</v>
      </c>
      <c r="F36" s="9">
        <v>1608</v>
      </c>
      <c r="G36" s="9">
        <v>1629</v>
      </c>
      <c r="H36" s="9">
        <v>1703</v>
      </c>
      <c r="I36" s="8">
        <v>2005</v>
      </c>
      <c r="J36" s="9"/>
      <c r="K36" s="9"/>
      <c r="L36" s="9"/>
      <c r="M36" s="11" t="s">
        <v>4</v>
      </c>
      <c r="N36" s="15"/>
      <c r="O36" s="12" t="s">
        <v>8</v>
      </c>
      <c r="P36" s="12" t="s">
        <v>9</v>
      </c>
      <c r="Q36" s="12" t="s">
        <v>10</v>
      </c>
    </row>
    <row r="37" spans="1:17" s="2" customFormat="1" ht="16.5" customHeight="1" thickBot="1">
      <c r="A37" s="6" t="s">
        <v>647</v>
      </c>
      <c r="B37" s="24" t="s">
        <v>28</v>
      </c>
      <c r="C37" s="9">
        <v>1359</v>
      </c>
      <c r="D37" s="9">
        <v>1359</v>
      </c>
      <c r="E37" s="9">
        <v>1367</v>
      </c>
      <c r="F37" s="9">
        <v>1372</v>
      </c>
      <c r="G37" s="9">
        <v>1384</v>
      </c>
      <c r="H37" s="9">
        <v>1390</v>
      </c>
      <c r="I37" s="9">
        <v>1400</v>
      </c>
      <c r="J37" s="9">
        <v>1413</v>
      </c>
      <c r="K37" s="9">
        <v>1424</v>
      </c>
      <c r="L37" s="8">
        <v>1433</v>
      </c>
      <c r="M37" s="11" t="s">
        <v>15</v>
      </c>
      <c r="N37" s="16" t="s">
        <v>6</v>
      </c>
      <c r="O37" s="17">
        <f>(C38+C39+C41+C42+C46)</f>
        <v>4671</v>
      </c>
      <c r="P37" s="18">
        <f>SUM(O37/O41)</f>
        <v>0.38252395381213661</v>
      </c>
      <c r="Q37" s="15">
        <v>3</v>
      </c>
    </row>
    <row r="38" spans="1:17" s="2" customFormat="1" ht="16.5" customHeight="1" thickBot="1">
      <c r="A38" s="6" t="s">
        <v>583</v>
      </c>
      <c r="B38" s="14" t="s">
        <v>6</v>
      </c>
      <c r="C38" s="9">
        <v>1175</v>
      </c>
      <c r="D38" s="9">
        <v>1179</v>
      </c>
      <c r="E38" s="9">
        <v>1184</v>
      </c>
      <c r="F38" s="9">
        <v>1185</v>
      </c>
      <c r="G38" s="9">
        <v>1209</v>
      </c>
      <c r="H38" s="9">
        <v>1242</v>
      </c>
      <c r="I38" s="9">
        <v>1336</v>
      </c>
      <c r="J38" s="9">
        <v>1345</v>
      </c>
      <c r="K38" s="9">
        <v>1359</v>
      </c>
      <c r="L38" s="8">
        <v>1386</v>
      </c>
      <c r="M38" s="8" t="s">
        <v>14</v>
      </c>
      <c r="N38" s="88" t="s">
        <v>133</v>
      </c>
      <c r="O38" s="23">
        <f>(C36+C43+C44+C45+C49)</f>
        <v>4022</v>
      </c>
      <c r="P38" s="13">
        <f>SUM(O38/O41)</f>
        <v>0.32937515355007779</v>
      </c>
      <c r="Q38" s="15">
        <v>2</v>
      </c>
    </row>
    <row r="39" spans="1:17" s="2" customFormat="1" ht="16.5" customHeight="1" thickBot="1">
      <c r="A39" s="6" t="s">
        <v>538</v>
      </c>
      <c r="B39" s="14" t="s">
        <v>6</v>
      </c>
      <c r="C39" s="9">
        <v>1014</v>
      </c>
      <c r="D39" s="9">
        <v>1014</v>
      </c>
      <c r="E39" s="9">
        <v>1061</v>
      </c>
      <c r="F39" s="9">
        <v>1069</v>
      </c>
      <c r="G39" s="9">
        <v>1154</v>
      </c>
      <c r="H39" s="9">
        <v>1458</v>
      </c>
      <c r="I39" s="9">
        <v>1487</v>
      </c>
      <c r="J39" s="9">
        <v>1487</v>
      </c>
      <c r="K39" s="9">
        <v>1519</v>
      </c>
      <c r="L39" s="8">
        <v>1584</v>
      </c>
      <c r="M39" s="11" t="s">
        <v>11</v>
      </c>
      <c r="N39" s="29" t="s">
        <v>17</v>
      </c>
      <c r="O39" s="23">
        <v>448</v>
      </c>
      <c r="P39" s="13">
        <f>SUM(O39/O41)</f>
        <v>3.6688231922037511E-2</v>
      </c>
    </row>
    <row r="40" spans="1:17" s="2" customFormat="1" ht="16.5" customHeight="1" thickBot="1">
      <c r="A40" s="20" t="s">
        <v>585</v>
      </c>
      <c r="B40" s="26" t="s">
        <v>586</v>
      </c>
      <c r="C40" s="9">
        <v>985</v>
      </c>
      <c r="D40" s="9">
        <v>1078</v>
      </c>
      <c r="E40" s="9">
        <v>1084</v>
      </c>
      <c r="F40" s="9">
        <v>1097</v>
      </c>
      <c r="G40" s="9">
        <v>1130</v>
      </c>
      <c r="H40" s="9">
        <v>1188</v>
      </c>
      <c r="I40" s="9">
        <v>1229</v>
      </c>
      <c r="J40" s="9">
        <v>1248</v>
      </c>
      <c r="K40" s="9">
        <v>1267</v>
      </c>
      <c r="L40" s="9">
        <v>1274</v>
      </c>
      <c r="M40" s="11"/>
      <c r="N40" s="12" t="s">
        <v>13</v>
      </c>
      <c r="O40" s="23">
        <f>(C37+C40+C48+C50)</f>
        <v>3070</v>
      </c>
      <c r="P40" s="13">
        <f>SUM(O40/O41)</f>
        <v>0.25141266071574808</v>
      </c>
      <c r="Q40" s="2">
        <v>1</v>
      </c>
    </row>
    <row r="41" spans="1:17" s="2" customFormat="1" ht="16.5" customHeight="1" thickBot="1">
      <c r="A41" s="20" t="s">
        <v>582</v>
      </c>
      <c r="B41" s="21" t="s">
        <v>6</v>
      </c>
      <c r="C41" s="9">
        <v>930</v>
      </c>
      <c r="D41" s="9">
        <v>944</v>
      </c>
      <c r="E41" s="9">
        <v>947</v>
      </c>
      <c r="F41" s="9">
        <v>954</v>
      </c>
      <c r="G41" s="9">
        <v>963</v>
      </c>
      <c r="H41" s="9">
        <v>975</v>
      </c>
      <c r="I41" s="9">
        <v>980</v>
      </c>
      <c r="J41" s="9">
        <v>983</v>
      </c>
      <c r="K41" s="9">
        <v>1065</v>
      </c>
      <c r="L41" s="9" t="s">
        <v>30</v>
      </c>
      <c r="N41" s="15"/>
      <c r="O41" s="25">
        <v>12211</v>
      </c>
    </row>
    <row r="42" spans="1:17" s="2" customFormat="1" ht="16.5" customHeight="1" thickBot="1">
      <c r="A42" s="6" t="s">
        <v>638</v>
      </c>
      <c r="B42" s="14" t="s">
        <v>6</v>
      </c>
      <c r="C42" s="9">
        <v>895</v>
      </c>
      <c r="D42" s="9">
        <v>957</v>
      </c>
      <c r="E42" s="9">
        <v>976</v>
      </c>
      <c r="F42" s="9">
        <v>1073</v>
      </c>
      <c r="G42" s="9">
        <v>1089</v>
      </c>
      <c r="H42" s="9">
        <v>1145</v>
      </c>
      <c r="I42" s="9">
        <v>1168</v>
      </c>
      <c r="J42" s="9">
        <v>1182</v>
      </c>
      <c r="K42" s="9">
        <v>1252</v>
      </c>
      <c r="L42" s="8">
        <v>1848</v>
      </c>
      <c r="M42" s="11" t="s">
        <v>7</v>
      </c>
    </row>
    <row r="43" spans="1:17" s="2" customFormat="1" ht="16.5" customHeight="1" thickBot="1">
      <c r="A43" s="6" t="s">
        <v>656</v>
      </c>
      <c r="B43" s="119" t="s">
        <v>133</v>
      </c>
      <c r="C43" s="9">
        <v>740</v>
      </c>
      <c r="D43" s="10">
        <v>775</v>
      </c>
      <c r="E43" s="9">
        <v>816</v>
      </c>
      <c r="F43" s="9">
        <v>968</v>
      </c>
      <c r="G43" s="9">
        <v>989</v>
      </c>
      <c r="H43" s="9">
        <v>998</v>
      </c>
      <c r="I43" s="9">
        <v>1043</v>
      </c>
      <c r="J43" s="9">
        <v>1080</v>
      </c>
      <c r="K43" s="9">
        <v>1445</v>
      </c>
      <c r="L43" s="8">
        <v>1510</v>
      </c>
      <c r="M43" s="11" t="s">
        <v>12</v>
      </c>
    </row>
    <row r="44" spans="1:17" s="2" customFormat="1" ht="16.5" customHeight="1" thickBot="1">
      <c r="A44" s="20" t="s">
        <v>657</v>
      </c>
      <c r="B44" s="85" t="s">
        <v>133</v>
      </c>
      <c r="C44" s="9">
        <v>707</v>
      </c>
      <c r="D44" s="10">
        <v>719</v>
      </c>
      <c r="E44" s="10">
        <v>769</v>
      </c>
      <c r="F44" s="9">
        <v>783</v>
      </c>
      <c r="G44" s="9">
        <v>812</v>
      </c>
      <c r="H44" s="9">
        <v>827</v>
      </c>
      <c r="I44" s="9">
        <v>895</v>
      </c>
      <c r="J44" s="9">
        <v>971</v>
      </c>
      <c r="K44" s="9" t="s">
        <v>30</v>
      </c>
    </row>
    <row r="45" spans="1:17" s="2" customFormat="1" ht="16.5" customHeight="1" thickBot="1">
      <c r="A45" s="20" t="s">
        <v>589</v>
      </c>
      <c r="B45" s="85" t="s">
        <v>133</v>
      </c>
      <c r="C45" s="9">
        <v>699</v>
      </c>
      <c r="D45" s="9">
        <v>700</v>
      </c>
      <c r="E45" s="9">
        <v>756</v>
      </c>
      <c r="F45" s="10">
        <v>759</v>
      </c>
      <c r="G45" s="9">
        <v>785</v>
      </c>
      <c r="H45" s="9">
        <v>820</v>
      </c>
      <c r="I45" s="9" t="s">
        <v>30</v>
      </c>
    </row>
    <row r="46" spans="1:17" s="2" customFormat="1" ht="16.5" customHeight="1" thickBot="1">
      <c r="A46" s="20" t="s">
        <v>349</v>
      </c>
      <c r="B46" s="21" t="s">
        <v>6</v>
      </c>
      <c r="C46" s="9">
        <v>657</v>
      </c>
      <c r="D46" s="10">
        <v>662</v>
      </c>
      <c r="E46" s="10">
        <v>681</v>
      </c>
      <c r="F46" s="9">
        <v>684</v>
      </c>
      <c r="G46" s="9">
        <v>713</v>
      </c>
      <c r="H46" s="9" t="s">
        <v>30</v>
      </c>
    </row>
    <row r="47" spans="1:17" s="2" customFormat="1" ht="16.5" customHeight="1" thickBot="1">
      <c r="A47" s="20" t="s">
        <v>584</v>
      </c>
      <c r="B47" s="50" t="s">
        <v>17</v>
      </c>
      <c r="C47" s="9">
        <v>448</v>
      </c>
      <c r="D47" s="9">
        <v>454</v>
      </c>
      <c r="E47" s="9">
        <v>481</v>
      </c>
      <c r="F47" s="9">
        <v>482</v>
      </c>
      <c r="G47" s="9" t="s">
        <v>30</v>
      </c>
    </row>
    <row r="48" spans="1:17" s="2" customFormat="1" ht="16.5" customHeight="1" thickBot="1">
      <c r="A48" s="20" t="s">
        <v>587</v>
      </c>
      <c r="B48" s="26" t="s">
        <v>28</v>
      </c>
      <c r="C48" s="9">
        <v>402</v>
      </c>
      <c r="D48" s="10">
        <v>423</v>
      </c>
      <c r="E48" s="10">
        <v>426</v>
      </c>
      <c r="F48" s="9" t="s">
        <v>30</v>
      </c>
    </row>
    <row r="49" spans="1:19" s="2" customFormat="1" ht="16.5" customHeight="1" thickBot="1">
      <c r="A49" s="20" t="s">
        <v>643</v>
      </c>
      <c r="B49" s="85" t="s">
        <v>133</v>
      </c>
      <c r="C49" s="9">
        <v>374</v>
      </c>
      <c r="D49" s="9">
        <v>379</v>
      </c>
      <c r="E49" s="9" t="s">
        <v>30</v>
      </c>
    </row>
    <row r="50" spans="1:19" s="2" customFormat="1" ht="16.5" customHeight="1" thickBot="1">
      <c r="A50" s="20" t="s">
        <v>588</v>
      </c>
      <c r="B50" s="26" t="s">
        <v>586</v>
      </c>
      <c r="C50" s="9">
        <v>324</v>
      </c>
      <c r="D50" s="9" t="s">
        <v>30</v>
      </c>
    </row>
    <row r="51" spans="1:19">
      <c r="C51" s="63"/>
    </row>
    <row r="52" spans="1:19" s="2" customFormat="1" ht="17.45" customHeight="1">
      <c r="A52" s="31" t="s">
        <v>590</v>
      </c>
      <c r="B52" s="23"/>
      <c r="C52" s="23"/>
      <c r="D52" s="23"/>
      <c r="E52" s="23"/>
      <c r="F52" s="23"/>
      <c r="G52" s="23"/>
      <c r="H52" s="23"/>
      <c r="I52" s="23"/>
      <c r="J52" s="23"/>
    </row>
    <row r="53" spans="1:19" s="2" customFormat="1" ht="8.25" customHeight="1" thickBot="1">
      <c r="A53" s="31"/>
      <c r="B53" s="23"/>
      <c r="C53" s="23"/>
      <c r="D53" s="23"/>
      <c r="E53" s="23"/>
      <c r="F53" s="23"/>
      <c r="G53" s="23"/>
      <c r="H53" s="23"/>
      <c r="I53" s="23"/>
      <c r="J53" s="23"/>
    </row>
    <row r="54" spans="1:19" s="2" customFormat="1" ht="17.45" customHeight="1" thickBot="1">
      <c r="A54" s="35" t="s">
        <v>0</v>
      </c>
      <c r="B54" s="36" t="s">
        <v>1</v>
      </c>
      <c r="C54" s="36" t="s">
        <v>2</v>
      </c>
      <c r="D54" s="36">
        <v>2</v>
      </c>
      <c r="E54" s="36">
        <v>3</v>
      </c>
      <c r="F54" s="36">
        <v>4</v>
      </c>
      <c r="G54" s="36">
        <v>5</v>
      </c>
      <c r="H54" s="36"/>
      <c r="I54" s="25" t="s">
        <v>5</v>
      </c>
      <c r="J54" s="13">
        <f>(9578/15653)</f>
        <v>0.61189548329393728</v>
      </c>
      <c r="L54" s="13"/>
    </row>
    <row r="55" spans="1:19" s="2" customFormat="1" ht="17.45" customHeight="1" thickBot="1">
      <c r="A55" s="37" t="s">
        <v>605</v>
      </c>
      <c r="B55" s="38" t="s">
        <v>6</v>
      </c>
      <c r="C55" s="52">
        <v>1996</v>
      </c>
      <c r="D55" s="9"/>
      <c r="E55" s="9"/>
      <c r="F55" s="9"/>
      <c r="G55" s="9"/>
      <c r="H55" s="8" t="s">
        <v>4</v>
      </c>
      <c r="I55" s="17"/>
      <c r="J55" s="12" t="s">
        <v>8</v>
      </c>
      <c r="K55" s="12" t="s">
        <v>9</v>
      </c>
      <c r="L55" s="12" t="s">
        <v>10</v>
      </c>
    </row>
    <row r="56" spans="1:19" s="2" customFormat="1" ht="17.45" customHeight="1" thickBot="1">
      <c r="A56" s="37" t="s">
        <v>554</v>
      </c>
      <c r="B56" s="24" t="s">
        <v>28</v>
      </c>
      <c r="C56" s="8">
        <v>1643</v>
      </c>
      <c r="D56" s="9"/>
      <c r="E56" s="9"/>
      <c r="F56" s="9"/>
      <c r="G56" s="9"/>
      <c r="H56" s="8" t="s">
        <v>7</v>
      </c>
      <c r="I56" s="48" t="s">
        <v>6</v>
      </c>
      <c r="J56" s="17">
        <f>(C55+C57+C58+C60+C62)</f>
        <v>5877</v>
      </c>
      <c r="K56" s="18">
        <f>SUM(J56/J59)</f>
        <v>0.62362054329371819</v>
      </c>
      <c r="L56" s="15">
        <v>4</v>
      </c>
    </row>
    <row r="57" spans="1:19" s="2" customFormat="1" ht="17.45" customHeight="1" thickBot="1">
      <c r="A57" s="37" t="s">
        <v>593</v>
      </c>
      <c r="B57" s="38" t="s">
        <v>6</v>
      </c>
      <c r="C57" s="9">
        <v>1081</v>
      </c>
      <c r="D57" s="9">
        <v>1098</v>
      </c>
      <c r="E57" s="9">
        <v>1108</v>
      </c>
      <c r="F57" s="9">
        <v>1148</v>
      </c>
      <c r="G57" s="8">
        <v>1165</v>
      </c>
      <c r="H57" s="8" t="s">
        <v>15</v>
      </c>
      <c r="I57" s="88" t="s">
        <v>133</v>
      </c>
      <c r="J57" s="23">
        <v>932</v>
      </c>
      <c r="K57" s="13">
        <f>SUM(J57/J59)</f>
        <v>9.8896434634974537E-2</v>
      </c>
    </row>
    <row r="58" spans="1:19" s="2" customFormat="1" ht="17.45" customHeight="1" thickBot="1">
      <c r="A58" s="37" t="s">
        <v>725</v>
      </c>
      <c r="B58" s="38" t="s">
        <v>6</v>
      </c>
      <c r="C58" s="9">
        <v>1072</v>
      </c>
      <c r="D58" s="9">
        <v>1087</v>
      </c>
      <c r="E58" s="9">
        <v>1088</v>
      </c>
      <c r="F58" s="9">
        <v>1213</v>
      </c>
      <c r="G58" s="8">
        <v>1245</v>
      </c>
      <c r="H58" s="8" t="s">
        <v>12</v>
      </c>
      <c r="I58" s="22" t="s">
        <v>13</v>
      </c>
      <c r="J58" s="17">
        <f>(C56+C59)</f>
        <v>2615</v>
      </c>
      <c r="K58" s="18">
        <f>SUM(J58/J59)</f>
        <v>0.27748302207130732</v>
      </c>
      <c r="L58" s="2">
        <v>1</v>
      </c>
    </row>
    <row r="59" spans="1:19" s="2" customFormat="1" ht="17.45" customHeight="1" thickBot="1">
      <c r="A59" s="40" t="s">
        <v>655</v>
      </c>
      <c r="B59" s="26" t="s">
        <v>592</v>
      </c>
      <c r="C59" s="9">
        <v>972</v>
      </c>
      <c r="D59" s="9">
        <v>976</v>
      </c>
      <c r="E59" s="9">
        <v>1024</v>
      </c>
      <c r="F59" s="9">
        <v>1077</v>
      </c>
      <c r="G59" s="9">
        <v>1148</v>
      </c>
      <c r="H59" s="8"/>
      <c r="I59" s="60"/>
      <c r="J59" s="25">
        <v>9424</v>
      </c>
      <c r="K59" s="13"/>
    </row>
    <row r="60" spans="1:19" s="2" customFormat="1" ht="17.45" customHeight="1" thickBot="1">
      <c r="A60" s="37" t="s">
        <v>591</v>
      </c>
      <c r="B60" s="38" t="s">
        <v>6</v>
      </c>
      <c r="C60" s="9">
        <v>964</v>
      </c>
      <c r="D60" s="9">
        <v>1196</v>
      </c>
      <c r="E60" s="9">
        <v>1201</v>
      </c>
      <c r="F60" s="9">
        <v>1383</v>
      </c>
      <c r="G60" s="8">
        <v>1419</v>
      </c>
      <c r="H60" s="8" t="s">
        <v>11</v>
      </c>
    </row>
    <row r="61" spans="1:19" s="2" customFormat="1" ht="17.45" customHeight="1" thickBot="1">
      <c r="A61" s="40" t="s">
        <v>466</v>
      </c>
      <c r="B61" s="85" t="s">
        <v>133</v>
      </c>
      <c r="C61" s="9">
        <v>932</v>
      </c>
      <c r="D61" s="9">
        <v>958</v>
      </c>
      <c r="E61" s="9">
        <v>962</v>
      </c>
      <c r="F61" s="9">
        <v>1051</v>
      </c>
      <c r="G61" s="9" t="s">
        <v>30</v>
      </c>
      <c r="H61" s="23"/>
      <c r="I61" s="23"/>
    </row>
    <row r="62" spans="1:19" s="2" customFormat="1" ht="17.45" customHeight="1" thickBot="1">
      <c r="A62" s="40" t="s">
        <v>654</v>
      </c>
      <c r="B62" s="41" t="s">
        <v>6</v>
      </c>
      <c r="C62" s="9">
        <v>764</v>
      </c>
      <c r="D62" s="9">
        <v>895</v>
      </c>
      <c r="E62" s="9">
        <v>899</v>
      </c>
      <c r="F62" s="9" t="s">
        <v>30</v>
      </c>
      <c r="P62" s="23"/>
      <c r="Q62" s="25"/>
      <c r="R62" s="23"/>
      <c r="S62" s="13"/>
    </row>
    <row r="63" spans="1:19" s="2" customFormat="1" ht="13.5" customHeight="1">
      <c r="A63" s="28"/>
      <c r="B63" s="80"/>
      <c r="C63" s="28"/>
      <c r="D63" s="28"/>
      <c r="E63" s="28"/>
      <c r="F63" s="23"/>
      <c r="G63" s="23"/>
      <c r="H63" s="23"/>
      <c r="I63" s="23"/>
      <c r="J63" s="25"/>
      <c r="L63" s="13"/>
      <c r="M63" s="13"/>
    </row>
    <row r="64" spans="1:19" s="2" customFormat="1" ht="17.45" customHeight="1">
      <c r="A64" s="31" t="s">
        <v>597</v>
      </c>
      <c r="B64" s="23"/>
      <c r="C64" s="23"/>
      <c r="D64" s="23"/>
      <c r="E64" s="23"/>
      <c r="F64" s="23"/>
      <c r="G64" s="23"/>
      <c r="H64" s="23"/>
      <c r="I64" s="23"/>
      <c r="J64" s="23"/>
    </row>
    <row r="65" spans="1:22" s="2" customFormat="1" ht="10.5" customHeight="1" thickBot="1">
      <c r="A65" s="31"/>
      <c r="B65" s="23"/>
      <c r="C65" s="23"/>
      <c r="D65" s="23"/>
      <c r="E65" s="23"/>
      <c r="F65" s="23"/>
      <c r="G65" s="23"/>
      <c r="H65" s="23"/>
      <c r="I65" s="23"/>
      <c r="J65" s="23"/>
    </row>
    <row r="66" spans="1:22" s="2" customFormat="1" ht="16.5" customHeight="1" thickBot="1">
      <c r="A66" s="35" t="s">
        <v>0</v>
      </c>
      <c r="B66" s="36" t="s">
        <v>1</v>
      </c>
      <c r="C66" s="36" t="s">
        <v>2</v>
      </c>
      <c r="D66" s="36">
        <v>2</v>
      </c>
      <c r="E66" s="36">
        <v>3</v>
      </c>
      <c r="F66" s="36">
        <v>4</v>
      </c>
      <c r="G66" s="36">
        <v>5</v>
      </c>
      <c r="H66" s="36">
        <v>6</v>
      </c>
      <c r="I66" s="36">
        <v>7</v>
      </c>
      <c r="J66" s="36">
        <v>8</v>
      </c>
      <c r="K66" s="36">
        <v>9</v>
      </c>
      <c r="L66" s="36">
        <v>10</v>
      </c>
      <c r="M66" s="45"/>
      <c r="N66" s="12" t="s">
        <v>5</v>
      </c>
      <c r="O66" s="13">
        <f>(12788/23363)</f>
        <v>0.54736121217309419</v>
      </c>
    </row>
    <row r="67" spans="1:22" s="2" customFormat="1" ht="16.5" customHeight="1" thickBot="1">
      <c r="A67" s="37" t="s">
        <v>386</v>
      </c>
      <c r="B67" s="52" t="s">
        <v>28</v>
      </c>
      <c r="C67" s="8">
        <v>2901</v>
      </c>
      <c r="D67" s="9"/>
      <c r="E67" s="9"/>
      <c r="F67" s="9"/>
      <c r="G67" s="9"/>
      <c r="H67" s="9"/>
      <c r="I67" s="9"/>
      <c r="J67" s="9"/>
      <c r="K67" s="9"/>
      <c r="L67" s="9"/>
      <c r="M67" s="8" t="s">
        <v>4</v>
      </c>
      <c r="N67" s="15"/>
      <c r="O67" s="12" t="s">
        <v>8</v>
      </c>
      <c r="P67" s="12" t="s">
        <v>9</v>
      </c>
      <c r="Q67" s="12" t="s">
        <v>10</v>
      </c>
    </row>
    <row r="68" spans="1:22" s="2" customFormat="1" ht="16.5" customHeight="1" thickBot="1">
      <c r="A68" s="37" t="s">
        <v>667</v>
      </c>
      <c r="B68" s="52" t="s">
        <v>28</v>
      </c>
      <c r="C68" s="9">
        <v>1377</v>
      </c>
      <c r="D68" s="8">
        <v>1532</v>
      </c>
      <c r="E68" s="9"/>
      <c r="F68" s="9"/>
      <c r="G68" s="9"/>
      <c r="H68" s="9"/>
      <c r="I68" s="9"/>
      <c r="J68" s="9"/>
      <c r="K68" s="9"/>
      <c r="L68" s="9"/>
      <c r="M68" s="8" t="s">
        <v>11</v>
      </c>
      <c r="N68" s="16" t="s">
        <v>6</v>
      </c>
      <c r="O68" s="17">
        <f>(C69+C70+C72+C73)</f>
        <v>4243</v>
      </c>
      <c r="P68" s="18">
        <f>SUM(O68/O71)</f>
        <v>0.3474735893866186</v>
      </c>
      <c r="Q68" s="15">
        <v>3</v>
      </c>
    </row>
    <row r="69" spans="1:22" s="2" customFormat="1" ht="16.5" customHeight="1" thickBot="1">
      <c r="A69" s="37" t="s">
        <v>392</v>
      </c>
      <c r="B69" s="38" t="s">
        <v>6</v>
      </c>
      <c r="C69" s="9">
        <v>1232</v>
      </c>
      <c r="D69" s="9">
        <v>1248</v>
      </c>
      <c r="E69" s="9">
        <v>1312</v>
      </c>
      <c r="F69" s="9">
        <v>1322</v>
      </c>
      <c r="G69" s="9">
        <v>1350</v>
      </c>
      <c r="H69" s="9">
        <v>1354</v>
      </c>
      <c r="I69" s="8">
        <v>1547</v>
      </c>
      <c r="J69" s="9"/>
      <c r="K69" s="9"/>
      <c r="L69" s="9"/>
      <c r="M69" s="8" t="s">
        <v>12</v>
      </c>
      <c r="N69" s="88" t="s">
        <v>133</v>
      </c>
      <c r="O69" s="17">
        <f>(C74+C76+C77+C78)</f>
        <v>1865</v>
      </c>
      <c r="P69" s="18">
        <f>SUM(O69/O71)</f>
        <v>0.15273114405044633</v>
      </c>
    </row>
    <row r="70" spans="1:22" s="2" customFormat="1" ht="16.5" customHeight="1" thickBot="1">
      <c r="A70" s="37" t="s">
        <v>675</v>
      </c>
      <c r="B70" s="38" t="s">
        <v>6</v>
      </c>
      <c r="C70" s="9">
        <v>1165</v>
      </c>
      <c r="D70" s="9">
        <v>1292</v>
      </c>
      <c r="E70" s="9">
        <v>1299</v>
      </c>
      <c r="F70" s="9">
        <v>1322</v>
      </c>
      <c r="G70" s="9">
        <v>1366</v>
      </c>
      <c r="H70" s="9">
        <v>1377</v>
      </c>
      <c r="I70" s="8">
        <v>1542</v>
      </c>
      <c r="J70" s="9"/>
      <c r="K70" s="9"/>
      <c r="L70" s="9"/>
      <c r="M70" s="8" t="s">
        <v>15</v>
      </c>
      <c r="N70" s="22" t="s">
        <v>13</v>
      </c>
      <c r="O70" s="17">
        <f>(C67+C68+C71+C75)</f>
        <v>6103</v>
      </c>
      <c r="P70" s="18">
        <f>SUM(O70/O71)</f>
        <v>0.49979526656293505</v>
      </c>
      <c r="Q70" s="2">
        <v>4</v>
      </c>
    </row>
    <row r="71" spans="1:22" s="2" customFormat="1" ht="16.5" customHeight="1" thickBot="1">
      <c r="A71" s="37" t="s">
        <v>802</v>
      </c>
      <c r="B71" s="52" t="s">
        <v>28</v>
      </c>
      <c r="C71" s="9">
        <v>1129</v>
      </c>
      <c r="D71" s="8">
        <v>1591</v>
      </c>
      <c r="E71" s="9"/>
      <c r="F71" s="9"/>
      <c r="G71" s="9"/>
      <c r="H71" s="9"/>
      <c r="I71" s="9"/>
      <c r="J71" s="9"/>
      <c r="K71" s="9"/>
      <c r="L71" s="9"/>
      <c r="M71" s="8" t="s">
        <v>7</v>
      </c>
      <c r="N71" s="12"/>
      <c r="O71" s="25">
        <v>12211</v>
      </c>
      <c r="P71" s="13"/>
      <c r="Q71" s="15"/>
    </row>
    <row r="72" spans="1:22" s="2" customFormat="1" ht="16.5" customHeight="1" thickBot="1">
      <c r="A72" s="40" t="s">
        <v>594</v>
      </c>
      <c r="B72" s="41" t="s">
        <v>6</v>
      </c>
      <c r="C72" s="9">
        <v>956</v>
      </c>
      <c r="D72" s="9">
        <v>999</v>
      </c>
      <c r="E72" s="9">
        <v>1009</v>
      </c>
      <c r="F72" s="9">
        <v>1015</v>
      </c>
      <c r="G72" s="9">
        <v>1045</v>
      </c>
      <c r="H72" s="9">
        <v>1052</v>
      </c>
      <c r="I72" s="9">
        <v>1118</v>
      </c>
      <c r="J72" s="9">
        <v>1121</v>
      </c>
      <c r="K72" s="9">
        <v>1122</v>
      </c>
      <c r="L72" s="9">
        <v>1124</v>
      </c>
      <c r="M72" s="8"/>
    </row>
    <row r="73" spans="1:22" s="2" customFormat="1" ht="16.5" customHeight="1" thickBot="1">
      <c r="A73" s="37" t="s">
        <v>566</v>
      </c>
      <c r="B73" s="38" t="s">
        <v>6</v>
      </c>
      <c r="C73" s="9">
        <v>890</v>
      </c>
      <c r="D73" s="9">
        <v>971</v>
      </c>
      <c r="E73" s="9">
        <v>973</v>
      </c>
      <c r="F73" s="9">
        <v>975</v>
      </c>
      <c r="G73" s="9">
        <v>1028</v>
      </c>
      <c r="H73" s="9">
        <v>1041</v>
      </c>
      <c r="I73" s="9">
        <v>1103</v>
      </c>
      <c r="J73" s="9">
        <v>1119</v>
      </c>
      <c r="K73" s="9">
        <v>1120</v>
      </c>
      <c r="L73" s="8">
        <v>1133</v>
      </c>
      <c r="M73" s="8" t="s">
        <v>16</v>
      </c>
    </row>
    <row r="74" spans="1:22" s="2" customFormat="1" ht="16.5" customHeight="1" thickBot="1">
      <c r="A74" s="40" t="s">
        <v>595</v>
      </c>
      <c r="B74" s="84" t="s">
        <v>133</v>
      </c>
      <c r="C74" s="9">
        <v>792</v>
      </c>
      <c r="D74" s="9">
        <v>819</v>
      </c>
      <c r="E74" s="9">
        <v>831</v>
      </c>
      <c r="F74" s="9">
        <v>894</v>
      </c>
      <c r="G74" s="9">
        <v>966</v>
      </c>
      <c r="H74" s="9">
        <v>970</v>
      </c>
      <c r="I74" s="9" t="s">
        <v>30</v>
      </c>
    </row>
    <row r="75" spans="1:22" s="2" customFormat="1" ht="16.5" customHeight="1" thickBot="1">
      <c r="A75" s="37" t="s">
        <v>803</v>
      </c>
      <c r="B75" s="52" t="s">
        <v>28</v>
      </c>
      <c r="C75" s="9">
        <v>696</v>
      </c>
      <c r="D75" s="9">
        <v>1061</v>
      </c>
      <c r="E75" s="9">
        <v>1068</v>
      </c>
      <c r="F75" s="9">
        <v>1073</v>
      </c>
      <c r="G75" s="9">
        <v>1181</v>
      </c>
      <c r="H75" s="9">
        <v>1206</v>
      </c>
      <c r="I75" s="9">
        <v>1225</v>
      </c>
      <c r="J75" s="9">
        <v>1226</v>
      </c>
      <c r="K75" s="9">
        <v>1229</v>
      </c>
      <c r="L75" s="8">
        <v>1229</v>
      </c>
      <c r="M75" s="8" t="s">
        <v>14</v>
      </c>
    </row>
    <row r="76" spans="1:22" s="2" customFormat="1" ht="16.5" customHeight="1" thickBot="1">
      <c r="A76" s="40" t="s">
        <v>477</v>
      </c>
      <c r="B76" s="84" t="s">
        <v>133</v>
      </c>
      <c r="C76" s="9">
        <v>517</v>
      </c>
      <c r="D76" s="9">
        <v>581</v>
      </c>
      <c r="E76" s="9">
        <v>599</v>
      </c>
      <c r="F76" s="9">
        <v>736</v>
      </c>
      <c r="G76" s="9" t="s">
        <v>30</v>
      </c>
    </row>
    <row r="77" spans="1:22" s="2" customFormat="1" ht="16.5" customHeight="1" thickBot="1">
      <c r="A77" s="40" t="s">
        <v>676</v>
      </c>
      <c r="B77" s="84" t="s">
        <v>133</v>
      </c>
      <c r="C77" s="9">
        <v>335</v>
      </c>
      <c r="D77" s="9">
        <v>359</v>
      </c>
      <c r="E77" s="9">
        <v>473</v>
      </c>
      <c r="F77" s="9" t="s">
        <v>30</v>
      </c>
    </row>
    <row r="78" spans="1:22" s="2" customFormat="1" ht="16.5" customHeight="1" thickBot="1">
      <c r="A78" s="40" t="s">
        <v>596</v>
      </c>
      <c r="B78" s="84" t="s">
        <v>133</v>
      </c>
      <c r="C78" s="9">
        <v>221</v>
      </c>
      <c r="D78" s="9">
        <v>230</v>
      </c>
      <c r="E78" s="9" t="s">
        <v>30</v>
      </c>
      <c r="L78" s="23"/>
    </row>
    <row r="79" spans="1:22">
      <c r="C79" s="63"/>
      <c r="D79" s="63"/>
      <c r="E79" s="63"/>
    </row>
    <row r="80" spans="1:22" s="99" customFormat="1" ht="15" customHeight="1">
      <c r="B80" s="64" t="s">
        <v>18</v>
      </c>
      <c r="C80" s="66" t="s">
        <v>6</v>
      </c>
      <c r="D80" s="68" t="s">
        <v>17</v>
      </c>
      <c r="E80" s="70" t="s">
        <v>133</v>
      </c>
      <c r="F80" s="64" t="s">
        <v>13</v>
      </c>
      <c r="J80" s="101"/>
      <c r="K80" s="64"/>
      <c r="U80" s="98"/>
      <c r="V80" s="103"/>
    </row>
    <row r="81" spans="1:22" s="99" customFormat="1" ht="15" customHeight="1">
      <c r="A81" s="99" t="s">
        <v>8</v>
      </c>
      <c r="B81" s="110">
        <f>SUM(M9+L24+J59+O41+O71)</f>
        <v>57580</v>
      </c>
      <c r="C81" s="108">
        <f>SUM(O68+O37+J56+L20+M5)</f>
        <v>27131</v>
      </c>
      <c r="D81" s="108">
        <f>(M7+L22+O39)</f>
        <v>2115</v>
      </c>
      <c r="E81" s="108">
        <f>SUM(O69+O38+L21+M6+J57)</f>
        <v>14508</v>
      </c>
      <c r="F81" s="108">
        <f>SUM(O70+O40+L23+J58+M8)</f>
        <v>13826</v>
      </c>
      <c r="J81" s="98"/>
      <c r="K81" s="105"/>
      <c r="T81" s="107"/>
      <c r="U81" s="77"/>
      <c r="V81" s="103"/>
    </row>
    <row r="82" spans="1:22" s="99" customFormat="1" ht="15" customHeight="1">
      <c r="A82" s="99" t="s">
        <v>9</v>
      </c>
      <c r="B82" s="102">
        <v>1</v>
      </c>
      <c r="C82" s="103">
        <f>SUM(C81/$B$81)</f>
        <v>0.47118791246960751</v>
      </c>
      <c r="D82" s="103">
        <f>SUM(D81/$B$81)</f>
        <v>3.6731503994442513E-2</v>
      </c>
      <c r="E82" s="103">
        <f>SUM(E81/$B$81)</f>
        <v>0.25196248697464396</v>
      </c>
      <c r="F82" s="103">
        <f>SUM(F81/$B$81)</f>
        <v>0.240118096561306</v>
      </c>
      <c r="J82" s="103"/>
      <c r="K82" s="64"/>
      <c r="T82" s="64"/>
    </row>
    <row r="83" spans="1:22" s="99" customFormat="1" ht="15" customHeight="1">
      <c r="A83" s="99" t="s">
        <v>10</v>
      </c>
      <c r="B83" s="110">
        <v>31</v>
      </c>
      <c r="C83" s="108">
        <v>17</v>
      </c>
      <c r="D83" s="108">
        <v>1</v>
      </c>
      <c r="E83" s="108">
        <v>6</v>
      </c>
      <c r="F83" s="108">
        <v>7</v>
      </c>
      <c r="K83" s="106"/>
    </row>
    <row r="84" spans="1:22" s="2" customFormat="1" ht="16.5" customHeight="1">
      <c r="A84" s="1"/>
    </row>
    <row r="85" spans="1:22" ht="14.25">
      <c r="O85" s="2"/>
      <c r="P85" s="2"/>
      <c r="Q85" s="2"/>
      <c r="R85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A117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7.7109375" customWidth="1"/>
    <col min="3" max="3" width="8.5703125" customWidth="1"/>
    <col min="4" max="21" width="8.7109375" customWidth="1"/>
  </cols>
  <sheetData>
    <row r="1" spans="1:17" s="2" customFormat="1" ht="16.5" customHeight="1">
      <c r="A1" s="31" t="s">
        <v>511</v>
      </c>
      <c r="B1" s="23"/>
      <c r="C1" s="23"/>
      <c r="D1" s="23"/>
      <c r="E1" s="23"/>
      <c r="F1" s="23"/>
      <c r="G1" s="23"/>
      <c r="H1" s="23"/>
      <c r="I1" s="23"/>
      <c r="J1" s="23"/>
    </row>
    <row r="2" spans="1:17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7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36">
        <v>9</v>
      </c>
      <c r="L3" s="36">
        <v>10</v>
      </c>
      <c r="M3" s="5"/>
      <c r="N3" s="12" t="s">
        <v>5</v>
      </c>
      <c r="O3" s="13">
        <f>(9269/14011)</f>
        <v>0.6615516379987153</v>
      </c>
    </row>
    <row r="4" spans="1:17" s="2" customFormat="1" ht="16.5" customHeight="1" thickBot="1">
      <c r="A4" s="37" t="s">
        <v>599</v>
      </c>
      <c r="B4" s="38" t="s">
        <v>6</v>
      </c>
      <c r="C4" s="8">
        <v>2043</v>
      </c>
      <c r="D4" s="9"/>
      <c r="E4" s="9"/>
      <c r="F4" s="9"/>
      <c r="G4" s="10"/>
      <c r="H4" s="9"/>
      <c r="I4" s="9"/>
      <c r="J4" s="9"/>
      <c r="K4" s="9"/>
      <c r="L4" s="9"/>
      <c r="M4" s="11" t="s">
        <v>4</v>
      </c>
      <c r="N4" s="15"/>
      <c r="O4" s="12" t="s">
        <v>8</v>
      </c>
      <c r="P4" s="12" t="s">
        <v>9</v>
      </c>
      <c r="Q4" s="12" t="s">
        <v>10</v>
      </c>
    </row>
    <row r="5" spans="1:17" s="2" customFormat="1" ht="16.5" customHeight="1" thickBot="1">
      <c r="A5" s="37" t="s">
        <v>174</v>
      </c>
      <c r="B5" s="38" t="s">
        <v>6</v>
      </c>
      <c r="C5" s="9">
        <v>1312</v>
      </c>
      <c r="D5" s="9"/>
      <c r="E5" s="9"/>
      <c r="F5" s="9"/>
      <c r="G5" s="9"/>
      <c r="H5" s="9"/>
      <c r="I5" s="8">
        <v>1612</v>
      </c>
      <c r="J5" s="9"/>
      <c r="K5" s="9"/>
      <c r="L5" s="9"/>
      <c r="M5" s="11" t="s">
        <v>7</v>
      </c>
      <c r="N5" s="16" t="s">
        <v>6</v>
      </c>
      <c r="O5" s="17">
        <f>(C4+C5+C6+C9+C12)</f>
        <v>5371</v>
      </c>
      <c r="P5" s="18">
        <f>SUM(O5/O10)</f>
        <v>0.58828039430449064</v>
      </c>
      <c r="Q5" s="15">
        <v>3</v>
      </c>
    </row>
    <row r="6" spans="1:17" s="2" customFormat="1" ht="16.5" customHeight="1" thickBot="1">
      <c r="A6" s="37" t="s">
        <v>406</v>
      </c>
      <c r="B6" s="38" t="s">
        <v>6</v>
      </c>
      <c r="C6" s="9">
        <v>1069</v>
      </c>
      <c r="D6" s="9"/>
      <c r="E6" s="9"/>
      <c r="F6" s="9"/>
      <c r="G6" s="9"/>
      <c r="H6" s="9"/>
      <c r="I6" s="9"/>
      <c r="J6" s="9"/>
      <c r="K6" s="8">
        <v>1581</v>
      </c>
      <c r="L6" s="9"/>
      <c r="M6" s="11" t="s">
        <v>11</v>
      </c>
      <c r="N6" s="19" t="s">
        <v>3</v>
      </c>
      <c r="O6" s="17">
        <f>(C7+C10)</f>
        <v>1407</v>
      </c>
      <c r="P6" s="18">
        <f>SUM(O6/O10)</f>
        <v>0.15410733844468785</v>
      </c>
      <c r="Q6" s="15">
        <v>1</v>
      </c>
    </row>
    <row r="7" spans="1:17" s="2" customFormat="1" ht="16.5" customHeight="1" thickBot="1">
      <c r="A7" s="37" t="s">
        <v>513</v>
      </c>
      <c r="B7" s="39" t="s">
        <v>3</v>
      </c>
      <c r="C7" s="9">
        <v>916</v>
      </c>
      <c r="D7" s="9"/>
      <c r="E7" s="9"/>
      <c r="F7" s="9"/>
      <c r="G7" s="9"/>
      <c r="H7" s="9"/>
      <c r="I7" s="9"/>
      <c r="J7" s="9"/>
      <c r="K7" s="9"/>
      <c r="L7" s="8">
        <v>1610</v>
      </c>
      <c r="M7" s="11" t="s">
        <v>12</v>
      </c>
      <c r="N7" s="88" t="s">
        <v>133</v>
      </c>
      <c r="O7" s="23">
        <f>(C8+C15)</f>
        <v>918</v>
      </c>
      <c r="P7" s="13">
        <f>SUM(O7/O10)</f>
        <v>0.10054764512595837</v>
      </c>
      <c r="Q7" s="15">
        <v>1</v>
      </c>
    </row>
    <row r="8" spans="1:17" s="2" customFormat="1" ht="16.5" customHeight="1" thickBot="1">
      <c r="A8" s="37" t="s">
        <v>355</v>
      </c>
      <c r="B8" s="93" t="s">
        <v>133</v>
      </c>
      <c r="C8" s="9">
        <v>685</v>
      </c>
      <c r="D8" s="9"/>
      <c r="E8" s="9"/>
      <c r="F8" s="9"/>
      <c r="G8" s="9"/>
      <c r="H8" s="9"/>
      <c r="I8" s="9"/>
      <c r="J8" s="9"/>
      <c r="K8" s="9"/>
      <c r="L8" s="8">
        <v>1149</v>
      </c>
      <c r="M8" s="11" t="s">
        <v>15</v>
      </c>
      <c r="N8" s="96" t="s">
        <v>134</v>
      </c>
      <c r="O8" s="17">
        <f>(C11+C14+C16)</f>
        <v>1026</v>
      </c>
      <c r="P8" s="18">
        <f>SUM(O8/O10)</f>
        <v>0.11237677984665936</v>
      </c>
      <c r="Q8" s="15"/>
    </row>
    <row r="9" spans="1:17" s="2" customFormat="1" ht="16.5" customHeight="1" thickBot="1">
      <c r="A9" s="40" t="s">
        <v>515</v>
      </c>
      <c r="B9" s="41" t="s">
        <v>6</v>
      </c>
      <c r="C9" s="9">
        <v>534</v>
      </c>
      <c r="D9" s="9"/>
      <c r="E9" s="9"/>
      <c r="F9" s="9"/>
      <c r="G9" s="9"/>
      <c r="H9" s="9"/>
      <c r="I9" s="9"/>
      <c r="J9" s="9"/>
      <c r="K9" s="9"/>
      <c r="L9" s="9">
        <v>942</v>
      </c>
      <c r="M9" s="9"/>
      <c r="N9" s="22" t="s">
        <v>13</v>
      </c>
      <c r="O9" s="23">
        <v>408</v>
      </c>
      <c r="P9" s="13">
        <f>SUM(O9/O10)</f>
        <v>4.4687842278203722E-2</v>
      </c>
      <c r="Q9" s="15"/>
    </row>
    <row r="10" spans="1:17" s="2" customFormat="1" ht="16.5" customHeight="1" thickBot="1">
      <c r="A10" s="40" t="s">
        <v>517</v>
      </c>
      <c r="B10" s="42" t="s">
        <v>3</v>
      </c>
      <c r="C10" s="9">
        <v>491</v>
      </c>
      <c r="D10" s="9"/>
      <c r="E10" s="9"/>
      <c r="F10" s="9"/>
      <c r="G10" s="9"/>
      <c r="H10" s="9"/>
      <c r="I10" s="9">
        <v>562</v>
      </c>
      <c r="J10" s="9" t="s">
        <v>30</v>
      </c>
      <c r="O10" s="25">
        <v>9130</v>
      </c>
    </row>
    <row r="11" spans="1:17" s="2" customFormat="1" ht="16.5" customHeight="1" thickBot="1">
      <c r="A11" s="40" t="s">
        <v>598</v>
      </c>
      <c r="B11" s="95" t="s">
        <v>134</v>
      </c>
      <c r="C11" s="9">
        <v>469</v>
      </c>
      <c r="D11" s="9"/>
      <c r="E11" s="9"/>
      <c r="F11" s="9"/>
      <c r="G11" s="9"/>
      <c r="H11" s="9"/>
      <c r="I11" s="9"/>
      <c r="J11" s="9"/>
      <c r="K11" s="9">
        <v>836</v>
      </c>
      <c r="L11" s="9" t="s">
        <v>30</v>
      </c>
    </row>
    <row r="12" spans="1:17" s="2" customFormat="1" ht="16.5" customHeight="1" thickBot="1">
      <c r="A12" s="40" t="s">
        <v>516</v>
      </c>
      <c r="B12" s="41" t="s">
        <v>6</v>
      </c>
      <c r="C12" s="9">
        <v>413</v>
      </c>
      <c r="D12" s="9"/>
      <c r="E12" s="9"/>
      <c r="F12" s="9"/>
      <c r="G12" s="9"/>
      <c r="H12" s="9">
        <v>524</v>
      </c>
      <c r="I12" s="9" t="s">
        <v>30</v>
      </c>
      <c r="L12" s="96"/>
      <c r="M12" s="17"/>
      <c r="N12" s="18"/>
      <c r="O12" s="15"/>
    </row>
    <row r="13" spans="1:17" s="2" customFormat="1" ht="16.5" customHeight="1" thickBot="1">
      <c r="A13" s="40" t="s">
        <v>519</v>
      </c>
      <c r="B13" s="44" t="s">
        <v>28</v>
      </c>
      <c r="C13" s="9">
        <v>408</v>
      </c>
      <c r="D13" s="9"/>
      <c r="E13" s="9"/>
      <c r="F13" s="9"/>
      <c r="G13" s="9">
        <v>467</v>
      </c>
      <c r="H13" s="9" t="s">
        <v>30</v>
      </c>
    </row>
    <row r="14" spans="1:17" s="2" customFormat="1" ht="16.5" customHeight="1" thickBot="1">
      <c r="A14" s="40" t="s">
        <v>405</v>
      </c>
      <c r="B14" s="95" t="s">
        <v>134</v>
      </c>
      <c r="C14" s="9">
        <v>328</v>
      </c>
      <c r="D14" s="9"/>
      <c r="E14" s="9"/>
      <c r="F14" s="9">
        <v>378</v>
      </c>
      <c r="G14" s="9" t="s">
        <v>30</v>
      </c>
      <c r="I14" s="28"/>
      <c r="J14" s="116"/>
      <c r="L14" s="25"/>
    </row>
    <row r="15" spans="1:17" s="2" customFormat="1" ht="16.5" customHeight="1" thickBot="1">
      <c r="A15" s="40" t="s">
        <v>514</v>
      </c>
      <c r="B15" s="84" t="s">
        <v>133</v>
      </c>
      <c r="C15" s="9">
        <v>233</v>
      </c>
      <c r="D15" s="9">
        <v>242</v>
      </c>
      <c r="E15" s="9" t="s">
        <v>30</v>
      </c>
    </row>
    <row r="16" spans="1:17" s="2" customFormat="1" ht="16.5" customHeight="1" thickBot="1">
      <c r="A16" s="40" t="s">
        <v>518</v>
      </c>
      <c r="B16" s="95" t="s">
        <v>134</v>
      </c>
      <c r="C16" s="9">
        <v>229</v>
      </c>
      <c r="D16" s="9"/>
      <c r="E16" s="9">
        <v>284</v>
      </c>
      <c r="F16" s="9" t="s">
        <v>30</v>
      </c>
    </row>
    <row r="17" spans="1:23" s="2" customFormat="1" ht="10.5" customHeight="1">
      <c r="A17" s="31"/>
      <c r="B17" s="23"/>
      <c r="C17" s="23"/>
      <c r="D17" s="23"/>
      <c r="E17" s="23"/>
      <c r="F17" s="23"/>
      <c r="G17" s="23"/>
      <c r="H17" s="23"/>
      <c r="I17" s="23"/>
      <c r="J17" s="23"/>
    </row>
    <row r="18" spans="1:23" s="2" customFormat="1" ht="17.45" customHeight="1">
      <c r="A18" s="31" t="s">
        <v>534</v>
      </c>
      <c r="B18" s="23"/>
      <c r="C18" s="23"/>
      <c r="D18" s="23"/>
      <c r="E18" s="23"/>
      <c r="F18" s="23"/>
      <c r="G18" s="23"/>
      <c r="H18" s="23"/>
      <c r="I18" s="23"/>
      <c r="J18" s="23"/>
    </row>
    <row r="19" spans="1:23" s="2" customFormat="1" ht="10.5" customHeight="1" thickBot="1">
      <c r="A19" s="31"/>
      <c r="B19" s="23"/>
      <c r="C19" s="23"/>
      <c r="D19" s="23"/>
      <c r="E19" s="23"/>
      <c r="F19" s="23"/>
      <c r="G19" s="23"/>
      <c r="H19" s="23"/>
      <c r="I19" s="23"/>
      <c r="J19" s="23"/>
    </row>
    <row r="20" spans="1:23" s="2" customFormat="1" ht="16.5" customHeight="1" thickBot="1">
      <c r="A20" s="35" t="s">
        <v>0</v>
      </c>
      <c r="B20" s="36" t="s">
        <v>1</v>
      </c>
      <c r="C20" s="36" t="s">
        <v>2</v>
      </c>
      <c r="D20" s="36">
        <v>2</v>
      </c>
      <c r="E20" s="36">
        <v>3</v>
      </c>
      <c r="F20" s="36">
        <v>4</v>
      </c>
      <c r="G20" s="36">
        <v>5</v>
      </c>
      <c r="H20" s="36">
        <v>6</v>
      </c>
      <c r="I20" s="36">
        <v>7</v>
      </c>
      <c r="J20" s="36">
        <v>8</v>
      </c>
      <c r="K20" s="36">
        <v>9</v>
      </c>
      <c r="L20" s="36">
        <v>10</v>
      </c>
      <c r="M20" s="36">
        <v>11</v>
      </c>
      <c r="N20" s="36">
        <v>12</v>
      </c>
      <c r="O20" s="36">
        <v>13</v>
      </c>
      <c r="P20" s="36">
        <v>14</v>
      </c>
      <c r="Q20" s="36">
        <v>15</v>
      </c>
      <c r="R20" s="36">
        <v>16</v>
      </c>
      <c r="S20" s="45"/>
      <c r="T20" s="12" t="s">
        <v>5</v>
      </c>
      <c r="U20" s="13">
        <f>(13451/21891)</f>
        <v>0.61445342834955008</v>
      </c>
    </row>
    <row r="21" spans="1:23" s="2" customFormat="1" ht="16.5" customHeight="1" thickBot="1">
      <c r="A21" s="37" t="s">
        <v>418</v>
      </c>
      <c r="B21" s="52" t="s">
        <v>28</v>
      </c>
      <c r="C21" s="9">
        <v>1042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8">
        <v>1466</v>
      </c>
      <c r="S21" s="8" t="s">
        <v>12</v>
      </c>
      <c r="T21" s="15"/>
      <c r="U21" s="12" t="s">
        <v>8</v>
      </c>
      <c r="V21" s="12" t="s">
        <v>9</v>
      </c>
      <c r="W21" s="12" t="s">
        <v>10</v>
      </c>
    </row>
    <row r="22" spans="1:23" s="2" customFormat="1" ht="16.5" customHeight="1" thickBot="1">
      <c r="A22" s="37" t="s">
        <v>520</v>
      </c>
      <c r="B22" s="93" t="s">
        <v>133</v>
      </c>
      <c r="C22" s="9">
        <v>999</v>
      </c>
      <c r="D22" s="9"/>
      <c r="E22" s="9"/>
      <c r="F22" s="9"/>
      <c r="G22" s="9"/>
      <c r="H22" s="9"/>
      <c r="I22" s="9"/>
      <c r="J22" s="9"/>
      <c r="K22" s="9"/>
      <c r="L22" s="9"/>
      <c r="M22" s="8">
        <v>1513</v>
      </c>
      <c r="N22" s="9"/>
      <c r="O22" s="9"/>
      <c r="P22" s="9"/>
      <c r="Q22" s="9"/>
      <c r="R22" s="9"/>
      <c r="S22" s="8" t="s">
        <v>4</v>
      </c>
      <c r="T22" s="16" t="s">
        <v>6</v>
      </c>
      <c r="U22" s="17">
        <f>(C23+C24+C25+C26+C29+C30+C35)</f>
        <v>5523</v>
      </c>
      <c r="V22" s="18">
        <f>SUM(U22/U28)</f>
        <v>0.41545057920866557</v>
      </c>
      <c r="W22" s="15">
        <v>4</v>
      </c>
    </row>
    <row r="23" spans="1:23" s="2" customFormat="1" ht="16.5" customHeight="1" thickBot="1">
      <c r="A23" s="37" t="s">
        <v>183</v>
      </c>
      <c r="B23" s="38" t="s">
        <v>6</v>
      </c>
      <c r="C23" s="9">
        <v>990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>
        <v>1249</v>
      </c>
      <c r="O23" s="8">
        <v>1522</v>
      </c>
      <c r="P23" s="9"/>
      <c r="Q23" s="9"/>
      <c r="R23" s="9"/>
      <c r="S23" s="8" t="s">
        <v>7</v>
      </c>
      <c r="T23" s="19" t="s">
        <v>3</v>
      </c>
      <c r="U23" s="17">
        <f>(C28+C36)</f>
        <v>1222</v>
      </c>
      <c r="V23" s="18">
        <f>SUM(U23/U28)</f>
        <v>9.1921167443959687E-2</v>
      </c>
      <c r="W23" s="15">
        <v>1</v>
      </c>
    </row>
    <row r="24" spans="1:23" s="2" customFormat="1" ht="16.5" customHeight="1" thickBot="1">
      <c r="A24" s="37" t="s">
        <v>631</v>
      </c>
      <c r="B24" s="38" t="s">
        <v>6</v>
      </c>
      <c r="C24" s="9">
        <v>988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8">
        <v>1427</v>
      </c>
      <c r="S24" s="8" t="s">
        <v>15</v>
      </c>
      <c r="T24" s="88" t="s">
        <v>133</v>
      </c>
      <c r="U24" s="17">
        <f>(C22+C27+C33+C37+C38+C39+C40)</f>
        <v>3745</v>
      </c>
      <c r="V24" s="18">
        <f>SUM(U24/U28)</f>
        <v>0.28170603279675044</v>
      </c>
      <c r="W24" s="2">
        <v>2</v>
      </c>
    </row>
    <row r="25" spans="1:23" s="2" customFormat="1" ht="16.5" customHeight="1" thickBot="1">
      <c r="A25" s="37" t="s">
        <v>330</v>
      </c>
      <c r="B25" s="38" t="s">
        <v>6</v>
      </c>
      <c r="C25" s="9">
        <v>916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">
        <v>1471</v>
      </c>
      <c r="S25" s="8" t="s">
        <v>11</v>
      </c>
      <c r="T25" s="96" t="s">
        <v>134</v>
      </c>
      <c r="U25" s="17">
        <f>(C31+C41+C42)</f>
        <v>784</v>
      </c>
      <c r="V25" s="18">
        <f>SUM(U25/U28)</f>
        <v>5.8973973221001959E-2</v>
      </c>
    </row>
    <row r="26" spans="1:23" s="2" customFormat="1" ht="16.5" customHeight="1" thickBot="1">
      <c r="A26" s="37" t="s">
        <v>523</v>
      </c>
      <c r="B26" s="38" t="s">
        <v>6</v>
      </c>
      <c r="C26" s="9">
        <v>812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">
        <v>963</v>
      </c>
      <c r="S26" s="8" t="s">
        <v>209</v>
      </c>
      <c r="T26" s="29" t="s">
        <v>17</v>
      </c>
      <c r="U26" s="17">
        <v>500</v>
      </c>
      <c r="V26" s="18">
        <f>SUM(U26/U28)</f>
        <v>3.7610952309312475E-2</v>
      </c>
    </row>
    <row r="27" spans="1:23" s="2" customFormat="1" ht="16.5" customHeight="1" thickBot="1">
      <c r="A27" s="37" t="s">
        <v>521</v>
      </c>
      <c r="B27" s="93" t="s">
        <v>133</v>
      </c>
      <c r="C27" s="9">
        <v>789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">
        <v>1197</v>
      </c>
      <c r="S27" s="8" t="s">
        <v>16</v>
      </c>
      <c r="T27" s="22" t="s">
        <v>13</v>
      </c>
      <c r="U27" s="17">
        <f>(C21+C34)</f>
        <v>1520</v>
      </c>
      <c r="V27" s="18">
        <f>SUM(U27/U28)</f>
        <v>0.11433729502030991</v>
      </c>
      <c r="W27" s="2">
        <v>1</v>
      </c>
    </row>
    <row r="28" spans="1:23" s="2" customFormat="1" ht="16.5" customHeight="1" thickBot="1">
      <c r="A28" s="37" t="s">
        <v>524</v>
      </c>
      <c r="B28" s="39" t="s">
        <v>3</v>
      </c>
      <c r="C28" s="9">
        <v>752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">
        <v>1412</v>
      </c>
      <c r="S28" s="8" t="s">
        <v>14</v>
      </c>
      <c r="T28" s="12"/>
      <c r="U28" s="25">
        <v>13294</v>
      </c>
      <c r="V28" s="13"/>
      <c r="W28" s="15"/>
    </row>
    <row r="29" spans="1:23" s="2" customFormat="1" ht="16.5" customHeight="1" thickBot="1">
      <c r="A29" s="40" t="s">
        <v>126</v>
      </c>
      <c r="B29" s="41" t="s">
        <v>6</v>
      </c>
      <c r="C29" s="9">
        <v>714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9">
        <v>753</v>
      </c>
      <c r="O29" s="9" t="s">
        <v>30</v>
      </c>
    </row>
    <row r="30" spans="1:23" s="2" customFormat="1" ht="16.5" customHeight="1" thickBot="1">
      <c r="A30" s="40" t="s">
        <v>529</v>
      </c>
      <c r="B30" s="41" t="s">
        <v>6</v>
      </c>
      <c r="C30" s="9">
        <v>633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>
        <v>779</v>
      </c>
      <c r="Q30" s="9" t="s">
        <v>30</v>
      </c>
    </row>
    <row r="31" spans="1:23" s="2" customFormat="1" ht="16.5" customHeight="1" thickBot="1">
      <c r="A31" s="40" t="s">
        <v>525</v>
      </c>
      <c r="B31" s="95" t="s">
        <v>134</v>
      </c>
      <c r="C31" s="9">
        <v>538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>
        <v>948</v>
      </c>
      <c r="S31" s="8"/>
    </row>
    <row r="32" spans="1:23" s="2" customFormat="1" ht="16.5" customHeight="1" thickBot="1">
      <c r="A32" s="40" t="s">
        <v>533</v>
      </c>
      <c r="B32" s="50" t="s">
        <v>17</v>
      </c>
      <c r="C32" s="9">
        <v>500</v>
      </c>
      <c r="D32" s="9"/>
      <c r="E32" s="9"/>
      <c r="F32" s="9"/>
      <c r="G32" s="9"/>
      <c r="H32" s="9"/>
      <c r="I32" s="9"/>
      <c r="J32" s="9"/>
      <c r="K32" s="9">
        <v>603</v>
      </c>
      <c r="L32" s="9" t="s">
        <v>30</v>
      </c>
      <c r="S32" s="13"/>
    </row>
    <row r="33" spans="1:23" s="2" customFormat="1" ht="16.5" customHeight="1" thickBot="1">
      <c r="A33" s="40" t="s">
        <v>627</v>
      </c>
      <c r="B33" s="84" t="s">
        <v>133</v>
      </c>
      <c r="C33" s="9">
        <v>487</v>
      </c>
      <c r="D33" s="9"/>
      <c r="E33" s="9"/>
      <c r="F33" s="9"/>
      <c r="G33" s="9"/>
      <c r="H33" s="9"/>
      <c r="I33" s="9"/>
      <c r="J33" s="9"/>
      <c r="K33" s="9"/>
      <c r="L33" s="9">
        <v>707</v>
      </c>
      <c r="M33" s="9" t="s">
        <v>30</v>
      </c>
    </row>
    <row r="34" spans="1:23" s="2" customFormat="1" ht="16.5" customHeight="1" thickBot="1">
      <c r="A34" s="40" t="s">
        <v>414</v>
      </c>
      <c r="B34" s="44" t="s">
        <v>28</v>
      </c>
      <c r="C34" s="9">
        <v>478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 t="s">
        <v>30</v>
      </c>
    </row>
    <row r="35" spans="1:23" s="2" customFormat="1" ht="16.5" customHeight="1" thickBot="1">
      <c r="A35" s="40" t="s">
        <v>528</v>
      </c>
      <c r="B35" s="41" t="s">
        <v>6</v>
      </c>
      <c r="C35" s="9">
        <v>470</v>
      </c>
      <c r="D35" s="9"/>
      <c r="E35" s="9"/>
      <c r="F35" s="9"/>
      <c r="G35" s="9"/>
      <c r="H35" s="9">
        <v>479</v>
      </c>
      <c r="I35" s="9" t="s">
        <v>30</v>
      </c>
    </row>
    <row r="36" spans="1:23" s="2" customFormat="1" ht="16.5" customHeight="1" thickBot="1">
      <c r="A36" s="40" t="s">
        <v>530</v>
      </c>
      <c r="B36" s="42" t="s">
        <v>3</v>
      </c>
      <c r="C36" s="9">
        <v>470</v>
      </c>
      <c r="D36" s="9"/>
      <c r="E36" s="9"/>
      <c r="F36" s="9"/>
      <c r="G36" s="9"/>
      <c r="H36" s="9"/>
      <c r="I36" s="9"/>
      <c r="J36" s="9">
        <v>529</v>
      </c>
      <c r="K36" s="9" t="s">
        <v>30</v>
      </c>
    </row>
    <row r="37" spans="1:23" s="2" customFormat="1" ht="16.5" customHeight="1" thickBot="1">
      <c r="A37" s="40" t="s">
        <v>409</v>
      </c>
      <c r="B37" s="84" t="s">
        <v>133</v>
      </c>
      <c r="C37" s="9">
        <v>468</v>
      </c>
      <c r="D37" s="9"/>
      <c r="E37" s="9"/>
      <c r="F37" s="9"/>
      <c r="G37" s="9"/>
      <c r="H37" s="9"/>
      <c r="I37" s="9">
        <v>513</v>
      </c>
      <c r="J37" s="9" t="s">
        <v>30</v>
      </c>
      <c r="L37" s="23"/>
      <c r="M37" s="23"/>
      <c r="O37" s="13"/>
    </row>
    <row r="38" spans="1:23" s="2" customFormat="1" ht="16.5" customHeight="1" thickBot="1">
      <c r="A38" s="40" t="s">
        <v>405</v>
      </c>
      <c r="B38" s="84" t="s">
        <v>133</v>
      </c>
      <c r="C38" s="9">
        <v>387</v>
      </c>
      <c r="D38" s="9"/>
      <c r="E38" s="9"/>
      <c r="F38" s="9">
        <v>394</v>
      </c>
      <c r="G38" s="9" t="s">
        <v>30</v>
      </c>
      <c r="H38" s="23"/>
      <c r="I38" s="23"/>
      <c r="J38" s="23"/>
    </row>
    <row r="39" spans="1:23" s="2" customFormat="1" ht="16.5" customHeight="1" thickBot="1">
      <c r="A39" s="40" t="s">
        <v>526</v>
      </c>
      <c r="B39" s="84" t="s">
        <v>133</v>
      </c>
      <c r="C39" s="9">
        <v>368</v>
      </c>
      <c r="D39" s="9"/>
      <c r="E39" s="9"/>
      <c r="F39" s="9"/>
      <c r="G39" s="9">
        <v>431</v>
      </c>
      <c r="H39" s="9" t="s">
        <v>30</v>
      </c>
      <c r="I39" s="23"/>
      <c r="J39" s="23"/>
      <c r="K39" s="23"/>
      <c r="L39" s="23"/>
      <c r="M39" s="23"/>
      <c r="N39" s="117"/>
      <c r="O39" s="23"/>
      <c r="P39" s="13"/>
    </row>
    <row r="40" spans="1:23" s="2" customFormat="1" ht="16.5" customHeight="1" thickBot="1">
      <c r="A40" s="40" t="s">
        <v>527</v>
      </c>
      <c r="B40" s="84" t="s">
        <v>133</v>
      </c>
      <c r="C40" s="9">
        <v>247</v>
      </c>
      <c r="D40" s="9"/>
      <c r="E40" s="9">
        <v>253</v>
      </c>
      <c r="F40" s="9" t="s">
        <v>30</v>
      </c>
      <c r="G40" s="23"/>
      <c r="H40" s="23"/>
      <c r="I40" s="23"/>
      <c r="J40" s="23"/>
      <c r="K40" s="23"/>
      <c r="L40" s="23"/>
      <c r="M40" s="23"/>
      <c r="N40" s="46"/>
      <c r="O40" s="17"/>
      <c r="P40" s="18"/>
    </row>
    <row r="41" spans="1:23" s="2" customFormat="1" ht="16.5" customHeight="1" thickBot="1">
      <c r="A41" s="40" t="s">
        <v>532</v>
      </c>
      <c r="B41" s="95" t="s">
        <v>134</v>
      </c>
      <c r="C41" s="9">
        <v>150</v>
      </c>
      <c r="D41" s="9">
        <v>159</v>
      </c>
      <c r="E41" s="9" t="s">
        <v>30</v>
      </c>
      <c r="G41" s="23"/>
      <c r="H41" s="23"/>
      <c r="I41" s="23"/>
      <c r="J41" s="23"/>
      <c r="K41" s="23"/>
      <c r="L41" s="23"/>
      <c r="M41" s="23"/>
      <c r="N41" s="46"/>
      <c r="O41" s="17"/>
      <c r="P41" s="18"/>
    </row>
    <row r="42" spans="1:23" s="2" customFormat="1" ht="16.5" customHeight="1" thickBot="1">
      <c r="A42" s="40" t="s">
        <v>531</v>
      </c>
      <c r="B42" s="95" t="s">
        <v>134</v>
      </c>
      <c r="C42" s="9">
        <v>96</v>
      </c>
      <c r="D42" s="9" t="s">
        <v>30</v>
      </c>
      <c r="G42" s="23"/>
      <c r="H42" s="23"/>
      <c r="I42" s="23"/>
      <c r="J42" s="23"/>
      <c r="K42" s="23"/>
      <c r="L42" s="23"/>
      <c r="M42" s="23"/>
      <c r="N42" s="46"/>
      <c r="O42" s="17"/>
      <c r="P42" s="18"/>
    </row>
    <row r="43" spans="1:23" s="2" customFormat="1" ht="12" customHeight="1">
      <c r="A43" s="28"/>
      <c r="B43" s="47"/>
      <c r="C43" s="28"/>
      <c r="D43" s="28"/>
      <c r="E43" s="28"/>
      <c r="F43" s="23"/>
      <c r="G43" s="23"/>
      <c r="H43" s="23"/>
      <c r="I43" s="23"/>
      <c r="J43" s="23"/>
      <c r="N43" s="18"/>
    </row>
    <row r="44" spans="1:23" s="2" customFormat="1" ht="17.45" customHeight="1">
      <c r="A44" s="1" t="s">
        <v>535</v>
      </c>
    </row>
    <row r="45" spans="1:23" s="2" customFormat="1" ht="10.5" customHeight="1" thickBot="1">
      <c r="A45" s="1"/>
    </row>
    <row r="46" spans="1:23" s="2" customFormat="1" ht="16.5" customHeight="1" thickBot="1">
      <c r="A46" s="3" t="s">
        <v>0</v>
      </c>
      <c r="B46" s="4" t="s">
        <v>1</v>
      </c>
      <c r="C46" s="4" t="s">
        <v>2</v>
      </c>
      <c r="D46" s="4">
        <v>2</v>
      </c>
      <c r="E46" s="4">
        <v>3</v>
      </c>
      <c r="F46" s="4">
        <v>4</v>
      </c>
      <c r="G46" s="4">
        <v>5</v>
      </c>
      <c r="H46" s="4">
        <v>6</v>
      </c>
      <c r="I46" s="4">
        <v>7</v>
      </c>
      <c r="J46" s="4">
        <v>8</v>
      </c>
      <c r="K46" s="4">
        <v>9</v>
      </c>
      <c r="L46" s="4">
        <v>10</v>
      </c>
      <c r="M46" s="4">
        <v>11</v>
      </c>
      <c r="N46" s="4">
        <v>12</v>
      </c>
      <c r="O46" s="4">
        <v>13</v>
      </c>
      <c r="P46" s="4">
        <v>14</v>
      </c>
      <c r="Q46" s="4">
        <v>15</v>
      </c>
      <c r="R46" s="4">
        <v>16</v>
      </c>
      <c r="S46" s="5"/>
      <c r="T46" s="12" t="s">
        <v>5</v>
      </c>
      <c r="U46" s="13">
        <f>(13505/19919)</f>
        <v>0.67799588332747629</v>
      </c>
    </row>
    <row r="47" spans="1:23" s="2" customFormat="1" ht="16.5" customHeight="1" thickBot="1">
      <c r="A47" s="6" t="s">
        <v>537</v>
      </c>
      <c r="B47" s="14" t="s">
        <v>6</v>
      </c>
      <c r="C47" s="9">
        <v>1584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9">
        <v>1829</v>
      </c>
      <c r="O47" s="8">
        <v>2446</v>
      </c>
      <c r="P47" s="9"/>
      <c r="Q47" s="9"/>
      <c r="R47" s="9"/>
      <c r="S47" s="11" t="s">
        <v>4</v>
      </c>
      <c r="T47" s="15"/>
      <c r="U47" s="12" t="s">
        <v>8</v>
      </c>
      <c r="V47" s="12" t="s">
        <v>9</v>
      </c>
      <c r="W47" s="12" t="s">
        <v>10</v>
      </c>
    </row>
    <row r="48" spans="1:23" s="2" customFormat="1" ht="16.5" customHeight="1" thickBot="1">
      <c r="A48" s="6" t="s">
        <v>539</v>
      </c>
      <c r="B48" s="14" t="s">
        <v>6</v>
      </c>
      <c r="C48" s="9">
        <v>1361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>
        <v>1405</v>
      </c>
      <c r="O48" s="9"/>
      <c r="P48" s="9"/>
      <c r="Q48" s="9">
        <v>1515</v>
      </c>
      <c r="R48" s="8">
        <v>1519</v>
      </c>
      <c r="S48" s="11" t="s">
        <v>14</v>
      </c>
      <c r="T48" s="16" t="s">
        <v>6</v>
      </c>
      <c r="U48" s="17">
        <f>(C47+C48+C49+C51+C56)</f>
        <v>6037</v>
      </c>
      <c r="V48" s="18">
        <f>SUM(U48/U53)</f>
        <v>0.45915728627928204</v>
      </c>
      <c r="W48" s="15">
        <v>4</v>
      </c>
    </row>
    <row r="49" spans="1:23" s="2" customFormat="1" ht="16.5" customHeight="1" thickBot="1">
      <c r="A49" s="6" t="s">
        <v>331</v>
      </c>
      <c r="B49" s="14" t="s">
        <v>6</v>
      </c>
      <c r="C49" s="9">
        <v>1355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9">
        <v>1450</v>
      </c>
      <c r="O49" s="9"/>
      <c r="P49" s="9"/>
      <c r="Q49" s="9">
        <v>1603</v>
      </c>
      <c r="R49" s="8">
        <v>1608</v>
      </c>
      <c r="S49" s="8" t="s">
        <v>12</v>
      </c>
      <c r="T49" s="19" t="s">
        <v>3</v>
      </c>
      <c r="U49" s="17">
        <f>(C50+C54+C59+C65)</f>
        <v>2481</v>
      </c>
      <c r="V49" s="18">
        <f>SUM(U49/U53)</f>
        <v>0.18869790082141771</v>
      </c>
      <c r="W49" s="15">
        <v>1</v>
      </c>
    </row>
    <row r="50" spans="1:23" s="2" customFormat="1" ht="16.5" customHeight="1" thickBot="1">
      <c r="A50" s="6" t="s">
        <v>548</v>
      </c>
      <c r="B50" s="7" t="s">
        <v>3</v>
      </c>
      <c r="C50" s="9">
        <v>1264</v>
      </c>
      <c r="D50" s="9"/>
      <c r="E50" s="9"/>
      <c r="F50" s="9"/>
      <c r="G50" s="9"/>
      <c r="H50" s="9"/>
      <c r="I50" s="9"/>
      <c r="J50" s="9"/>
      <c r="K50" s="9"/>
      <c r="L50" s="9"/>
      <c r="M50" s="9"/>
      <c r="N50" s="9">
        <v>1631</v>
      </c>
      <c r="O50" s="9"/>
      <c r="P50" s="9"/>
      <c r="Q50" s="8">
        <v>2151</v>
      </c>
      <c r="R50" s="8"/>
      <c r="S50" s="11" t="s">
        <v>7</v>
      </c>
      <c r="T50" s="96" t="s">
        <v>134</v>
      </c>
      <c r="U50" s="23">
        <f>(C52+C60+C61+C62)</f>
        <v>1729</v>
      </c>
      <c r="V50" s="13">
        <f>SUM(U50/U53)</f>
        <v>0.13150289017341041</v>
      </c>
      <c r="W50" s="2">
        <v>1</v>
      </c>
    </row>
    <row r="51" spans="1:23" s="2" customFormat="1" ht="16.5" customHeight="1" thickBot="1">
      <c r="A51" s="6" t="s">
        <v>543</v>
      </c>
      <c r="B51" s="14" t="s">
        <v>6</v>
      </c>
      <c r="C51" s="9">
        <v>1228</v>
      </c>
      <c r="D51" s="9"/>
      <c r="E51" s="9"/>
      <c r="F51" s="9"/>
      <c r="G51" s="9"/>
      <c r="H51" s="9"/>
      <c r="I51" s="9"/>
      <c r="J51" s="9"/>
      <c r="K51" s="9"/>
      <c r="L51" s="9"/>
      <c r="M51" s="9"/>
      <c r="N51" s="9">
        <v>1632</v>
      </c>
      <c r="O51" s="9"/>
      <c r="P51" s="9"/>
      <c r="Q51" s="9">
        <v>1733</v>
      </c>
      <c r="R51" s="8">
        <v>1738</v>
      </c>
      <c r="S51" s="11" t="s">
        <v>11</v>
      </c>
      <c r="T51" s="88" t="s">
        <v>133</v>
      </c>
      <c r="U51" s="23">
        <f>(C55+C57+C58)</f>
        <v>1648</v>
      </c>
      <c r="V51" s="13">
        <f>SUM(U51/U53)</f>
        <v>0.12534225737754792</v>
      </c>
      <c r="W51" s="15"/>
    </row>
    <row r="52" spans="1:23" s="2" customFormat="1" ht="16.5" customHeight="1" thickBot="1">
      <c r="A52" s="6" t="s">
        <v>536</v>
      </c>
      <c r="B52" s="118" t="s">
        <v>134</v>
      </c>
      <c r="C52" s="9">
        <v>987</v>
      </c>
      <c r="D52" s="9"/>
      <c r="E52" s="9"/>
      <c r="F52" s="9"/>
      <c r="G52" s="9"/>
      <c r="H52" s="9"/>
      <c r="I52" s="9"/>
      <c r="J52" s="9"/>
      <c r="K52" s="9"/>
      <c r="L52" s="9"/>
      <c r="M52" s="9"/>
      <c r="N52" s="9">
        <v>1363</v>
      </c>
      <c r="O52" s="9"/>
      <c r="P52" s="9"/>
      <c r="Q52" s="9">
        <v>1514</v>
      </c>
      <c r="R52" s="8">
        <v>1567</v>
      </c>
      <c r="S52" s="11" t="s">
        <v>15</v>
      </c>
      <c r="T52" s="12" t="s">
        <v>13</v>
      </c>
      <c r="U52" s="23">
        <f>(C53+C64+C63+C66)</f>
        <v>1253</v>
      </c>
      <c r="V52" s="13">
        <f>SUM(U52/U53)</f>
        <v>9.5299665348341958E-2</v>
      </c>
    </row>
    <row r="53" spans="1:23" s="2" customFormat="1" ht="16.5" customHeight="1" thickBot="1">
      <c r="A53" s="20" t="s">
        <v>647</v>
      </c>
      <c r="B53" s="26" t="s">
        <v>28</v>
      </c>
      <c r="C53" s="9">
        <v>981</v>
      </c>
      <c r="D53" s="9"/>
      <c r="E53" s="9"/>
      <c r="F53" s="9"/>
      <c r="G53" s="9"/>
      <c r="H53" s="9"/>
      <c r="I53" s="9"/>
      <c r="J53" s="9"/>
      <c r="K53" s="9"/>
      <c r="L53" s="9"/>
      <c r="M53" s="9"/>
      <c r="N53" s="9">
        <v>1049</v>
      </c>
      <c r="O53" s="9" t="s">
        <v>30</v>
      </c>
      <c r="T53" s="15"/>
      <c r="U53" s="25">
        <v>13148</v>
      </c>
    </row>
    <row r="54" spans="1:23" s="2" customFormat="1" ht="16.5" customHeight="1" thickBot="1">
      <c r="A54" s="20" t="s">
        <v>375</v>
      </c>
      <c r="B54" s="27" t="s">
        <v>3</v>
      </c>
      <c r="C54" s="9">
        <v>794</v>
      </c>
      <c r="D54" s="10"/>
      <c r="E54" s="9"/>
      <c r="F54" s="9"/>
      <c r="G54" s="9"/>
      <c r="H54" s="9"/>
      <c r="I54" s="9"/>
      <c r="J54" s="9"/>
      <c r="K54" s="9"/>
      <c r="L54" s="9"/>
      <c r="M54" s="9"/>
      <c r="N54" s="9">
        <v>1336</v>
      </c>
      <c r="O54" s="9"/>
      <c r="P54" s="9"/>
      <c r="Q54" s="9">
        <v>1366</v>
      </c>
      <c r="R54" s="9">
        <v>1393</v>
      </c>
      <c r="S54" s="11"/>
    </row>
    <row r="55" spans="1:23" s="2" customFormat="1" ht="16.5" customHeight="1" thickBot="1">
      <c r="A55" s="20" t="s">
        <v>646</v>
      </c>
      <c r="B55" s="85" t="s">
        <v>133</v>
      </c>
      <c r="C55" s="9">
        <v>785</v>
      </c>
      <c r="D55" s="10"/>
      <c r="E55" s="10"/>
      <c r="F55" s="9"/>
      <c r="G55" s="9"/>
      <c r="H55" s="9"/>
      <c r="I55" s="9"/>
      <c r="J55" s="9"/>
      <c r="K55" s="9"/>
      <c r="L55" s="9"/>
      <c r="M55" s="9"/>
      <c r="N55" s="9">
        <v>1134</v>
      </c>
      <c r="O55" s="9"/>
      <c r="P55" s="9">
        <v>1284</v>
      </c>
      <c r="Q55" s="9" t="s">
        <v>30</v>
      </c>
    </row>
    <row r="56" spans="1:23" s="2" customFormat="1" ht="16.5" customHeight="1" thickBot="1">
      <c r="A56" s="20" t="s">
        <v>544</v>
      </c>
      <c r="B56" s="21" t="s">
        <v>6</v>
      </c>
      <c r="C56" s="9">
        <v>509</v>
      </c>
      <c r="D56" s="9"/>
      <c r="E56" s="9"/>
      <c r="F56" s="10"/>
      <c r="G56" s="9"/>
      <c r="H56" s="9"/>
      <c r="I56" s="9"/>
      <c r="J56" s="9"/>
      <c r="K56" s="9"/>
      <c r="L56" s="9">
        <v>563</v>
      </c>
      <c r="M56" s="9" t="s">
        <v>30</v>
      </c>
    </row>
    <row r="57" spans="1:23" s="2" customFormat="1" ht="16.5" customHeight="1" thickBot="1">
      <c r="A57" s="20" t="s">
        <v>656</v>
      </c>
      <c r="B57" s="85" t="s">
        <v>133</v>
      </c>
      <c r="C57" s="9">
        <v>506</v>
      </c>
      <c r="D57" s="10"/>
      <c r="E57" s="10"/>
      <c r="F57" s="9"/>
      <c r="G57" s="9"/>
      <c r="H57" s="9"/>
      <c r="I57" s="9"/>
      <c r="J57" s="9"/>
      <c r="K57" s="9"/>
      <c r="L57" s="9"/>
      <c r="M57" s="9">
        <v>756</v>
      </c>
      <c r="N57" s="9" t="s">
        <v>30</v>
      </c>
    </row>
    <row r="58" spans="1:23" s="2" customFormat="1" ht="16.5" customHeight="1" thickBot="1">
      <c r="A58" s="20" t="s">
        <v>541</v>
      </c>
      <c r="B58" s="85" t="s">
        <v>133</v>
      </c>
      <c r="C58" s="9">
        <v>357</v>
      </c>
      <c r="D58" s="9"/>
      <c r="E58" s="9"/>
      <c r="F58" s="9"/>
      <c r="G58" s="9"/>
      <c r="H58" s="9"/>
      <c r="I58" s="9"/>
      <c r="J58" s="9"/>
      <c r="K58" s="9">
        <v>387</v>
      </c>
      <c r="L58" s="9" t="s">
        <v>30</v>
      </c>
    </row>
    <row r="59" spans="1:23" s="2" customFormat="1" ht="16.5" customHeight="1" thickBot="1">
      <c r="A59" s="20" t="s">
        <v>550</v>
      </c>
      <c r="B59" s="27" t="s">
        <v>3</v>
      </c>
      <c r="C59" s="9">
        <v>351</v>
      </c>
      <c r="D59" s="9"/>
      <c r="E59" s="9"/>
      <c r="F59" s="9"/>
      <c r="G59" s="9"/>
      <c r="H59" s="9"/>
      <c r="I59" s="9"/>
      <c r="J59" s="9">
        <v>362</v>
      </c>
      <c r="K59" s="9" t="s">
        <v>30</v>
      </c>
      <c r="L59" s="88"/>
      <c r="M59" s="23"/>
      <c r="N59" s="13"/>
      <c r="O59" s="15"/>
    </row>
    <row r="60" spans="1:23" s="2" customFormat="1" ht="16.5" customHeight="1" thickBot="1">
      <c r="A60" s="20" t="s">
        <v>540</v>
      </c>
      <c r="B60" s="97" t="s">
        <v>134</v>
      </c>
      <c r="C60" s="9">
        <v>312</v>
      </c>
      <c r="D60" s="9"/>
      <c r="E60" s="9"/>
      <c r="F60" s="9"/>
      <c r="G60" s="9"/>
      <c r="H60" s="9"/>
      <c r="I60" s="9">
        <v>323</v>
      </c>
      <c r="J60" s="9" t="s">
        <v>30</v>
      </c>
      <c r="L60" s="12"/>
      <c r="M60" s="23"/>
      <c r="N60" s="13"/>
    </row>
    <row r="61" spans="1:23" s="2" customFormat="1" ht="16.5" customHeight="1" thickBot="1">
      <c r="A61" s="20" t="s">
        <v>542</v>
      </c>
      <c r="B61" s="97" t="s">
        <v>134</v>
      </c>
      <c r="C61" s="9">
        <v>262</v>
      </c>
      <c r="D61" s="9"/>
      <c r="E61" s="9"/>
      <c r="F61" s="9"/>
      <c r="G61" s="9"/>
      <c r="H61" s="9">
        <v>307</v>
      </c>
      <c r="I61" s="9" t="s">
        <v>30</v>
      </c>
      <c r="L61" s="15"/>
      <c r="M61" s="25"/>
    </row>
    <row r="62" spans="1:23" s="2" customFormat="1" ht="16.5" customHeight="1" thickBot="1">
      <c r="A62" s="20" t="s">
        <v>545</v>
      </c>
      <c r="B62" s="97" t="s">
        <v>134</v>
      </c>
      <c r="C62" s="9">
        <v>168</v>
      </c>
      <c r="D62" s="10"/>
      <c r="E62" s="9"/>
      <c r="F62" s="9"/>
      <c r="G62" s="9">
        <v>187</v>
      </c>
      <c r="H62" s="9" t="s">
        <v>30</v>
      </c>
    </row>
    <row r="63" spans="1:23" s="2" customFormat="1" ht="16.5" customHeight="1" thickBot="1">
      <c r="A63" s="20" t="s">
        <v>546</v>
      </c>
      <c r="B63" s="26" t="s">
        <v>28</v>
      </c>
      <c r="C63" s="9">
        <v>145</v>
      </c>
      <c r="D63" s="10"/>
      <c r="E63" s="10"/>
      <c r="F63" s="9">
        <v>146</v>
      </c>
      <c r="G63" s="9" t="s">
        <v>30</v>
      </c>
    </row>
    <row r="64" spans="1:23" s="2" customFormat="1" ht="16.5" customHeight="1" thickBot="1">
      <c r="A64" s="20" t="s">
        <v>604</v>
      </c>
      <c r="B64" s="26" t="s">
        <v>28</v>
      </c>
      <c r="C64" s="9">
        <v>101</v>
      </c>
      <c r="D64" s="9"/>
      <c r="E64" s="9">
        <v>102</v>
      </c>
      <c r="F64" s="9" t="s">
        <v>30</v>
      </c>
    </row>
    <row r="65" spans="1:19" s="2" customFormat="1" ht="16.5" customHeight="1" thickBot="1">
      <c r="A65" s="20" t="s">
        <v>549</v>
      </c>
      <c r="B65" s="27" t="s">
        <v>3</v>
      </c>
      <c r="C65" s="9">
        <v>72</v>
      </c>
      <c r="D65" s="10">
        <v>72</v>
      </c>
      <c r="E65" s="10" t="s">
        <v>30</v>
      </c>
    </row>
    <row r="66" spans="1:19" s="2" customFormat="1" ht="16.5" customHeight="1" thickBot="1">
      <c r="A66" s="20" t="s">
        <v>547</v>
      </c>
      <c r="B66" s="26" t="s">
        <v>28</v>
      </c>
      <c r="C66" s="9">
        <v>26</v>
      </c>
      <c r="D66" s="9" t="s">
        <v>30</v>
      </c>
    </row>
    <row r="67" spans="1:19">
      <c r="C67" s="63"/>
    </row>
    <row r="68" spans="1:19" s="2" customFormat="1" ht="17.45" customHeight="1">
      <c r="A68" s="31" t="s">
        <v>555</v>
      </c>
      <c r="B68" s="23"/>
      <c r="C68" s="23"/>
      <c r="D68" s="23"/>
      <c r="E68" s="23"/>
      <c r="F68" s="23"/>
      <c r="G68" s="23"/>
      <c r="H68" s="23"/>
      <c r="I68" s="23"/>
      <c r="J68" s="23"/>
    </row>
    <row r="69" spans="1:19" s="2" customFormat="1" ht="8.25" customHeight="1" thickBot="1">
      <c r="A69" s="31"/>
      <c r="B69" s="23"/>
      <c r="C69" s="23"/>
      <c r="D69" s="23"/>
      <c r="E69" s="23"/>
      <c r="F69" s="23"/>
      <c r="G69" s="23"/>
      <c r="H69" s="23"/>
      <c r="I69" s="23"/>
      <c r="J69" s="23"/>
    </row>
    <row r="70" spans="1:19" s="2" customFormat="1" ht="17.45" customHeight="1" thickBot="1">
      <c r="A70" s="35" t="s">
        <v>0</v>
      </c>
      <c r="B70" s="36" t="s">
        <v>1</v>
      </c>
      <c r="C70" s="36" t="s">
        <v>2</v>
      </c>
      <c r="D70" s="36">
        <v>2</v>
      </c>
      <c r="E70" s="36">
        <v>3</v>
      </c>
      <c r="F70" s="36">
        <v>4</v>
      </c>
      <c r="G70" s="36">
        <v>5</v>
      </c>
      <c r="H70" s="36">
        <v>6</v>
      </c>
      <c r="I70" s="36">
        <v>7</v>
      </c>
      <c r="J70" s="36">
        <v>8</v>
      </c>
      <c r="K70" s="36">
        <v>9</v>
      </c>
      <c r="L70" s="36"/>
      <c r="M70" s="25" t="s">
        <v>5</v>
      </c>
      <c r="N70" s="13">
        <f>(9448/14638)</f>
        <v>0.6454433665801339</v>
      </c>
      <c r="P70" s="13"/>
    </row>
    <row r="71" spans="1:19" s="2" customFormat="1" ht="17.45" customHeight="1" thickBot="1">
      <c r="A71" s="37" t="s">
        <v>552</v>
      </c>
      <c r="B71" s="38" t="s">
        <v>6</v>
      </c>
      <c r="C71" s="8">
        <v>1731</v>
      </c>
      <c r="D71" s="9"/>
      <c r="E71" s="9"/>
      <c r="F71" s="9"/>
      <c r="G71" s="9"/>
      <c r="H71" s="9"/>
      <c r="I71" s="9"/>
      <c r="J71" s="9"/>
      <c r="K71" s="9"/>
      <c r="L71" s="8" t="s">
        <v>4</v>
      </c>
      <c r="M71" s="17"/>
      <c r="N71" s="12" t="s">
        <v>8</v>
      </c>
      <c r="O71" s="12" t="s">
        <v>9</v>
      </c>
      <c r="P71" s="12" t="s">
        <v>10</v>
      </c>
    </row>
    <row r="72" spans="1:19" s="2" customFormat="1" ht="17.45" customHeight="1" thickBot="1">
      <c r="A72" s="37" t="s">
        <v>171</v>
      </c>
      <c r="B72" s="39" t="s">
        <v>3</v>
      </c>
      <c r="C72" s="8">
        <v>1647</v>
      </c>
      <c r="D72" s="9"/>
      <c r="E72" s="9"/>
      <c r="F72" s="9"/>
      <c r="G72" s="9"/>
      <c r="H72" s="9"/>
      <c r="I72" s="9"/>
      <c r="J72" s="9"/>
      <c r="K72" s="9"/>
      <c r="L72" s="8" t="s">
        <v>7</v>
      </c>
      <c r="M72" s="48" t="s">
        <v>6</v>
      </c>
      <c r="N72" s="17">
        <f>(C71+C73+C75+C77+C80)</f>
        <v>4595</v>
      </c>
      <c r="O72" s="18">
        <f>SUM(N72/N76)</f>
        <v>0.49128621832567093</v>
      </c>
      <c r="P72" s="15">
        <v>3</v>
      </c>
    </row>
    <row r="73" spans="1:19" s="2" customFormat="1" ht="17.45" customHeight="1" thickBot="1">
      <c r="A73" s="37" t="s">
        <v>725</v>
      </c>
      <c r="B73" s="38" t="s">
        <v>6</v>
      </c>
      <c r="C73" s="9">
        <v>1047</v>
      </c>
      <c r="D73" s="9"/>
      <c r="E73" s="9"/>
      <c r="F73" s="9"/>
      <c r="G73" s="9"/>
      <c r="H73" s="9"/>
      <c r="I73" s="9">
        <v>1117</v>
      </c>
      <c r="J73" s="9"/>
      <c r="K73" s="8">
        <v>1511</v>
      </c>
      <c r="L73" s="8" t="s">
        <v>11</v>
      </c>
      <c r="M73" s="49" t="s">
        <v>3</v>
      </c>
      <c r="N73" s="17">
        <f>(C72+C76+C79)</f>
        <v>2852</v>
      </c>
      <c r="O73" s="18">
        <f>SUM(N73/N76)</f>
        <v>0.30492889981824012</v>
      </c>
      <c r="P73" s="15">
        <v>2</v>
      </c>
    </row>
    <row r="74" spans="1:19" s="2" customFormat="1" ht="17.45" customHeight="1" thickBot="1">
      <c r="A74" s="40" t="s">
        <v>466</v>
      </c>
      <c r="B74" s="95" t="s">
        <v>134</v>
      </c>
      <c r="C74" s="9">
        <v>922</v>
      </c>
      <c r="D74" s="9"/>
      <c r="E74" s="9"/>
      <c r="F74" s="9"/>
      <c r="G74" s="9"/>
      <c r="H74" s="9"/>
      <c r="I74" s="9">
        <v>1017</v>
      </c>
      <c r="J74" s="9"/>
      <c r="K74" s="9">
        <v>1053</v>
      </c>
      <c r="L74" s="8"/>
      <c r="M74" s="94" t="s">
        <v>134</v>
      </c>
      <c r="N74" s="23">
        <f>(C74+C81+C82)</f>
        <v>1291</v>
      </c>
      <c r="O74" s="13">
        <f>SUM(N74/N76)</f>
        <v>0.13803057842403507</v>
      </c>
    </row>
    <row r="75" spans="1:19" s="2" customFormat="1" ht="17.45" customHeight="1" thickBot="1">
      <c r="A75" s="37" t="s">
        <v>551</v>
      </c>
      <c r="B75" s="38" t="s">
        <v>6</v>
      </c>
      <c r="C75" s="44">
        <v>852</v>
      </c>
      <c r="D75" s="9"/>
      <c r="E75" s="9"/>
      <c r="F75" s="9"/>
      <c r="G75" s="9"/>
      <c r="H75" s="9"/>
      <c r="I75" s="9">
        <v>1219</v>
      </c>
      <c r="J75" s="9"/>
      <c r="K75" s="8">
        <v>1390</v>
      </c>
      <c r="L75" s="8" t="s">
        <v>12</v>
      </c>
      <c r="M75" s="22" t="s">
        <v>13</v>
      </c>
      <c r="N75" s="17">
        <v>615</v>
      </c>
      <c r="O75" s="18">
        <f>SUM(N75/N76)</f>
        <v>6.5754303432053893E-2</v>
      </c>
    </row>
    <row r="76" spans="1:19" s="2" customFormat="1" ht="17.45" customHeight="1" thickBot="1">
      <c r="A76" s="37" t="s">
        <v>662</v>
      </c>
      <c r="B76" s="39" t="s">
        <v>3</v>
      </c>
      <c r="C76" s="9">
        <v>829</v>
      </c>
      <c r="D76" s="9"/>
      <c r="E76" s="9"/>
      <c r="F76" s="9"/>
      <c r="G76" s="9"/>
      <c r="H76" s="9"/>
      <c r="I76" s="9">
        <v>1060</v>
      </c>
      <c r="J76" s="9"/>
      <c r="K76" s="8">
        <v>1278</v>
      </c>
      <c r="L76" s="8" t="s">
        <v>15</v>
      </c>
      <c r="M76" s="60"/>
      <c r="N76" s="25">
        <v>9353</v>
      </c>
      <c r="O76" s="13"/>
    </row>
    <row r="77" spans="1:19" s="2" customFormat="1" ht="17.45" customHeight="1" thickBot="1">
      <c r="A77" s="40" t="s">
        <v>553</v>
      </c>
      <c r="B77" s="41" t="s">
        <v>6</v>
      </c>
      <c r="C77" s="9">
        <v>638</v>
      </c>
      <c r="D77" s="9"/>
      <c r="E77" s="9"/>
      <c r="F77" s="9"/>
      <c r="G77" s="9"/>
      <c r="H77" s="9"/>
      <c r="I77" s="9">
        <v>753</v>
      </c>
      <c r="J77" s="9"/>
      <c r="K77" s="9" t="s">
        <v>30</v>
      </c>
      <c r="L77" s="23"/>
      <c r="M77" s="23"/>
    </row>
    <row r="78" spans="1:19" s="2" customFormat="1" ht="17.45" customHeight="1" thickBot="1">
      <c r="A78" s="40" t="s">
        <v>464</v>
      </c>
      <c r="B78" s="26" t="s">
        <v>28</v>
      </c>
      <c r="C78" s="9">
        <v>615</v>
      </c>
      <c r="D78" s="9"/>
      <c r="E78" s="9"/>
      <c r="F78" s="9"/>
      <c r="G78" s="9"/>
      <c r="H78" s="9"/>
      <c r="I78" s="9">
        <v>750</v>
      </c>
      <c r="J78" s="9" t="s">
        <v>30</v>
      </c>
      <c r="P78" s="23"/>
      <c r="Q78" s="25"/>
      <c r="R78" s="23"/>
      <c r="S78" s="13"/>
    </row>
    <row r="79" spans="1:19" s="2" customFormat="1" ht="17.45" customHeight="1" thickBot="1">
      <c r="A79" s="40" t="s">
        <v>143</v>
      </c>
      <c r="B79" s="42" t="s">
        <v>3</v>
      </c>
      <c r="C79" s="9">
        <v>376</v>
      </c>
      <c r="D79" s="9"/>
      <c r="E79" s="9"/>
      <c r="F79" s="9"/>
      <c r="G79" s="9"/>
      <c r="H79" s="9">
        <v>512</v>
      </c>
      <c r="I79" s="9" t="s">
        <v>30</v>
      </c>
      <c r="L79" s="23"/>
      <c r="M79" s="23"/>
      <c r="N79" s="25"/>
    </row>
    <row r="80" spans="1:19" s="2" customFormat="1" ht="17.45" customHeight="1" thickBot="1">
      <c r="A80" s="40" t="s">
        <v>556</v>
      </c>
      <c r="B80" s="41" t="s">
        <v>6</v>
      </c>
      <c r="C80" s="9">
        <v>327</v>
      </c>
      <c r="D80" s="9"/>
      <c r="E80" s="9"/>
      <c r="F80" s="9"/>
      <c r="G80" s="9">
        <v>386</v>
      </c>
      <c r="H80" s="9" t="s">
        <v>30</v>
      </c>
      <c r="I80" s="23"/>
      <c r="J80" s="23"/>
      <c r="L80" s="13"/>
      <c r="M80" s="13"/>
    </row>
    <row r="81" spans="1:27" s="2" customFormat="1" ht="17.45" customHeight="1" thickBot="1">
      <c r="A81" s="40" t="s">
        <v>557</v>
      </c>
      <c r="B81" s="95" t="s">
        <v>134</v>
      </c>
      <c r="C81" s="9">
        <v>210</v>
      </c>
      <c r="D81" s="9"/>
      <c r="E81" s="9"/>
      <c r="F81" s="9">
        <v>216</v>
      </c>
      <c r="G81" s="9" t="s">
        <v>30</v>
      </c>
      <c r="H81" s="23"/>
      <c r="I81" s="23"/>
      <c r="J81" s="23"/>
      <c r="L81" s="13"/>
      <c r="M81" s="13"/>
    </row>
    <row r="82" spans="1:27" s="2" customFormat="1" ht="17.45" customHeight="1" thickBot="1">
      <c r="A82" s="40" t="s">
        <v>558</v>
      </c>
      <c r="B82" s="95" t="s">
        <v>134</v>
      </c>
      <c r="C82" s="9">
        <v>159</v>
      </c>
      <c r="D82" s="9"/>
      <c r="E82" s="9">
        <v>161</v>
      </c>
      <c r="F82" s="9" t="s">
        <v>30</v>
      </c>
      <c r="L82" s="23"/>
      <c r="M82" s="25"/>
      <c r="N82" s="23"/>
      <c r="O82" s="13"/>
    </row>
    <row r="83" spans="1:27" s="2" customFormat="1" ht="13.5" customHeight="1">
      <c r="A83" s="28"/>
      <c r="B83" s="80"/>
      <c r="C83" s="28"/>
      <c r="D83" s="28"/>
      <c r="E83" s="28"/>
      <c r="F83" s="23"/>
      <c r="G83" s="23"/>
      <c r="H83" s="23"/>
      <c r="I83" s="23"/>
      <c r="J83" s="25"/>
      <c r="L83" s="13"/>
      <c r="M83" s="13"/>
    </row>
    <row r="84" spans="1:27" s="2" customFormat="1" ht="17.45" customHeight="1">
      <c r="A84" s="31" t="s">
        <v>559</v>
      </c>
      <c r="B84" s="23"/>
      <c r="C84" s="23"/>
      <c r="D84" s="23"/>
      <c r="E84" s="23"/>
      <c r="F84" s="23"/>
      <c r="G84" s="23"/>
      <c r="H84" s="23"/>
      <c r="I84" s="23"/>
      <c r="J84" s="23"/>
    </row>
    <row r="85" spans="1:27" s="2" customFormat="1" ht="10.5" customHeight="1" thickBot="1">
      <c r="A85" s="31"/>
      <c r="B85" s="23"/>
      <c r="C85" s="23"/>
      <c r="D85" s="23"/>
      <c r="E85" s="23"/>
      <c r="F85" s="23"/>
      <c r="G85" s="23"/>
      <c r="H85" s="23"/>
      <c r="I85" s="23"/>
      <c r="J85" s="23"/>
    </row>
    <row r="86" spans="1:27" s="2" customFormat="1" ht="16.5" customHeight="1" thickBot="1">
      <c r="A86" s="35" t="s">
        <v>0</v>
      </c>
      <c r="B86" s="36" t="s">
        <v>1</v>
      </c>
      <c r="C86" s="36" t="s">
        <v>2</v>
      </c>
      <c r="D86" s="36">
        <v>2</v>
      </c>
      <c r="E86" s="36">
        <v>3</v>
      </c>
      <c r="F86" s="36">
        <v>4</v>
      </c>
      <c r="G86" s="36">
        <v>5</v>
      </c>
      <c r="H86" s="36">
        <v>6</v>
      </c>
      <c r="I86" s="36">
        <v>7</v>
      </c>
      <c r="J86" s="36">
        <v>8</v>
      </c>
      <c r="K86" s="36">
        <v>9</v>
      </c>
      <c r="L86" s="36">
        <v>10</v>
      </c>
      <c r="M86" s="36">
        <v>11</v>
      </c>
      <c r="N86" s="36">
        <v>12</v>
      </c>
      <c r="O86" s="36">
        <v>13</v>
      </c>
      <c r="P86" s="36">
        <v>14</v>
      </c>
      <c r="Q86" s="36">
        <v>15</v>
      </c>
      <c r="R86" s="36">
        <v>16</v>
      </c>
      <c r="S86" s="36">
        <v>17</v>
      </c>
      <c r="T86" s="36">
        <v>18</v>
      </c>
      <c r="U86" s="36">
        <v>19</v>
      </c>
      <c r="V86" s="36">
        <v>20</v>
      </c>
      <c r="W86" s="45"/>
      <c r="X86" s="12" t="s">
        <v>5</v>
      </c>
      <c r="Y86" s="13">
        <f>(13468/24549)</f>
        <v>0.54861705161106356</v>
      </c>
    </row>
    <row r="87" spans="1:27" s="2" customFormat="1" ht="16.5" customHeight="1" thickBot="1">
      <c r="A87" s="37" t="s">
        <v>564</v>
      </c>
      <c r="B87" s="38" t="s">
        <v>6</v>
      </c>
      <c r="C87" s="9">
        <v>1395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8">
        <v>1639</v>
      </c>
      <c r="S87" s="9"/>
      <c r="T87" s="9"/>
      <c r="U87" s="9"/>
      <c r="V87" s="9"/>
      <c r="W87" s="8" t="s">
        <v>7</v>
      </c>
      <c r="X87" s="15"/>
      <c r="Y87" s="12" t="s">
        <v>8</v>
      </c>
      <c r="Z87" s="12" t="s">
        <v>9</v>
      </c>
      <c r="AA87" s="12" t="s">
        <v>10</v>
      </c>
    </row>
    <row r="88" spans="1:27" s="2" customFormat="1" ht="16.5" customHeight="1" thickBot="1">
      <c r="A88" s="37" t="s">
        <v>386</v>
      </c>
      <c r="B88" s="52" t="s">
        <v>28</v>
      </c>
      <c r="C88" s="9">
        <v>1158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8">
        <v>1648</v>
      </c>
      <c r="O88" s="9"/>
      <c r="P88" s="9"/>
      <c r="Q88" s="9"/>
      <c r="R88" s="9"/>
      <c r="S88" s="9"/>
      <c r="T88" s="9"/>
      <c r="U88" s="9"/>
      <c r="V88" s="9"/>
      <c r="W88" s="8" t="s">
        <v>4</v>
      </c>
      <c r="X88" s="16" t="s">
        <v>6</v>
      </c>
      <c r="Y88" s="17">
        <f>(C87+C89+C94+C95+C96+C97+C101)</f>
        <v>5032</v>
      </c>
      <c r="Z88" s="18">
        <f>SUM(Y88/Y94)</f>
        <v>0.38438621954014207</v>
      </c>
      <c r="AA88" s="15">
        <v>3</v>
      </c>
    </row>
    <row r="89" spans="1:27" s="2" customFormat="1" ht="16.5" customHeight="1" thickBot="1">
      <c r="A89" s="37" t="s">
        <v>392</v>
      </c>
      <c r="B89" s="38" t="s">
        <v>6</v>
      </c>
      <c r="C89" s="9">
        <v>1041</v>
      </c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>
        <v>1591</v>
      </c>
      <c r="T89" s="8">
        <v>1758</v>
      </c>
      <c r="U89" s="9"/>
      <c r="V89" s="9"/>
      <c r="W89" s="8" t="s">
        <v>11</v>
      </c>
      <c r="X89" s="19" t="s">
        <v>3</v>
      </c>
      <c r="Y89" s="17">
        <f>(C90+C103)</f>
        <v>1285</v>
      </c>
      <c r="Z89" s="18">
        <f>SUM(Y89/Y94)</f>
        <v>9.8159040562218317E-2</v>
      </c>
      <c r="AA89" s="15">
        <v>1</v>
      </c>
    </row>
    <row r="90" spans="1:27" s="2" customFormat="1" ht="16.5" customHeight="1" thickBot="1">
      <c r="A90" s="37" t="s">
        <v>567</v>
      </c>
      <c r="B90" s="39" t="s">
        <v>3</v>
      </c>
      <c r="C90" s="9">
        <v>886</v>
      </c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>
        <v>1286</v>
      </c>
      <c r="T90" s="9"/>
      <c r="U90" s="9">
        <v>1292</v>
      </c>
      <c r="V90" s="8">
        <v>1372</v>
      </c>
      <c r="W90" s="8" t="s">
        <v>12</v>
      </c>
      <c r="X90" s="29" t="s">
        <v>17</v>
      </c>
      <c r="Y90" s="17">
        <v>704</v>
      </c>
      <c r="Z90" s="18">
        <f>SUM(Y90/Y94)</f>
        <v>5.3777404323581086E-2</v>
      </c>
      <c r="AA90" s="2">
        <v>1</v>
      </c>
    </row>
    <row r="91" spans="1:27" s="2" customFormat="1" ht="16.5" customHeight="1" thickBot="1">
      <c r="A91" s="37" t="s">
        <v>603</v>
      </c>
      <c r="B91" s="59" t="s">
        <v>17</v>
      </c>
      <c r="C91" s="9">
        <v>704</v>
      </c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>
        <v>1017</v>
      </c>
      <c r="T91" s="9"/>
      <c r="U91" s="9">
        <v>1037</v>
      </c>
      <c r="V91" s="8">
        <v>1188</v>
      </c>
      <c r="W91" s="8" t="s">
        <v>15</v>
      </c>
      <c r="X91" s="96" t="s">
        <v>134</v>
      </c>
      <c r="Y91" s="17">
        <f>(C98+C105+C109)</f>
        <v>1080</v>
      </c>
      <c r="Z91" s="18">
        <f>SUM(Y91/Y94)</f>
        <v>8.2499427087311894E-2</v>
      </c>
    </row>
    <row r="92" spans="1:27" s="2" customFormat="1" ht="16.5" customHeight="1" thickBot="1">
      <c r="A92" s="40" t="s">
        <v>602</v>
      </c>
      <c r="B92" s="44" t="s">
        <v>28</v>
      </c>
      <c r="C92" s="9">
        <v>600</v>
      </c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>
        <v>874</v>
      </c>
      <c r="T92" s="9"/>
      <c r="U92" s="9">
        <v>887</v>
      </c>
      <c r="V92" s="9" t="s">
        <v>30</v>
      </c>
      <c r="X92" s="88" t="s">
        <v>133</v>
      </c>
      <c r="Y92" s="17">
        <f>(C100+C102+C106+C108+C110)</f>
        <v>1499</v>
      </c>
      <c r="Z92" s="18">
        <f>SUM(Y92/Y94)</f>
        <v>0.11450614926285234</v>
      </c>
    </row>
    <row r="93" spans="1:27" s="2" customFormat="1" ht="16.5" customHeight="1" thickBot="1">
      <c r="A93" s="37" t="s">
        <v>667</v>
      </c>
      <c r="B93" s="52" t="s">
        <v>28</v>
      </c>
      <c r="C93" s="9">
        <v>576</v>
      </c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>
        <v>1000</v>
      </c>
      <c r="T93" s="9"/>
      <c r="U93" s="9">
        <v>1071</v>
      </c>
      <c r="V93" s="8">
        <v>1168</v>
      </c>
      <c r="W93" s="8" t="s">
        <v>14</v>
      </c>
      <c r="X93" s="22" t="s">
        <v>13</v>
      </c>
      <c r="Y93" s="17">
        <f>(C88+C92+C93+C99+C104+C107)</f>
        <v>3491</v>
      </c>
      <c r="Z93" s="18">
        <f>SUM(Y93/Y94)</f>
        <v>0.2666717592238943</v>
      </c>
      <c r="AA93" s="2">
        <v>2</v>
      </c>
    </row>
    <row r="94" spans="1:27" s="2" customFormat="1" ht="16.5" customHeight="1" thickBot="1">
      <c r="A94" s="37" t="s">
        <v>675</v>
      </c>
      <c r="B94" s="38" t="s">
        <v>6</v>
      </c>
      <c r="C94" s="9">
        <v>571</v>
      </c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>
        <v>864</v>
      </c>
      <c r="T94" s="9"/>
      <c r="U94" s="9">
        <v>1091</v>
      </c>
      <c r="V94" s="8">
        <v>1123</v>
      </c>
      <c r="W94" s="8" t="s">
        <v>16</v>
      </c>
      <c r="X94" s="12"/>
      <c r="Y94" s="25">
        <v>13091</v>
      </c>
      <c r="Z94" s="13"/>
      <c r="AA94" s="15"/>
    </row>
    <row r="95" spans="1:27" s="2" customFormat="1" ht="16.5" customHeight="1" thickBot="1">
      <c r="A95" s="40" t="s">
        <v>565</v>
      </c>
      <c r="B95" s="41" t="s">
        <v>6</v>
      </c>
      <c r="C95" s="9">
        <v>531</v>
      </c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>
        <v>801</v>
      </c>
      <c r="T95" s="9" t="s">
        <v>30</v>
      </c>
    </row>
    <row r="96" spans="1:27" s="2" customFormat="1" ht="16.5" customHeight="1" thickBot="1">
      <c r="A96" s="40" t="s">
        <v>473</v>
      </c>
      <c r="B96" s="41" t="s">
        <v>6</v>
      </c>
      <c r="C96" s="9">
        <v>529</v>
      </c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>
        <v>802</v>
      </c>
      <c r="T96" s="9"/>
      <c r="U96" s="9">
        <v>895</v>
      </c>
      <c r="V96" s="9">
        <v>1056</v>
      </c>
      <c r="W96" s="8"/>
    </row>
    <row r="97" spans="1:22" s="2" customFormat="1" ht="16.5" customHeight="1" thickBot="1">
      <c r="A97" s="40" t="s">
        <v>606</v>
      </c>
      <c r="B97" s="41" t="s">
        <v>6</v>
      </c>
      <c r="C97" s="9">
        <v>528</v>
      </c>
      <c r="D97" s="9"/>
      <c r="E97" s="9"/>
      <c r="F97" s="9"/>
      <c r="G97" s="9"/>
      <c r="H97" s="9"/>
      <c r="I97" s="9"/>
      <c r="J97" s="9"/>
      <c r="K97" s="9"/>
      <c r="L97" s="9"/>
      <c r="M97" s="9"/>
      <c r="N97" s="9" t="s">
        <v>30</v>
      </c>
    </row>
    <row r="98" spans="1:22" s="2" customFormat="1" ht="16.5" customHeight="1" thickBot="1">
      <c r="A98" s="40" t="s">
        <v>479</v>
      </c>
      <c r="B98" s="95" t="s">
        <v>134</v>
      </c>
      <c r="C98" s="9">
        <v>526</v>
      </c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>
        <v>629</v>
      </c>
      <c r="Q98" s="9" t="s">
        <v>30</v>
      </c>
    </row>
    <row r="99" spans="1:22" s="2" customFormat="1" ht="16.5" customHeight="1" thickBot="1">
      <c r="A99" s="40" t="s">
        <v>803</v>
      </c>
      <c r="B99" s="44" t="s">
        <v>28</v>
      </c>
      <c r="C99" s="9">
        <v>480</v>
      </c>
      <c r="D99" s="9"/>
      <c r="E99" s="9"/>
      <c r="F99" s="9"/>
      <c r="G99" s="9"/>
      <c r="H99" s="9"/>
      <c r="I99" s="9"/>
      <c r="J99" s="9"/>
      <c r="K99" s="9">
        <v>535</v>
      </c>
      <c r="L99" s="9" t="s">
        <v>30</v>
      </c>
      <c r="M99" s="23"/>
      <c r="N99" s="23"/>
      <c r="O99" s="23"/>
      <c r="P99" s="23"/>
      <c r="Q99" s="23"/>
    </row>
    <row r="100" spans="1:22" s="2" customFormat="1" ht="16.5" customHeight="1" thickBot="1">
      <c r="A100" s="40" t="s">
        <v>561</v>
      </c>
      <c r="B100" s="84" t="s">
        <v>133</v>
      </c>
      <c r="C100" s="9">
        <v>455</v>
      </c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>
        <v>720</v>
      </c>
      <c r="R100" s="9" t="s">
        <v>30</v>
      </c>
    </row>
    <row r="101" spans="1:22" s="2" customFormat="1" ht="16.5" customHeight="1" thickBot="1">
      <c r="A101" s="40" t="s">
        <v>384</v>
      </c>
      <c r="B101" s="41" t="s">
        <v>6</v>
      </c>
      <c r="C101" s="9">
        <v>437</v>
      </c>
      <c r="D101" s="9"/>
      <c r="E101" s="9"/>
      <c r="F101" s="9"/>
      <c r="G101" s="9"/>
      <c r="H101" s="9"/>
      <c r="I101" s="9">
        <v>453</v>
      </c>
      <c r="J101" s="9" t="s">
        <v>30</v>
      </c>
      <c r="K101" s="23"/>
      <c r="L101" s="23"/>
      <c r="M101" s="23"/>
    </row>
    <row r="102" spans="1:22" s="2" customFormat="1" ht="16.5" customHeight="1" thickBot="1">
      <c r="A102" s="40" t="s">
        <v>570</v>
      </c>
      <c r="B102" s="84" t="s">
        <v>133</v>
      </c>
      <c r="C102" s="9">
        <v>420</v>
      </c>
      <c r="D102" s="9"/>
      <c r="E102" s="9"/>
      <c r="F102" s="9"/>
      <c r="G102" s="9"/>
      <c r="H102" s="9"/>
      <c r="I102" s="9"/>
      <c r="J102" s="9"/>
      <c r="K102" s="9"/>
      <c r="L102" s="9">
        <v>577</v>
      </c>
      <c r="M102" s="9" t="s">
        <v>30</v>
      </c>
      <c r="N102" s="23"/>
      <c r="O102" s="23"/>
      <c r="P102" s="23"/>
    </row>
    <row r="103" spans="1:22" s="2" customFormat="1" ht="16.5" customHeight="1" thickBot="1">
      <c r="A103" s="40" t="s">
        <v>568</v>
      </c>
      <c r="B103" s="42" t="s">
        <v>3</v>
      </c>
      <c r="C103" s="9">
        <v>399</v>
      </c>
      <c r="D103" s="9"/>
      <c r="E103" s="9"/>
      <c r="F103" s="9"/>
      <c r="G103" s="9"/>
      <c r="H103" s="9">
        <v>419</v>
      </c>
      <c r="I103" s="9" t="s">
        <v>30</v>
      </c>
      <c r="J103" s="23"/>
      <c r="K103" s="23"/>
      <c r="L103" s="23"/>
      <c r="M103" s="23"/>
      <c r="N103" s="12"/>
      <c r="O103" s="12"/>
      <c r="P103" s="12"/>
    </row>
    <row r="104" spans="1:22" s="2" customFormat="1" ht="16.5" customHeight="1" thickBot="1">
      <c r="A104" s="40" t="s">
        <v>477</v>
      </c>
      <c r="B104" s="44" t="s">
        <v>28</v>
      </c>
      <c r="C104" s="9">
        <v>393</v>
      </c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>
        <v>623</v>
      </c>
      <c r="P104" s="9" t="s">
        <v>30</v>
      </c>
    </row>
    <row r="105" spans="1:22" s="2" customFormat="1" ht="16.5" customHeight="1" thickBot="1">
      <c r="A105" s="40" t="s">
        <v>346</v>
      </c>
      <c r="B105" s="95" t="s">
        <v>134</v>
      </c>
      <c r="C105" s="9">
        <v>388</v>
      </c>
      <c r="D105" s="9"/>
      <c r="E105" s="9"/>
      <c r="F105" s="9"/>
      <c r="G105" s="9"/>
      <c r="H105" s="9"/>
      <c r="I105" s="9"/>
      <c r="J105" s="9">
        <v>498</v>
      </c>
      <c r="K105" s="9" t="s">
        <v>30</v>
      </c>
      <c r="M105" s="23"/>
      <c r="N105" s="23"/>
      <c r="O105" s="23"/>
      <c r="P105" s="23"/>
      <c r="Q105" s="46"/>
    </row>
    <row r="106" spans="1:22" s="2" customFormat="1" ht="16.5" customHeight="1" thickBot="1">
      <c r="A106" s="40" t="s">
        <v>562</v>
      </c>
      <c r="B106" s="84" t="s">
        <v>133</v>
      </c>
      <c r="C106" s="9">
        <v>318</v>
      </c>
      <c r="D106" s="9"/>
      <c r="E106" s="9"/>
      <c r="F106" s="9"/>
      <c r="G106" s="9">
        <v>385</v>
      </c>
      <c r="H106" s="9" t="s">
        <v>30</v>
      </c>
      <c r="L106" s="23"/>
      <c r="M106" s="23"/>
      <c r="O106" s="23"/>
      <c r="P106" s="13"/>
    </row>
    <row r="107" spans="1:22" s="2" customFormat="1" ht="16.5" customHeight="1" thickBot="1">
      <c r="A107" s="40" t="s">
        <v>569</v>
      </c>
      <c r="B107" s="44" t="s">
        <v>28</v>
      </c>
      <c r="C107" s="9">
        <v>284</v>
      </c>
      <c r="D107" s="9"/>
      <c r="E107" s="9"/>
      <c r="F107" s="9">
        <v>289</v>
      </c>
      <c r="G107" s="9" t="s">
        <v>30</v>
      </c>
      <c r="I107" s="23"/>
      <c r="J107" s="23"/>
      <c r="K107" s="23"/>
      <c r="L107" s="23"/>
      <c r="M107" s="23"/>
      <c r="O107" s="23"/>
      <c r="P107" s="13"/>
    </row>
    <row r="108" spans="1:22" s="2" customFormat="1" ht="16.5" customHeight="1" thickBot="1">
      <c r="A108" s="40" t="s">
        <v>481</v>
      </c>
      <c r="B108" s="84" t="s">
        <v>133</v>
      </c>
      <c r="C108" s="9">
        <v>203</v>
      </c>
      <c r="D108" s="9"/>
      <c r="E108" s="9">
        <v>207</v>
      </c>
      <c r="F108" s="9" t="s">
        <v>30</v>
      </c>
      <c r="H108" s="23"/>
      <c r="I108" s="23"/>
      <c r="J108" s="23"/>
      <c r="K108" s="23"/>
      <c r="L108" s="117"/>
      <c r="N108" s="23"/>
      <c r="O108" s="13"/>
    </row>
    <row r="109" spans="1:22" s="2" customFormat="1" ht="16.5" customHeight="1" thickBot="1">
      <c r="A109" s="40" t="s">
        <v>560</v>
      </c>
      <c r="B109" s="95" t="s">
        <v>134</v>
      </c>
      <c r="C109" s="9">
        <v>166</v>
      </c>
      <c r="D109" s="9">
        <v>168</v>
      </c>
      <c r="E109" s="9" t="s">
        <v>30</v>
      </c>
      <c r="G109" s="23"/>
      <c r="H109" s="23"/>
      <c r="I109" s="23"/>
      <c r="J109" s="23"/>
      <c r="K109" s="23"/>
      <c r="L109" s="23"/>
      <c r="M109" s="23"/>
      <c r="N109" s="12"/>
      <c r="O109" s="17"/>
      <c r="P109" s="18"/>
    </row>
    <row r="110" spans="1:22" s="2" customFormat="1" ht="16.5" customHeight="1" thickBot="1">
      <c r="A110" s="40" t="s">
        <v>563</v>
      </c>
      <c r="B110" s="84" t="s">
        <v>133</v>
      </c>
      <c r="C110" s="9">
        <v>103</v>
      </c>
      <c r="D110" s="9" t="s">
        <v>30</v>
      </c>
      <c r="G110" s="23"/>
      <c r="H110" s="23"/>
      <c r="I110" s="23"/>
      <c r="J110" s="23"/>
      <c r="K110" s="23"/>
      <c r="L110" s="23"/>
      <c r="M110" s="23"/>
      <c r="N110" s="12"/>
      <c r="O110" s="17"/>
      <c r="P110" s="18"/>
    </row>
    <row r="111" spans="1:22" ht="15">
      <c r="C111" s="63"/>
      <c r="D111" s="63"/>
      <c r="E111" s="63"/>
      <c r="O111" s="25"/>
      <c r="P111" s="13"/>
      <c r="Q111" s="15"/>
      <c r="R111" s="2"/>
    </row>
    <row r="112" spans="1:22" s="99" customFormat="1" ht="15" customHeight="1">
      <c r="B112" s="64" t="s">
        <v>18</v>
      </c>
      <c r="C112" s="66" t="s">
        <v>6</v>
      </c>
      <c r="D112" s="67" t="s">
        <v>3</v>
      </c>
      <c r="E112" s="68" t="s">
        <v>17</v>
      </c>
      <c r="F112" s="111" t="s">
        <v>134</v>
      </c>
      <c r="G112" s="70" t="s">
        <v>133</v>
      </c>
      <c r="H112" s="64" t="s">
        <v>13</v>
      </c>
      <c r="J112" s="101"/>
      <c r="K112" s="64"/>
      <c r="U112" s="98"/>
      <c r="V112" s="103"/>
    </row>
    <row r="113" spans="1:22" s="99" customFormat="1" ht="15" customHeight="1">
      <c r="A113" s="99" t="s">
        <v>8</v>
      </c>
      <c r="B113" s="110">
        <f>SUM(O10+U28+N76+U53+Y94)</f>
        <v>58016</v>
      </c>
      <c r="C113" s="108">
        <f>SUM(Y88+U48+N72+U22+O5)</f>
        <v>26558</v>
      </c>
      <c r="D113" s="108">
        <f>SUM(Y89+U49+N73+U23+O6)</f>
        <v>9247</v>
      </c>
      <c r="E113" s="108">
        <f>SUM(Y90+U26)</f>
        <v>1204</v>
      </c>
      <c r="F113" s="108">
        <f>SUM(Y91+N74+U50+O8+U25)</f>
        <v>5910</v>
      </c>
      <c r="G113" s="108">
        <f>SUM(Y92+U51+U24+O7)</f>
        <v>7810</v>
      </c>
      <c r="H113" s="108">
        <f>SUM(Y93+U52+U27+N75+O9)</f>
        <v>7287</v>
      </c>
      <c r="J113" s="98"/>
      <c r="K113" s="105"/>
      <c r="T113" s="107"/>
      <c r="U113" s="77"/>
      <c r="V113" s="103"/>
    </row>
    <row r="114" spans="1:22" s="99" customFormat="1" ht="15" customHeight="1">
      <c r="A114" s="99" t="s">
        <v>9</v>
      </c>
      <c r="B114" s="102">
        <v>1</v>
      </c>
      <c r="C114" s="103">
        <f t="shared" ref="C114:H114" si="0">SUM(C113/$B$113)</f>
        <v>0.45777027027027029</v>
      </c>
      <c r="D114" s="103">
        <f t="shared" si="0"/>
        <v>0.15938706563706564</v>
      </c>
      <c r="E114" s="103">
        <f t="shared" si="0"/>
        <v>2.0752895752895753E-2</v>
      </c>
      <c r="F114" s="103">
        <f t="shared" si="0"/>
        <v>0.1018684500827358</v>
      </c>
      <c r="G114" s="103">
        <f t="shared" si="0"/>
        <v>0.1346180364037507</v>
      </c>
      <c r="H114" s="103">
        <f t="shared" si="0"/>
        <v>0.12560328185328185</v>
      </c>
      <c r="J114" s="103"/>
      <c r="K114" s="64"/>
      <c r="T114" s="64"/>
    </row>
    <row r="115" spans="1:22" s="99" customFormat="1" ht="15" customHeight="1">
      <c r="A115" s="99" t="s">
        <v>10</v>
      </c>
      <c r="B115" s="110">
        <v>31</v>
      </c>
      <c r="C115" s="108">
        <v>17</v>
      </c>
      <c r="D115" s="108">
        <v>6</v>
      </c>
      <c r="E115" s="108">
        <v>1</v>
      </c>
      <c r="F115" s="108">
        <v>1</v>
      </c>
      <c r="G115" s="108">
        <v>3</v>
      </c>
      <c r="H115" s="108">
        <v>3</v>
      </c>
      <c r="K115" s="106"/>
    </row>
    <row r="116" spans="1:22" s="2" customFormat="1" ht="16.5" customHeight="1">
      <c r="A116" s="1"/>
    </row>
    <row r="117" spans="1:22" ht="14.25">
      <c r="O117" s="2"/>
      <c r="P117" s="2"/>
      <c r="Q117" s="2"/>
      <c r="R117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V100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7.7109375" customWidth="1"/>
    <col min="3" max="3" width="8.5703125" customWidth="1"/>
    <col min="4" max="21" width="8.7109375" customWidth="1"/>
  </cols>
  <sheetData>
    <row r="1" spans="1:15" s="2" customFormat="1" ht="16.5" customHeight="1">
      <c r="A1" s="31" t="s">
        <v>399</v>
      </c>
      <c r="B1" s="23"/>
      <c r="C1" s="23"/>
      <c r="D1" s="23"/>
      <c r="E1" s="23"/>
      <c r="F1" s="23"/>
      <c r="G1" s="23"/>
      <c r="H1" s="23"/>
      <c r="I1" s="23"/>
      <c r="J1" s="23"/>
    </row>
    <row r="2" spans="1:15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5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5"/>
      <c r="L3" s="12" t="s">
        <v>5</v>
      </c>
      <c r="M3" s="13">
        <f>SUM(9615/12764)</f>
        <v>0.75329050454403013</v>
      </c>
    </row>
    <row r="4" spans="1:15" s="2" customFormat="1" ht="16.5" customHeight="1" thickBot="1">
      <c r="A4" s="37" t="s">
        <v>174</v>
      </c>
      <c r="B4" s="38" t="s">
        <v>6</v>
      </c>
      <c r="C4" s="8">
        <v>1838</v>
      </c>
      <c r="D4" s="9"/>
      <c r="E4" s="9"/>
      <c r="F4" s="9"/>
      <c r="G4" s="11"/>
      <c r="H4" s="8"/>
      <c r="I4" s="9"/>
      <c r="J4" s="9"/>
      <c r="K4" s="11" t="s">
        <v>4</v>
      </c>
      <c r="L4" s="15"/>
      <c r="M4" s="12" t="s">
        <v>8</v>
      </c>
      <c r="N4" s="12" t="s">
        <v>9</v>
      </c>
      <c r="O4" s="12" t="s">
        <v>10</v>
      </c>
    </row>
    <row r="5" spans="1:15" s="2" customFormat="1" ht="16.5" customHeight="1" thickBot="1">
      <c r="A5" s="37" t="s">
        <v>406</v>
      </c>
      <c r="B5" s="38" t="s">
        <v>6</v>
      </c>
      <c r="C5" s="8">
        <v>1777</v>
      </c>
      <c r="D5" s="8"/>
      <c r="E5" s="8"/>
      <c r="F5" s="9"/>
      <c r="G5" s="9"/>
      <c r="H5" s="9"/>
      <c r="I5" s="9"/>
      <c r="J5" s="9"/>
      <c r="K5" s="11" t="s">
        <v>7</v>
      </c>
      <c r="L5" s="16" t="s">
        <v>6</v>
      </c>
      <c r="M5" s="17">
        <f>SUM(C4+C5+C6+C12)</f>
        <v>5213</v>
      </c>
      <c r="N5" s="18">
        <f>SUM(M5/M10)</f>
        <v>0.5498945147679325</v>
      </c>
      <c r="O5" s="15">
        <v>3</v>
      </c>
    </row>
    <row r="6" spans="1:15" s="2" customFormat="1" ht="16.5" customHeight="1" thickBot="1">
      <c r="A6" s="37" t="s">
        <v>400</v>
      </c>
      <c r="B6" s="38" t="s">
        <v>6</v>
      </c>
      <c r="C6" s="9">
        <v>1253</v>
      </c>
      <c r="D6" s="9">
        <v>1335</v>
      </c>
      <c r="E6" s="9">
        <v>1405</v>
      </c>
      <c r="F6" s="9">
        <v>1418</v>
      </c>
      <c r="G6" s="9">
        <v>1428</v>
      </c>
      <c r="H6" s="9">
        <v>1429</v>
      </c>
      <c r="I6" s="9">
        <v>1439</v>
      </c>
      <c r="J6" s="8">
        <v>1452</v>
      </c>
      <c r="K6" s="11" t="s">
        <v>12</v>
      </c>
      <c r="L6" s="19" t="s">
        <v>3</v>
      </c>
      <c r="M6" s="17">
        <f>SUM(C8+C9+C13)</f>
        <v>1836</v>
      </c>
      <c r="N6" s="18">
        <f>SUM(M6/M10)</f>
        <v>0.19367088607594937</v>
      </c>
      <c r="O6" s="15">
        <v>1</v>
      </c>
    </row>
    <row r="7" spans="1:15" s="2" customFormat="1" ht="16.5" customHeight="1" thickBot="1">
      <c r="A7" s="37" t="s">
        <v>355</v>
      </c>
      <c r="B7" s="93" t="s">
        <v>133</v>
      </c>
      <c r="C7" s="9">
        <v>1024</v>
      </c>
      <c r="D7" s="9">
        <v>1065</v>
      </c>
      <c r="E7" s="9">
        <v>1082</v>
      </c>
      <c r="F7" s="9">
        <v>1203</v>
      </c>
      <c r="G7" s="9">
        <v>1220</v>
      </c>
      <c r="H7" s="9">
        <v>1339</v>
      </c>
      <c r="I7" s="9">
        <v>1565</v>
      </c>
      <c r="J7" s="8">
        <v>1585</v>
      </c>
      <c r="K7" s="11" t="s">
        <v>11</v>
      </c>
      <c r="L7" s="88" t="s">
        <v>133</v>
      </c>
      <c r="M7" s="23">
        <f>SUM(C7+C15)</f>
        <v>1309</v>
      </c>
      <c r="N7" s="13">
        <f>SUM(M7/M10)</f>
        <v>0.1380801687763713</v>
      </c>
      <c r="O7" s="15">
        <v>1</v>
      </c>
    </row>
    <row r="8" spans="1:15" s="2" customFormat="1" ht="16.5" customHeight="1" thickBot="1">
      <c r="A8" s="37" t="s">
        <v>175</v>
      </c>
      <c r="B8" s="39" t="s">
        <v>3</v>
      </c>
      <c r="C8" s="9">
        <v>940</v>
      </c>
      <c r="D8" s="9">
        <v>946</v>
      </c>
      <c r="E8" s="9">
        <v>952</v>
      </c>
      <c r="F8" s="9">
        <v>997</v>
      </c>
      <c r="G8" s="9">
        <v>1086</v>
      </c>
      <c r="H8" s="9">
        <v>1134</v>
      </c>
      <c r="I8" s="9">
        <v>1168</v>
      </c>
      <c r="J8" s="8">
        <v>1371</v>
      </c>
      <c r="K8" s="11" t="s">
        <v>15</v>
      </c>
      <c r="L8" s="96" t="s">
        <v>134</v>
      </c>
      <c r="M8" s="17">
        <f>SUM(C11+C14)</f>
        <v>670</v>
      </c>
      <c r="N8" s="18">
        <f>SUM(M8/M10)</f>
        <v>7.0675105485232065E-2</v>
      </c>
      <c r="O8" s="15"/>
    </row>
    <row r="9" spans="1:15" s="2" customFormat="1" ht="16.5" customHeight="1" thickBot="1">
      <c r="A9" s="40" t="s">
        <v>138</v>
      </c>
      <c r="B9" s="42" t="s">
        <v>3</v>
      </c>
      <c r="C9" s="9">
        <v>579</v>
      </c>
      <c r="D9" s="9">
        <v>580</v>
      </c>
      <c r="E9" s="9">
        <v>582</v>
      </c>
      <c r="F9" s="9">
        <v>602</v>
      </c>
      <c r="G9" s="9">
        <v>622</v>
      </c>
      <c r="H9" s="9">
        <v>638</v>
      </c>
      <c r="I9" s="9">
        <v>650</v>
      </c>
      <c r="J9" s="9">
        <v>667</v>
      </c>
      <c r="K9" s="11"/>
      <c r="L9" s="29" t="s">
        <v>17</v>
      </c>
      <c r="M9" s="23">
        <v>452</v>
      </c>
      <c r="N9" s="13">
        <f>SUM(M9/M10)</f>
        <v>4.767932489451477E-2</v>
      </c>
      <c r="O9" s="15"/>
    </row>
    <row r="10" spans="1:15" s="2" customFormat="1" ht="16.5" customHeight="1" thickBot="1">
      <c r="A10" s="40" t="s">
        <v>358</v>
      </c>
      <c r="B10" s="50" t="s">
        <v>17</v>
      </c>
      <c r="C10" s="9">
        <v>452</v>
      </c>
      <c r="D10" s="9">
        <v>456</v>
      </c>
      <c r="E10" s="9">
        <v>464</v>
      </c>
      <c r="F10" s="9">
        <v>474</v>
      </c>
      <c r="G10" s="9">
        <v>539</v>
      </c>
      <c r="H10" s="9">
        <v>540</v>
      </c>
      <c r="I10" s="9">
        <v>563</v>
      </c>
      <c r="J10" s="9" t="s">
        <v>30</v>
      </c>
      <c r="M10" s="25">
        <v>9480</v>
      </c>
    </row>
    <row r="11" spans="1:15" s="2" customFormat="1" ht="16.5" customHeight="1" thickBot="1">
      <c r="A11" s="40" t="s">
        <v>405</v>
      </c>
      <c r="B11" s="95" t="s">
        <v>134</v>
      </c>
      <c r="C11" s="9">
        <v>369</v>
      </c>
      <c r="D11" s="9">
        <v>378</v>
      </c>
      <c r="E11" s="9">
        <v>381</v>
      </c>
      <c r="F11" s="9">
        <v>387</v>
      </c>
      <c r="G11" s="9">
        <v>435</v>
      </c>
      <c r="H11" s="9">
        <v>529</v>
      </c>
      <c r="I11" s="9" t="s">
        <v>30</v>
      </c>
      <c r="J11" s="79"/>
    </row>
    <row r="12" spans="1:15" s="2" customFormat="1" ht="16.5" customHeight="1" thickBot="1">
      <c r="A12" s="40" t="s">
        <v>404</v>
      </c>
      <c r="B12" s="41" t="s">
        <v>6</v>
      </c>
      <c r="C12" s="9">
        <v>345</v>
      </c>
      <c r="D12" s="9">
        <v>444</v>
      </c>
      <c r="E12" s="9">
        <v>510</v>
      </c>
      <c r="F12" s="9">
        <v>522</v>
      </c>
      <c r="G12" s="9">
        <v>551</v>
      </c>
      <c r="H12" s="9">
        <v>559</v>
      </c>
      <c r="I12" s="9">
        <v>573</v>
      </c>
      <c r="J12" s="9">
        <v>672</v>
      </c>
      <c r="K12" s="9"/>
      <c r="L12" s="96"/>
      <c r="M12" s="17"/>
      <c r="N12" s="18"/>
      <c r="O12" s="15"/>
    </row>
    <row r="13" spans="1:15" s="2" customFormat="1" ht="16.5" customHeight="1" thickBot="1">
      <c r="A13" s="40" t="s">
        <v>403</v>
      </c>
      <c r="B13" s="42" t="s">
        <v>3</v>
      </c>
      <c r="C13" s="9">
        <v>317</v>
      </c>
      <c r="D13" s="9">
        <v>326</v>
      </c>
      <c r="E13" s="9">
        <v>331</v>
      </c>
      <c r="F13" s="9">
        <v>336</v>
      </c>
      <c r="G13" s="9">
        <v>339</v>
      </c>
      <c r="H13" s="9" t="s">
        <v>30</v>
      </c>
    </row>
    <row r="14" spans="1:15" s="2" customFormat="1" ht="16.5" customHeight="1" thickBot="1">
      <c r="A14" s="40" t="s">
        <v>402</v>
      </c>
      <c r="B14" s="95" t="s">
        <v>134</v>
      </c>
      <c r="C14" s="9">
        <v>301</v>
      </c>
      <c r="D14" s="9">
        <v>303</v>
      </c>
      <c r="E14" s="9">
        <v>307</v>
      </c>
      <c r="F14" s="9">
        <v>329</v>
      </c>
      <c r="G14" s="9" t="s">
        <v>30</v>
      </c>
      <c r="I14" s="28"/>
      <c r="J14" s="79"/>
      <c r="L14" s="25"/>
    </row>
    <row r="15" spans="1:15" s="2" customFormat="1" ht="16.5" customHeight="1" thickBot="1">
      <c r="A15" s="40" t="s">
        <v>401</v>
      </c>
      <c r="B15" s="84" t="s">
        <v>133</v>
      </c>
      <c r="C15" s="9">
        <v>285</v>
      </c>
      <c r="D15" s="9">
        <v>289</v>
      </c>
      <c r="E15" s="9">
        <v>304</v>
      </c>
      <c r="F15" s="9" t="s">
        <v>30</v>
      </c>
    </row>
    <row r="16" spans="1:15" s="2" customFormat="1" ht="10.5" customHeight="1">
      <c r="A16" s="31"/>
      <c r="B16" s="23"/>
      <c r="C16" s="23"/>
      <c r="D16" s="23"/>
      <c r="E16" s="23"/>
      <c r="F16" s="23"/>
      <c r="G16" s="23"/>
      <c r="H16" s="23"/>
      <c r="I16" s="23"/>
      <c r="J16" s="23"/>
    </row>
    <row r="17" spans="1:22" s="2" customFormat="1" ht="17.45" customHeight="1">
      <c r="A17" s="31" t="s">
        <v>407</v>
      </c>
      <c r="B17" s="23"/>
      <c r="C17" s="23"/>
      <c r="D17" s="23"/>
      <c r="E17" s="23"/>
      <c r="F17" s="23"/>
      <c r="G17" s="23"/>
      <c r="H17" s="23"/>
      <c r="I17" s="23"/>
      <c r="J17" s="23"/>
    </row>
    <row r="18" spans="1:22" s="2" customFormat="1" ht="10.5" customHeight="1" thickBot="1">
      <c r="A18" s="31"/>
      <c r="B18" s="23"/>
      <c r="C18" s="23"/>
      <c r="D18" s="23"/>
      <c r="E18" s="23"/>
      <c r="F18" s="23"/>
      <c r="G18" s="23"/>
      <c r="H18" s="23"/>
      <c r="I18" s="23"/>
      <c r="J18" s="23"/>
    </row>
    <row r="19" spans="1:22" s="2" customFormat="1" ht="16.5" customHeight="1" thickBot="1">
      <c r="A19" s="35" t="s">
        <v>0</v>
      </c>
      <c r="B19" s="36" t="s">
        <v>1</v>
      </c>
      <c r="C19" s="36" t="s">
        <v>2</v>
      </c>
      <c r="D19" s="36">
        <v>2</v>
      </c>
      <c r="E19" s="36">
        <v>3</v>
      </c>
      <c r="F19" s="36">
        <v>4</v>
      </c>
      <c r="G19" s="36">
        <v>5</v>
      </c>
      <c r="H19" s="36">
        <v>6</v>
      </c>
      <c r="I19" s="36">
        <v>7</v>
      </c>
      <c r="J19" s="36">
        <v>8</v>
      </c>
      <c r="K19" s="36">
        <v>9</v>
      </c>
      <c r="L19" s="36">
        <v>10</v>
      </c>
      <c r="M19" s="36">
        <v>11</v>
      </c>
      <c r="N19" s="36">
        <v>12</v>
      </c>
      <c r="O19" s="36">
        <v>13</v>
      </c>
      <c r="P19" s="36">
        <v>14</v>
      </c>
      <c r="Q19" s="36">
        <v>15</v>
      </c>
      <c r="R19" s="45"/>
      <c r="S19" s="12" t="s">
        <v>5</v>
      </c>
      <c r="T19" s="13">
        <f>SUM(14602/21220)</f>
        <v>0.68812441093308196</v>
      </c>
    </row>
    <row r="20" spans="1:22" s="2" customFormat="1" ht="16.5" customHeight="1" thickBot="1">
      <c r="A20" s="37" t="s">
        <v>360</v>
      </c>
      <c r="B20" s="93" t="s">
        <v>133</v>
      </c>
      <c r="C20" s="9">
        <v>1569</v>
      </c>
      <c r="D20" s="9">
        <v>1575</v>
      </c>
      <c r="E20" s="9">
        <v>1598</v>
      </c>
      <c r="F20" s="8">
        <v>1606</v>
      </c>
      <c r="G20" s="9"/>
      <c r="H20" s="9"/>
      <c r="I20" s="9"/>
      <c r="J20" s="9"/>
      <c r="K20" s="9"/>
      <c r="L20" s="9"/>
      <c r="M20" s="9"/>
      <c r="N20" s="8"/>
      <c r="O20" s="8"/>
      <c r="P20" s="8"/>
      <c r="Q20" s="8"/>
      <c r="R20" s="8" t="s">
        <v>4</v>
      </c>
      <c r="S20" s="15"/>
      <c r="T20" s="12" t="s">
        <v>8</v>
      </c>
      <c r="U20" s="12" t="s">
        <v>9</v>
      </c>
      <c r="V20" s="12" t="s">
        <v>10</v>
      </c>
    </row>
    <row r="21" spans="1:22" s="2" customFormat="1" ht="16.5" customHeight="1" thickBot="1">
      <c r="A21" s="37" t="s">
        <v>183</v>
      </c>
      <c r="B21" s="38" t="s">
        <v>6</v>
      </c>
      <c r="C21" s="9">
        <v>1188</v>
      </c>
      <c r="D21" s="9">
        <v>1192</v>
      </c>
      <c r="E21" s="9">
        <v>1273</v>
      </c>
      <c r="F21" s="9">
        <v>1334</v>
      </c>
      <c r="G21" s="9">
        <v>1341</v>
      </c>
      <c r="H21" s="9">
        <v>1406</v>
      </c>
      <c r="I21" s="9">
        <v>1422</v>
      </c>
      <c r="J21" s="8">
        <v>1766</v>
      </c>
      <c r="K21" s="9"/>
      <c r="L21" s="9"/>
      <c r="M21" s="9"/>
      <c r="N21" s="9"/>
      <c r="O21" s="9"/>
      <c r="P21" s="8"/>
      <c r="Q21" s="8"/>
      <c r="R21" s="8" t="s">
        <v>7</v>
      </c>
      <c r="S21" s="16" t="s">
        <v>6</v>
      </c>
      <c r="T21" s="17">
        <f>SUM(C21+C24+C27+C29+C30+C31+C36+C39)</f>
        <v>5499</v>
      </c>
      <c r="U21" s="18">
        <f>SUM(T21/T26)</f>
        <v>0.38105467396576814</v>
      </c>
      <c r="V21" s="15">
        <v>3</v>
      </c>
    </row>
    <row r="22" spans="1:22" s="2" customFormat="1" ht="16.5" customHeight="1" thickBot="1">
      <c r="A22" s="37" t="s">
        <v>361</v>
      </c>
      <c r="B22" s="93" t="s">
        <v>133</v>
      </c>
      <c r="C22" s="9">
        <v>1148</v>
      </c>
      <c r="D22" s="9">
        <v>1150</v>
      </c>
      <c r="E22" s="9">
        <v>1153</v>
      </c>
      <c r="F22" s="9">
        <v>1161</v>
      </c>
      <c r="G22" s="9">
        <v>1210</v>
      </c>
      <c r="H22" s="9">
        <v>1235</v>
      </c>
      <c r="I22" s="9">
        <v>1244</v>
      </c>
      <c r="J22" s="9">
        <v>1245</v>
      </c>
      <c r="K22" s="9">
        <v>1246</v>
      </c>
      <c r="L22" s="9">
        <v>1278</v>
      </c>
      <c r="M22" s="9">
        <v>1563</v>
      </c>
      <c r="N22" s="9">
        <v>1598</v>
      </c>
      <c r="O22" s="8">
        <v>1615</v>
      </c>
      <c r="P22" s="8"/>
      <c r="Q22" s="8"/>
      <c r="R22" s="8" t="s">
        <v>12</v>
      </c>
      <c r="S22" s="19" t="s">
        <v>3</v>
      </c>
      <c r="T22" s="17">
        <f>SUM(C26+C28)</f>
        <v>1483</v>
      </c>
      <c r="U22" s="18">
        <f>SUM(T22/T26)</f>
        <v>0.10276488115861687</v>
      </c>
      <c r="V22" s="15">
        <v>1</v>
      </c>
    </row>
    <row r="23" spans="1:22" s="2" customFormat="1" ht="16.5" customHeight="1" thickBot="1">
      <c r="A23" s="37" t="s">
        <v>336</v>
      </c>
      <c r="B23" s="52" t="s">
        <v>28</v>
      </c>
      <c r="C23" s="9">
        <v>876</v>
      </c>
      <c r="D23" s="9">
        <v>882</v>
      </c>
      <c r="E23" s="9">
        <v>891</v>
      </c>
      <c r="F23" s="9">
        <v>924</v>
      </c>
      <c r="G23" s="9">
        <v>924</v>
      </c>
      <c r="H23" s="9">
        <v>930</v>
      </c>
      <c r="I23" s="9">
        <v>1099</v>
      </c>
      <c r="J23" s="9">
        <v>1124</v>
      </c>
      <c r="K23" s="9">
        <v>1131</v>
      </c>
      <c r="L23" s="9">
        <v>1137</v>
      </c>
      <c r="M23" s="9">
        <v>1144</v>
      </c>
      <c r="N23" s="9">
        <v>1149</v>
      </c>
      <c r="O23" s="9">
        <v>1160</v>
      </c>
      <c r="P23" s="9">
        <v>1160</v>
      </c>
      <c r="Q23" s="8">
        <v>1214</v>
      </c>
      <c r="R23" s="8" t="s">
        <v>209</v>
      </c>
      <c r="S23" s="88" t="s">
        <v>133</v>
      </c>
      <c r="T23" s="17">
        <f>SUM(C20+C22+C33+C34+C35+C37)</f>
        <v>4781</v>
      </c>
      <c r="U23" s="18">
        <f>SUM(T23/T26)</f>
        <v>0.3313006721640912</v>
      </c>
      <c r="V23" s="2">
        <v>3</v>
      </c>
    </row>
    <row r="24" spans="1:22" s="2" customFormat="1" ht="16.5" customHeight="1" thickBot="1">
      <c r="A24" s="37" t="s">
        <v>330</v>
      </c>
      <c r="B24" s="38" t="s">
        <v>6</v>
      </c>
      <c r="C24" s="9">
        <v>847</v>
      </c>
      <c r="D24" s="9">
        <v>849</v>
      </c>
      <c r="E24" s="9">
        <v>883</v>
      </c>
      <c r="F24" s="9">
        <v>889</v>
      </c>
      <c r="G24" s="9">
        <v>891</v>
      </c>
      <c r="H24" s="9">
        <v>977</v>
      </c>
      <c r="I24" s="9">
        <v>979</v>
      </c>
      <c r="J24" s="9">
        <v>988</v>
      </c>
      <c r="K24" s="9">
        <v>1028</v>
      </c>
      <c r="L24" s="9">
        <v>1034</v>
      </c>
      <c r="M24" s="9">
        <v>1108</v>
      </c>
      <c r="N24" s="9">
        <v>1231</v>
      </c>
      <c r="O24" s="9">
        <v>1329</v>
      </c>
      <c r="P24" s="9">
        <v>1348</v>
      </c>
      <c r="Q24" s="8">
        <v>1368</v>
      </c>
      <c r="R24" s="8" t="s">
        <v>14</v>
      </c>
      <c r="S24" s="33" t="s">
        <v>19</v>
      </c>
      <c r="T24" s="17">
        <v>337</v>
      </c>
      <c r="U24" s="18">
        <f>SUM(T24/T26)</f>
        <v>2.3352505023906869E-2</v>
      </c>
    </row>
    <row r="25" spans="1:22" s="2" customFormat="1" ht="16.5" customHeight="1" thickBot="1">
      <c r="A25" s="40" t="s">
        <v>418</v>
      </c>
      <c r="B25" s="44" t="s">
        <v>28</v>
      </c>
      <c r="C25" s="9">
        <v>817</v>
      </c>
      <c r="D25" s="9">
        <v>826</v>
      </c>
      <c r="E25" s="9">
        <v>919</v>
      </c>
      <c r="F25" s="9">
        <v>927</v>
      </c>
      <c r="G25" s="9">
        <v>929</v>
      </c>
      <c r="H25" s="9">
        <v>931</v>
      </c>
      <c r="I25" s="9">
        <v>948</v>
      </c>
      <c r="J25" s="9">
        <v>960</v>
      </c>
      <c r="K25" s="9">
        <v>964</v>
      </c>
      <c r="L25" s="9">
        <v>966</v>
      </c>
      <c r="M25" s="9">
        <v>1016</v>
      </c>
      <c r="N25" s="9">
        <v>1023</v>
      </c>
      <c r="O25" s="9">
        <v>1041</v>
      </c>
      <c r="P25" s="9">
        <v>1041</v>
      </c>
      <c r="Q25" s="9">
        <v>1129</v>
      </c>
      <c r="R25" s="8"/>
      <c r="S25" s="22" t="s">
        <v>13</v>
      </c>
      <c r="T25" s="17">
        <f>SUM(C23+C25+C32+C40)</f>
        <v>2331</v>
      </c>
      <c r="U25" s="18">
        <f>SUM(T25/T26)</f>
        <v>0.16152726768761694</v>
      </c>
      <c r="V25" s="2">
        <v>1</v>
      </c>
    </row>
    <row r="26" spans="1:22" s="2" customFormat="1" ht="16.5" customHeight="1" thickBot="1">
      <c r="A26" s="40" t="s">
        <v>417</v>
      </c>
      <c r="B26" s="42" t="s">
        <v>3</v>
      </c>
      <c r="C26" s="9">
        <v>773</v>
      </c>
      <c r="D26" s="9">
        <v>778</v>
      </c>
      <c r="E26" s="9">
        <v>784</v>
      </c>
      <c r="F26" s="9">
        <v>795</v>
      </c>
      <c r="G26" s="9">
        <v>799</v>
      </c>
      <c r="H26" s="9">
        <v>805</v>
      </c>
      <c r="I26" s="9">
        <v>843</v>
      </c>
      <c r="J26" s="9">
        <v>914</v>
      </c>
      <c r="K26" s="9">
        <v>922</v>
      </c>
      <c r="L26" s="9">
        <v>966</v>
      </c>
      <c r="M26" s="9">
        <v>996</v>
      </c>
      <c r="N26" s="9">
        <v>998</v>
      </c>
      <c r="O26" s="9">
        <v>1022</v>
      </c>
      <c r="P26" s="9">
        <v>1023</v>
      </c>
      <c r="Q26" s="8" t="s">
        <v>30</v>
      </c>
      <c r="S26" s="12"/>
      <c r="T26" s="25">
        <v>14431</v>
      </c>
      <c r="U26" s="13"/>
      <c r="V26" s="15"/>
    </row>
    <row r="27" spans="1:22" s="2" customFormat="1" ht="16.5" customHeight="1" thickBot="1">
      <c r="A27" s="37" t="s">
        <v>362</v>
      </c>
      <c r="B27" s="38" t="s">
        <v>6</v>
      </c>
      <c r="C27" s="9">
        <v>745</v>
      </c>
      <c r="D27" s="9">
        <v>746</v>
      </c>
      <c r="E27" s="9">
        <v>760</v>
      </c>
      <c r="F27" s="9">
        <v>761</v>
      </c>
      <c r="G27" s="9">
        <v>779</v>
      </c>
      <c r="H27" s="9">
        <v>904</v>
      </c>
      <c r="I27" s="9">
        <v>907</v>
      </c>
      <c r="J27" s="9">
        <v>917</v>
      </c>
      <c r="K27" s="9">
        <v>932</v>
      </c>
      <c r="L27" s="9">
        <v>956</v>
      </c>
      <c r="M27" s="9">
        <v>1015</v>
      </c>
      <c r="N27" s="9">
        <v>1232</v>
      </c>
      <c r="O27" s="8">
        <v>1625</v>
      </c>
      <c r="P27" s="8"/>
      <c r="Q27" s="8"/>
      <c r="R27" s="8" t="s">
        <v>11</v>
      </c>
    </row>
    <row r="28" spans="1:22" s="2" customFormat="1" ht="16.5" customHeight="1" thickBot="1">
      <c r="A28" s="37" t="s">
        <v>367</v>
      </c>
      <c r="B28" s="39" t="s">
        <v>3</v>
      </c>
      <c r="C28" s="9">
        <v>710</v>
      </c>
      <c r="D28" s="9">
        <v>711</v>
      </c>
      <c r="E28" s="9">
        <v>718</v>
      </c>
      <c r="F28" s="9">
        <v>749</v>
      </c>
      <c r="G28" s="9">
        <v>910</v>
      </c>
      <c r="H28" s="9">
        <v>914</v>
      </c>
      <c r="I28" s="9">
        <v>916</v>
      </c>
      <c r="J28" s="9">
        <v>923</v>
      </c>
      <c r="K28" s="9">
        <v>926</v>
      </c>
      <c r="L28" s="9">
        <v>949</v>
      </c>
      <c r="M28" s="9">
        <v>985</v>
      </c>
      <c r="N28" s="9">
        <v>1183</v>
      </c>
      <c r="O28" s="9">
        <v>1199</v>
      </c>
      <c r="P28" s="9">
        <v>1200</v>
      </c>
      <c r="Q28" s="8">
        <v>1635</v>
      </c>
      <c r="R28" s="8" t="s">
        <v>16</v>
      </c>
    </row>
    <row r="29" spans="1:22" s="2" customFormat="1" ht="16.5" customHeight="1" thickBot="1">
      <c r="A29" s="40" t="s">
        <v>416</v>
      </c>
      <c r="B29" s="41" t="s">
        <v>6</v>
      </c>
      <c r="C29" s="9">
        <v>678</v>
      </c>
      <c r="D29" s="9">
        <v>678</v>
      </c>
      <c r="E29" s="9">
        <v>684</v>
      </c>
      <c r="F29" s="9">
        <v>696</v>
      </c>
      <c r="G29" s="9">
        <v>700</v>
      </c>
      <c r="H29" s="9">
        <v>712</v>
      </c>
      <c r="I29" s="9">
        <v>712</v>
      </c>
      <c r="J29" s="9">
        <v>745</v>
      </c>
      <c r="K29" s="9">
        <v>793</v>
      </c>
      <c r="L29" s="9">
        <v>889</v>
      </c>
      <c r="M29" s="9">
        <v>893</v>
      </c>
      <c r="N29" s="9">
        <v>931</v>
      </c>
      <c r="O29" s="9" t="s">
        <v>30</v>
      </c>
    </row>
    <row r="30" spans="1:22" s="2" customFormat="1" ht="16.5" customHeight="1" thickBot="1">
      <c r="A30" s="40" t="s">
        <v>415</v>
      </c>
      <c r="B30" s="41" t="s">
        <v>6</v>
      </c>
      <c r="C30" s="9">
        <v>674</v>
      </c>
      <c r="D30" s="9">
        <v>674</v>
      </c>
      <c r="E30" s="9">
        <v>674</v>
      </c>
      <c r="F30" s="9">
        <v>698</v>
      </c>
      <c r="G30" s="9">
        <v>741</v>
      </c>
      <c r="H30" s="9">
        <v>784</v>
      </c>
      <c r="I30" s="9">
        <v>787</v>
      </c>
      <c r="J30" s="9">
        <v>788</v>
      </c>
      <c r="K30" s="9">
        <v>803</v>
      </c>
      <c r="L30" s="9">
        <v>807</v>
      </c>
      <c r="M30" s="9">
        <v>825</v>
      </c>
      <c r="N30" s="9" t="s">
        <v>30</v>
      </c>
      <c r="R30" s="23"/>
    </row>
    <row r="31" spans="1:22" s="2" customFormat="1" ht="16.5" customHeight="1" thickBot="1">
      <c r="A31" s="40" t="s">
        <v>414</v>
      </c>
      <c r="B31" s="41" t="s">
        <v>6</v>
      </c>
      <c r="C31" s="9">
        <v>574</v>
      </c>
      <c r="D31" s="9">
        <v>574</v>
      </c>
      <c r="E31" s="9">
        <v>580</v>
      </c>
      <c r="F31" s="9">
        <v>594</v>
      </c>
      <c r="G31" s="9">
        <v>594</v>
      </c>
      <c r="H31" s="9">
        <v>597</v>
      </c>
      <c r="I31" s="9">
        <v>608</v>
      </c>
      <c r="J31" s="9" t="s">
        <v>30</v>
      </c>
      <c r="R31" s="13"/>
    </row>
    <row r="32" spans="1:22" s="2" customFormat="1" ht="16.5" customHeight="1" thickBot="1">
      <c r="A32" s="40" t="s">
        <v>413</v>
      </c>
      <c r="B32" s="44" t="s">
        <v>28</v>
      </c>
      <c r="C32" s="9">
        <v>573</v>
      </c>
      <c r="D32" s="9">
        <v>573</v>
      </c>
      <c r="E32" s="9">
        <v>580</v>
      </c>
      <c r="F32" s="9">
        <v>590</v>
      </c>
      <c r="G32" s="9">
        <v>605</v>
      </c>
      <c r="H32" s="9">
        <v>698</v>
      </c>
      <c r="I32" s="9">
        <v>700</v>
      </c>
      <c r="J32" s="9">
        <v>706</v>
      </c>
      <c r="K32" s="9">
        <v>710</v>
      </c>
      <c r="L32" s="9">
        <v>711</v>
      </c>
      <c r="M32" s="9" t="s">
        <v>30</v>
      </c>
    </row>
    <row r="33" spans="1:18" s="2" customFormat="1" ht="16.5" customHeight="1" thickBot="1">
      <c r="A33" s="40" t="s">
        <v>369</v>
      </c>
      <c r="B33" s="84" t="s">
        <v>133</v>
      </c>
      <c r="C33" s="9">
        <v>570</v>
      </c>
      <c r="D33" s="9">
        <v>572</v>
      </c>
      <c r="E33" s="9">
        <v>572</v>
      </c>
      <c r="F33" s="9">
        <v>575</v>
      </c>
      <c r="G33" s="9">
        <v>599</v>
      </c>
      <c r="H33" s="9">
        <v>599</v>
      </c>
      <c r="I33" s="9">
        <v>627</v>
      </c>
      <c r="J33" s="9">
        <v>631</v>
      </c>
      <c r="K33" s="9">
        <v>632</v>
      </c>
      <c r="L33" s="9" t="s">
        <v>30</v>
      </c>
      <c r="M33" s="23"/>
      <c r="N33" s="46"/>
      <c r="O33" s="17"/>
      <c r="P33" s="18"/>
      <c r="Q33" s="18"/>
    </row>
    <row r="34" spans="1:18" s="2" customFormat="1" ht="16.5" customHeight="1" thickBot="1">
      <c r="A34" s="40" t="s">
        <v>412</v>
      </c>
      <c r="B34" s="84" t="s">
        <v>133</v>
      </c>
      <c r="C34" s="9">
        <v>561</v>
      </c>
      <c r="D34" s="9">
        <v>572</v>
      </c>
      <c r="E34" s="9">
        <v>572</v>
      </c>
      <c r="F34" s="9">
        <v>582</v>
      </c>
      <c r="G34" s="9">
        <v>588</v>
      </c>
      <c r="H34" s="9">
        <v>589</v>
      </c>
      <c r="I34" s="9" t="s">
        <v>30</v>
      </c>
    </row>
    <row r="35" spans="1:18" s="2" customFormat="1" ht="16.5" customHeight="1" thickBot="1">
      <c r="A35" s="37" t="s">
        <v>411</v>
      </c>
      <c r="B35" s="93" t="s">
        <v>133</v>
      </c>
      <c r="C35" s="9">
        <v>550</v>
      </c>
      <c r="D35" s="9">
        <v>556</v>
      </c>
      <c r="E35" s="9">
        <v>560</v>
      </c>
      <c r="F35" s="9">
        <v>581</v>
      </c>
      <c r="G35" s="9">
        <v>593</v>
      </c>
      <c r="H35" s="9">
        <v>599</v>
      </c>
      <c r="I35" s="9">
        <v>839</v>
      </c>
      <c r="J35" s="9">
        <v>862</v>
      </c>
      <c r="K35" s="9">
        <v>878</v>
      </c>
      <c r="L35" s="9">
        <v>1200</v>
      </c>
      <c r="M35" s="9">
        <v>1217</v>
      </c>
      <c r="N35" s="9">
        <v>1238</v>
      </c>
      <c r="O35" s="9">
        <v>1271</v>
      </c>
      <c r="P35" s="9">
        <v>1271</v>
      </c>
      <c r="Q35" s="8">
        <v>1386</v>
      </c>
      <c r="R35" s="8" t="s">
        <v>15</v>
      </c>
    </row>
    <row r="36" spans="1:18" s="2" customFormat="1" ht="16.5" customHeight="1" thickBot="1">
      <c r="A36" s="40" t="s">
        <v>410</v>
      </c>
      <c r="B36" s="41" t="s">
        <v>6</v>
      </c>
      <c r="C36" s="9">
        <v>463</v>
      </c>
      <c r="D36" s="9">
        <v>465</v>
      </c>
      <c r="E36" s="9">
        <v>479</v>
      </c>
      <c r="F36" s="9">
        <v>489</v>
      </c>
      <c r="G36" s="9">
        <v>493</v>
      </c>
      <c r="H36" s="9" t="s">
        <v>30</v>
      </c>
      <c r="I36" s="23"/>
      <c r="L36" s="23"/>
      <c r="M36" s="23"/>
      <c r="N36" s="12"/>
      <c r="O36" s="13"/>
    </row>
    <row r="37" spans="1:18" s="2" customFormat="1" ht="16.5" customHeight="1" thickBot="1">
      <c r="A37" s="40" t="s">
        <v>409</v>
      </c>
      <c r="B37" s="84" t="s">
        <v>133</v>
      </c>
      <c r="C37" s="9">
        <v>383</v>
      </c>
      <c r="D37" s="9">
        <v>386</v>
      </c>
      <c r="E37" s="9">
        <v>386</v>
      </c>
      <c r="F37" s="9">
        <v>393</v>
      </c>
      <c r="G37" s="9" t="s">
        <v>30</v>
      </c>
      <c r="H37" s="23"/>
      <c r="I37" s="23"/>
      <c r="J37" s="23"/>
    </row>
    <row r="38" spans="1:18" s="2" customFormat="1" ht="16.5" customHeight="1" thickBot="1">
      <c r="A38" s="40" t="s">
        <v>408</v>
      </c>
      <c r="B38" s="43" t="s">
        <v>19</v>
      </c>
      <c r="C38" s="9">
        <v>337</v>
      </c>
      <c r="D38" s="9">
        <v>338</v>
      </c>
      <c r="E38" s="9">
        <v>346</v>
      </c>
      <c r="F38" s="9" t="s">
        <v>30</v>
      </c>
      <c r="G38" s="23"/>
      <c r="H38" s="23"/>
      <c r="I38" s="23"/>
      <c r="J38" s="23"/>
      <c r="K38" s="23"/>
      <c r="L38" s="23"/>
      <c r="M38" s="23"/>
      <c r="N38" s="46"/>
      <c r="O38" s="17"/>
      <c r="P38" s="18"/>
    </row>
    <row r="39" spans="1:18" s="2" customFormat="1" ht="16.5" customHeight="1" thickBot="1">
      <c r="A39" s="40" t="s">
        <v>126</v>
      </c>
      <c r="B39" s="41" t="s">
        <v>6</v>
      </c>
      <c r="C39" s="9">
        <v>330</v>
      </c>
      <c r="D39" s="9">
        <v>333</v>
      </c>
      <c r="E39" s="9" t="s">
        <v>30</v>
      </c>
      <c r="G39" s="23"/>
      <c r="H39" s="23"/>
      <c r="I39" s="23"/>
      <c r="J39" s="23"/>
      <c r="K39" s="23"/>
      <c r="L39" s="23"/>
      <c r="M39" s="23"/>
      <c r="N39" s="46"/>
      <c r="O39" s="17"/>
      <c r="P39" s="18"/>
    </row>
    <row r="40" spans="1:18" s="2" customFormat="1" ht="16.5" customHeight="1" thickBot="1">
      <c r="A40" s="40" t="s">
        <v>373</v>
      </c>
      <c r="B40" s="44" t="s">
        <v>28</v>
      </c>
      <c r="C40" s="9">
        <v>65</v>
      </c>
      <c r="D40" s="9" t="s">
        <v>30</v>
      </c>
      <c r="G40" s="23"/>
      <c r="H40" s="23"/>
      <c r="I40" s="23"/>
      <c r="J40" s="23"/>
      <c r="K40" s="23"/>
      <c r="L40" s="23"/>
      <c r="M40" s="23"/>
      <c r="N40" s="46"/>
      <c r="O40" s="17"/>
      <c r="P40" s="18"/>
    </row>
    <row r="41" spans="1:18" s="2" customFormat="1" ht="11.25" customHeight="1">
      <c r="A41" s="28"/>
      <c r="B41" s="47"/>
      <c r="C41" s="28"/>
      <c r="D41" s="28"/>
      <c r="E41" s="28"/>
      <c r="F41" s="23"/>
      <c r="G41" s="23"/>
      <c r="H41" s="23"/>
      <c r="I41" s="23"/>
      <c r="J41" s="23"/>
      <c r="N41" s="18"/>
    </row>
    <row r="42" spans="1:18" s="2" customFormat="1" ht="17.45" customHeight="1">
      <c r="A42" s="1" t="s">
        <v>419</v>
      </c>
    </row>
    <row r="43" spans="1:18" s="2" customFormat="1" ht="10.5" customHeight="1" thickBot="1">
      <c r="A43" s="1"/>
    </row>
    <row r="44" spans="1:18" s="2" customFormat="1" ht="16.5" customHeight="1" thickBot="1">
      <c r="A44" s="3" t="s">
        <v>0</v>
      </c>
      <c r="B44" s="4" t="s">
        <v>1</v>
      </c>
      <c r="C44" s="4" t="s">
        <v>2</v>
      </c>
      <c r="D44" s="4">
        <v>2</v>
      </c>
      <c r="E44" s="4">
        <v>3</v>
      </c>
      <c r="F44" s="4">
        <v>4</v>
      </c>
      <c r="G44" s="4">
        <v>5</v>
      </c>
      <c r="H44" s="4">
        <v>6</v>
      </c>
      <c r="I44" s="4">
        <v>7</v>
      </c>
      <c r="J44" s="4">
        <v>8</v>
      </c>
      <c r="K44" s="5"/>
      <c r="L44" s="12" t="s">
        <v>5</v>
      </c>
      <c r="M44" s="13">
        <f>SUM(12689/19445)</f>
        <v>0.65255849832861923</v>
      </c>
    </row>
    <row r="45" spans="1:18" s="2" customFormat="1" ht="16.5" customHeight="1" thickBot="1">
      <c r="A45" s="6" t="s">
        <v>393</v>
      </c>
      <c r="B45" s="14" t="s">
        <v>6</v>
      </c>
      <c r="C45" s="8">
        <v>2502</v>
      </c>
      <c r="D45" s="9"/>
      <c r="E45" s="8"/>
      <c r="F45" s="9"/>
      <c r="G45" s="9"/>
      <c r="H45" s="9"/>
      <c r="I45" s="9"/>
      <c r="J45" s="9"/>
      <c r="K45" s="11" t="s">
        <v>4</v>
      </c>
      <c r="L45" s="15"/>
      <c r="M45" s="12" t="s">
        <v>8</v>
      </c>
      <c r="N45" s="12" t="s">
        <v>9</v>
      </c>
      <c r="O45" s="12" t="s">
        <v>10</v>
      </c>
    </row>
    <row r="46" spans="1:18" s="2" customFormat="1" ht="16.5" customHeight="1" thickBot="1">
      <c r="A46" s="6" t="s">
        <v>331</v>
      </c>
      <c r="B46" s="14" t="s">
        <v>6</v>
      </c>
      <c r="C46" s="8">
        <v>1843</v>
      </c>
      <c r="D46" s="9"/>
      <c r="E46" s="9"/>
      <c r="F46" s="9"/>
      <c r="G46" s="9"/>
      <c r="H46" s="8"/>
      <c r="I46" s="8"/>
      <c r="J46" s="8"/>
      <c r="K46" s="11" t="s">
        <v>7</v>
      </c>
      <c r="L46" s="16" t="s">
        <v>6</v>
      </c>
      <c r="M46" s="17">
        <f>SUM(C46+C45+C49+C50+C52)</f>
        <v>7374</v>
      </c>
      <c r="N46" s="18">
        <f>SUM(M46/M51)</f>
        <v>0.58907173669915325</v>
      </c>
      <c r="O46" s="15">
        <v>4</v>
      </c>
    </row>
    <row r="47" spans="1:18" s="2" customFormat="1" ht="16.5" customHeight="1" thickBot="1">
      <c r="A47" s="6" t="s">
        <v>375</v>
      </c>
      <c r="B47" s="7" t="s">
        <v>3</v>
      </c>
      <c r="C47" s="9">
        <v>1417</v>
      </c>
      <c r="D47" s="9">
        <v>1424</v>
      </c>
      <c r="E47" s="9">
        <v>1424</v>
      </c>
      <c r="F47" s="9">
        <v>1479</v>
      </c>
      <c r="G47" s="9">
        <v>1479</v>
      </c>
      <c r="H47" s="9">
        <v>1767</v>
      </c>
      <c r="I47" s="8">
        <v>1870</v>
      </c>
      <c r="J47" s="9"/>
      <c r="K47" s="8" t="s">
        <v>12</v>
      </c>
      <c r="L47" s="19" t="s">
        <v>3</v>
      </c>
      <c r="M47" s="17">
        <f>SUM(C48+C47+C53)</f>
        <v>3418</v>
      </c>
      <c r="N47" s="18">
        <f>SUM(M47/M51)</f>
        <v>0.27304681258987057</v>
      </c>
      <c r="O47" s="15">
        <v>2</v>
      </c>
    </row>
    <row r="48" spans="1:18" s="2" customFormat="1" ht="16.5" customHeight="1" thickBot="1">
      <c r="A48" s="6" t="s">
        <v>295</v>
      </c>
      <c r="B48" s="7" t="s">
        <v>3</v>
      </c>
      <c r="C48" s="9">
        <v>1359</v>
      </c>
      <c r="D48" s="9">
        <v>1580</v>
      </c>
      <c r="E48" s="9">
        <v>1594</v>
      </c>
      <c r="F48" s="9">
        <v>1785</v>
      </c>
      <c r="G48" s="9">
        <v>1788</v>
      </c>
      <c r="H48" s="8">
        <v>1958</v>
      </c>
      <c r="I48" s="9"/>
      <c r="J48" s="8"/>
      <c r="K48" s="11" t="s">
        <v>11</v>
      </c>
      <c r="L48" s="96" t="s">
        <v>134</v>
      </c>
      <c r="M48" s="23">
        <v>773</v>
      </c>
      <c r="N48" s="13">
        <f>SUM(M48/M51)</f>
        <v>6.175107844703627E-2</v>
      </c>
    </row>
    <row r="49" spans="1:15" s="2" customFormat="1" ht="16.5" customHeight="1" thickBot="1">
      <c r="A49" s="6" t="s">
        <v>394</v>
      </c>
      <c r="B49" s="14" t="s">
        <v>6</v>
      </c>
      <c r="C49" s="9">
        <v>1357</v>
      </c>
      <c r="D49" s="9">
        <v>1662</v>
      </c>
      <c r="E49" s="9">
        <v>1676</v>
      </c>
      <c r="F49" s="9">
        <v>1719</v>
      </c>
      <c r="G49" s="9">
        <v>1738</v>
      </c>
      <c r="H49" s="9">
        <v>1763</v>
      </c>
      <c r="I49" s="9">
        <v>1765</v>
      </c>
      <c r="J49" s="8">
        <v>1890</v>
      </c>
      <c r="K49" s="11" t="s">
        <v>15</v>
      </c>
      <c r="L49" s="88" t="s">
        <v>133</v>
      </c>
      <c r="M49" s="23">
        <f>SUM(C54+C55)</f>
        <v>731</v>
      </c>
      <c r="N49" s="13">
        <f>SUM(M49/M51)</f>
        <v>5.8395909889758749E-2</v>
      </c>
      <c r="O49" s="15"/>
    </row>
    <row r="50" spans="1:15" s="2" customFormat="1" ht="16.5" customHeight="1" thickBot="1">
      <c r="A50" s="6" t="s">
        <v>377</v>
      </c>
      <c r="B50" s="14" t="s">
        <v>6</v>
      </c>
      <c r="C50" s="9">
        <v>908</v>
      </c>
      <c r="D50" s="9">
        <v>1025</v>
      </c>
      <c r="E50" s="9">
        <v>1036</v>
      </c>
      <c r="F50" s="9">
        <v>1057</v>
      </c>
      <c r="G50" s="9">
        <v>1072</v>
      </c>
      <c r="H50" s="9">
        <v>1087</v>
      </c>
      <c r="I50" s="9">
        <v>1090</v>
      </c>
      <c r="J50" s="8">
        <v>1583</v>
      </c>
      <c r="K50" s="11" t="s">
        <v>14</v>
      </c>
      <c r="L50" s="12" t="s">
        <v>13</v>
      </c>
      <c r="M50" s="23">
        <v>132</v>
      </c>
      <c r="N50" s="13">
        <f>SUM(M50/M51)</f>
        <v>1.054481546572935E-2</v>
      </c>
    </row>
    <row r="51" spans="1:15" s="2" customFormat="1" ht="16.5" customHeight="1" thickBot="1">
      <c r="A51" s="20" t="s">
        <v>420</v>
      </c>
      <c r="B51" s="97" t="s">
        <v>134</v>
      </c>
      <c r="C51" s="9">
        <v>773</v>
      </c>
      <c r="D51" s="9">
        <v>794</v>
      </c>
      <c r="E51" s="9">
        <v>844</v>
      </c>
      <c r="F51" s="9">
        <v>932</v>
      </c>
      <c r="G51" s="9">
        <v>937</v>
      </c>
      <c r="H51" s="9">
        <v>1067</v>
      </c>
      <c r="I51" s="9">
        <v>1087</v>
      </c>
      <c r="J51" s="9">
        <v>1111</v>
      </c>
      <c r="K51" s="11"/>
      <c r="L51" s="15"/>
      <c r="M51" s="25">
        <v>12518</v>
      </c>
    </row>
    <row r="52" spans="1:15" s="2" customFormat="1" ht="16.5" customHeight="1" thickBot="1">
      <c r="A52" s="20" t="s">
        <v>421</v>
      </c>
      <c r="B52" s="21" t="s">
        <v>6</v>
      </c>
      <c r="C52" s="9">
        <v>764</v>
      </c>
      <c r="D52" s="10">
        <v>853</v>
      </c>
      <c r="E52" s="9">
        <v>863</v>
      </c>
      <c r="F52" s="9">
        <v>872</v>
      </c>
      <c r="G52" s="9">
        <v>881</v>
      </c>
      <c r="H52" s="9">
        <v>899</v>
      </c>
      <c r="I52" s="9">
        <v>900</v>
      </c>
      <c r="J52" s="8" t="s">
        <v>30</v>
      </c>
    </row>
    <row r="53" spans="1:15" s="2" customFormat="1" ht="16.5" customHeight="1" thickBot="1">
      <c r="A53" s="20" t="s">
        <v>422</v>
      </c>
      <c r="B53" s="27" t="s">
        <v>3</v>
      </c>
      <c r="C53" s="9">
        <v>642</v>
      </c>
      <c r="D53" s="10">
        <v>649</v>
      </c>
      <c r="E53" s="10">
        <v>777</v>
      </c>
      <c r="F53" s="10">
        <v>843</v>
      </c>
      <c r="G53" s="9">
        <v>845</v>
      </c>
      <c r="H53" s="9" t="s">
        <v>30</v>
      </c>
    </row>
    <row r="54" spans="1:15" s="2" customFormat="1" ht="16.5" customHeight="1" thickBot="1">
      <c r="A54" s="20" t="s">
        <v>423</v>
      </c>
      <c r="B54" s="85" t="s">
        <v>133</v>
      </c>
      <c r="C54" s="9">
        <v>491</v>
      </c>
      <c r="D54" s="9">
        <v>511</v>
      </c>
      <c r="E54" s="9">
        <v>582</v>
      </c>
      <c r="F54" s="9" t="s">
        <v>30</v>
      </c>
    </row>
    <row r="55" spans="1:15" s="2" customFormat="1" ht="16.5" customHeight="1" thickBot="1">
      <c r="A55" s="20" t="s">
        <v>424</v>
      </c>
      <c r="B55" s="85" t="s">
        <v>133</v>
      </c>
      <c r="C55" s="9">
        <v>240</v>
      </c>
      <c r="D55" s="10">
        <v>247</v>
      </c>
      <c r="E55" s="10" t="s">
        <v>30</v>
      </c>
    </row>
    <row r="56" spans="1:15" s="2" customFormat="1" ht="16.5" customHeight="1" thickBot="1">
      <c r="A56" s="20" t="s">
        <v>425</v>
      </c>
      <c r="B56" s="26" t="s">
        <v>28</v>
      </c>
      <c r="C56" s="9">
        <v>132</v>
      </c>
      <c r="D56" s="9">
        <v>141</v>
      </c>
      <c r="E56" s="9" t="s">
        <v>30</v>
      </c>
    </row>
    <row r="58" spans="1:15" s="2" customFormat="1" ht="17.45" customHeight="1">
      <c r="A58" s="31" t="s">
        <v>462</v>
      </c>
      <c r="B58" s="23"/>
      <c r="C58" s="23"/>
      <c r="D58" s="23"/>
      <c r="E58" s="23"/>
      <c r="F58" s="23"/>
      <c r="G58" s="23"/>
      <c r="H58" s="23"/>
      <c r="I58" s="23"/>
      <c r="J58" s="23"/>
    </row>
    <row r="59" spans="1:15" s="2" customFormat="1" ht="8.25" customHeight="1" thickBot="1">
      <c r="A59" s="31"/>
      <c r="B59" s="23"/>
      <c r="C59" s="23"/>
      <c r="D59" s="23"/>
      <c r="E59" s="23"/>
      <c r="F59" s="23"/>
      <c r="G59" s="23"/>
      <c r="H59" s="23"/>
      <c r="I59" s="23"/>
      <c r="J59" s="23"/>
    </row>
    <row r="60" spans="1:15" s="2" customFormat="1" ht="17.45" customHeight="1" thickBot="1">
      <c r="A60" s="35" t="s">
        <v>0</v>
      </c>
      <c r="B60" s="36" t="s">
        <v>1</v>
      </c>
      <c r="C60" s="36" t="s">
        <v>2</v>
      </c>
      <c r="D60" s="36">
        <v>2</v>
      </c>
      <c r="E60" s="36">
        <v>3</v>
      </c>
      <c r="F60" s="36">
        <v>4</v>
      </c>
      <c r="G60" s="36">
        <v>5</v>
      </c>
      <c r="H60" s="36">
        <v>6</v>
      </c>
      <c r="I60" s="36">
        <v>7</v>
      </c>
      <c r="J60" s="36">
        <v>8</v>
      </c>
      <c r="K60" s="36"/>
      <c r="L60" s="25" t="s">
        <v>5</v>
      </c>
      <c r="M60" s="13">
        <f>SUM(8876/14003)</f>
        <v>0.6338641719631507</v>
      </c>
      <c r="O60" s="13"/>
    </row>
    <row r="61" spans="1:15" s="2" customFormat="1" ht="17.45" customHeight="1" thickBot="1">
      <c r="A61" s="37" t="s">
        <v>171</v>
      </c>
      <c r="B61" s="39" t="s">
        <v>3</v>
      </c>
      <c r="C61" s="8">
        <v>1938</v>
      </c>
      <c r="D61" s="9"/>
      <c r="E61" s="9"/>
      <c r="F61" s="9"/>
      <c r="G61" s="9"/>
      <c r="H61" s="9"/>
      <c r="I61" s="9"/>
      <c r="J61" s="9"/>
      <c r="K61" s="8" t="s">
        <v>4</v>
      </c>
      <c r="L61" s="17"/>
      <c r="M61" s="12" t="s">
        <v>8</v>
      </c>
      <c r="N61" s="12" t="s">
        <v>9</v>
      </c>
      <c r="O61" s="12" t="s">
        <v>10</v>
      </c>
    </row>
    <row r="62" spans="1:15" s="2" customFormat="1" ht="17.45" customHeight="1" thickBot="1">
      <c r="A62" s="37" t="s">
        <v>334</v>
      </c>
      <c r="B62" s="38" t="s">
        <v>6</v>
      </c>
      <c r="C62" s="52">
        <v>1515</v>
      </c>
      <c r="D62" s="9"/>
      <c r="E62" s="9"/>
      <c r="F62" s="8"/>
      <c r="G62" s="9"/>
      <c r="H62" s="9"/>
      <c r="I62" s="8"/>
      <c r="J62" s="9"/>
      <c r="K62" s="8" t="s">
        <v>7</v>
      </c>
      <c r="L62" s="48" t="s">
        <v>6</v>
      </c>
      <c r="M62" s="17">
        <f>SUM(C62+C63+C64+C66+C70)</f>
        <v>4497</v>
      </c>
      <c r="N62" s="18">
        <f>SUM(M62/M65)</f>
        <v>0.51084857434965347</v>
      </c>
      <c r="O62" s="15">
        <v>3</v>
      </c>
    </row>
    <row r="63" spans="1:15" s="2" customFormat="1" ht="17.45" customHeight="1" thickBot="1">
      <c r="A63" s="37" t="s">
        <v>463</v>
      </c>
      <c r="B63" s="38" t="s">
        <v>6</v>
      </c>
      <c r="C63" s="9">
        <v>1112</v>
      </c>
      <c r="D63" s="9">
        <v>1119</v>
      </c>
      <c r="E63" s="9">
        <v>1135</v>
      </c>
      <c r="F63" s="9">
        <v>1159</v>
      </c>
      <c r="G63" s="9">
        <v>1167</v>
      </c>
      <c r="H63" s="9">
        <v>1195</v>
      </c>
      <c r="I63" s="9">
        <v>1219</v>
      </c>
      <c r="J63" s="8">
        <v>1263</v>
      </c>
      <c r="K63" s="8" t="s">
        <v>12</v>
      </c>
      <c r="L63" s="49" t="s">
        <v>3</v>
      </c>
      <c r="M63" s="17">
        <f>SUM(C61+C68+C69+C71)</f>
        <v>3119</v>
      </c>
      <c r="N63" s="18">
        <f>SUM(M63/M65)</f>
        <v>0.3543110303305691</v>
      </c>
      <c r="O63" s="15">
        <v>1</v>
      </c>
    </row>
    <row r="64" spans="1:15" s="2" customFormat="1" ht="17.45" customHeight="1" thickBot="1">
      <c r="A64" s="37" t="s">
        <v>464</v>
      </c>
      <c r="B64" s="38" t="s">
        <v>6</v>
      </c>
      <c r="C64" s="9">
        <v>888</v>
      </c>
      <c r="D64" s="9">
        <v>1106</v>
      </c>
      <c r="E64" s="9">
        <v>1118</v>
      </c>
      <c r="F64" s="9">
        <v>1176</v>
      </c>
      <c r="G64" s="9">
        <v>1197</v>
      </c>
      <c r="H64" s="9">
        <v>1228</v>
      </c>
      <c r="I64" s="8">
        <v>1479</v>
      </c>
      <c r="J64" s="9"/>
      <c r="K64" s="8" t="s">
        <v>11</v>
      </c>
      <c r="L64" s="94" t="s">
        <v>134</v>
      </c>
      <c r="M64" s="23">
        <v>699</v>
      </c>
      <c r="N64" s="13">
        <f>SUM(M64/M65)</f>
        <v>7.9404748381233667E-2</v>
      </c>
      <c r="O64" s="2">
        <v>1</v>
      </c>
    </row>
    <row r="65" spans="1:21" s="2" customFormat="1" ht="17.45" customHeight="1" thickBot="1">
      <c r="A65" s="37" t="s">
        <v>466</v>
      </c>
      <c r="B65" s="90" t="s">
        <v>134</v>
      </c>
      <c r="C65" s="9">
        <v>699</v>
      </c>
      <c r="D65" s="9">
        <v>711</v>
      </c>
      <c r="E65" s="9">
        <v>713</v>
      </c>
      <c r="F65" s="9">
        <v>715</v>
      </c>
      <c r="G65" s="9">
        <v>720</v>
      </c>
      <c r="H65" s="9">
        <v>910</v>
      </c>
      <c r="I65" s="9">
        <v>926</v>
      </c>
      <c r="J65" s="8">
        <v>1063</v>
      </c>
      <c r="K65" s="8" t="s">
        <v>15</v>
      </c>
      <c r="L65" s="60"/>
      <c r="M65" s="25">
        <v>8803</v>
      </c>
      <c r="N65" s="13"/>
    </row>
    <row r="66" spans="1:21" s="2" customFormat="1" ht="17.45" customHeight="1" thickBot="1">
      <c r="A66" s="40" t="s">
        <v>465</v>
      </c>
      <c r="B66" s="41" t="s">
        <v>6</v>
      </c>
      <c r="C66" s="9">
        <v>620</v>
      </c>
      <c r="D66" s="9">
        <v>629</v>
      </c>
      <c r="E66" s="9">
        <v>634</v>
      </c>
      <c r="F66" s="9">
        <v>672</v>
      </c>
      <c r="G66" s="9">
        <v>842</v>
      </c>
      <c r="H66" s="9">
        <v>854</v>
      </c>
      <c r="I66" s="9">
        <v>920</v>
      </c>
      <c r="J66" s="9">
        <v>989</v>
      </c>
      <c r="K66" s="9"/>
      <c r="L66" s="23"/>
      <c r="M66" s="23"/>
    </row>
    <row r="67" spans="1:21" s="2" customFormat="1" ht="17.45" customHeight="1" thickBot="1">
      <c r="A67" s="40" t="s">
        <v>467</v>
      </c>
      <c r="B67" s="41" t="s">
        <v>6</v>
      </c>
      <c r="C67" s="9">
        <v>488</v>
      </c>
      <c r="D67" s="9">
        <v>538</v>
      </c>
      <c r="E67" s="9">
        <v>539</v>
      </c>
      <c r="F67" s="9">
        <v>565</v>
      </c>
      <c r="G67" s="9">
        <v>574</v>
      </c>
      <c r="H67" s="9">
        <v>576</v>
      </c>
      <c r="I67" s="9" t="s">
        <v>30</v>
      </c>
      <c r="K67" s="23"/>
      <c r="L67" s="23"/>
    </row>
    <row r="68" spans="1:21" s="2" customFormat="1" ht="17.45" customHeight="1" thickBot="1">
      <c r="A68" s="40" t="s">
        <v>470</v>
      </c>
      <c r="B68" s="42" t="s">
        <v>3</v>
      </c>
      <c r="C68" s="9">
        <v>441</v>
      </c>
      <c r="D68" s="9">
        <v>535</v>
      </c>
      <c r="E68" s="9">
        <v>539</v>
      </c>
      <c r="F68" s="9">
        <v>545</v>
      </c>
      <c r="G68" s="9">
        <v>564</v>
      </c>
      <c r="H68" s="9" t="s">
        <v>30</v>
      </c>
      <c r="O68" s="23"/>
      <c r="P68" s="25"/>
      <c r="Q68" s="23"/>
      <c r="R68" s="13"/>
    </row>
    <row r="69" spans="1:21" s="2" customFormat="1" ht="17.45" customHeight="1" thickBot="1">
      <c r="A69" s="40" t="s">
        <v>143</v>
      </c>
      <c r="B69" s="42" t="s">
        <v>3</v>
      </c>
      <c r="C69" s="9">
        <v>384</v>
      </c>
      <c r="D69" s="9">
        <v>424</v>
      </c>
      <c r="E69" s="9">
        <v>425</v>
      </c>
      <c r="F69" s="9">
        <v>583</v>
      </c>
      <c r="G69" s="9">
        <v>668</v>
      </c>
      <c r="H69" s="9">
        <v>848</v>
      </c>
      <c r="I69" s="9">
        <v>873</v>
      </c>
      <c r="J69" s="9" t="s">
        <v>30</v>
      </c>
      <c r="L69" s="23"/>
      <c r="M69" s="23"/>
      <c r="N69" s="25"/>
    </row>
    <row r="70" spans="1:21" s="2" customFormat="1" ht="17.45" customHeight="1" thickBot="1">
      <c r="A70" s="40" t="s">
        <v>468</v>
      </c>
      <c r="B70" s="41" t="s">
        <v>6</v>
      </c>
      <c r="C70" s="9">
        <v>362</v>
      </c>
      <c r="D70" s="9">
        <v>367</v>
      </c>
      <c r="E70" s="9">
        <v>373</v>
      </c>
      <c r="F70" s="9" t="s">
        <v>30</v>
      </c>
      <c r="H70" s="23"/>
      <c r="I70" s="23"/>
      <c r="J70" s="25"/>
      <c r="L70" s="13"/>
      <c r="M70" s="13"/>
    </row>
    <row r="71" spans="1:21" s="2" customFormat="1" ht="17.45" customHeight="1" thickBot="1">
      <c r="A71" s="40" t="s">
        <v>469</v>
      </c>
      <c r="B71" s="42" t="s">
        <v>3</v>
      </c>
      <c r="C71" s="9">
        <v>356</v>
      </c>
      <c r="D71" s="9">
        <v>391</v>
      </c>
      <c r="E71" s="9">
        <v>391</v>
      </c>
      <c r="F71" s="9">
        <v>399</v>
      </c>
      <c r="G71" s="9" t="s">
        <v>30</v>
      </c>
      <c r="L71" s="23"/>
      <c r="M71" s="25"/>
      <c r="N71" s="23"/>
      <c r="O71" s="13"/>
    </row>
    <row r="72" spans="1:21" s="2" customFormat="1" ht="13.5" customHeight="1">
      <c r="A72" s="28"/>
      <c r="B72" s="80"/>
      <c r="C72" s="28"/>
      <c r="D72" s="28"/>
      <c r="E72" s="28"/>
      <c r="F72" s="23"/>
      <c r="G72" s="23"/>
      <c r="H72" s="23"/>
      <c r="I72" s="23"/>
      <c r="J72" s="25"/>
      <c r="L72" s="13"/>
      <c r="M72" s="13"/>
    </row>
    <row r="73" spans="1:21" s="2" customFormat="1" ht="17.45" customHeight="1">
      <c r="A73" s="31" t="s">
        <v>471</v>
      </c>
      <c r="B73" s="23"/>
      <c r="C73" s="23"/>
      <c r="D73" s="23"/>
      <c r="E73" s="23"/>
      <c r="F73" s="23"/>
      <c r="G73" s="23"/>
      <c r="H73" s="23"/>
      <c r="I73" s="23"/>
      <c r="J73" s="23"/>
    </row>
    <row r="74" spans="1:21" s="2" customFormat="1" ht="10.5" customHeight="1" thickBot="1">
      <c r="A74" s="31"/>
      <c r="B74" s="23"/>
      <c r="C74" s="23"/>
      <c r="D74" s="23"/>
      <c r="E74" s="23"/>
      <c r="F74" s="23"/>
      <c r="G74" s="23"/>
      <c r="H74" s="23"/>
      <c r="I74" s="23"/>
      <c r="J74" s="23"/>
    </row>
    <row r="75" spans="1:21" s="2" customFormat="1" ht="16.5" customHeight="1" thickBot="1">
      <c r="A75" s="35" t="s">
        <v>0</v>
      </c>
      <c r="B75" s="36" t="s">
        <v>1</v>
      </c>
      <c r="C75" s="36" t="s">
        <v>2</v>
      </c>
      <c r="D75" s="36">
        <v>2</v>
      </c>
      <c r="E75" s="36">
        <v>3</v>
      </c>
      <c r="F75" s="36">
        <v>4</v>
      </c>
      <c r="G75" s="36">
        <v>5</v>
      </c>
      <c r="H75" s="36">
        <v>6</v>
      </c>
      <c r="I75" s="36">
        <v>7</v>
      </c>
      <c r="J75" s="36">
        <v>8</v>
      </c>
      <c r="K75" s="36">
        <v>9</v>
      </c>
      <c r="L75" s="36">
        <v>10</v>
      </c>
      <c r="M75" s="36">
        <v>11</v>
      </c>
      <c r="N75" s="36">
        <v>12</v>
      </c>
      <c r="O75" s="36">
        <v>13</v>
      </c>
      <c r="P75" s="36">
        <v>14</v>
      </c>
      <c r="Q75" s="45"/>
      <c r="R75" s="12" t="s">
        <v>5</v>
      </c>
      <c r="S75" s="13">
        <f>SUM(13602/24141)</f>
        <v>0.56343979122654408</v>
      </c>
    </row>
    <row r="76" spans="1:21" s="2" customFormat="1" ht="16.5" customHeight="1" thickBot="1">
      <c r="A76" s="37" t="s">
        <v>472</v>
      </c>
      <c r="B76" s="39" t="s">
        <v>3</v>
      </c>
      <c r="C76" s="8">
        <v>2050</v>
      </c>
      <c r="D76" s="8"/>
      <c r="E76" s="9"/>
      <c r="F76" s="8"/>
      <c r="G76" s="9"/>
      <c r="H76" s="8"/>
      <c r="I76" s="8"/>
      <c r="J76" s="9"/>
      <c r="K76" s="9"/>
      <c r="L76" s="9"/>
      <c r="M76" s="8"/>
      <c r="N76" s="8"/>
      <c r="O76" s="9"/>
      <c r="P76" s="9"/>
      <c r="Q76" s="8" t="s">
        <v>4</v>
      </c>
      <c r="R76" s="15"/>
      <c r="S76" s="12" t="s">
        <v>8</v>
      </c>
      <c r="T76" s="12" t="s">
        <v>9</v>
      </c>
      <c r="U76" s="12" t="s">
        <v>10</v>
      </c>
    </row>
    <row r="77" spans="1:21" s="2" customFormat="1" ht="16.5" customHeight="1" thickBot="1">
      <c r="A77" s="37" t="s">
        <v>392</v>
      </c>
      <c r="B77" s="38" t="s">
        <v>6</v>
      </c>
      <c r="C77" s="9">
        <v>1351</v>
      </c>
      <c r="D77" s="9">
        <v>1360</v>
      </c>
      <c r="E77" s="9">
        <v>1371</v>
      </c>
      <c r="F77" s="9">
        <v>1427</v>
      </c>
      <c r="G77" s="9">
        <v>1439</v>
      </c>
      <c r="H77" s="9">
        <v>1452</v>
      </c>
      <c r="I77" s="9">
        <v>1463</v>
      </c>
      <c r="J77" s="9">
        <v>1479</v>
      </c>
      <c r="K77" s="9">
        <v>1615</v>
      </c>
      <c r="L77" s="8">
        <v>1803</v>
      </c>
      <c r="M77" s="9"/>
      <c r="N77" s="8"/>
      <c r="O77" s="8"/>
      <c r="P77" s="8"/>
      <c r="Q77" s="8" t="s">
        <v>7</v>
      </c>
      <c r="R77" s="16" t="s">
        <v>6</v>
      </c>
      <c r="S77" s="17">
        <f>SUM(C77+C78+C80+C82+C87+C90+C91)</f>
        <v>5731</v>
      </c>
      <c r="T77" s="18">
        <f>SUM(S77/S84)</f>
        <v>0.43383800151400453</v>
      </c>
      <c r="U77" s="15">
        <v>3</v>
      </c>
    </row>
    <row r="78" spans="1:21" s="2" customFormat="1" ht="16.5" customHeight="1" thickBot="1">
      <c r="A78" s="37" t="s">
        <v>146</v>
      </c>
      <c r="B78" s="38" t="s">
        <v>6</v>
      </c>
      <c r="C78" s="9">
        <v>1296</v>
      </c>
      <c r="D78" s="9">
        <v>1313</v>
      </c>
      <c r="E78" s="9">
        <v>1321</v>
      </c>
      <c r="F78" s="9">
        <v>1332</v>
      </c>
      <c r="G78" s="9">
        <v>1368</v>
      </c>
      <c r="H78" s="9">
        <v>1384</v>
      </c>
      <c r="I78" s="9">
        <v>1400</v>
      </c>
      <c r="J78" s="9">
        <v>1506</v>
      </c>
      <c r="K78" s="9">
        <v>1561</v>
      </c>
      <c r="L78" s="9">
        <v>1587</v>
      </c>
      <c r="M78" s="9">
        <v>1596</v>
      </c>
      <c r="N78" s="9">
        <v>1598</v>
      </c>
      <c r="O78" s="8">
        <v>1744</v>
      </c>
      <c r="P78" s="8"/>
      <c r="Q78" s="8" t="s">
        <v>12</v>
      </c>
      <c r="R78" s="19" t="s">
        <v>3</v>
      </c>
      <c r="S78" s="17">
        <f>SUM(C76+C83+C85)</f>
        <v>3198</v>
      </c>
      <c r="T78" s="18">
        <f>SUM(S78/S84)</f>
        <v>0.2420893262679788</v>
      </c>
      <c r="U78" s="15">
        <v>2</v>
      </c>
    </row>
    <row r="79" spans="1:21" s="2" customFormat="1" ht="16.5" customHeight="1" thickBot="1">
      <c r="A79" s="37" t="s">
        <v>386</v>
      </c>
      <c r="B79" s="52" t="s">
        <v>28</v>
      </c>
      <c r="C79" s="9">
        <v>1138</v>
      </c>
      <c r="D79" s="9">
        <v>1212</v>
      </c>
      <c r="E79" s="9">
        <v>1214</v>
      </c>
      <c r="F79" s="9">
        <v>1222</v>
      </c>
      <c r="G79" s="9">
        <v>1247</v>
      </c>
      <c r="H79" s="9">
        <v>1337</v>
      </c>
      <c r="I79" s="9">
        <v>1355</v>
      </c>
      <c r="J79" s="9">
        <v>1411</v>
      </c>
      <c r="K79" s="9">
        <v>1503</v>
      </c>
      <c r="L79" s="9">
        <v>1522</v>
      </c>
      <c r="M79" s="9">
        <v>1528</v>
      </c>
      <c r="N79" s="9">
        <v>1530</v>
      </c>
      <c r="O79" s="9">
        <v>1563</v>
      </c>
      <c r="P79" s="8">
        <v>1567</v>
      </c>
      <c r="Q79" s="8" t="s">
        <v>15</v>
      </c>
      <c r="R79" s="29" t="s">
        <v>17</v>
      </c>
      <c r="S79" s="17">
        <v>502</v>
      </c>
      <c r="T79" s="18">
        <f>SUM(S79/S84)</f>
        <v>3.8001514004542013E-2</v>
      </c>
    </row>
    <row r="80" spans="1:21" s="2" customFormat="1" ht="16.5" customHeight="1" thickBot="1">
      <c r="A80" s="37" t="s">
        <v>473</v>
      </c>
      <c r="B80" s="38" t="s">
        <v>6</v>
      </c>
      <c r="C80" s="9">
        <v>1063</v>
      </c>
      <c r="D80" s="9">
        <v>1108</v>
      </c>
      <c r="E80" s="9">
        <v>1112</v>
      </c>
      <c r="F80" s="9">
        <v>1124</v>
      </c>
      <c r="G80" s="9">
        <v>1291</v>
      </c>
      <c r="H80" s="9">
        <v>1380</v>
      </c>
      <c r="I80" s="9">
        <v>1390</v>
      </c>
      <c r="J80" s="9">
        <v>1418</v>
      </c>
      <c r="K80" s="9">
        <v>1639</v>
      </c>
      <c r="L80" s="8">
        <v>1666</v>
      </c>
      <c r="M80" s="9"/>
      <c r="N80" s="9"/>
      <c r="O80" s="9"/>
      <c r="P80" s="8"/>
      <c r="Q80" s="8" t="s">
        <v>11</v>
      </c>
      <c r="R80" s="33" t="s">
        <v>19</v>
      </c>
      <c r="S80" s="17">
        <v>554</v>
      </c>
      <c r="T80" s="18">
        <f>SUM(S80/S84)</f>
        <v>4.1937925813777442E-2</v>
      </c>
      <c r="U80" s="2">
        <v>1</v>
      </c>
    </row>
    <row r="81" spans="1:22" s="2" customFormat="1" ht="16.5" customHeight="1" thickBot="1">
      <c r="A81" s="40" t="s">
        <v>389</v>
      </c>
      <c r="B81" s="95" t="s">
        <v>134</v>
      </c>
      <c r="C81" s="9">
        <v>689</v>
      </c>
      <c r="D81" s="9">
        <v>744</v>
      </c>
      <c r="E81" s="9">
        <v>752</v>
      </c>
      <c r="F81" s="9">
        <v>755</v>
      </c>
      <c r="G81" s="9">
        <v>765</v>
      </c>
      <c r="H81" s="9">
        <v>869</v>
      </c>
      <c r="I81" s="9">
        <v>875</v>
      </c>
      <c r="J81" s="9">
        <v>918</v>
      </c>
      <c r="K81" s="9">
        <v>948</v>
      </c>
      <c r="L81" s="9">
        <v>991</v>
      </c>
      <c r="M81" s="9">
        <v>1008</v>
      </c>
      <c r="N81" s="9">
        <v>1010</v>
      </c>
      <c r="O81" s="9">
        <v>1026</v>
      </c>
      <c r="P81" s="9">
        <v>1027</v>
      </c>
      <c r="Q81" s="8"/>
      <c r="R81" s="96" t="s">
        <v>134</v>
      </c>
      <c r="S81" s="17">
        <v>689</v>
      </c>
      <c r="T81" s="18">
        <f>SUM(S81/S84)</f>
        <v>5.2157456472369419E-2</v>
      </c>
    </row>
    <row r="82" spans="1:22" s="2" customFormat="1" ht="16.5" customHeight="1" thickBot="1">
      <c r="A82" s="40" t="s">
        <v>474</v>
      </c>
      <c r="B82" s="41" t="s">
        <v>6</v>
      </c>
      <c r="C82" s="9">
        <v>633</v>
      </c>
      <c r="D82" s="9">
        <v>649</v>
      </c>
      <c r="E82" s="9">
        <v>652</v>
      </c>
      <c r="F82" s="9">
        <v>698</v>
      </c>
      <c r="G82" s="9">
        <v>719</v>
      </c>
      <c r="H82" s="9">
        <v>756</v>
      </c>
      <c r="I82" s="9">
        <v>765</v>
      </c>
      <c r="J82" s="9">
        <v>785</v>
      </c>
      <c r="K82" s="9" t="s">
        <v>30</v>
      </c>
      <c r="R82" s="88" t="s">
        <v>133</v>
      </c>
      <c r="S82" s="17">
        <f>SUM(C84+C89+C92+C93)</f>
        <v>1398</v>
      </c>
      <c r="T82" s="18">
        <f>SUM(S82/S84)</f>
        <v>0.10582891748675247</v>
      </c>
    </row>
    <row r="83" spans="1:22" s="2" customFormat="1" ht="16.5" customHeight="1" thickBot="1">
      <c r="A83" s="40" t="s">
        <v>475</v>
      </c>
      <c r="B83" s="42" t="s">
        <v>3</v>
      </c>
      <c r="C83" s="9">
        <v>583</v>
      </c>
      <c r="D83" s="9">
        <v>629</v>
      </c>
      <c r="E83" s="9">
        <v>631</v>
      </c>
      <c r="F83" s="9">
        <v>635</v>
      </c>
      <c r="G83" s="9">
        <v>638</v>
      </c>
      <c r="H83" s="9">
        <v>671</v>
      </c>
      <c r="I83" s="9">
        <v>677</v>
      </c>
      <c r="J83" s="9" t="s">
        <v>30</v>
      </c>
      <c r="R83" s="22" t="s">
        <v>13</v>
      </c>
      <c r="S83" s="17">
        <v>1138</v>
      </c>
      <c r="T83" s="18">
        <f>SUM(S83/S84)</f>
        <v>8.6146858440575319E-2</v>
      </c>
      <c r="U83" s="2">
        <v>1</v>
      </c>
    </row>
    <row r="84" spans="1:22" s="2" customFormat="1" ht="16.5" customHeight="1" thickBot="1">
      <c r="A84" s="40" t="s">
        <v>476</v>
      </c>
      <c r="B84" s="84" t="s">
        <v>133</v>
      </c>
      <c r="C84" s="9">
        <v>582</v>
      </c>
      <c r="D84" s="9">
        <v>591</v>
      </c>
      <c r="E84" s="9">
        <v>627</v>
      </c>
      <c r="F84" s="9">
        <v>630</v>
      </c>
      <c r="G84" s="9">
        <v>631</v>
      </c>
      <c r="H84" s="9">
        <v>638</v>
      </c>
      <c r="I84" s="9">
        <v>827</v>
      </c>
      <c r="J84" s="9">
        <v>839</v>
      </c>
      <c r="K84" s="9">
        <v>846</v>
      </c>
      <c r="L84" s="9" t="s">
        <v>30</v>
      </c>
      <c r="R84" s="12"/>
      <c r="S84" s="25">
        <v>13210</v>
      </c>
      <c r="T84" s="13"/>
      <c r="U84" s="15"/>
    </row>
    <row r="85" spans="1:22" s="2" customFormat="1" ht="16.5" customHeight="1" thickBot="1">
      <c r="A85" s="37" t="s">
        <v>477</v>
      </c>
      <c r="B85" s="39" t="s">
        <v>3</v>
      </c>
      <c r="C85" s="9">
        <v>565</v>
      </c>
      <c r="D85" s="9">
        <v>641</v>
      </c>
      <c r="E85" s="9">
        <v>674</v>
      </c>
      <c r="F85" s="9">
        <v>675</v>
      </c>
      <c r="G85" s="9">
        <v>688</v>
      </c>
      <c r="H85" s="9">
        <v>706</v>
      </c>
      <c r="I85" s="9">
        <v>821</v>
      </c>
      <c r="J85" s="9">
        <v>1001</v>
      </c>
      <c r="K85" s="9">
        <v>1013</v>
      </c>
      <c r="L85" s="9">
        <v>1149</v>
      </c>
      <c r="M85" s="9">
        <v>1165</v>
      </c>
      <c r="N85" s="9">
        <v>1171</v>
      </c>
      <c r="O85" s="9">
        <v>1273</v>
      </c>
      <c r="P85" s="8">
        <v>1280</v>
      </c>
      <c r="Q85" s="8" t="s">
        <v>14</v>
      </c>
    </row>
    <row r="86" spans="1:22" s="2" customFormat="1" ht="16.5" customHeight="1" thickBot="1">
      <c r="A86" s="37" t="s">
        <v>346</v>
      </c>
      <c r="B86" s="56" t="s">
        <v>19</v>
      </c>
      <c r="C86" s="9">
        <v>554</v>
      </c>
      <c r="D86" s="9">
        <v>559</v>
      </c>
      <c r="E86" s="9">
        <v>602</v>
      </c>
      <c r="F86" s="9">
        <v>702</v>
      </c>
      <c r="G86" s="9">
        <v>710</v>
      </c>
      <c r="H86" s="9">
        <v>726</v>
      </c>
      <c r="I86" s="9">
        <v>797</v>
      </c>
      <c r="J86" s="9">
        <v>807</v>
      </c>
      <c r="K86" s="9">
        <v>864</v>
      </c>
      <c r="L86" s="9">
        <v>901</v>
      </c>
      <c r="M86" s="9">
        <v>921</v>
      </c>
      <c r="N86" s="9">
        <v>923</v>
      </c>
      <c r="O86" s="9">
        <v>1077</v>
      </c>
      <c r="P86" s="8">
        <v>1098</v>
      </c>
      <c r="Q86" s="8" t="s">
        <v>16</v>
      </c>
    </row>
    <row r="87" spans="1:22" s="2" customFormat="1" ht="16.5" customHeight="1" thickBot="1">
      <c r="A87" s="40" t="s">
        <v>390</v>
      </c>
      <c r="B87" s="41" t="s">
        <v>6</v>
      </c>
      <c r="C87" s="9">
        <v>535</v>
      </c>
      <c r="D87" s="9">
        <v>540</v>
      </c>
      <c r="E87" s="9">
        <v>569</v>
      </c>
      <c r="F87" s="9">
        <v>650</v>
      </c>
      <c r="G87" s="9">
        <v>754</v>
      </c>
      <c r="H87" s="9">
        <v>760</v>
      </c>
      <c r="I87" s="9">
        <v>808</v>
      </c>
      <c r="J87" s="9">
        <v>810</v>
      </c>
      <c r="K87" s="9">
        <v>875</v>
      </c>
      <c r="L87" s="9">
        <v>906</v>
      </c>
      <c r="M87" s="9">
        <v>915</v>
      </c>
      <c r="N87" s="9">
        <v>915</v>
      </c>
      <c r="O87" s="9" t="s">
        <v>30</v>
      </c>
    </row>
    <row r="88" spans="1:22" s="2" customFormat="1" ht="16.5" customHeight="1" thickBot="1">
      <c r="A88" s="40" t="s">
        <v>478</v>
      </c>
      <c r="B88" s="50" t="s">
        <v>17</v>
      </c>
      <c r="C88" s="9">
        <v>502</v>
      </c>
      <c r="D88" s="9">
        <v>520</v>
      </c>
      <c r="E88" s="9">
        <v>523</v>
      </c>
      <c r="F88" s="9">
        <v>529</v>
      </c>
      <c r="G88" s="9">
        <v>531</v>
      </c>
      <c r="H88" s="9" t="s">
        <v>30</v>
      </c>
      <c r="M88" s="23"/>
      <c r="N88" s="23"/>
      <c r="O88" s="23"/>
      <c r="P88" s="23"/>
      <c r="Q88" s="46"/>
    </row>
    <row r="89" spans="1:22" s="2" customFormat="1" ht="16.5" customHeight="1" thickBot="1">
      <c r="A89" s="40" t="s">
        <v>391</v>
      </c>
      <c r="B89" s="84" t="s">
        <v>133</v>
      </c>
      <c r="C89" s="9">
        <v>500</v>
      </c>
      <c r="D89" s="9">
        <v>510</v>
      </c>
      <c r="E89" s="9">
        <v>605</v>
      </c>
      <c r="F89" s="9">
        <v>615</v>
      </c>
      <c r="G89" s="9">
        <v>620</v>
      </c>
      <c r="H89" s="9">
        <v>627</v>
      </c>
      <c r="I89" s="9" t="s">
        <v>30</v>
      </c>
      <c r="L89" s="23"/>
      <c r="M89" s="23"/>
      <c r="N89" s="12"/>
      <c r="O89" s="17"/>
      <c r="P89" s="18"/>
    </row>
    <row r="90" spans="1:22" s="2" customFormat="1" ht="16.5" customHeight="1" thickBot="1">
      <c r="A90" s="40" t="s">
        <v>479</v>
      </c>
      <c r="B90" s="41" t="s">
        <v>6</v>
      </c>
      <c r="C90" s="9">
        <v>492</v>
      </c>
      <c r="D90" s="9">
        <v>498</v>
      </c>
      <c r="E90" s="9">
        <v>499</v>
      </c>
      <c r="F90" s="9">
        <v>500</v>
      </c>
      <c r="G90" s="9" t="s">
        <v>30</v>
      </c>
      <c r="I90" s="23"/>
      <c r="J90" s="23"/>
      <c r="K90" s="23"/>
      <c r="L90" s="23"/>
      <c r="M90" s="23"/>
      <c r="N90" s="12"/>
      <c r="O90" s="17"/>
      <c r="P90" s="18"/>
    </row>
    <row r="91" spans="1:22" s="2" customFormat="1" ht="16.5" customHeight="1" thickBot="1">
      <c r="A91" s="40" t="s">
        <v>480</v>
      </c>
      <c r="B91" s="41" t="s">
        <v>6</v>
      </c>
      <c r="C91" s="9">
        <v>361</v>
      </c>
      <c r="D91" s="9">
        <v>363</v>
      </c>
      <c r="E91" s="9">
        <v>371</v>
      </c>
      <c r="F91" s="9" t="s">
        <v>30</v>
      </c>
      <c r="H91" s="23"/>
      <c r="I91" s="23"/>
      <c r="J91" s="23"/>
      <c r="K91" s="23"/>
      <c r="L91" s="46"/>
      <c r="M91" s="12"/>
      <c r="N91" s="25"/>
      <c r="O91" s="13"/>
      <c r="P91" s="15"/>
    </row>
    <row r="92" spans="1:22" s="2" customFormat="1" ht="16.5" customHeight="1" thickBot="1">
      <c r="A92" s="40" t="s">
        <v>481</v>
      </c>
      <c r="B92" s="84" t="s">
        <v>133</v>
      </c>
      <c r="C92" s="9">
        <v>180</v>
      </c>
      <c r="D92" s="9">
        <v>182</v>
      </c>
      <c r="E92" s="9" t="s">
        <v>30</v>
      </c>
      <c r="G92" s="23"/>
      <c r="H92" s="23"/>
      <c r="I92" s="23"/>
      <c r="J92" s="23"/>
      <c r="K92" s="23"/>
      <c r="L92" s="23"/>
      <c r="M92" s="23"/>
      <c r="N92" s="12"/>
      <c r="O92" s="17"/>
      <c r="P92" s="18"/>
    </row>
    <row r="93" spans="1:22" s="2" customFormat="1" ht="16.5" customHeight="1" thickBot="1">
      <c r="A93" s="40" t="s">
        <v>482</v>
      </c>
      <c r="B93" s="84" t="s">
        <v>133</v>
      </c>
      <c r="C93" s="9">
        <v>136</v>
      </c>
      <c r="D93" s="9">
        <v>139</v>
      </c>
      <c r="E93" s="9" t="s">
        <v>30</v>
      </c>
      <c r="G93" s="23"/>
      <c r="H93" s="23"/>
      <c r="I93" s="23"/>
      <c r="J93" s="23"/>
      <c r="K93" s="23"/>
      <c r="L93" s="23"/>
      <c r="M93" s="23"/>
      <c r="N93" s="12"/>
      <c r="O93" s="17"/>
      <c r="P93" s="18"/>
    </row>
    <row r="94" spans="1:22" ht="15">
      <c r="C94" s="63"/>
      <c r="D94" s="63"/>
      <c r="E94" s="63"/>
      <c r="O94" s="25"/>
      <c r="P94" s="13"/>
      <c r="Q94" s="15"/>
      <c r="R94" s="2"/>
    </row>
    <row r="95" spans="1:22" s="99" customFormat="1" ht="15" customHeight="1">
      <c r="B95" s="64" t="s">
        <v>18</v>
      </c>
      <c r="C95" s="66" t="s">
        <v>6</v>
      </c>
      <c r="D95" s="67" t="s">
        <v>3</v>
      </c>
      <c r="E95" s="68" t="s">
        <v>17</v>
      </c>
      <c r="F95" s="69" t="s">
        <v>19</v>
      </c>
      <c r="G95" s="111" t="s">
        <v>134</v>
      </c>
      <c r="H95" s="70" t="s">
        <v>133</v>
      </c>
      <c r="I95" s="64" t="s">
        <v>13</v>
      </c>
      <c r="J95" s="101"/>
      <c r="K95" s="64" t="s">
        <v>461</v>
      </c>
      <c r="U95" s="98"/>
      <c r="V95" s="103"/>
    </row>
    <row r="96" spans="1:22" s="99" customFormat="1" ht="15" customHeight="1">
      <c r="A96" s="99" t="s">
        <v>8</v>
      </c>
      <c r="B96" s="110">
        <f>SUM(M10+T26+M65+M51+S84)</f>
        <v>58442</v>
      </c>
      <c r="C96" s="108">
        <f>SUM(S77+M46+M62+T21+M5)</f>
        <v>28314</v>
      </c>
      <c r="D96" s="108">
        <f>SUM(S78+M47+M63+T22+M6)</f>
        <v>13054</v>
      </c>
      <c r="E96" s="108">
        <f>SUM(S79+M9)</f>
        <v>954</v>
      </c>
      <c r="F96" s="108">
        <f>SUM(S80+T24)</f>
        <v>891</v>
      </c>
      <c r="G96" s="108">
        <f>SUM(S81+M64+M48+M8)</f>
        <v>2831</v>
      </c>
      <c r="H96" s="108">
        <f>SUM(S82+M49+T23+M7)</f>
        <v>8219</v>
      </c>
      <c r="I96" s="108">
        <f>SUM(S83+M50+T25)</f>
        <v>3601</v>
      </c>
      <c r="J96" s="98"/>
      <c r="K96" s="105">
        <f>SUM(24141+14003+19445+21220+12764)</f>
        <v>91573</v>
      </c>
      <c r="T96" s="107"/>
      <c r="U96" s="77"/>
      <c r="V96" s="103"/>
    </row>
    <row r="97" spans="1:20" s="99" customFormat="1" ht="15" customHeight="1">
      <c r="A97" s="99" t="s">
        <v>9</v>
      </c>
      <c r="B97" s="102">
        <v>1</v>
      </c>
      <c r="C97" s="103">
        <f t="shared" ref="C97:I97" si="0">SUM(C96/$B$96)</f>
        <v>0.48448033948187946</v>
      </c>
      <c r="D97" s="103">
        <f t="shared" si="0"/>
        <v>0.22336675678450429</v>
      </c>
      <c r="E97" s="103">
        <f t="shared" si="0"/>
        <v>1.6323876664042981E-2</v>
      </c>
      <c r="F97" s="103">
        <f t="shared" si="0"/>
        <v>1.5245884808870333E-2</v>
      </c>
      <c r="G97" s="103">
        <f t="shared" si="0"/>
        <v>4.844118955545669E-2</v>
      </c>
      <c r="H97" s="103">
        <f t="shared" si="0"/>
        <v>0.14063515964546044</v>
      </c>
      <c r="I97" s="103">
        <f t="shared" si="0"/>
        <v>6.1616645563122414E-2</v>
      </c>
      <c r="J97" s="103"/>
      <c r="K97" s="64" t="s">
        <v>5</v>
      </c>
      <c r="T97" s="64"/>
    </row>
    <row r="98" spans="1:20" s="99" customFormat="1" ht="15" customHeight="1">
      <c r="A98" s="99" t="s">
        <v>10</v>
      </c>
      <c r="B98" s="110">
        <v>31</v>
      </c>
      <c r="C98" s="108">
        <v>16</v>
      </c>
      <c r="D98" s="108">
        <v>7</v>
      </c>
      <c r="E98" s="108">
        <v>0</v>
      </c>
      <c r="F98" s="108">
        <v>1</v>
      </c>
      <c r="G98" s="108">
        <v>1</v>
      </c>
      <c r="H98" s="108">
        <v>4</v>
      </c>
      <c r="I98" s="108">
        <v>2</v>
      </c>
      <c r="K98" s="106">
        <f>SUM(B96/K96)</f>
        <v>0.63820121651578521</v>
      </c>
    </row>
    <row r="99" spans="1:20" s="2" customFormat="1" ht="16.5" customHeight="1">
      <c r="A99" s="1"/>
    </row>
    <row r="100" spans="1:20" ht="14.25">
      <c r="O100" s="2"/>
      <c r="P100" s="2"/>
      <c r="Q100" s="2"/>
      <c r="R100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V91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7.7109375" customWidth="1"/>
    <col min="3" max="3" width="8.85546875" customWidth="1"/>
    <col min="4" max="18" width="8.7109375" customWidth="1"/>
  </cols>
  <sheetData>
    <row r="1" spans="1:16" s="2" customFormat="1" ht="16.5" customHeight="1">
      <c r="A1" s="31" t="s">
        <v>353</v>
      </c>
      <c r="B1" s="23"/>
      <c r="C1" s="23"/>
      <c r="D1" s="23"/>
      <c r="E1" s="23"/>
      <c r="F1" s="23"/>
      <c r="G1" s="23"/>
      <c r="H1" s="23"/>
      <c r="I1" s="23"/>
      <c r="J1" s="23"/>
    </row>
    <row r="2" spans="1:16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6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36">
        <v>9</v>
      </c>
      <c r="L3" s="5"/>
      <c r="M3" s="12" t="s">
        <v>5</v>
      </c>
      <c r="N3" s="13">
        <f>SUM(8302/13181)</f>
        <v>0.62984599044078593</v>
      </c>
    </row>
    <row r="4" spans="1:16" s="2" customFormat="1" ht="16.5" customHeight="1" thickBot="1">
      <c r="A4" s="37" t="s">
        <v>354</v>
      </c>
      <c r="B4" s="38" t="s">
        <v>6</v>
      </c>
      <c r="C4" s="8">
        <v>2533</v>
      </c>
      <c r="D4" s="9"/>
      <c r="E4" s="9"/>
      <c r="F4" s="9"/>
      <c r="G4" s="11"/>
      <c r="H4" s="8"/>
      <c r="I4" s="9"/>
      <c r="J4" s="9"/>
      <c r="K4" s="9"/>
      <c r="L4" s="11" t="s">
        <v>4</v>
      </c>
      <c r="M4" s="15"/>
      <c r="N4" s="12" t="s">
        <v>8</v>
      </c>
      <c r="O4" s="12" t="s">
        <v>9</v>
      </c>
      <c r="P4" s="12" t="s">
        <v>10</v>
      </c>
    </row>
    <row r="5" spans="1:16" s="2" customFormat="1" ht="16.5" customHeight="1" thickBot="1">
      <c r="A5" s="37" t="s">
        <v>174</v>
      </c>
      <c r="B5" s="38" t="s">
        <v>6</v>
      </c>
      <c r="C5" s="8">
        <v>1784</v>
      </c>
      <c r="D5" s="8"/>
      <c r="E5" s="8"/>
      <c r="F5" s="9"/>
      <c r="G5" s="9"/>
      <c r="H5" s="9"/>
      <c r="I5" s="9"/>
      <c r="J5" s="9"/>
      <c r="K5" s="11"/>
      <c r="L5" s="11" t="s">
        <v>7</v>
      </c>
      <c r="M5" s="16" t="s">
        <v>6</v>
      </c>
      <c r="N5" s="17">
        <f>SUM(C4+C5+C9+C10)</f>
        <v>5176</v>
      </c>
      <c r="O5" s="18">
        <f>SUM(N5/N10)</f>
        <v>0.63145053068195678</v>
      </c>
      <c r="P5" s="15">
        <v>3</v>
      </c>
    </row>
    <row r="6" spans="1:16" s="2" customFormat="1" ht="16.5" customHeight="1" thickBot="1">
      <c r="A6" s="37" t="s">
        <v>355</v>
      </c>
      <c r="B6" s="93" t="s">
        <v>133</v>
      </c>
      <c r="C6" s="9">
        <v>692</v>
      </c>
      <c r="D6" s="9">
        <v>724</v>
      </c>
      <c r="E6" s="9">
        <v>808</v>
      </c>
      <c r="F6" s="9">
        <v>901</v>
      </c>
      <c r="G6" s="9">
        <v>915</v>
      </c>
      <c r="H6" s="9">
        <v>922</v>
      </c>
      <c r="I6" s="9">
        <v>1051</v>
      </c>
      <c r="J6" s="9">
        <v>1148</v>
      </c>
      <c r="K6" s="8">
        <v>1178</v>
      </c>
      <c r="L6" s="11" t="s">
        <v>15</v>
      </c>
      <c r="M6" s="19" t="s">
        <v>3</v>
      </c>
      <c r="N6" s="17">
        <f>SUM(C7+C8+C12)</f>
        <v>1331</v>
      </c>
      <c r="O6" s="18">
        <f>SUM(N6/N10)</f>
        <v>0.16237647919970721</v>
      </c>
      <c r="P6" s="15">
        <v>1</v>
      </c>
    </row>
    <row r="7" spans="1:16" s="2" customFormat="1" ht="16.5" customHeight="1" thickBot="1">
      <c r="A7" s="37" t="s">
        <v>175</v>
      </c>
      <c r="B7" s="39" t="s">
        <v>3</v>
      </c>
      <c r="C7" s="9">
        <v>571</v>
      </c>
      <c r="D7" s="9">
        <v>667</v>
      </c>
      <c r="E7" s="9">
        <v>679</v>
      </c>
      <c r="F7" s="9">
        <v>738</v>
      </c>
      <c r="G7" s="9">
        <v>752</v>
      </c>
      <c r="H7" s="9">
        <v>823</v>
      </c>
      <c r="I7" s="9">
        <v>910</v>
      </c>
      <c r="J7" s="9">
        <v>931</v>
      </c>
      <c r="K7" s="8">
        <v>1356</v>
      </c>
      <c r="L7" s="11" t="s">
        <v>11</v>
      </c>
      <c r="M7" s="88" t="s">
        <v>133</v>
      </c>
      <c r="N7" s="23">
        <v>692</v>
      </c>
      <c r="O7" s="13">
        <f>SUM(N7/N10)</f>
        <v>8.4421129681590823E-2</v>
      </c>
      <c r="P7" s="15">
        <v>1</v>
      </c>
    </row>
    <row r="8" spans="1:16" s="2" customFormat="1" ht="16.5" customHeight="1" thickBot="1">
      <c r="A8" s="40" t="s">
        <v>138</v>
      </c>
      <c r="B8" s="42" t="s">
        <v>3</v>
      </c>
      <c r="C8" s="9">
        <v>510</v>
      </c>
      <c r="D8" s="9">
        <v>543</v>
      </c>
      <c r="E8" s="9">
        <v>545</v>
      </c>
      <c r="F8" s="9">
        <v>554</v>
      </c>
      <c r="G8" s="9">
        <v>554</v>
      </c>
      <c r="H8" s="9">
        <v>570</v>
      </c>
      <c r="I8" s="9">
        <v>612</v>
      </c>
      <c r="J8" s="9">
        <v>621</v>
      </c>
      <c r="K8" s="9" t="s">
        <v>30</v>
      </c>
      <c r="M8" s="33" t="s">
        <v>19</v>
      </c>
      <c r="N8" s="17">
        <f>SUM(C13+C14)</f>
        <v>455</v>
      </c>
      <c r="O8" s="18">
        <f>SUM(N8/N10)</f>
        <v>5.5508112724167377E-2</v>
      </c>
      <c r="P8" s="15"/>
    </row>
    <row r="9" spans="1:16" s="2" customFormat="1" ht="16.5" customHeight="1" thickBot="1">
      <c r="A9" s="37" t="s">
        <v>400</v>
      </c>
      <c r="B9" s="38" t="s">
        <v>6</v>
      </c>
      <c r="C9" s="9">
        <v>504</v>
      </c>
      <c r="D9" s="9">
        <v>951</v>
      </c>
      <c r="E9" s="9">
        <v>1113</v>
      </c>
      <c r="F9" s="9">
        <v>1113</v>
      </c>
      <c r="G9" s="9">
        <v>1118</v>
      </c>
      <c r="H9" s="9">
        <v>1128</v>
      </c>
      <c r="I9" s="9">
        <v>1144</v>
      </c>
      <c r="J9" s="9">
        <v>1248</v>
      </c>
      <c r="K9" s="8">
        <v>1327</v>
      </c>
      <c r="L9" s="11" t="s">
        <v>12</v>
      </c>
      <c r="M9" s="12" t="s">
        <v>13</v>
      </c>
      <c r="N9" s="23">
        <f>SUM(C11+C15)</f>
        <v>543</v>
      </c>
      <c r="O9" s="13">
        <f>SUM(N9/N10)</f>
        <v>6.6243747712577766E-2</v>
      </c>
      <c r="P9" s="15"/>
    </row>
    <row r="10" spans="1:16" s="2" customFormat="1" ht="16.5" customHeight="1" thickBot="1">
      <c r="A10" s="40" t="s">
        <v>140</v>
      </c>
      <c r="B10" s="41" t="s">
        <v>6</v>
      </c>
      <c r="C10" s="9">
        <v>355</v>
      </c>
      <c r="D10" s="9">
        <v>653</v>
      </c>
      <c r="E10" s="9">
        <v>725</v>
      </c>
      <c r="F10" s="9">
        <v>734</v>
      </c>
      <c r="G10" s="9">
        <v>772</v>
      </c>
      <c r="H10" s="9">
        <v>780</v>
      </c>
      <c r="I10" s="9">
        <v>799</v>
      </c>
      <c r="J10" s="9">
        <v>837</v>
      </c>
      <c r="K10" s="9">
        <v>846</v>
      </c>
      <c r="L10" s="11"/>
      <c r="N10" s="25">
        <v>8197</v>
      </c>
    </row>
    <row r="11" spans="1:16" s="2" customFormat="1" ht="16.5" customHeight="1" thickBot="1">
      <c r="A11" s="40" t="s">
        <v>356</v>
      </c>
      <c r="B11" s="44" t="s">
        <v>28</v>
      </c>
      <c r="C11" s="9">
        <v>339</v>
      </c>
      <c r="D11" s="9">
        <v>347</v>
      </c>
      <c r="E11" s="9">
        <v>372</v>
      </c>
      <c r="F11" s="9">
        <v>393</v>
      </c>
      <c r="G11" s="9">
        <v>416</v>
      </c>
      <c r="H11" s="9">
        <v>505</v>
      </c>
      <c r="I11" s="9" t="s">
        <v>30</v>
      </c>
      <c r="J11" s="79"/>
      <c r="K11" s="79"/>
    </row>
    <row r="12" spans="1:16" s="2" customFormat="1" ht="16.5" customHeight="1" thickBot="1">
      <c r="A12" s="40" t="s">
        <v>357</v>
      </c>
      <c r="B12" s="42" t="s">
        <v>3</v>
      </c>
      <c r="C12" s="9">
        <v>250</v>
      </c>
      <c r="D12" s="9">
        <v>258</v>
      </c>
      <c r="E12" s="9">
        <v>273</v>
      </c>
      <c r="F12" s="9" t="s">
        <v>30</v>
      </c>
    </row>
    <row r="13" spans="1:16" s="2" customFormat="1" ht="16.5" customHeight="1" thickBot="1">
      <c r="A13" s="40" t="s">
        <v>140</v>
      </c>
      <c r="B13" s="43" t="s">
        <v>19</v>
      </c>
      <c r="C13" s="9">
        <v>228</v>
      </c>
      <c r="D13" s="9">
        <v>353</v>
      </c>
      <c r="E13" s="9">
        <v>387</v>
      </c>
      <c r="F13" s="9">
        <v>401</v>
      </c>
      <c r="G13" s="9">
        <v>511</v>
      </c>
      <c r="H13" s="9">
        <v>524</v>
      </c>
      <c r="I13" s="9">
        <v>554</v>
      </c>
      <c r="J13" s="8" t="s">
        <v>30</v>
      </c>
    </row>
    <row r="14" spans="1:16" s="2" customFormat="1" ht="16.5" customHeight="1" thickBot="1">
      <c r="A14" s="40" t="s">
        <v>141</v>
      </c>
      <c r="B14" s="43" t="s">
        <v>19</v>
      </c>
      <c r="C14" s="9">
        <v>227</v>
      </c>
      <c r="D14" s="9">
        <v>271</v>
      </c>
      <c r="E14" s="9">
        <v>276</v>
      </c>
      <c r="F14" s="9">
        <v>284</v>
      </c>
      <c r="G14" s="9" t="s">
        <v>30</v>
      </c>
      <c r="I14" s="28"/>
      <c r="J14" s="79"/>
      <c r="L14" s="25"/>
    </row>
    <row r="15" spans="1:16" s="2" customFormat="1" ht="16.5" customHeight="1" thickBot="1">
      <c r="A15" s="40" t="s">
        <v>358</v>
      </c>
      <c r="B15" s="44" t="s">
        <v>28</v>
      </c>
      <c r="C15" s="9">
        <v>204</v>
      </c>
      <c r="D15" s="9">
        <v>279</v>
      </c>
      <c r="E15" s="9">
        <v>285</v>
      </c>
      <c r="F15" s="9">
        <v>292</v>
      </c>
      <c r="G15" s="9">
        <v>308</v>
      </c>
      <c r="H15" s="9" t="s">
        <v>30</v>
      </c>
    </row>
    <row r="16" spans="1:16" s="2" customFormat="1" ht="10.5" customHeight="1">
      <c r="A16" s="31"/>
      <c r="B16" s="23"/>
      <c r="C16" s="23"/>
      <c r="D16" s="23"/>
      <c r="E16" s="23"/>
      <c r="F16" s="23"/>
      <c r="G16" s="23"/>
      <c r="H16" s="23"/>
      <c r="I16" s="23"/>
      <c r="J16" s="23"/>
    </row>
    <row r="17" spans="1:21" s="2" customFormat="1" ht="17.45" customHeight="1">
      <c r="A17" s="31" t="s">
        <v>359</v>
      </c>
      <c r="B17" s="23"/>
      <c r="C17" s="23"/>
      <c r="D17" s="23"/>
      <c r="E17" s="23"/>
      <c r="F17" s="23"/>
      <c r="G17" s="23"/>
      <c r="H17" s="23"/>
      <c r="I17" s="23"/>
      <c r="J17" s="23"/>
    </row>
    <row r="18" spans="1:21" s="2" customFormat="1" ht="10.5" customHeight="1" thickBot="1">
      <c r="A18" s="31"/>
      <c r="B18" s="23"/>
      <c r="C18" s="23"/>
      <c r="D18" s="23"/>
      <c r="E18" s="23"/>
      <c r="F18" s="23"/>
      <c r="G18" s="23"/>
      <c r="H18" s="23"/>
      <c r="I18" s="23"/>
      <c r="J18" s="23"/>
    </row>
    <row r="19" spans="1:21" s="2" customFormat="1" ht="16.5" customHeight="1" thickBot="1">
      <c r="A19" s="35" t="s">
        <v>0</v>
      </c>
      <c r="B19" s="36" t="s">
        <v>1</v>
      </c>
      <c r="C19" s="36" t="s">
        <v>2</v>
      </c>
      <c r="D19" s="36">
        <v>2</v>
      </c>
      <c r="E19" s="36">
        <v>3</v>
      </c>
      <c r="F19" s="36">
        <v>4</v>
      </c>
      <c r="G19" s="36">
        <v>5</v>
      </c>
      <c r="H19" s="36">
        <v>6</v>
      </c>
      <c r="I19" s="36">
        <v>7</v>
      </c>
      <c r="J19" s="36">
        <v>8</v>
      </c>
      <c r="K19" s="36">
        <v>9</v>
      </c>
      <c r="L19" s="36">
        <v>10</v>
      </c>
      <c r="M19" s="36">
        <v>11</v>
      </c>
      <c r="N19" s="36">
        <v>12</v>
      </c>
      <c r="O19" s="36">
        <v>13</v>
      </c>
      <c r="P19" s="36">
        <v>14</v>
      </c>
      <c r="Q19" s="45"/>
      <c r="R19" s="12" t="s">
        <v>5</v>
      </c>
      <c r="S19" s="13">
        <f>SUM(12972/19647)</f>
        <v>0.66025347381279587</v>
      </c>
    </row>
    <row r="20" spans="1:21" s="2" customFormat="1" ht="16.5" customHeight="1" thickBot="1">
      <c r="A20" s="37" t="s">
        <v>360</v>
      </c>
      <c r="B20" s="93" t="s">
        <v>133</v>
      </c>
      <c r="C20" s="9">
        <v>1195</v>
      </c>
      <c r="D20" s="9">
        <v>1199</v>
      </c>
      <c r="E20" s="9">
        <v>1209</v>
      </c>
      <c r="F20" s="9">
        <v>1209</v>
      </c>
      <c r="G20" s="9">
        <v>1263</v>
      </c>
      <c r="H20" s="9">
        <v>1303</v>
      </c>
      <c r="I20" s="9">
        <v>1309</v>
      </c>
      <c r="J20" s="9">
        <v>1350</v>
      </c>
      <c r="K20" s="9">
        <v>1350</v>
      </c>
      <c r="L20" s="9">
        <v>1352</v>
      </c>
      <c r="M20" s="9">
        <v>1355</v>
      </c>
      <c r="N20" s="8">
        <v>1550</v>
      </c>
      <c r="O20" s="8"/>
      <c r="P20" s="8"/>
      <c r="Q20" s="8" t="s">
        <v>7</v>
      </c>
      <c r="R20" s="15"/>
      <c r="S20" s="12" t="s">
        <v>8</v>
      </c>
      <c r="T20" s="12" t="s">
        <v>9</v>
      </c>
      <c r="U20" s="12" t="s">
        <v>10</v>
      </c>
    </row>
    <row r="21" spans="1:21" s="2" customFormat="1" ht="16.5" customHeight="1" thickBot="1">
      <c r="A21" s="37" t="s">
        <v>336</v>
      </c>
      <c r="B21" s="52" t="s">
        <v>28</v>
      </c>
      <c r="C21" s="9">
        <v>1097</v>
      </c>
      <c r="D21" s="9">
        <v>1098</v>
      </c>
      <c r="E21" s="9">
        <v>1098</v>
      </c>
      <c r="F21" s="9">
        <v>1101</v>
      </c>
      <c r="G21" s="9">
        <v>1136</v>
      </c>
      <c r="H21" s="9">
        <v>1137</v>
      </c>
      <c r="I21" s="9">
        <v>1164</v>
      </c>
      <c r="J21" s="9">
        <v>1192</v>
      </c>
      <c r="K21" s="9">
        <v>1193</v>
      </c>
      <c r="L21" s="9">
        <v>1218</v>
      </c>
      <c r="M21" s="9">
        <v>1227</v>
      </c>
      <c r="N21" s="9">
        <v>1294</v>
      </c>
      <c r="O21" s="9">
        <v>1323</v>
      </c>
      <c r="P21" s="8">
        <v>1327</v>
      </c>
      <c r="Q21" s="8" t="s">
        <v>16</v>
      </c>
      <c r="R21" s="16" t="s">
        <v>6</v>
      </c>
      <c r="S21" s="17">
        <f>SUM(C23+C24+C25+C27+C29+C32)</f>
        <v>4896</v>
      </c>
      <c r="T21" s="18">
        <f>SUM(S21/S26)</f>
        <v>0.38154613466334164</v>
      </c>
      <c r="U21" s="15">
        <v>4</v>
      </c>
    </row>
    <row r="22" spans="1:21" s="2" customFormat="1" ht="16.5" customHeight="1" thickBot="1">
      <c r="A22" s="37" t="s">
        <v>361</v>
      </c>
      <c r="B22" s="93" t="s">
        <v>133</v>
      </c>
      <c r="C22" s="9">
        <v>1086</v>
      </c>
      <c r="D22" s="9">
        <v>1086</v>
      </c>
      <c r="E22" s="9">
        <v>1135</v>
      </c>
      <c r="F22" s="9">
        <v>1135</v>
      </c>
      <c r="G22" s="9">
        <v>1142</v>
      </c>
      <c r="H22" s="9">
        <v>1164</v>
      </c>
      <c r="I22" s="9">
        <v>1167</v>
      </c>
      <c r="J22" s="9">
        <v>1179</v>
      </c>
      <c r="K22" s="9">
        <v>1198</v>
      </c>
      <c r="L22" s="9">
        <v>1201</v>
      </c>
      <c r="M22" s="9">
        <v>1201</v>
      </c>
      <c r="N22" s="9">
        <v>1212</v>
      </c>
      <c r="O22" s="9">
        <v>1230</v>
      </c>
      <c r="P22" s="8">
        <v>1352</v>
      </c>
      <c r="Q22" s="8" t="s">
        <v>14</v>
      </c>
      <c r="R22" s="19" t="s">
        <v>3</v>
      </c>
      <c r="S22" s="17">
        <f>SUM(C26+C31+C30)</f>
        <v>2043</v>
      </c>
      <c r="T22" s="18">
        <f>SUM(S22/S26)</f>
        <v>0.15921134663341646</v>
      </c>
      <c r="U22" s="15">
        <v>1</v>
      </c>
    </row>
    <row r="23" spans="1:21" s="2" customFormat="1" ht="16.5" customHeight="1" thickBot="1">
      <c r="A23" s="37" t="s">
        <v>183</v>
      </c>
      <c r="B23" s="38" t="s">
        <v>6</v>
      </c>
      <c r="C23" s="9">
        <v>1076</v>
      </c>
      <c r="D23" s="9">
        <v>1076</v>
      </c>
      <c r="E23" s="9">
        <v>1081</v>
      </c>
      <c r="F23" s="9">
        <v>1094</v>
      </c>
      <c r="G23" s="9">
        <v>1114</v>
      </c>
      <c r="H23" s="9">
        <v>1129</v>
      </c>
      <c r="I23" s="9">
        <v>1149</v>
      </c>
      <c r="J23" s="9">
        <v>1182</v>
      </c>
      <c r="K23" s="9">
        <v>1308</v>
      </c>
      <c r="L23" s="8">
        <v>1646</v>
      </c>
      <c r="M23" s="9"/>
      <c r="N23" s="9"/>
      <c r="O23" s="9"/>
      <c r="P23" s="9"/>
      <c r="Q23" s="8" t="s">
        <v>4</v>
      </c>
      <c r="R23" s="88" t="s">
        <v>133</v>
      </c>
      <c r="S23" s="17">
        <f>SUM(C20+C22+C34+C36+C38)</f>
        <v>3107</v>
      </c>
      <c r="T23" s="18">
        <f>SUM(S23/S26)</f>
        <v>0.24212905236907731</v>
      </c>
      <c r="U23" s="2">
        <v>2</v>
      </c>
    </row>
    <row r="24" spans="1:21" s="2" customFormat="1" ht="16.5" customHeight="1" thickBot="1">
      <c r="A24" s="37" t="s">
        <v>362</v>
      </c>
      <c r="B24" s="38" t="s">
        <v>6</v>
      </c>
      <c r="C24" s="9">
        <v>1065</v>
      </c>
      <c r="D24" s="9">
        <v>1065</v>
      </c>
      <c r="E24" s="9">
        <v>1066</v>
      </c>
      <c r="F24" s="9">
        <v>1077</v>
      </c>
      <c r="G24" s="9">
        <v>1082</v>
      </c>
      <c r="H24" s="9">
        <v>1106</v>
      </c>
      <c r="I24" s="9">
        <v>1113</v>
      </c>
      <c r="J24" s="9">
        <v>1118</v>
      </c>
      <c r="K24" s="9">
        <v>1215</v>
      </c>
      <c r="L24" s="9">
        <v>1287</v>
      </c>
      <c r="M24" s="9">
        <v>1367</v>
      </c>
      <c r="N24" s="9">
        <v>1381</v>
      </c>
      <c r="O24" s="9">
        <v>1390</v>
      </c>
      <c r="P24" s="8">
        <v>1445</v>
      </c>
      <c r="Q24" s="8" t="s">
        <v>11</v>
      </c>
      <c r="R24" s="33" t="s">
        <v>19</v>
      </c>
      <c r="S24" s="17">
        <f>SUM(C28+C35)</f>
        <v>1103</v>
      </c>
      <c r="T24" s="18">
        <f>SUM(S24/S26)</f>
        <v>8.5956982543640897E-2</v>
      </c>
    </row>
    <row r="25" spans="1:21" s="2" customFormat="1" ht="16.5" customHeight="1" thickBot="1">
      <c r="A25" s="37" t="s">
        <v>330</v>
      </c>
      <c r="B25" s="38" t="s">
        <v>6</v>
      </c>
      <c r="C25" s="9">
        <v>910</v>
      </c>
      <c r="D25" s="9">
        <v>911</v>
      </c>
      <c r="E25" s="9">
        <v>937</v>
      </c>
      <c r="F25" s="9">
        <v>943</v>
      </c>
      <c r="G25" s="9">
        <v>947</v>
      </c>
      <c r="H25" s="9">
        <v>949</v>
      </c>
      <c r="I25" s="9">
        <v>957</v>
      </c>
      <c r="J25" s="9">
        <v>1011</v>
      </c>
      <c r="K25" s="9">
        <v>1034</v>
      </c>
      <c r="L25" s="9">
        <v>1062</v>
      </c>
      <c r="M25" s="9">
        <v>1111</v>
      </c>
      <c r="N25" s="9">
        <v>1172</v>
      </c>
      <c r="O25" s="9">
        <v>1180</v>
      </c>
      <c r="P25" s="8">
        <v>1198</v>
      </c>
      <c r="Q25" s="8" t="s">
        <v>209</v>
      </c>
      <c r="R25" s="22" t="s">
        <v>13</v>
      </c>
      <c r="S25" s="17">
        <f>SUM(C21+C33+C37+C39)</f>
        <v>1683</v>
      </c>
      <c r="T25" s="18">
        <f>SUM(S25/S26)</f>
        <v>0.13115648379052369</v>
      </c>
      <c r="U25" s="2">
        <v>1</v>
      </c>
    </row>
    <row r="26" spans="1:21" s="2" customFormat="1" ht="16.5" customHeight="1" thickBot="1">
      <c r="A26" s="37" t="s">
        <v>363</v>
      </c>
      <c r="B26" s="39" t="s">
        <v>3</v>
      </c>
      <c r="C26" s="9">
        <v>825</v>
      </c>
      <c r="D26" s="9">
        <v>826</v>
      </c>
      <c r="E26" s="9">
        <v>826</v>
      </c>
      <c r="F26" s="9">
        <v>842</v>
      </c>
      <c r="G26" s="9">
        <v>887</v>
      </c>
      <c r="H26" s="9">
        <v>890</v>
      </c>
      <c r="I26" s="9">
        <v>949</v>
      </c>
      <c r="J26" s="9">
        <v>954</v>
      </c>
      <c r="K26" s="9">
        <v>957</v>
      </c>
      <c r="L26" s="9">
        <v>1113</v>
      </c>
      <c r="M26" s="9">
        <v>1146</v>
      </c>
      <c r="N26" s="9">
        <v>1221</v>
      </c>
      <c r="O26" s="9">
        <v>1232</v>
      </c>
      <c r="P26" s="8">
        <v>1374</v>
      </c>
      <c r="Q26" s="8" t="s">
        <v>12</v>
      </c>
      <c r="R26" s="12"/>
      <c r="S26" s="25">
        <v>12832</v>
      </c>
      <c r="T26" s="13"/>
      <c r="U26" s="15"/>
    </row>
    <row r="27" spans="1:21" s="2" customFormat="1" ht="16.5" customHeight="1" thickBot="1">
      <c r="A27" s="37" t="s">
        <v>510</v>
      </c>
      <c r="B27" s="38" t="s">
        <v>6</v>
      </c>
      <c r="C27" s="9">
        <v>752</v>
      </c>
      <c r="D27" s="9">
        <v>753</v>
      </c>
      <c r="E27" s="9">
        <v>757</v>
      </c>
      <c r="F27" s="9">
        <v>763</v>
      </c>
      <c r="G27" s="9">
        <v>770</v>
      </c>
      <c r="H27" s="9">
        <v>834</v>
      </c>
      <c r="I27" s="9">
        <v>944</v>
      </c>
      <c r="J27" s="9">
        <v>951</v>
      </c>
      <c r="K27" s="9">
        <v>1005</v>
      </c>
      <c r="L27" s="9">
        <v>1024</v>
      </c>
      <c r="M27" s="9">
        <v>1034</v>
      </c>
      <c r="N27" s="9">
        <v>1051</v>
      </c>
      <c r="O27" s="9">
        <v>1055</v>
      </c>
      <c r="P27" s="8">
        <v>1362</v>
      </c>
      <c r="Q27" s="8" t="s">
        <v>15</v>
      </c>
    </row>
    <row r="28" spans="1:21" s="2" customFormat="1" ht="16.5" customHeight="1" thickBot="1">
      <c r="A28" s="40" t="s">
        <v>364</v>
      </c>
      <c r="B28" s="43" t="s">
        <v>19</v>
      </c>
      <c r="C28" s="9">
        <v>746</v>
      </c>
      <c r="D28" s="9">
        <v>750</v>
      </c>
      <c r="E28" s="9">
        <v>753</v>
      </c>
      <c r="F28" s="9">
        <v>755</v>
      </c>
      <c r="G28" s="9">
        <v>765</v>
      </c>
      <c r="H28" s="9">
        <v>771</v>
      </c>
      <c r="I28" s="9">
        <v>841</v>
      </c>
      <c r="J28" s="9">
        <v>858</v>
      </c>
      <c r="K28" s="9">
        <v>869</v>
      </c>
      <c r="L28" s="9">
        <v>881</v>
      </c>
      <c r="M28" s="9">
        <v>899</v>
      </c>
      <c r="N28" s="9">
        <v>966</v>
      </c>
      <c r="O28" s="9">
        <v>978</v>
      </c>
      <c r="P28" s="9">
        <v>1003</v>
      </c>
      <c r="Q28" s="9"/>
    </row>
    <row r="29" spans="1:21" s="2" customFormat="1" ht="16.5" customHeight="1" thickBot="1">
      <c r="A29" s="40" t="s">
        <v>365</v>
      </c>
      <c r="B29" s="41" t="s">
        <v>6</v>
      </c>
      <c r="C29" s="9">
        <v>658</v>
      </c>
      <c r="D29" s="9">
        <v>658</v>
      </c>
      <c r="E29" s="9">
        <v>658</v>
      </c>
      <c r="F29" s="9">
        <v>682</v>
      </c>
      <c r="G29" s="9">
        <v>720</v>
      </c>
      <c r="H29" s="9">
        <v>721</v>
      </c>
      <c r="I29" s="9">
        <v>760</v>
      </c>
      <c r="J29" s="9">
        <v>767</v>
      </c>
      <c r="K29" s="9">
        <v>781</v>
      </c>
      <c r="L29" s="9" t="s">
        <v>30</v>
      </c>
    </row>
    <row r="30" spans="1:21" s="2" customFormat="1" ht="16.5" customHeight="1" thickBot="1">
      <c r="A30" s="40" t="s">
        <v>366</v>
      </c>
      <c r="B30" s="42" t="s">
        <v>3</v>
      </c>
      <c r="C30" s="9">
        <v>617</v>
      </c>
      <c r="D30" s="9">
        <v>619</v>
      </c>
      <c r="E30" s="9">
        <v>621</v>
      </c>
      <c r="F30" s="9">
        <v>622</v>
      </c>
      <c r="G30" s="9">
        <v>630</v>
      </c>
      <c r="H30" s="9">
        <v>633</v>
      </c>
      <c r="I30" s="9">
        <v>638</v>
      </c>
      <c r="J30" s="9">
        <v>806</v>
      </c>
      <c r="K30" s="9">
        <v>810</v>
      </c>
      <c r="L30" s="9">
        <v>820</v>
      </c>
      <c r="M30" s="9">
        <v>821</v>
      </c>
      <c r="N30" s="9" t="s">
        <v>30</v>
      </c>
      <c r="Q30" s="23"/>
    </row>
    <row r="31" spans="1:21" s="2" customFormat="1" ht="16.5" customHeight="1" thickBot="1">
      <c r="A31" s="40" t="s">
        <v>367</v>
      </c>
      <c r="B31" s="42" t="s">
        <v>3</v>
      </c>
      <c r="C31" s="9">
        <v>601</v>
      </c>
      <c r="D31" s="9">
        <v>601</v>
      </c>
      <c r="E31" s="9">
        <v>601</v>
      </c>
      <c r="F31" s="9">
        <v>601</v>
      </c>
      <c r="G31" s="9">
        <v>610</v>
      </c>
      <c r="H31" s="9">
        <v>754</v>
      </c>
      <c r="I31" s="9">
        <v>759</v>
      </c>
      <c r="J31" s="9">
        <v>761</v>
      </c>
      <c r="K31" s="9">
        <v>871</v>
      </c>
      <c r="L31" s="9">
        <v>875</v>
      </c>
      <c r="M31" s="9">
        <v>875</v>
      </c>
      <c r="N31" s="9">
        <v>909</v>
      </c>
      <c r="O31" s="9">
        <v>913</v>
      </c>
      <c r="P31" s="9" t="s">
        <v>30</v>
      </c>
      <c r="Q31" s="13"/>
    </row>
    <row r="32" spans="1:21" s="2" customFormat="1" ht="16.5" customHeight="1" thickBot="1">
      <c r="A32" s="40" t="s">
        <v>152</v>
      </c>
      <c r="B32" s="41" t="s">
        <v>6</v>
      </c>
      <c r="C32" s="9">
        <v>435</v>
      </c>
      <c r="D32" s="9">
        <v>435</v>
      </c>
      <c r="E32" s="9">
        <v>435</v>
      </c>
      <c r="F32" s="9">
        <v>436</v>
      </c>
      <c r="G32" s="9">
        <v>436</v>
      </c>
      <c r="H32" s="9">
        <v>486</v>
      </c>
      <c r="I32" s="9">
        <v>487</v>
      </c>
      <c r="J32" s="9">
        <v>490</v>
      </c>
      <c r="K32" s="9" t="s">
        <v>30</v>
      </c>
    </row>
    <row r="33" spans="1:16" s="2" customFormat="1" ht="16.5" customHeight="1" thickBot="1">
      <c r="A33" s="40" t="s">
        <v>368</v>
      </c>
      <c r="B33" s="44" t="s">
        <v>28</v>
      </c>
      <c r="C33" s="9">
        <v>414</v>
      </c>
      <c r="D33" s="9">
        <v>416</v>
      </c>
      <c r="E33" s="9">
        <v>427</v>
      </c>
      <c r="F33" s="9">
        <v>430</v>
      </c>
      <c r="G33" s="9">
        <v>432</v>
      </c>
      <c r="H33" s="9">
        <v>433</v>
      </c>
      <c r="I33" s="9">
        <v>434</v>
      </c>
      <c r="J33" s="9" t="s">
        <v>30</v>
      </c>
      <c r="L33" s="23"/>
      <c r="M33" s="23"/>
      <c r="N33" s="46"/>
      <c r="O33" s="17"/>
      <c r="P33" s="18"/>
    </row>
    <row r="34" spans="1:16" s="2" customFormat="1" ht="16.5" customHeight="1" thickBot="1">
      <c r="A34" s="40" t="s">
        <v>369</v>
      </c>
      <c r="B34" s="84" t="s">
        <v>133</v>
      </c>
      <c r="C34" s="9">
        <v>400</v>
      </c>
      <c r="D34" s="9">
        <v>400</v>
      </c>
      <c r="E34" s="9">
        <v>401</v>
      </c>
      <c r="F34" s="9">
        <v>401</v>
      </c>
      <c r="G34" s="9">
        <v>413</v>
      </c>
      <c r="H34" s="9" t="s">
        <v>30</v>
      </c>
    </row>
    <row r="35" spans="1:16" s="2" customFormat="1" ht="16.5" customHeight="1" thickBot="1">
      <c r="A35" s="40" t="s">
        <v>509</v>
      </c>
      <c r="B35" s="43" t="s">
        <v>19</v>
      </c>
      <c r="C35" s="9">
        <v>357</v>
      </c>
      <c r="D35" s="9">
        <v>359</v>
      </c>
      <c r="E35" s="9">
        <v>359</v>
      </c>
      <c r="F35" s="9">
        <v>391</v>
      </c>
      <c r="G35" s="9">
        <v>425</v>
      </c>
      <c r="H35" s="9">
        <v>428</v>
      </c>
      <c r="I35" s="9" t="s">
        <v>30</v>
      </c>
      <c r="M35" s="23"/>
    </row>
    <row r="36" spans="1:16" s="2" customFormat="1" ht="16.5" customHeight="1" thickBot="1">
      <c r="A36" s="40" t="s">
        <v>370</v>
      </c>
      <c r="B36" s="84" t="s">
        <v>133</v>
      </c>
      <c r="C36" s="9">
        <v>306</v>
      </c>
      <c r="D36" s="9">
        <v>311</v>
      </c>
      <c r="E36" s="9">
        <v>312</v>
      </c>
      <c r="F36" s="9">
        <v>321</v>
      </c>
      <c r="G36" s="9" t="s">
        <v>30</v>
      </c>
      <c r="I36" s="23"/>
      <c r="L36" s="23"/>
      <c r="M36" s="23"/>
      <c r="N36" s="12"/>
      <c r="O36" s="13"/>
    </row>
    <row r="37" spans="1:16" s="2" customFormat="1" ht="16.5" customHeight="1" thickBot="1">
      <c r="A37" s="40" t="s">
        <v>371</v>
      </c>
      <c r="B37" s="44" t="s">
        <v>28</v>
      </c>
      <c r="C37" s="9">
        <v>146</v>
      </c>
      <c r="D37" s="9">
        <v>146</v>
      </c>
      <c r="E37" s="9">
        <v>147</v>
      </c>
      <c r="F37" s="9" t="s">
        <v>30</v>
      </c>
      <c r="H37" s="23"/>
      <c r="I37" s="23"/>
      <c r="J37" s="23"/>
    </row>
    <row r="38" spans="1:16" s="2" customFormat="1" ht="16.5" customHeight="1" thickBot="1">
      <c r="A38" s="40" t="s">
        <v>372</v>
      </c>
      <c r="B38" s="84" t="s">
        <v>133</v>
      </c>
      <c r="C38" s="9">
        <v>120</v>
      </c>
      <c r="D38" s="9">
        <v>120</v>
      </c>
      <c r="E38" s="9" t="s">
        <v>30</v>
      </c>
      <c r="G38" s="23"/>
      <c r="H38" s="23"/>
      <c r="I38" s="23"/>
      <c r="J38" s="23"/>
      <c r="K38" s="23"/>
      <c r="L38" s="23"/>
      <c r="M38" s="23"/>
      <c r="N38" s="46"/>
      <c r="O38" s="17"/>
      <c r="P38" s="18"/>
    </row>
    <row r="39" spans="1:16" s="2" customFormat="1" ht="16.5" customHeight="1" thickBot="1">
      <c r="A39" s="40" t="s">
        <v>373</v>
      </c>
      <c r="B39" s="44" t="s">
        <v>28</v>
      </c>
      <c r="C39" s="9">
        <v>26</v>
      </c>
      <c r="D39" s="9" t="s">
        <v>30</v>
      </c>
      <c r="G39" s="23"/>
      <c r="H39" s="23"/>
      <c r="I39" s="23"/>
      <c r="J39" s="23"/>
      <c r="K39" s="23"/>
      <c r="L39" s="23"/>
      <c r="M39" s="23"/>
      <c r="N39" s="46"/>
      <c r="O39" s="17"/>
      <c r="P39" s="18"/>
    </row>
    <row r="40" spans="1:16" s="2" customFormat="1" ht="11.25" customHeight="1">
      <c r="A40" s="28"/>
      <c r="B40" s="47"/>
      <c r="C40" s="28"/>
      <c r="D40" s="28"/>
      <c r="E40" s="28"/>
      <c r="F40" s="23"/>
      <c r="G40" s="23"/>
      <c r="H40" s="23"/>
      <c r="I40" s="23"/>
      <c r="J40" s="23"/>
      <c r="N40" s="18"/>
    </row>
    <row r="41" spans="1:16" s="2" customFormat="1" ht="17.45" customHeight="1">
      <c r="A41" s="1" t="s">
        <v>374</v>
      </c>
    </row>
    <row r="42" spans="1:16" s="2" customFormat="1" ht="10.5" customHeight="1" thickBot="1">
      <c r="A42" s="1"/>
    </row>
    <row r="43" spans="1:16" s="2" customFormat="1" ht="16.5" customHeight="1" thickBot="1">
      <c r="A43" s="3" t="s">
        <v>0</v>
      </c>
      <c r="B43" s="4" t="s">
        <v>1</v>
      </c>
      <c r="C43" s="4" t="s">
        <v>2</v>
      </c>
      <c r="D43" s="4">
        <v>2</v>
      </c>
      <c r="E43" s="4">
        <v>3</v>
      </c>
      <c r="F43" s="4">
        <v>4</v>
      </c>
      <c r="G43" s="4">
        <v>5</v>
      </c>
      <c r="H43" s="4">
        <v>6</v>
      </c>
      <c r="I43" s="4">
        <v>7</v>
      </c>
      <c r="J43" s="4">
        <v>8</v>
      </c>
      <c r="K43" s="5"/>
      <c r="L43" s="12" t="s">
        <v>5</v>
      </c>
      <c r="M43" s="13">
        <f>SUM(10575/18211)</f>
        <v>0.58069298775465383</v>
      </c>
    </row>
    <row r="44" spans="1:16" s="2" customFormat="1" ht="16.5" customHeight="1" thickBot="1">
      <c r="A44" s="6" t="s">
        <v>331</v>
      </c>
      <c r="B44" s="14" t="s">
        <v>6</v>
      </c>
      <c r="C44" s="8">
        <v>2420</v>
      </c>
      <c r="D44" s="9"/>
      <c r="E44" s="8"/>
      <c r="F44" s="9"/>
      <c r="G44" s="9"/>
      <c r="H44" s="9"/>
      <c r="I44" s="9"/>
      <c r="J44" s="9"/>
      <c r="K44" s="11" t="s">
        <v>4</v>
      </c>
      <c r="L44" s="15"/>
      <c r="M44" s="12" t="s">
        <v>8</v>
      </c>
      <c r="N44" s="12" t="s">
        <v>9</v>
      </c>
      <c r="O44" s="12" t="s">
        <v>10</v>
      </c>
    </row>
    <row r="45" spans="1:16" s="2" customFormat="1" ht="16.5" customHeight="1" thickBot="1">
      <c r="A45" s="6" t="s">
        <v>393</v>
      </c>
      <c r="B45" s="14" t="s">
        <v>6</v>
      </c>
      <c r="C45" s="8">
        <v>1951</v>
      </c>
      <c r="D45" s="9"/>
      <c r="E45" s="9"/>
      <c r="F45" s="9"/>
      <c r="G45" s="9"/>
      <c r="H45" s="8"/>
      <c r="I45" s="8"/>
      <c r="J45" s="8"/>
      <c r="K45" s="11" t="s">
        <v>7</v>
      </c>
      <c r="L45" s="16" t="s">
        <v>6</v>
      </c>
      <c r="M45" s="17">
        <f>SUM(C45+C44+C47+C50+C51)</f>
        <v>6780</v>
      </c>
      <c r="N45" s="18">
        <f>SUM(M45/M49)</f>
        <v>0.64836951324471648</v>
      </c>
      <c r="O45" s="15">
        <v>4</v>
      </c>
    </row>
    <row r="46" spans="1:16" s="2" customFormat="1" ht="16.5" customHeight="1" thickBot="1">
      <c r="A46" s="6" t="s">
        <v>332</v>
      </c>
      <c r="B46" s="7" t="s">
        <v>3</v>
      </c>
      <c r="C46" s="9">
        <v>1174</v>
      </c>
      <c r="D46" s="9">
        <v>1239</v>
      </c>
      <c r="E46" s="9">
        <v>1442</v>
      </c>
      <c r="F46" s="9">
        <v>1466</v>
      </c>
      <c r="G46" s="8">
        <v>1606</v>
      </c>
      <c r="H46" s="9"/>
      <c r="I46" s="9"/>
      <c r="J46" s="9"/>
      <c r="K46" s="8" t="s">
        <v>12</v>
      </c>
      <c r="L46" s="19" t="s">
        <v>3</v>
      </c>
      <c r="M46" s="17">
        <f>SUM(C46+C48+C49)</f>
        <v>2798</v>
      </c>
      <c r="N46" s="18">
        <f>SUM(M46/M49)</f>
        <v>0.26757196136559241</v>
      </c>
      <c r="O46" s="15">
        <v>2</v>
      </c>
    </row>
    <row r="47" spans="1:16" s="2" customFormat="1" ht="16.5" customHeight="1" thickBot="1">
      <c r="A47" s="6" t="s">
        <v>394</v>
      </c>
      <c r="B47" s="14" t="s">
        <v>6</v>
      </c>
      <c r="C47" s="9">
        <v>1173</v>
      </c>
      <c r="D47" s="8">
        <v>1518</v>
      </c>
      <c r="E47" s="9"/>
      <c r="F47" s="9"/>
      <c r="G47" s="9"/>
      <c r="H47" s="9"/>
      <c r="I47" s="9"/>
      <c r="J47" s="8"/>
      <c r="K47" s="11" t="s">
        <v>11</v>
      </c>
      <c r="L47" s="33" t="s">
        <v>19</v>
      </c>
      <c r="M47" s="23">
        <v>568</v>
      </c>
      <c r="N47" s="13">
        <f>SUM(M47/M49)</f>
        <v>5.4317681935545564E-2</v>
      </c>
    </row>
    <row r="48" spans="1:16" s="2" customFormat="1" ht="16.5" customHeight="1" thickBot="1">
      <c r="A48" s="6" t="s">
        <v>395</v>
      </c>
      <c r="B48" s="7" t="s">
        <v>3</v>
      </c>
      <c r="C48" s="9">
        <v>876</v>
      </c>
      <c r="D48" s="9">
        <v>892</v>
      </c>
      <c r="E48" s="9">
        <v>900</v>
      </c>
      <c r="F48" s="9">
        <v>992</v>
      </c>
      <c r="G48" s="9">
        <v>1033</v>
      </c>
      <c r="H48" s="9">
        <v>1033</v>
      </c>
      <c r="I48" s="9">
        <v>1044</v>
      </c>
      <c r="J48" s="8">
        <v>1121</v>
      </c>
      <c r="K48" s="11" t="s">
        <v>14</v>
      </c>
      <c r="L48" s="12" t="s">
        <v>13</v>
      </c>
      <c r="M48" s="23">
        <v>311</v>
      </c>
      <c r="N48" s="13">
        <f>SUM(M48/M49)</f>
        <v>2.9740843454145547E-2</v>
      </c>
      <c r="O48" s="15"/>
    </row>
    <row r="49" spans="1:13" s="2" customFormat="1" ht="16.5" customHeight="1" thickBot="1">
      <c r="A49" s="20" t="s">
        <v>338</v>
      </c>
      <c r="B49" s="27" t="s">
        <v>3</v>
      </c>
      <c r="C49" s="9">
        <v>748</v>
      </c>
      <c r="D49" s="9">
        <v>841</v>
      </c>
      <c r="E49" s="9">
        <v>850</v>
      </c>
      <c r="F49" s="9">
        <v>869</v>
      </c>
      <c r="G49" s="9">
        <v>979</v>
      </c>
      <c r="H49" s="9">
        <v>982</v>
      </c>
      <c r="I49" s="9">
        <v>1001</v>
      </c>
      <c r="J49" s="9">
        <v>1021</v>
      </c>
      <c r="K49" s="11"/>
      <c r="L49" s="15"/>
      <c r="M49" s="25">
        <v>10457</v>
      </c>
    </row>
    <row r="50" spans="1:13" s="2" customFormat="1" ht="16.5" customHeight="1" thickBot="1">
      <c r="A50" s="20" t="s">
        <v>376</v>
      </c>
      <c r="B50" s="21" t="s">
        <v>6</v>
      </c>
      <c r="C50" s="9">
        <v>633</v>
      </c>
      <c r="D50" s="9">
        <v>790</v>
      </c>
      <c r="E50" s="9">
        <v>890</v>
      </c>
      <c r="F50" s="9">
        <v>917</v>
      </c>
      <c r="G50" s="9">
        <v>940</v>
      </c>
      <c r="H50" s="9">
        <v>949</v>
      </c>
      <c r="I50" s="9">
        <v>950</v>
      </c>
      <c r="J50" s="9" t="s">
        <v>30</v>
      </c>
    </row>
    <row r="51" spans="1:13" s="2" customFormat="1" ht="16.5" customHeight="1" thickBot="1">
      <c r="A51" s="6" t="s">
        <v>396</v>
      </c>
      <c r="B51" s="14" t="s">
        <v>6</v>
      </c>
      <c r="C51" s="9">
        <v>603</v>
      </c>
      <c r="D51" s="10">
        <v>740</v>
      </c>
      <c r="E51" s="9">
        <v>845</v>
      </c>
      <c r="F51" s="9">
        <v>934</v>
      </c>
      <c r="G51" s="9">
        <v>955</v>
      </c>
      <c r="H51" s="9">
        <v>967</v>
      </c>
      <c r="I51" s="9">
        <v>972</v>
      </c>
      <c r="J51" s="8">
        <v>1411</v>
      </c>
      <c r="K51" s="11" t="s">
        <v>15</v>
      </c>
    </row>
    <row r="52" spans="1:13" s="2" customFormat="1" ht="16.5" customHeight="1" thickBot="1">
      <c r="A52" s="20" t="s">
        <v>162</v>
      </c>
      <c r="B52" s="62" t="s">
        <v>19</v>
      </c>
      <c r="C52" s="9">
        <v>568</v>
      </c>
      <c r="D52" s="10">
        <v>640</v>
      </c>
      <c r="E52" s="10">
        <v>661</v>
      </c>
      <c r="F52" s="10">
        <v>682</v>
      </c>
      <c r="G52" s="9" t="s">
        <v>30</v>
      </c>
    </row>
    <row r="53" spans="1:13" s="2" customFormat="1" ht="16.5" customHeight="1" thickBot="1">
      <c r="A53" s="20" t="s">
        <v>397</v>
      </c>
      <c r="B53" s="26" t="s">
        <v>28</v>
      </c>
      <c r="C53" s="9">
        <v>311</v>
      </c>
      <c r="D53" s="9">
        <v>352</v>
      </c>
      <c r="E53" s="9">
        <v>363</v>
      </c>
      <c r="F53" s="9" t="s">
        <v>30</v>
      </c>
    </row>
    <row r="55" spans="1:13" s="2" customFormat="1" ht="17.45" customHeight="1">
      <c r="A55" s="31" t="s">
        <v>378</v>
      </c>
      <c r="B55" s="23"/>
      <c r="C55" s="23"/>
      <c r="D55" s="23"/>
      <c r="E55" s="23"/>
      <c r="F55" s="23"/>
      <c r="G55" s="23"/>
      <c r="H55" s="23"/>
      <c r="I55" s="23"/>
      <c r="J55" s="23"/>
    </row>
    <row r="56" spans="1:13" s="2" customFormat="1" ht="8.25" customHeight="1" thickBot="1">
      <c r="A56" s="31"/>
      <c r="B56" s="23"/>
      <c r="C56" s="23"/>
      <c r="D56" s="23"/>
      <c r="E56" s="23"/>
      <c r="F56" s="23"/>
      <c r="G56" s="23"/>
      <c r="H56" s="23"/>
      <c r="I56" s="23"/>
      <c r="J56" s="23"/>
    </row>
    <row r="57" spans="1:13" s="2" customFormat="1" ht="17.45" customHeight="1" thickBot="1">
      <c r="A57" s="35" t="s">
        <v>0</v>
      </c>
      <c r="B57" s="36" t="s">
        <v>1</v>
      </c>
      <c r="C57" s="36" t="s">
        <v>2</v>
      </c>
      <c r="D57" s="36">
        <v>2</v>
      </c>
      <c r="E57" s="36">
        <v>3</v>
      </c>
      <c r="F57" s="36">
        <v>4</v>
      </c>
      <c r="G57" s="36">
        <v>5</v>
      </c>
      <c r="H57" s="36"/>
      <c r="I57" s="25" t="s">
        <v>5</v>
      </c>
      <c r="J57" s="13">
        <f>SUM(7517/12757)</f>
        <v>0.58924512032609544</v>
      </c>
      <c r="L57" s="13"/>
    </row>
    <row r="58" spans="1:13" s="2" customFormat="1" ht="17.45" customHeight="1" thickBot="1">
      <c r="A58" s="37" t="s">
        <v>171</v>
      </c>
      <c r="B58" s="39" t="s">
        <v>3</v>
      </c>
      <c r="C58" s="8">
        <v>1454</v>
      </c>
      <c r="D58" s="9"/>
      <c r="E58" s="9"/>
      <c r="F58" s="9"/>
      <c r="G58" s="9"/>
      <c r="H58" s="8" t="s">
        <v>4</v>
      </c>
      <c r="I58" s="17"/>
      <c r="J58" s="12" t="s">
        <v>8</v>
      </c>
      <c r="K58" s="12" t="s">
        <v>9</v>
      </c>
      <c r="L58" s="12" t="s">
        <v>10</v>
      </c>
    </row>
    <row r="59" spans="1:13" s="2" customFormat="1" ht="17.45" customHeight="1" thickBot="1">
      <c r="A59" s="37" t="s">
        <v>334</v>
      </c>
      <c r="B59" s="38" t="s">
        <v>6</v>
      </c>
      <c r="C59" s="52">
        <v>1381</v>
      </c>
      <c r="D59" s="9"/>
      <c r="E59" s="9"/>
      <c r="F59" s="8"/>
      <c r="G59" s="9"/>
      <c r="H59" s="8" t="s">
        <v>7</v>
      </c>
      <c r="I59" s="48" t="s">
        <v>6</v>
      </c>
      <c r="J59" s="17">
        <f>SUM(C59+C62+C61+C63)</f>
        <v>4102</v>
      </c>
      <c r="K59" s="18">
        <f>SUM(J59/J63)</f>
        <v>0.51064359516992408</v>
      </c>
      <c r="L59" s="15">
        <v>3</v>
      </c>
    </row>
    <row r="60" spans="1:13" s="2" customFormat="1" ht="17.45" customHeight="1" thickBot="1">
      <c r="A60" s="37" t="s">
        <v>335</v>
      </c>
      <c r="B60" s="90" t="s">
        <v>134</v>
      </c>
      <c r="C60" s="9">
        <v>1188</v>
      </c>
      <c r="D60" s="9">
        <v>1197</v>
      </c>
      <c r="E60" s="9">
        <v>1227</v>
      </c>
      <c r="F60" s="9">
        <v>1239</v>
      </c>
      <c r="G60" s="8">
        <v>1349</v>
      </c>
      <c r="H60" s="8" t="s">
        <v>12</v>
      </c>
      <c r="I60" s="49" t="s">
        <v>3</v>
      </c>
      <c r="J60" s="17">
        <f>SUM(C58+C64)</f>
        <v>1873</v>
      </c>
      <c r="K60" s="18">
        <f>SUM(J60/J63)</f>
        <v>0.2331632017926055</v>
      </c>
      <c r="L60" s="15">
        <v>1</v>
      </c>
    </row>
    <row r="61" spans="1:13" s="2" customFormat="1" ht="17.45" customHeight="1" thickBot="1">
      <c r="A61" s="37" t="s">
        <v>344</v>
      </c>
      <c r="B61" s="38" t="s">
        <v>6</v>
      </c>
      <c r="C61" s="9">
        <v>1071</v>
      </c>
      <c r="D61" s="9">
        <v>1210</v>
      </c>
      <c r="E61" s="9">
        <v>1236</v>
      </c>
      <c r="F61" s="8">
        <v>1290</v>
      </c>
      <c r="G61" s="9"/>
      <c r="H61" s="8" t="s">
        <v>11</v>
      </c>
      <c r="I61" s="94" t="s">
        <v>134</v>
      </c>
      <c r="J61" s="23">
        <v>1188</v>
      </c>
      <c r="K61" s="13">
        <f>SUM(J61/J63)</f>
        <v>0.14788995393999751</v>
      </c>
      <c r="L61" s="2">
        <v>1</v>
      </c>
    </row>
    <row r="62" spans="1:13" s="2" customFormat="1" ht="17.45" customHeight="1" thickBot="1">
      <c r="A62" s="37" t="s">
        <v>380</v>
      </c>
      <c r="B62" s="38" t="s">
        <v>6</v>
      </c>
      <c r="C62" s="9">
        <v>981</v>
      </c>
      <c r="D62" s="9">
        <v>986</v>
      </c>
      <c r="E62" s="9">
        <v>1003</v>
      </c>
      <c r="F62" s="9">
        <v>1020</v>
      </c>
      <c r="G62" s="8">
        <v>1095</v>
      </c>
      <c r="H62" s="8" t="s">
        <v>15</v>
      </c>
      <c r="I62" s="60" t="s">
        <v>19</v>
      </c>
      <c r="J62" s="23">
        <v>286</v>
      </c>
      <c r="K62" s="13">
        <f>SUM(J62/J63)</f>
        <v>3.5603137059629031E-2</v>
      </c>
    </row>
    <row r="63" spans="1:13" s="2" customFormat="1" ht="17.45" customHeight="1" thickBot="1">
      <c r="A63" s="40" t="s">
        <v>463</v>
      </c>
      <c r="B63" s="41" t="s">
        <v>6</v>
      </c>
      <c r="C63" s="9">
        <v>669</v>
      </c>
      <c r="D63" s="9">
        <v>672</v>
      </c>
      <c r="E63" s="9">
        <v>674</v>
      </c>
      <c r="F63" s="9">
        <v>722</v>
      </c>
      <c r="G63" s="9">
        <v>740</v>
      </c>
      <c r="H63" s="9"/>
      <c r="I63" s="23"/>
      <c r="J63" s="25">
        <v>8033</v>
      </c>
    </row>
    <row r="64" spans="1:13" s="2" customFormat="1" ht="17.45" customHeight="1" thickBot="1">
      <c r="A64" s="40" t="s">
        <v>143</v>
      </c>
      <c r="B64" s="42" t="s">
        <v>3</v>
      </c>
      <c r="C64" s="9">
        <v>419</v>
      </c>
      <c r="D64" s="9">
        <v>464</v>
      </c>
      <c r="E64" s="9">
        <v>596</v>
      </c>
      <c r="F64" s="9">
        <v>604</v>
      </c>
      <c r="G64" s="9" t="s">
        <v>30</v>
      </c>
      <c r="H64" s="23"/>
      <c r="I64" s="23"/>
    </row>
    <row r="65" spans="1:16" s="2" customFormat="1" ht="17.45" customHeight="1" thickBot="1">
      <c r="A65" s="40" t="s">
        <v>379</v>
      </c>
      <c r="B65" s="43" t="s">
        <v>19</v>
      </c>
      <c r="C65" s="9">
        <v>286</v>
      </c>
      <c r="D65" s="9">
        <v>297</v>
      </c>
      <c r="E65" s="9" t="s">
        <v>30</v>
      </c>
      <c r="L65" s="23"/>
      <c r="M65" s="25"/>
      <c r="N65" s="23"/>
      <c r="O65" s="13"/>
    </row>
    <row r="66" spans="1:16" s="2" customFormat="1" ht="13.5" customHeight="1">
      <c r="A66" s="28"/>
      <c r="B66" s="80"/>
      <c r="C66" s="28"/>
      <c r="D66" s="28"/>
      <c r="E66" s="28"/>
      <c r="F66" s="23"/>
      <c r="G66" s="23"/>
      <c r="H66" s="23"/>
      <c r="I66" s="23"/>
      <c r="J66" s="25"/>
      <c r="L66" s="13"/>
      <c r="M66" s="13"/>
    </row>
    <row r="67" spans="1:16" s="2" customFormat="1" ht="17.45" customHeight="1">
      <c r="A67" s="31" t="s">
        <v>381</v>
      </c>
      <c r="B67" s="23"/>
      <c r="C67" s="23"/>
      <c r="D67" s="23"/>
      <c r="E67" s="23"/>
      <c r="F67" s="23"/>
      <c r="G67" s="23"/>
      <c r="H67" s="23"/>
      <c r="I67" s="23"/>
      <c r="J67" s="23"/>
    </row>
    <row r="68" spans="1:16" s="2" customFormat="1" ht="10.5" customHeight="1" thickBot="1">
      <c r="A68" s="31"/>
      <c r="B68" s="23"/>
      <c r="C68" s="23"/>
      <c r="D68" s="23"/>
      <c r="E68" s="23"/>
      <c r="F68" s="23"/>
      <c r="G68" s="23"/>
      <c r="H68" s="23"/>
      <c r="I68" s="23"/>
      <c r="J68" s="23"/>
    </row>
    <row r="69" spans="1:16" s="2" customFormat="1" ht="16.5" customHeight="1" thickBot="1">
      <c r="A69" s="35" t="s">
        <v>0</v>
      </c>
      <c r="B69" s="36" t="s">
        <v>1</v>
      </c>
      <c r="C69" s="36" t="s">
        <v>2</v>
      </c>
      <c r="D69" s="36">
        <v>2</v>
      </c>
      <c r="E69" s="36">
        <v>3</v>
      </c>
      <c r="F69" s="36">
        <v>4</v>
      </c>
      <c r="G69" s="36">
        <v>5</v>
      </c>
      <c r="H69" s="36">
        <v>6</v>
      </c>
      <c r="I69" s="36">
        <v>7</v>
      </c>
      <c r="J69" s="36">
        <v>8</v>
      </c>
      <c r="K69" s="36">
        <v>9</v>
      </c>
      <c r="L69" s="45"/>
      <c r="M69" s="12" t="s">
        <v>5</v>
      </c>
      <c r="N69" s="13">
        <f>SUM(13169/23140)</f>
        <v>0.56910112359550558</v>
      </c>
    </row>
    <row r="70" spans="1:16" s="2" customFormat="1" ht="16.5" customHeight="1" thickBot="1">
      <c r="A70" s="37" t="s">
        <v>193</v>
      </c>
      <c r="B70" s="39" t="s">
        <v>3</v>
      </c>
      <c r="C70" s="8">
        <v>2922</v>
      </c>
      <c r="D70" s="8"/>
      <c r="E70" s="9"/>
      <c r="F70" s="8"/>
      <c r="G70" s="9"/>
      <c r="H70" s="8"/>
      <c r="I70" s="8"/>
      <c r="J70" s="9"/>
      <c r="K70" s="9"/>
      <c r="L70" s="8" t="s">
        <v>4</v>
      </c>
      <c r="M70" s="15"/>
      <c r="N70" s="12" t="s">
        <v>8</v>
      </c>
      <c r="O70" s="12" t="s">
        <v>9</v>
      </c>
      <c r="P70" s="12" t="s">
        <v>10</v>
      </c>
    </row>
    <row r="71" spans="1:16" s="2" customFormat="1" ht="16.5" customHeight="1" thickBot="1">
      <c r="A71" s="37" t="s">
        <v>392</v>
      </c>
      <c r="B71" s="38" t="s">
        <v>6</v>
      </c>
      <c r="C71" s="9">
        <v>1183</v>
      </c>
      <c r="D71" s="9">
        <v>1209</v>
      </c>
      <c r="E71" s="9">
        <v>1215</v>
      </c>
      <c r="F71" s="9">
        <v>1327</v>
      </c>
      <c r="G71" s="9">
        <v>1441</v>
      </c>
      <c r="H71" s="9">
        <v>1567</v>
      </c>
      <c r="I71" s="8">
        <v>1659</v>
      </c>
      <c r="J71" s="8"/>
      <c r="K71" s="8"/>
      <c r="L71" s="8" t="s">
        <v>7</v>
      </c>
      <c r="M71" s="16" t="s">
        <v>6</v>
      </c>
      <c r="N71" s="17">
        <f>SUM(C71+C73+C74+C78+C79+C82)</f>
        <v>4752</v>
      </c>
      <c r="O71" s="18">
        <f>SUM(N71/N78)</f>
        <v>0.37043966323666977</v>
      </c>
      <c r="P71" s="15">
        <v>3</v>
      </c>
    </row>
    <row r="72" spans="1:16" s="2" customFormat="1" ht="16.5" customHeight="1" thickBot="1">
      <c r="A72" s="37" t="s">
        <v>194</v>
      </c>
      <c r="B72" s="56" t="s">
        <v>19</v>
      </c>
      <c r="C72" s="9">
        <v>1182</v>
      </c>
      <c r="D72" s="9">
        <v>1219</v>
      </c>
      <c r="E72" s="9">
        <v>1294</v>
      </c>
      <c r="F72" s="9">
        <v>1330</v>
      </c>
      <c r="G72" s="9">
        <v>1391</v>
      </c>
      <c r="H72" s="9">
        <v>1452</v>
      </c>
      <c r="I72" s="9">
        <v>1534</v>
      </c>
      <c r="J72" s="9">
        <v>1571</v>
      </c>
      <c r="K72" s="8">
        <v>1593</v>
      </c>
      <c r="L72" s="8" t="s">
        <v>12</v>
      </c>
      <c r="M72" s="19" t="s">
        <v>3</v>
      </c>
      <c r="N72" s="17">
        <f>SUM(C70+C76+C81)</f>
        <v>4151</v>
      </c>
      <c r="O72" s="18">
        <f>SUM(N72/N78)</f>
        <v>0.32358902400997819</v>
      </c>
      <c r="P72" s="15">
        <v>2</v>
      </c>
    </row>
    <row r="73" spans="1:16" s="2" customFormat="1" ht="16.5" customHeight="1" thickBot="1">
      <c r="A73" s="37" t="s">
        <v>387</v>
      </c>
      <c r="B73" s="38" t="s">
        <v>6</v>
      </c>
      <c r="C73" s="9">
        <v>1016</v>
      </c>
      <c r="D73" s="9">
        <v>1156</v>
      </c>
      <c r="E73" s="9">
        <v>1162</v>
      </c>
      <c r="F73" s="9">
        <v>1168</v>
      </c>
      <c r="G73" s="9">
        <v>1177</v>
      </c>
      <c r="H73" s="9">
        <v>1183</v>
      </c>
      <c r="I73" s="9">
        <v>1274</v>
      </c>
      <c r="J73" s="9">
        <v>1383</v>
      </c>
      <c r="K73" s="8">
        <v>1567</v>
      </c>
      <c r="L73" s="8" t="s">
        <v>15</v>
      </c>
      <c r="M73" s="29" t="s">
        <v>17</v>
      </c>
      <c r="N73" s="17">
        <v>1000</v>
      </c>
      <c r="O73" s="18">
        <f>SUM(N73/N78)</f>
        <v>7.795447458684128E-2</v>
      </c>
      <c r="P73" s="2">
        <v>1</v>
      </c>
    </row>
    <row r="74" spans="1:16" s="2" customFormat="1" ht="16.5" customHeight="1" thickBot="1">
      <c r="A74" s="37" t="s">
        <v>182</v>
      </c>
      <c r="B74" s="38" t="s">
        <v>6</v>
      </c>
      <c r="C74" s="9">
        <v>1009</v>
      </c>
      <c r="D74" s="9">
        <v>1077</v>
      </c>
      <c r="E74" s="9">
        <v>1087</v>
      </c>
      <c r="F74" s="9">
        <v>1091</v>
      </c>
      <c r="G74" s="9">
        <v>1103</v>
      </c>
      <c r="H74" s="9">
        <v>1114</v>
      </c>
      <c r="I74" s="9">
        <v>1183</v>
      </c>
      <c r="J74" s="9">
        <v>1215</v>
      </c>
      <c r="K74" s="8">
        <v>1432</v>
      </c>
      <c r="L74" s="8" t="s">
        <v>16</v>
      </c>
      <c r="M74" s="33" t="s">
        <v>19</v>
      </c>
      <c r="N74" s="17">
        <v>1182</v>
      </c>
      <c r="O74" s="18">
        <f>SUM(N74/N78)</f>
        <v>9.2142188961646401E-2</v>
      </c>
      <c r="P74" s="2">
        <v>1</v>
      </c>
    </row>
    <row r="75" spans="1:16" s="2" customFormat="1" ht="16.5" customHeight="1" thickBot="1">
      <c r="A75" s="37" t="s">
        <v>388</v>
      </c>
      <c r="B75" s="59" t="s">
        <v>17</v>
      </c>
      <c r="C75" s="9">
        <v>1000</v>
      </c>
      <c r="D75" s="9">
        <v>1303</v>
      </c>
      <c r="E75" s="9">
        <v>1312</v>
      </c>
      <c r="F75" s="9">
        <v>1318</v>
      </c>
      <c r="G75" s="9">
        <v>1329</v>
      </c>
      <c r="H75" s="9">
        <v>1337</v>
      </c>
      <c r="I75" s="9">
        <v>1377</v>
      </c>
      <c r="J75" s="9">
        <v>1590</v>
      </c>
      <c r="K75" s="8">
        <v>1649</v>
      </c>
      <c r="L75" s="8" t="s">
        <v>11</v>
      </c>
      <c r="M75" s="96" t="s">
        <v>134</v>
      </c>
      <c r="N75" s="17">
        <v>459</v>
      </c>
      <c r="O75" s="18">
        <f>SUM(N75/N78)</f>
        <v>3.5781103835360151E-2</v>
      </c>
    </row>
    <row r="76" spans="1:16" s="2" customFormat="1" ht="16.5" customHeight="1" thickBot="1">
      <c r="A76" s="37" t="s">
        <v>351</v>
      </c>
      <c r="B76" s="39" t="s">
        <v>3</v>
      </c>
      <c r="C76" s="9">
        <v>770</v>
      </c>
      <c r="D76" s="9">
        <v>975</v>
      </c>
      <c r="E76" s="9">
        <v>1033</v>
      </c>
      <c r="F76" s="9">
        <v>1040</v>
      </c>
      <c r="G76" s="9">
        <v>1115</v>
      </c>
      <c r="H76" s="9">
        <v>1336</v>
      </c>
      <c r="I76" s="9">
        <v>1362</v>
      </c>
      <c r="J76" s="9">
        <v>1413</v>
      </c>
      <c r="K76" s="8">
        <v>1438</v>
      </c>
      <c r="L76" s="8" t="s">
        <v>14</v>
      </c>
      <c r="M76" s="88" t="s">
        <v>133</v>
      </c>
      <c r="N76" s="17">
        <v>250</v>
      </c>
      <c r="O76" s="18">
        <f>SUM(N76/N78)</f>
        <v>1.948861864671032E-2</v>
      </c>
    </row>
    <row r="77" spans="1:16" s="2" customFormat="1" ht="16.5" customHeight="1" thickBot="1">
      <c r="A77" s="40" t="s">
        <v>386</v>
      </c>
      <c r="B77" s="44" t="s">
        <v>28</v>
      </c>
      <c r="C77" s="9">
        <v>728</v>
      </c>
      <c r="D77" s="9">
        <v>893</v>
      </c>
      <c r="E77" s="9">
        <v>899</v>
      </c>
      <c r="F77" s="9">
        <v>907</v>
      </c>
      <c r="G77" s="9">
        <v>914</v>
      </c>
      <c r="H77" s="9">
        <v>920</v>
      </c>
      <c r="I77" s="9">
        <v>984</v>
      </c>
      <c r="J77" s="9">
        <v>1105</v>
      </c>
      <c r="K77" s="9">
        <v>1194</v>
      </c>
      <c r="L77" s="9"/>
      <c r="M77" s="22" t="s">
        <v>13</v>
      </c>
      <c r="N77" s="17">
        <f>SUM(C77+C83)</f>
        <v>1034</v>
      </c>
      <c r="O77" s="18">
        <f>SUM(N77/N78)</f>
        <v>8.0604926722793888E-2</v>
      </c>
    </row>
    <row r="78" spans="1:16" s="2" customFormat="1" ht="16.5" customHeight="1" thickBot="1">
      <c r="A78" s="40" t="s">
        <v>385</v>
      </c>
      <c r="B78" s="41" t="s">
        <v>6</v>
      </c>
      <c r="C78" s="9">
        <v>670</v>
      </c>
      <c r="D78" s="9">
        <v>752</v>
      </c>
      <c r="E78" s="9">
        <v>758</v>
      </c>
      <c r="F78" s="9">
        <v>758</v>
      </c>
      <c r="G78" s="9">
        <v>770</v>
      </c>
      <c r="H78" s="9">
        <v>779</v>
      </c>
      <c r="I78" s="9">
        <v>807</v>
      </c>
      <c r="J78" s="9">
        <v>834</v>
      </c>
      <c r="K78" s="9" t="s">
        <v>30</v>
      </c>
      <c r="M78" s="12"/>
      <c r="N78" s="25">
        <v>12828</v>
      </c>
      <c r="O78" s="13"/>
      <c r="P78" s="15"/>
    </row>
    <row r="79" spans="1:16" s="2" customFormat="1" ht="16.5" customHeight="1" thickBot="1">
      <c r="A79" s="40" t="s">
        <v>382</v>
      </c>
      <c r="B79" s="41" t="s">
        <v>6</v>
      </c>
      <c r="C79" s="9">
        <v>532</v>
      </c>
      <c r="D79" s="9">
        <v>578</v>
      </c>
      <c r="E79" s="9">
        <v>589</v>
      </c>
      <c r="F79" s="9">
        <v>590</v>
      </c>
      <c r="G79" s="9">
        <v>603</v>
      </c>
      <c r="H79" s="9">
        <v>607</v>
      </c>
      <c r="I79" s="9" t="s">
        <v>30</v>
      </c>
    </row>
    <row r="80" spans="1:16" s="2" customFormat="1" ht="16.5" customHeight="1" thickBot="1">
      <c r="A80" s="40" t="s">
        <v>389</v>
      </c>
      <c r="B80" s="95" t="s">
        <v>134</v>
      </c>
      <c r="C80" s="9">
        <v>459</v>
      </c>
      <c r="D80" s="9">
        <v>635</v>
      </c>
      <c r="E80" s="9">
        <v>640</v>
      </c>
      <c r="F80" s="9">
        <v>648</v>
      </c>
      <c r="G80" s="9">
        <v>651</v>
      </c>
      <c r="H80" s="9">
        <v>670</v>
      </c>
      <c r="I80" s="9">
        <v>697</v>
      </c>
      <c r="J80" s="9" t="s">
        <v>30</v>
      </c>
    </row>
    <row r="81" spans="1:22" s="2" customFormat="1" ht="16.5" customHeight="1" thickBot="1">
      <c r="A81" s="40" t="s">
        <v>383</v>
      </c>
      <c r="B81" s="42" t="s">
        <v>3</v>
      </c>
      <c r="C81" s="9">
        <v>459</v>
      </c>
      <c r="D81" s="9">
        <v>489</v>
      </c>
      <c r="E81" s="9">
        <v>504</v>
      </c>
      <c r="F81" s="9">
        <v>568</v>
      </c>
      <c r="G81" s="9">
        <v>575</v>
      </c>
      <c r="H81" s="9" t="s">
        <v>30</v>
      </c>
      <c r="I81" s="23"/>
      <c r="J81" s="23"/>
    </row>
    <row r="82" spans="1:22" s="2" customFormat="1" ht="16.5" customHeight="1" thickBot="1">
      <c r="A82" s="40" t="s">
        <v>390</v>
      </c>
      <c r="B82" s="41" t="s">
        <v>6</v>
      </c>
      <c r="C82" s="9">
        <v>342</v>
      </c>
      <c r="D82" s="9">
        <v>351</v>
      </c>
      <c r="E82" s="9">
        <v>375</v>
      </c>
      <c r="F82" s="9">
        <v>381</v>
      </c>
      <c r="G82" s="9" t="s">
        <v>30</v>
      </c>
      <c r="H82" s="23"/>
      <c r="I82" s="23"/>
      <c r="J82" s="23"/>
      <c r="K82" s="23"/>
      <c r="L82" s="46"/>
    </row>
    <row r="83" spans="1:22" s="2" customFormat="1" ht="16.5" customHeight="1" thickBot="1">
      <c r="A83" s="40" t="s">
        <v>384</v>
      </c>
      <c r="B83" s="44" t="s">
        <v>28</v>
      </c>
      <c r="C83" s="9">
        <v>306</v>
      </c>
      <c r="D83" s="9">
        <v>314</v>
      </c>
      <c r="E83" s="9">
        <v>324</v>
      </c>
      <c r="F83" s="9" t="s">
        <v>30</v>
      </c>
      <c r="G83" s="23"/>
      <c r="H83" s="23"/>
      <c r="I83" s="23"/>
      <c r="J83" s="23"/>
      <c r="K83" s="23"/>
      <c r="L83" s="23"/>
      <c r="M83" s="23"/>
      <c r="N83" s="12"/>
      <c r="O83" s="17"/>
      <c r="P83" s="18"/>
    </row>
    <row r="84" spans="1:22" s="2" customFormat="1" ht="16.5" customHeight="1" thickBot="1">
      <c r="A84" s="40" t="s">
        <v>391</v>
      </c>
      <c r="B84" s="84" t="s">
        <v>133</v>
      </c>
      <c r="C84" s="9">
        <v>250</v>
      </c>
      <c r="D84" s="9">
        <v>273</v>
      </c>
      <c r="E84" s="9" t="s">
        <v>30</v>
      </c>
      <c r="G84" s="23"/>
      <c r="H84" s="23"/>
      <c r="I84" s="23"/>
      <c r="J84" s="23"/>
      <c r="K84" s="23"/>
      <c r="L84" s="23"/>
      <c r="M84" s="23"/>
      <c r="N84" s="12"/>
      <c r="O84" s="17"/>
      <c r="P84" s="18"/>
    </row>
    <row r="85" spans="1:22" ht="15">
      <c r="D85" s="63"/>
      <c r="E85" s="63"/>
      <c r="O85" s="25"/>
      <c r="P85" s="13"/>
      <c r="Q85" s="15"/>
      <c r="R85" s="2"/>
    </row>
    <row r="86" spans="1:22" s="99" customFormat="1" ht="14.25" customHeight="1">
      <c r="B86" s="64" t="s">
        <v>18</v>
      </c>
      <c r="C86" s="66" t="s">
        <v>6</v>
      </c>
      <c r="D86" s="67" t="s">
        <v>3</v>
      </c>
      <c r="E86" s="68" t="s">
        <v>17</v>
      </c>
      <c r="F86" s="69" t="s">
        <v>19</v>
      </c>
      <c r="G86" s="111" t="s">
        <v>134</v>
      </c>
      <c r="H86" s="70" t="s">
        <v>133</v>
      </c>
      <c r="I86" s="64" t="s">
        <v>13</v>
      </c>
      <c r="J86" s="101"/>
      <c r="U86" s="98"/>
      <c r="V86" s="103"/>
    </row>
    <row r="87" spans="1:22" s="99" customFormat="1" ht="14.25" customHeight="1">
      <c r="A87" s="99" t="s">
        <v>8</v>
      </c>
      <c r="B87" s="110">
        <f>SUM(N10+S26+J63+M49+N78)</f>
        <v>52347</v>
      </c>
      <c r="C87" s="108">
        <f>SUM(N71+M45+J59+S21+N5)</f>
        <v>25706</v>
      </c>
      <c r="D87" s="108">
        <f>SUM(N72+M46+J60+S22+N6)</f>
        <v>12196</v>
      </c>
      <c r="E87" s="108">
        <f>SUM(N73)</f>
        <v>1000</v>
      </c>
      <c r="F87" s="108">
        <f>SUM(N74+J62+M47+S24+N8)</f>
        <v>3594</v>
      </c>
      <c r="G87" s="108">
        <f>SUM(N75+J61)</f>
        <v>1647</v>
      </c>
      <c r="H87" s="108">
        <f>SUM(N76+S23+N7)</f>
        <v>4049</v>
      </c>
      <c r="I87" s="108">
        <f>SUM(N77+M47+J61+S25+N7)</f>
        <v>5165</v>
      </c>
      <c r="J87" s="98"/>
      <c r="T87" s="107"/>
      <c r="U87" s="77"/>
      <c r="V87" s="103"/>
    </row>
    <row r="88" spans="1:22" s="99" customFormat="1" ht="14.25" customHeight="1">
      <c r="A88" s="99" t="s">
        <v>9</v>
      </c>
      <c r="B88" s="102">
        <v>1</v>
      </c>
      <c r="C88" s="103">
        <f t="shared" ref="C88:I88" si="0">SUM(C87/$B$87)</f>
        <v>0.49106921122509406</v>
      </c>
      <c r="D88" s="103">
        <f t="shared" si="0"/>
        <v>0.23298374309893594</v>
      </c>
      <c r="E88" s="103">
        <f t="shared" si="0"/>
        <v>1.9103291497124954E-2</v>
      </c>
      <c r="F88" s="103">
        <f t="shared" si="0"/>
        <v>6.8657229640667089E-2</v>
      </c>
      <c r="G88" s="103">
        <f t="shared" si="0"/>
        <v>3.1463121095764802E-2</v>
      </c>
      <c r="H88" s="103">
        <f t="shared" si="0"/>
        <v>7.7349227271858945E-2</v>
      </c>
      <c r="I88" s="103">
        <f t="shared" si="0"/>
        <v>9.8668500582650392E-2</v>
      </c>
      <c r="J88" s="103"/>
      <c r="T88" s="64"/>
    </row>
    <row r="89" spans="1:22" s="99" customFormat="1" ht="14.25" customHeight="1">
      <c r="A89" s="99" t="s">
        <v>10</v>
      </c>
      <c r="B89" s="110">
        <v>31</v>
      </c>
      <c r="C89" s="108">
        <v>17</v>
      </c>
      <c r="D89" s="108">
        <v>7</v>
      </c>
      <c r="E89" s="108">
        <v>1</v>
      </c>
      <c r="F89" s="108">
        <v>1</v>
      </c>
      <c r="G89" s="108">
        <v>1</v>
      </c>
      <c r="H89" s="108">
        <v>3</v>
      </c>
      <c r="I89" s="108">
        <v>1</v>
      </c>
    </row>
    <row r="90" spans="1:22" s="2" customFormat="1" ht="16.5" customHeight="1">
      <c r="A90" s="1"/>
    </row>
    <row r="91" spans="1:22" ht="14.25">
      <c r="O91" s="2"/>
      <c r="P91" s="2"/>
      <c r="Q91" s="2"/>
      <c r="R91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85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7.7109375" customWidth="1"/>
    <col min="3" max="3" width="9" customWidth="1"/>
    <col min="4" max="19" width="8.7109375" customWidth="1"/>
  </cols>
  <sheetData>
    <row r="1" spans="1:15" s="2" customFormat="1" ht="16.5" customHeight="1">
      <c r="A1" s="31" t="s">
        <v>136</v>
      </c>
      <c r="B1" s="23"/>
      <c r="C1" s="23"/>
      <c r="D1" s="23"/>
      <c r="E1" s="23"/>
      <c r="F1" s="23"/>
      <c r="G1" s="23"/>
      <c r="H1" s="23"/>
      <c r="I1" s="23"/>
      <c r="J1" s="23"/>
    </row>
    <row r="2" spans="1:15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5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5"/>
      <c r="L3" s="12" t="s">
        <v>5</v>
      </c>
      <c r="M3" s="13">
        <f>SUM(9385/13055)</f>
        <v>0.71888165453849096</v>
      </c>
    </row>
    <row r="4" spans="1:15" s="2" customFormat="1" ht="16.5" customHeight="1" thickBot="1">
      <c r="A4" s="37" t="s">
        <v>174</v>
      </c>
      <c r="B4" s="38" t="s">
        <v>6</v>
      </c>
      <c r="C4" s="8">
        <v>2026</v>
      </c>
      <c r="D4" s="9"/>
      <c r="E4" s="9"/>
      <c r="F4" s="9"/>
      <c r="G4" s="11"/>
      <c r="H4" s="8"/>
      <c r="I4" s="9"/>
      <c r="J4" s="9"/>
      <c r="K4" s="11" t="s">
        <v>4</v>
      </c>
      <c r="L4" s="15"/>
      <c r="M4" s="12" t="s">
        <v>8</v>
      </c>
      <c r="N4" s="12" t="s">
        <v>9</v>
      </c>
      <c r="O4" s="12" t="s">
        <v>10</v>
      </c>
    </row>
    <row r="5" spans="1:15" s="2" customFormat="1" ht="16.5" customHeight="1" thickBot="1">
      <c r="A5" s="37" t="s">
        <v>137</v>
      </c>
      <c r="B5" s="38" t="s">
        <v>6</v>
      </c>
      <c r="C5" s="8">
        <v>1589</v>
      </c>
      <c r="D5" s="8"/>
      <c r="E5" s="8"/>
      <c r="F5" s="9"/>
      <c r="G5" s="9"/>
      <c r="H5" s="9"/>
      <c r="I5" s="9"/>
      <c r="J5" s="9"/>
      <c r="K5" s="11" t="s">
        <v>7</v>
      </c>
      <c r="L5" s="16" t="s">
        <v>6</v>
      </c>
      <c r="M5" s="17">
        <f>SUM(C4+C5+C8+C10)</f>
        <v>5360</v>
      </c>
      <c r="N5" s="18">
        <f>SUM(M5/M8)</f>
        <v>0.58267202956843134</v>
      </c>
      <c r="O5" s="15">
        <v>3</v>
      </c>
    </row>
    <row r="6" spans="1:15" s="2" customFormat="1" ht="16.5" customHeight="1" thickBot="1">
      <c r="A6" s="37" t="s">
        <v>355</v>
      </c>
      <c r="B6" s="39" t="s">
        <v>3</v>
      </c>
      <c r="C6" s="9">
        <v>1316</v>
      </c>
      <c r="D6" s="9">
        <v>1395</v>
      </c>
      <c r="E6" s="9">
        <v>1410</v>
      </c>
      <c r="F6" s="8">
        <v>1576</v>
      </c>
      <c r="G6" s="9"/>
      <c r="H6" s="9"/>
      <c r="I6" s="8"/>
      <c r="J6" s="8"/>
      <c r="K6" s="11" t="s">
        <v>11</v>
      </c>
      <c r="L6" s="19" t="s">
        <v>3</v>
      </c>
      <c r="M6" s="17">
        <f>SUM(C6+C7+C9)</f>
        <v>3265</v>
      </c>
      <c r="N6" s="18">
        <f>SUM(M6/M8)</f>
        <v>0.35492988368300904</v>
      </c>
      <c r="O6" s="15">
        <v>2</v>
      </c>
    </row>
    <row r="7" spans="1:15" s="2" customFormat="1" ht="16.5" customHeight="1" thickBot="1">
      <c r="A7" s="37" t="s">
        <v>175</v>
      </c>
      <c r="B7" s="39" t="s">
        <v>3</v>
      </c>
      <c r="C7" s="9">
        <v>1082</v>
      </c>
      <c r="D7" s="9">
        <v>1103</v>
      </c>
      <c r="E7" s="9">
        <v>1140</v>
      </c>
      <c r="F7" s="9">
        <v>1174</v>
      </c>
      <c r="G7" s="8">
        <v>1786</v>
      </c>
      <c r="H7" s="9"/>
      <c r="I7" s="8"/>
      <c r="J7" s="8"/>
      <c r="K7" s="11" t="s">
        <v>12</v>
      </c>
      <c r="L7" s="12" t="s">
        <v>13</v>
      </c>
      <c r="M7" s="23">
        <f>SUM(C11:C12)</f>
        <v>574</v>
      </c>
      <c r="N7" s="13">
        <f>SUM(M7/M8)</f>
        <v>6.2398086748559629E-2</v>
      </c>
      <c r="O7" s="15"/>
    </row>
    <row r="8" spans="1:15" s="2" customFormat="1" ht="16.5" customHeight="1" thickBot="1">
      <c r="A8" s="40" t="s">
        <v>23</v>
      </c>
      <c r="B8" s="41" t="s">
        <v>6</v>
      </c>
      <c r="C8" s="9">
        <v>919</v>
      </c>
      <c r="D8" s="9">
        <v>1023</v>
      </c>
      <c r="E8" s="9">
        <v>1028</v>
      </c>
      <c r="F8" s="9">
        <v>1044</v>
      </c>
      <c r="G8" s="9">
        <v>1127</v>
      </c>
      <c r="H8" s="9">
        <v>1141</v>
      </c>
      <c r="I8" s="9">
        <v>1147</v>
      </c>
      <c r="J8" s="9">
        <v>1178</v>
      </c>
      <c r="K8" s="11"/>
      <c r="M8" s="25">
        <v>9199</v>
      </c>
    </row>
    <row r="9" spans="1:15" s="2" customFormat="1" ht="16.5" customHeight="1" thickBot="1">
      <c r="A9" s="40" t="s">
        <v>138</v>
      </c>
      <c r="B9" s="42" t="s">
        <v>3</v>
      </c>
      <c r="C9" s="9">
        <v>867</v>
      </c>
      <c r="D9" s="9">
        <v>872</v>
      </c>
      <c r="E9" s="9">
        <v>881</v>
      </c>
      <c r="F9" s="9">
        <v>904</v>
      </c>
      <c r="G9" s="9" t="s">
        <v>30</v>
      </c>
    </row>
    <row r="10" spans="1:15" s="2" customFormat="1" ht="16.5" customHeight="1" thickBot="1">
      <c r="A10" s="37" t="s">
        <v>139</v>
      </c>
      <c r="B10" s="38" t="s">
        <v>6</v>
      </c>
      <c r="C10" s="9">
        <v>826</v>
      </c>
      <c r="D10" s="9">
        <v>1082</v>
      </c>
      <c r="E10" s="9">
        <v>1094</v>
      </c>
      <c r="F10" s="9">
        <v>1108</v>
      </c>
      <c r="G10" s="9">
        <v>1136</v>
      </c>
      <c r="H10" s="9">
        <v>1177</v>
      </c>
      <c r="I10" s="9">
        <v>1186</v>
      </c>
      <c r="J10" s="8">
        <v>1208</v>
      </c>
      <c r="K10" s="11" t="s">
        <v>15</v>
      </c>
    </row>
    <row r="11" spans="1:15" s="2" customFormat="1" ht="16.5" customHeight="1" thickBot="1">
      <c r="A11" s="40" t="s">
        <v>140</v>
      </c>
      <c r="B11" s="44" t="s">
        <v>28</v>
      </c>
      <c r="C11" s="9">
        <v>341</v>
      </c>
      <c r="D11" s="9">
        <v>358</v>
      </c>
      <c r="E11" s="9">
        <v>464</v>
      </c>
      <c r="F11" s="9" t="s">
        <v>30</v>
      </c>
      <c r="I11" s="28"/>
      <c r="J11" s="79"/>
      <c r="L11" s="25"/>
    </row>
    <row r="12" spans="1:15" s="2" customFormat="1" ht="16.5" customHeight="1" thickBot="1">
      <c r="A12" s="40" t="s">
        <v>141</v>
      </c>
      <c r="B12" s="44" t="s">
        <v>28</v>
      </c>
      <c r="C12" s="9">
        <v>233</v>
      </c>
      <c r="D12" s="9">
        <v>243</v>
      </c>
      <c r="E12" s="9" t="s">
        <v>30</v>
      </c>
    </row>
    <row r="13" spans="1:15" s="2" customFormat="1" ht="10.5" customHeight="1">
      <c r="A13" s="31"/>
      <c r="B13" s="23"/>
      <c r="C13" s="23"/>
      <c r="D13" s="23"/>
      <c r="E13" s="23"/>
      <c r="F13" s="23"/>
      <c r="G13" s="23"/>
      <c r="H13" s="23"/>
      <c r="I13" s="23"/>
      <c r="J13" s="23"/>
    </row>
    <row r="14" spans="1:15" s="2" customFormat="1" ht="17.45" customHeight="1">
      <c r="A14" s="31" t="s">
        <v>342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5" s="2" customFormat="1" ht="10.5" customHeight="1" thickBot="1">
      <c r="A15" s="31"/>
      <c r="B15" s="23"/>
      <c r="C15" s="23"/>
      <c r="D15" s="23"/>
      <c r="E15" s="23"/>
      <c r="F15" s="23"/>
      <c r="G15" s="23"/>
      <c r="H15" s="23"/>
      <c r="I15" s="23"/>
      <c r="J15" s="23"/>
    </row>
    <row r="16" spans="1:15" s="2" customFormat="1" ht="16.5" customHeight="1" thickBot="1">
      <c r="A16" s="35" t="s">
        <v>0</v>
      </c>
      <c r="B16" s="36" t="s">
        <v>1</v>
      </c>
      <c r="C16" s="36" t="s">
        <v>2</v>
      </c>
      <c r="D16" s="36">
        <v>2</v>
      </c>
      <c r="E16" s="36">
        <v>3</v>
      </c>
      <c r="F16" s="36">
        <v>4</v>
      </c>
      <c r="G16" s="36">
        <v>5</v>
      </c>
      <c r="H16" s="36">
        <v>6</v>
      </c>
      <c r="I16" s="36">
        <v>7</v>
      </c>
      <c r="J16" s="36">
        <v>8</v>
      </c>
      <c r="K16" s="36">
        <v>9</v>
      </c>
      <c r="L16" s="36">
        <v>10</v>
      </c>
      <c r="M16" s="45"/>
      <c r="N16" s="12" t="s">
        <v>5</v>
      </c>
      <c r="O16" s="13">
        <f>SUM(13956/18829)</f>
        <v>0.74119708959583619</v>
      </c>
    </row>
    <row r="17" spans="1:17" s="2" customFormat="1" ht="16.5" customHeight="1" thickBot="1">
      <c r="A17" s="37" t="s">
        <v>281</v>
      </c>
      <c r="B17" s="38" t="s">
        <v>6</v>
      </c>
      <c r="C17" s="8">
        <v>2229</v>
      </c>
      <c r="D17" s="9"/>
      <c r="E17" s="9"/>
      <c r="F17" s="8"/>
      <c r="G17" s="9"/>
      <c r="H17" s="9"/>
      <c r="I17" s="9"/>
      <c r="J17" s="9"/>
      <c r="K17" s="8"/>
      <c r="L17" s="8"/>
      <c r="M17" s="8" t="s">
        <v>4</v>
      </c>
      <c r="N17" s="15"/>
      <c r="O17" s="12" t="s">
        <v>8</v>
      </c>
      <c r="P17" s="12" t="s">
        <v>9</v>
      </c>
      <c r="Q17" s="12" t="s">
        <v>10</v>
      </c>
    </row>
    <row r="18" spans="1:17" s="2" customFormat="1" ht="16.5" customHeight="1" thickBot="1">
      <c r="A18" s="37" t="s">
        <v>146</v>
      </c>
      <c r="B18" s="39" t="s">
        <v>3</v>
      </c>
      <c r="C18" s="8">
        <v>1939</v>
      </c>
      <c r="D18" s="9"/>
      <c r="E18" s="9"/>
      <c r="F18" s="9"/>
      <c r="G18" s="9"/>
      <c r="H18" s="9"/>
      <c r="I18" s="9"/>
      <c r="J18" s="9"/>
      <c r="K18" s="9"/>
      <c r="L18" s="9"/>
      <c r="M18" s="8" t="s">
        <v>7</v>
      </c>
      <c r="N18" s="16" t="s">
        <v>6</v>
      </c>
      <c r="O18" s="17">
        <f>SUM(C17+C21+C23+C25+C28)</f>
        <v>5511</v>
      </c>
      <c r="P18" s="18">
        <f>SUM(O18/O23)</f>
        <v>0.39894310120167947</v>
      </c>
      <c r="Q18" s="15">
        <v>3</v>
      </c>
    </row>
    <row r="19" spans="1:17" s="2" customFormat="1" ht="16.5" customHeight="1" thickBot="1">
      <c r="A19" s="37" t="s">
        <v>184</v>
      </c>
      <c r="B19" s="39" t="s">
        <v>3</v>
      </c>
      <c r="C19" s="8">
        <v>1539</v>
      </c>
      <c r="D19" s="9"/>
      <c r="E19" s="9"/>
      <c r="F19" s="9"/>
      <c r="G19" s="9"/>
      <c r="H19" s="9"/>
      <c r="I19" s="9"/>
      <c r="J19" s="9"/>
      <c r="K19" s="9"/>
      <c r="L19" s="9"/>
      <c r="M19" s="8" t="s">
        <v>11</v>
      </c>
      <c r="N19" s="19" t="s">
        <v>3</v>
      </c>
      <c r="O19" s="17">
        <f>SUM(C18+C19+C24+C26+C27)</f>
        <v>5578</v>
      </c>
      <c r="P19" s="18">
        <f>SUM(O19/O23)</f>
        <v>0.40379325322136961</v>
      </c>
      <c r="Q19" s="15">
        <v>3</v>
      </c>
    </row>
    <row r="20" spans="1:17" s="2" customFormat="1" ht="16.5" customHeight="1" thickBot="1">
      <c r="A20" s="37" t="s">
        <v>336</v>
      </c>
      <c r="B20" s="52" t="s">
        <v>28</v>
      </c>
      <c r="C20" s="9">
        <v>1388</v>
      </c>
      <c r="D20" s="9">
        <v>1416</v>
      </c>
      <c r="E20" s="9">
        <v>1504</v>
      </c>
      <c r="F20" s="9">
        <v>1504</v>
      </c>
      <c r="G20" s="8">
        <v>1569</v>
      </c>
      <c r="H20" s="9"/>
      <c r="I20" s="9"/>
      <c r="J20" s="9"/>
      <c r="K20" s="9"/>
      <c r="L20" s="9"/>
      <c r="M20" s="8" t="s">
        <v>12</v>
      </c>
      <c r="N20" s="29" t="s">
        <v>17</v>
      </c>
      <c r="O20" s="17">
        <v>237</v>
      </c>
      <c r="P20" s="18">
        <f>SUM(O20/O23)</f>
        <v>1.7156507890545823E-2</v>
      </c>
    </row>
    <row r="21" spans="1:17" s="2" customFormat="1" ht="16.5" customHeight="1" thickBot="1">
      <c r="A21" s="37" t="s">
        <v>152</v>
      </c>
      <c r="B21" s="38" t="s">
        <v>6</v>
      </c>
      <c r="C21" s="9">
        <v>1121</v>
      </c>
      <c r="D21" s="9">
        <v>1210</v>
      </c>
      <c r="E21" s="9">
        <v>1213</v>
      </c>
      <c r="F21" s="9">
        <v>1225</v>
      </c>
      <c r="G21" s="9">
        <v>1229</v>
      </c>
      <c r="H21" s="9">
        <v>1291</v>
      </c>
      <c r="I21" s="9">
        <v>1291</v>
      </c>
      <c r="J21" s="9">
        <v>1297</v>
      </c>
      <c r="K21" s="9">
        <v>1340</v>
      </c>
      <c r="L21" s="8">
        <v>1504</v>
      </c>
      <c r="M21" s="8" t="s">
        <v>16</v>
      </c>
      <c r="N21" s="33" t="s">
        <v>19</v>
      </c>
      <c r="O21" s="17">
        <v>989</v>
      </c>
      <c r="P21" s="18">
        <f>SUM(O21/O23)</f>
        <v>7.1594035036919065E-2</v>
      </c>
      <c r="Q21" s="2">
        <v>1</v>
      </c>
    </row>
    <row r="22" spans="1:17" s="2" customFormat="1" ht="16.5" customHeight="1" thickBot="1">
      <c r="A22" s="37" t="s">
        <v>186</v>
      </c>
      <c r="B22" s="56" t="s">
        <v>19</v>
      </c>
      <c r="C22" s="9">
        <v>989</v>
      </c>
      <c r="D22" s="9">
        <v>1059</v>
      </c>
      <c r="E22" s="9">
        <v>1107</v>
      </c>
      <c r="F22" s="9">
        <v>1115</v>
      </c>
      <c r="G22" s="9">
        <v>1143</v>
      </c>
      <c r="H22" s="9">
        <v>1208</v>
      </c>
      <c r="I22" s="9">
        <v>1223</v>
      </c>
      <c r="J22" s="9">
        <v>1325</v>
      </c>
      <c r="K22" s="9">
        <v>1367</v>
      </c>
      <c r="L22" s="8">
        <v>1416</v>
      </c>
      <c r="M22" s="8" t="s">
        <v>209</v>
      </c>
      <c r="N22" s="22" t="s">
        <v>13</v>
      </c>
      <c r="O22" s="17">
        <v>1499</v>
      </c>
      <c r="P22" s="18">
        <f>SUM(O22/O23)</f>
        <v>0.10851310264948603</v>
      </c>
      <c r="Q22" s="2">
        <v>1</v>
      </c>
    </row>
    <row r="23" spans="1:17" s="2" customFormat="1" ht="16.5" customHeight="1" thickBot="1">
      <c r="A23" s="37" t="s">
        <v>153</v>
      </c>
      <c r="B23" s="38" t="s">
        <v>6</v>
      </c>
      <c r="C23" s="9">
        <v>976</v>
      </c>
      <c r="D23" s="9">
        <v>1184</v>
      </c>
      <c r="E23" s="9">
        <v>1192</v>
      </c>
      <c r="F23" s="9">
        <v>1194</v>
      </c>
      <c r="G23" s="9">
        <v>1212</v>
      </c>
      <c r="H23" s="9">
        <v>1456</v>
      </c>
      <c r="I23" s="9">
        <v>1461</v>
      </c>
      <c r="J23" s="9">
        <v>1506</v>
      </c>
      <c r="K23" s="9">
        <v>1513</v>
      </c>
      <c r="L23" s="8">
        <v>1872</v>
      </c>
      <c r="M23" s="8" t="s">
        <v>14</v>
      </c>
      <c r="N23" s="12"/>
      <c r="O23" s="25">
        <v>13814</v>
      </c>
      <c r="P23" s="13"/>
      <c r="Q23" s="15"/>
    </row>
    <row r="24" spans="1:17" s="2" customFormat="1" ht="16.5" customHeight="1" thickBot="1">
      <c r="A24" s="37" t="s">
        <v>151</v>
      </c>
      <c r="B24" s="39" t="s">
        <v>3</v>
      </c>
      <c r="C24" s="9">
        <v>921</v>
      </c>
      <c r="D24" s="9">
        <v>937</v>
      </c>
      <c r="E24" s="9">
        <v>994</v>
      </c>
      <c r="F24" s="9">
        <v>1000</v>
      </c>
      <c r="G24" s="9">
        <v>1018</v>
      </c>
      <c r="H24" s="9">
        <v>1020</v>
      </c>
      <c r="I24" s="9">
        <v>1020</v>
      </c>
      <c r="J24" s="9">
        <v>1198</v>
      </c>
      <c r="K24" s="8">
        <v>1572</v>
      </c>
      <c r="L24" s="9"/>
      <c r="M24" s="8" t="s">
        <v>15</v>
      </c>
    </row>
    <row r="25" spans="1:17" s="2" customFormat="1" ht="16.5" customHeight="1" thickBot="1">
      <c r="A25" s="40" t="s">
        <v>330</v>
      </c>
      <c r="B25" s="41" t="s">
        <v>6</v>
      </c>
      <c r="C25" s="9">
        <v>654</v>
      </c>
      <c r="D25" s="9">
        <v>828</v>
      </c>
      <c r="E25" s="9">
        <v>838</v>
      </c>
      <c r="F25" s="9">
        <v>855</v>
      </c>
      <c r="G25" s="9">
        <v>860</v>
      </c>
      <c r="H25" s="9">
        <v>927</v>
      </c>
      <c r="I25" s="9">
        <v>931</v>
      </c>
      <c r="J25" s="9">
        <v>946</v>
      </c>
      <c r="K25" s="9">
        <v>1023</v>
      </c>
      <c r="L25" s="9" t="s">
        <v>30</v>
      </c>
    </row>
    <row r="26" spans="1:17" s="2" customFormat="1" ht="16.5" customHeight="1" thickBot="1">
      <c r="A26" s="40" t="s">
        <v>150</v>
      </c>
      <c r="B26" s="42" t="s">
        <v>3</v>
      </c>
      <c r="C26" s="9">
        <v>630</v>
      </c>
      <c r="D26" s="9">
        <v>661</v>
      </c>
      <c r="E26" s="9">
        <v>727</v>
      </c>
      <c r="F26" s="9">
        <v>785</v>
      </c>
      <c r="G26" s="9">
        <v>787</v>
      </c>
      <c r="H26" s="9">
        <v>788</v>
      </c>
      <c r="I26" s="9">
        <v>788</v>
      </c>
      <c r="J26" s="9">
        <v>916</v>
      </c>
      <c r="K26" s="9" t="s">
        <v>30</v>
      </c>
    </row>
    <row r="27" spans="1:17" s="2" customFormat="1" ht="16.5" customHeight="1" thickBot="1">
      <c r="A27" s="40" t="s">
        <v>149</v>
      </c>
      <c r="B27" s="42" t="s">
        <v>3</v>
      </c>
      <c r="C27" s="9">
        <v>549</v>
      </c>
      <c r="D27" s="9">
        <v>557</v>
      </c>
      <c r="E27" s="9">
        <v>662</v>
      </c>
      <c r="F27" s="9">
        <v>662</v>
      </c>
      <c r="G27" s="9">
        <v>701</v>
      </c>
      <c r="H27" s="9">
        <v>773</v>
      </c>
      <c r="I27" s="9">
        <v>783</v>
      </c>
      <c r="J27" s="9" t="s">
        <v>30</v>
      </c>
      <c r="M27" s="23"/>
    </row>
    <row r="28" spans="1:17" s="2" customFormat="1" ht="16.5" customHeight="1" thickBot="1">
      <c r="A28" s="40" t="s">
        <v>148</v>
      </c>
      <c r="B28" s="41" t="s">
        <v>6</v>
      </c>
      <c r="C28" s="9">
        <v>531</v>
      </c>
      <c r="D28" s="9">
        <v>590</v>
      </c>
      <c r="E28" s="9">
        <v>599</v>
      </c>
      <c r="F28" s="9">
        <v>599</v>
      </c>
      <c r="G28" s="9">
        <v>633</v>
      </c>
      <c r="H28" s="9" t="s">
        <v>30</v>
      </c>
      <c r="I28" s="23"/>
      <c r="L28" s="23"/>
      <c r="M28" s="23"/>
      <c r="N28" s="12"/>
      <c r="O28" s="13"/>
    </row>
    <row r="29" spans="1:17" s="2" customFormat="1" ht="16.5" customHeight="1" thickBot="1">
      <c r="A29" s="40" t="s">
        <v>337</v>
      </c>
      <c r="B29" s="50" t="s">
        <v>17</v>
      </c>
      <c r="C29" s="9">
        <v>237</v>
      </c>
      <c r="D29" s="9">
        <v>241</v>
      </c>
      <c r="E29" s="9">
        <v>250</v>
      </c>
      <c r="F29" s="9">
        <v>250</v>
      </c>
      <c r="G29" s="9" t="s">
        <v>30</v>
      </c>
      <c r="H29" s="23"/>
      <c r="I29" s="23"/>
      <c r="J29" s="23"/>
    </row>
    <row r="30" spans="1:17" s="2" customFormat="1" ht="16.5" customHeight="1" thickBot="1">
      <c r="A30" s="40" t="s">
        <v>147</v>
      </c>
      <c r="B30" s="44" t="s">
        <v>28</v>
      </c>
      <c r="C30" s="9">
        <v>111</v>
      </c>
      <c r="D30" s="9">
        <v>118</v>
      </c>
      <c r="E30" s="9">
        <v>119</v>
      </c>
      <c r="F30" s="9" t="s">
        <v>30</v>
      </c>
      <c r="G30" s="23"/>
      <c r="H30" s="23"/>
      <c r="I30" s="23"/>
      <c r="J30" s="23"/>
      <c r="K30" s="23"/>
      <c r="L30" s="23"/>
      <c r="M30" s="23"/>
      <c r="N30" s="46"/>
      <c r="O30" s="17"/>
      <c r="P30" s="18"/>
    </row>
    <row r="31" spans="1:17" s="2" customFormat="1" ht="11.25" customHeight="1">
      <c r="A31" s="28"/>
      <c r="B31" s="47"/>
      <c r="C31" s="28"/>
      <c r="D31" s="28"/>
      <c r="E31" s="28"/>
      <c r="F31" s="23"/>
      <c r="G31" s="23"/>
      <c r="H31" s="23"/>
      <c r="I31" s="23"/>
      <c r="J31" s="23"/>
      <c r="N31" s="18"/>
    </row>
    <row r="32" spans="1:17" s="2" customFormat="1" ht="17.45" customHeight="1">
      <c r="A32" s="1" t="s">
        <v>343</v>
      </c>
    </row>
    <row r="33" spans="1:17" s="2" customFormat="1" ht="10.5" customHeight="1" thickBot="1">
      <c r="A33" s="1"/>
    </row>
    <row r="34" spans="1:17" s="2" customFormat="1" ht="16.5" customHeight="1" thickBot="1">
      <c r="A34" s="3" t="s">
        <v>0</v>
      </c>
      <c r="B34" s="4" t="s">
        <v>1</v>
      </c>
      <c r="C34" s="4" t="s">
        <v>2</v>
      </c>
      <c r="D34" s="4">
        <v>2</v>
      </c>
      <c r="E34" s="4">
        <v>3</v>
      </c>
      <c r="F34" s="4">
        <v>4</v>
      </c>
      <c r="G34" s="4">
        <v>5</v>
      </c>
      <c r="H34" s="4">
        <v>6</v>
      </c>
      <c r="I34" s="4">
        <v>7</v>
      </c>
      <c r="J34" s="4">
        <v>8</v>
      </c>
      <c r="K34" s="4">
        <v>9</v>
      </c>
      <c r="L34" s="4">
        <v>10</v>
      </c>
      <c r="M34" s="5"/>
      <c r="N34" s="12" t="s">
        <v>5</v>
      </c>
      <c r="O34" s="13">
        <f>SUM(13171/18079)</f>
        <v>0.72852480778804141</v>
      </c>
    </row>
    <row r="35" spans="1:17" s="2" customFormat="1" ht="16.5" customHeight="1" thickBot="1">
      <c r="A35" s="6" t="s">
        <v>331</v>
      </c>
      <c r="B35" s="14" t="s">
        <v>6</v>
      </c>
      <c r="C35" s="8">
        <v>2581</v>
      </c>
      <c r="D35" s="9"/>
      <c r="E35" s="8"/>
      <c r="F35" s="9"/>
      <c r="G35" s="9"/>
      <c r="H35" s="9"/>
      <c r="I35" s="9"/>
      <c r="J35" s="9"/>
      <c r="K35" s="11"/>
      <c r="L35" s="9"/>
      <c r="M35" s="11" t="s">
        <v>4</v>
      </c>
      <c r="N35" s="15"/>
      <c r="O35" s="12" t="s">
        <v>8</v>
      </c>
      <c r="P35" s="12" t="s">
        <v>9</v>
      </c>
      <c r="Q35" s="12" t="s">
        <v>10</v>
      </c>
    </row>
    <row r="36" spans="1:17" s="2" customFormat="1" ht="16.5" customHeight="1" thickBot="1">
      <c r="A36" s="6" t="s">
        <v>341</v>
      </c>
      <c r="B36" s="14" t="s">
        <v>6</v>
      </c>
      <c r="C36" s="9">
        <v>1414</v>
      </c>
      <c r="D36" s="9">
        <v>1704</v>
      </c>
      <c r="E36" s="9">
        <v>1721</v>
      </c>
      <c r="F36" s="9">
        <v>1730</v>
      </c>
      <c r="G36" s="9">
        <v>1738</v>
      </c>
      <c r="H36" s="8">
        <v>1982</v>
      </c>
      <c r="I36" s="8"/>
      <c r="J36" s="8"/>
      <c r="K36" s="8"/>
      <c r="L36" s="8"/>
      <c r="M36" s="11" t="s">
        <v>7</v>
      </c>
      <c r="N36" s="16" t="s">
        <v>6</v>
      </c>
      <c r="O36" s="17">
        <f>SUM(C35+C36+C37+C39+C42)</f>
        <v>7238</v>
      </c>
      <c r="P36" s="18">
        <f>SUM(O36/O39)</f>
        <v>0.55625576391023668</v>
      </c>
      <c r="Q36" s="15">
        <v>4</v>
      </c>
    </row>
    <row r="37" spans="1:17" s="2" customFormat="1" ht="16.5" customHeight="1" thickBot="1">
      <c r="A37" s="6" t="s">
        <v>216</v>
      </c>
      <c r="B37" s="14" t="s">
        <v>6</v>
      </c>
      <c r="C37" s="9">
        <v>1324</v>
      </c>
      <c r="D37" s="9">
        <v>1461</v>
      </c>
      <c r="E37" s="9">
        <v>1472</v>
      </c>
      <c r="F37" s="9">
        <v>1577</v>
      </c>
      <c r="G37" s="9">
        <v>1583</v>
      </c>
      <c r="H37" s="9">
        <v>1662</v>
      </c>
      <c r="I37" s="9">
        <v>1703</v>
      </c>
      <c r="J37" s="9">
        <v>1710</v>
      </c>
      <c r="K37" s="9">
        <v>1714</v>
      </c>
      <c r="L37" s="8">
        <v>1774</v>
      </c>
      <c r="M37" s="8" t="s">
        <v>15</v>
      </c>
      <c r="N37" s="19" t="s">
        <v>3</v>
      </c>
      <c r="O37" s="17">
        <f>SUM(C38+C40+C43+C44+C45+C46)</f>
        <v>4876</v>
      </c>
      <c r="P37" s="18">
        <f>SUM(O37/O39)</f>
        <v>0.3747310175222871</v>
      </c>
      <c r="Q37" s="15">
        <v>2</v>
      </c>
    </row>
    <row r="38" spans="1:17" s="2" customFormat="1" ht="16.5" customHeight="1" thickBot="1">
      <c r="A38" s="6" t="s">
        <v>332</v>
      </c>
      <c r="B38" s="7" t="s">
        <v>3</v>
      </c>
      <c r="C38" s="9">
        <v>1284</v>
      </c>
      <c r="D38" s="9">
        <v>1300</v>
      </c>
      <c r="E38" s="9">
        <v>1406</v>
      </c>
      <c r="F38" s="9">
        <v>1593</v>
      </c>
      <c r="G38" s="9">
        <v>1801</v>
      </c>
      <c r="H38" s="9">
        <v>1821</v>
      </c>
      <c r="I38" s="9">
        <v>1823</v>
      </c>
      <c r="J38" s="8">
        <v>2149</v>
      </c>
      <c r="K38" s="8"/>
      <c r="L38" s="11"/>
      <c r="M38" s="11" t="s">
        <v>11</v>
      </c>
      <c r="N38" s="12" t="s">
        <v>13</v>
      </c>
      <c r="O38" s="23">
        <v>898</v>
      </c>
      <c r="P38" s="13">
        <f>SUM(O38/O39)</f>
        <v>6.9013218567476178E-2</v>
      </c>
    </row>
    <row r="39" spans="1:17" s="2" customFormat="1" ht="16.5" customHeight="1" thickBot="1">
      <c r="A39" s="6" t="s">
        <v>301</v>
      </c>
      <c r="B39" s="14" t="s">
        <v>6</v>
      </c>
      <c r="C39" s="9">
        <v>1071</v>
      </c>
      <c r="D39" s="9">
        <v>1146</v>
      </c>
      <c r="E39" s="9">
        <v>1159</v>
      </c>
      <c r="F39" s="9">
        <v>1168</v>
      </c>
      <c r="G39" s="9">
        <v>1181</v>
      </c>
      <c r="H39" s="9">
        <v>1471</v>
      </c>
      <c r="I39" s="9">
        <v>1545</v>
      </c>
      <c r="J39" s="9">
        <v>1620</v>
      </c>
      <c r="K39" s="9">
        <v>1625</v>
      </c>
      <c r="L39" s="8">
        <v>1728</v>
      </c>
      <c r="M39" s="11" t="s">
        <v>14</v>
      </c>
      <c r="N39" s="15"/>
      <c r="O39" s="25">
        <v>13012</v>
      </c>
      <c r="Q39" s="15"/>
    </row>
    <row r="40" spans="1:17" s="2" customFormat="1" ht="16.5" customHeight="1" thickBot="1">
      <c r="A40" s="6" t="s">
        <v>300</v>
      </c>
      <c r="B40" s="7" t="s">
        <v>3</v>
      </c>
      <c r="C40" s="9">
        <v>934</v>
      </c>
      <c r="D40" s="9">
        <v>947</v>
      </c>
      <c r="E40" s="9">
        <v>1005</v>
      </c>
      <c r="F40" s="9">
        <v>1250</v>
      </c>
      <c r="G40" s="9">
        <v>1299</v>
      </c>
      <c r="H40" s="9">
        <v>1309</v>
      </c>
      <c r="I40" s="9">
        <v>1310</v>
      </c>
      <c r="J40" s="9">
        <v>1503</v>
      </c>
      <c r="K40" s="9">
        <v>1699</v>
      </c>
      <c r="L40" s="8">
        <v>1955</v>
      </c>
      <c r="M40" s="11" t="s">
        <v>12</v>
      </c>
    </row>
    <row r="41" spans="1:17" s="2" customFormat="1" ht="16.5" customHeight="1" thickBot="1">
      <c r="A41" s="20" t="s">
        <v>162</v>
      </c>
      <c r="B41" s="26" t="s">
        <v>28</v>
      </c>
      <c r="C41" s="9">
        <v>898</v>
      </c>
      <c r="D41" s="9">
        <v>949</v>
      </c>
      <c r="E41" s="9">
        <v>1016</v>
      </c>
      <c r="F41" s="9">
        <v>1043</v>
      </c>
      <c r="G41" s="9">
        <v>1124</v>
      </c>
      <c r="H41" s="9">
        <v>1185</v>
      </c>
      <c r="I41" s="9">
        <v>1189</v>
      </c>
      <c r="J41" s="9">
        <v>1361</v>
      </c>
      <c r="K41" s="9">
        <v>1380</v>
      </c>
      <c r="L41" s="8" t="s">
        <v>30</v>
      </c>
    </row>
    <row r="42" spans="1:17" s="2" customFormat="1" ht="16.5" customHeight="1" thickBot="1">
      <c r="A42" s="20" t="s">
        <v>333</v>
      </c>
      <c r="B42" s="21" t="s">
        <v>6</v>
      </c>
      <c r="C42" s="9">
        <v>848</v>
      </c>
      <c r="D42" s="10">
        <v>918</v>
      </c>
      <c r="E42" s="9">
        <v>923</v>
      </c>
      <c r="F42" s="9">
        <v>935</v>
      </c>
      <c r="G42" s="9">
        <v>1007</v>
      </c>
      <c r="H42" s="9" t="s">
        <v>30</v>
      </c>
      <c r="I42" s="23"/>
      <c r="J42" s="23"/>
      <c r="K42" s="23"/>
      <c r="L42" s="23"/>
    </row>
    <row r="43" spans="1:17" s="2" customFormat="1" ht="16.5" customHeight="1" thickBot="1">
      <c r="A43" s="20" t="s">
        <v>340</v>
      </c>
      <c r="B43" s="27" t="s">
        <v>3</v>
      </c>
      <c r="C43" s="9">
        <v>728</v>
      </c>
      <c r="D43" s="10">
        <v>737</v>
      </c>
      <c r="E43" s="10">
        <v>825</v>
      </c>
      <c r="F43" s="10">
        <v>865</v>
      </c>
      <c r="G43" s="9">
        <v>1128</v>
      </c>
      <c r="H43" s="9">
        <v>1174</v>
      </c>
      <c r="I43" s="9">
        <v>1175</v>
      </c>
      <c r="J43" s="9" t="s">
        <v>30</v>
      </c>
    </row>
    <row r="44" spans="1:17" s="2" customFormat="1" ht="16.5" customHeight="1" thickBot="1">
      <c r="A44" s="20" t="s">
        <v>221</v>
      </c>
      <c r="B44" s="27" t="s">
        <v>3</v>
      </c>
      <c r="C44" s="9">
        <v>720</v>
      </c>
      <c r="D44" s="9">
        <v>731</v>
      </c>
      <c r="E44" s="9">
        <v>765</v>
      </c>
      <c r="F44" s="9" t="s">
        <v>30</v>
      </c>
    </row>
    <row r="45" spans="1:17" s="2" customFormat="1" ht="16.5" customHeight="1" thickBot="1">
      <c r="A45" s="20" t="s">
        <v>339</v>
      </c>
      <c r="B45" s="27" t="s">
        <v>3</v>
      </c>
      <c r="C45" s="9">
        <v>673</v>
      </c>
      <c r="D45" s="9">
        <v>680</v>
      </c>
      <c r="E45" s="9">
        <v>775</v>
      </c>
      <c r="F45" s="9">
        <v>796</v>
      </c>
      <c r="G45" s="9" t="s">
        <v>30</v>
      </c>
      <c r="K45"/>
    </row>
    <row r="46" spans="1:17" s="2" customFormat="1" ht="16.5" customHeight="1" thickBot="1">
      <c r="A46" s="20" t="s">
        <v>338</v>
      </c>
      <c r="B46" s="27" t="s">
        <v>3</v>
      </c>
      <c r="C46" s="10">
        <v>537</v>
      </c>
      <c r="D46" s="10">
        <v>580</v>
      </c>
      <c r="E46" s="9" t="s">
        <v>30</v>
      </c>
      <c r="G46" s="23"/>
      <c r="H46"/>
      <c r="I46"/>
      <c r="J46"/>
    </row>
    <row r="48" spans="1:17" s="2" customFormat="1" ht="17.45" customHeight="1">
      <c r="A48" s="31" t="s">
        <v>170</v>
      </c>
      <c r="B48" s="23"/>
      <c r="C48" s="23"/>
      <c r="D48" s="23"/>
      <c r="E48" s="23"/>
      <c r="F48" s="23"/>
      <c r="G48" s="23"/>
      <c r="H48" s="23"/>
      <c r="I48" s="23"/>
      <c r="J48" s="23"/>
    </row>
    <row r="49" spans="1:16" s="2" customFormat="1" ht="8.25" customHeight="1" thickBot="1">
      <c r="A49" s="31"/>
      <c r="B49" s="23"/>
      <c r="C49" s="23"/>
      <c r="D49" s="23"/>
      <c r="E49" s="23"/>
      <c r="F49" s="23"/>
      <c r="G49" s="23"/>
      <c r="H49" s="23"/>
      <c r="I49" s="23"/>
      <c r="J49" s="23"/>
    </row>
    <row r="50" spans="1:16" s="2" customFormat="1" ht="17.45" customHeight="1" thickBot="1">
      <c r="A50" s="35" t="s">
        <v>0</v>
      </c>
      <c r="B50" s="36" t="s">
        <v>1</v>
      </c>
      <c r="C50" s="36" t="s">
        <v>2</v>
      </c>
      <c r="D50" s="36">
        <v>2</v>
      </c>
      <c r="E50" s="36">
        <v>3</v>
      </c>
      <c r="F50" s="36">
        <v>4</v>
      </c>
      <c r="G50" s="36">
        <v>5</v>
      </c>
      <c r="H50" s="36">
        <v>6</v>
      </c>
      <c r="I50" s="36">
        <v>7</v>
      </c>
      <c r="J50" s="36">
        <v>8</v>
      </c>
      <c r="K50" s="36"/>
      <c r="L50" s="25" t="s">
        <v>5</v>
      </c>
      <c r="M50" s="13">
        <f>SUM(8146/12464)</f>
        <v>0.65356225930680356</v>
      </c>
      <c r="O50" s="13"/>
    </row>
    <row r="51" spans="1:16" s="2" customFormat="1" ht="17.45" customHeight="1" thickBot="1">
      <c r="A51" s="37" t="s">
        <v>171</v>
      </c>
      <c r="B51" s="39" t="s">
        <v>3</v>
      </c>
      <c r="C51" s="8">
        <v>1571</v>
      </c>
      <c r="D51" s="9"/>
      <c r="E51" s="8"/>
      <c r="F51" s="9"/>
      <c r="G51" s="9"/>
      <c r="H51" s="8"/>
      <c r="I51" s="9"/>
      <c r="J51" s="9"/>
      <c r="K51" s="8" t="s">
        <v>4</v>
      </c>
      <c r="L51" s="17"/>
      <c r="M51" s="12" t="s">
        <v>8</v>
      </c>
      <c r="N51" s="12" t="s">
        <v>9</v>
      </c>
      <c r="O51" s="12" t="s">
        <v>10</v>
      </c>
    </row>
    <row r="52" spans="1:16" s="2" customFormat="1" ht="17.45" customHeight="1" thickBot="1">
      <c r="A52" s="37" t="s">
        <v>334</v>
      </c>
      <c r="B52" s="38" t="s">
        <v>6</v>
      </c>
      <c r="C52" s="52">
        <v>1570</v>
      </c>
      <c r="D52" s="9"/>
      <c r="E52" s="9"/>
      <c r="F52" s="8"/>
      <c r="G52" s="9"/>
      <c r="H52" s="9"/>
      <c r="I52" s="9"/>
      <c r="J52" s="9"/>
      <c r="K52" s="8" t="s">
        <v>7</v>
      </c>
      <c r="L52" s="48" t="s">
        <v>6</v>
      </c>
      <c r="M52" s="17">
        <f>SUM(C52+C54+C55+C56)</f>
        <v>4061</v>
      </c>
      <c r="N52" s="18">
        <f>SUM(M52/M55)</f>
        <v>0.50553964894808912</v>
      </c>
      <c r="O52" s="15">
        <v>3</v>
      </c>
    </row>
    <row r="53" spans="1:16" s="2" customFormat="1" ht="17.45" customHeight="1" thickBot="1">
      <c r="A53" s="37" t="s">
        <v>335</v>
      </c>
      <c r="B53" s="90" t="s">
        <v>134</v>
      </c>
      <c r="C53" s="9">
        <v>924</v>
      </c>
      <c r="D53" s="9">
        <v>932</v>
      </c>
      <c r="E53" s="9">
        <v>940</v>
      </c>
      <c r="F53" s="9">
        <v>962</v>
      </c>
      <c r="G53" s="9">
        <v>969</v>
      </c>
      <c r="H53" s="9">
        <v>1189</v>
      </c>
      <c r="I53" s="9">
        <v>1295</v>
      </c>
      <c r="J53" s="8">
        <v>1321</v>
      </c>
      <c r="K53" s="8" t="s">
        <v>12</v>
      </c>
      <c r="L53" s="49" t="s">
        <v>3</v>
      </c>
      <c r="M53" s="17">
        <f>SUM(C51+C57+C58+C60)</f>
        <v>2823</v>
      </c>
      <c r="N53" s="18">
        <f>SUM(M53/M55)</f>
        <v>0.3514253703473173</v>
      </c>
      <c r="O53" s="15">
        <v>1</v>
      </c>
    </row>
    <row r="54" spans="1:16" s="2" customFormat="1" ht="17.45" customHeight="1" thickBot="1">
      <c r="A54" s="37" t="s">
        <v>344</v>
      </c>
      <c r="B54" s="38" t="s">
        <v>6</v>
      </c>
      <c r="C54" s="9">
        <v>843</v>
      </c>
      <c r="D54" s="9">
        <v>946</v>
      </c>
      <c r="E54" s="9">
        <v>1031</v>
      </c>
      <c r="F54" s="9">
        <v>1115</v>
      </c>
      <c r="G54" s="9">
        <v>1155</v>
      </c>
      <c r="H54" s="9">
        <v>1164</v>
      </c>
      <c r="I54" s="9">
        <v>1239</v>
      </c>
      <c r="J54" s="8">
        <v>1477</v>
      </c>
      <c r="K54" s="8" t="s">
        <v>11</v>
      </c>
      <c r="L54" s="25" t="s">
        <v>13</v>
      </c>
      <c r="M54" s="23">
        <f>SUM(C53+C59)</f>
        <v>1139</v>
      </c>
      <c r="N54" s="13">
        <f>SUM(M54/M55)</f>
        <v>0.14179011577243869</v>
      </c>
      <c r="O54" s="2">
        <v>1</v>
      </c>
    </row>
    <row r="55" spans="1:16" s="2" customFormat="1" ht="17.45" customHeight="1" thickBot="1">
      <c r="A55" s="37" t="s">
        <v>142</v>
      </c>
      <c r="B55" s="38" t="s">
        <v>6</v>
      </c>
      <c r="C55" s="9">
        <v>832</v>
      </c>
      <c r="D55" s="9">
        <v>833</v>
      </c>
      <c r="E55" s="9">
        <v>922</v>
      </c>
      <c r="F55" s="9">
        <v>929</v>
      </c>
      <c r="G55" s="9">
        <v>931</v>
      </c>
      <c r="H55" s="9">
        <v>984</v>
      </c>
      <c r="I55" s="9">
        <v>997</v>
      </c>
      <c r="J55" s="8">
        <v>1088</v>
      </c>
      <c r="K55" s="8" t="s">
        <v>15</v>
      </c>
      <c r="L55" s="23"/>
      <c r="M55" s="25">
        <v>8033</v>
      </c>
    </row>
    <row r="56" spans="1:16" s="2" customFormat="1" ht="17.45" customHeight="1" thickBot="1">
      <c r="A56" s="40" t="s">
        <v>229</v>
      </c>
      <c r="B56" s="41" t="s">
        <v>6</v>
      </c>
      <c r="C56" s="9">
        <v>816</v>
      </c>
      <c r="D56" s="9">
        <v>820</v>
      </c>
      <c r="E56" s="9">
        <v>838</v>
      </c>
      <c r="F56" s="9">
        <v>849</v>
      </c>
      <c r="G56" s="9">
        <v>896</v>
      </c>
      <c r="H56" s="9">
        <v>899</v>
      </c>
      <c r="I56" s="9">
        <v>954</v>
      </c>
      <c r="J56" s="9" t="s">
        <v>30</v>
      </c>
      <c r="L56" s="23"/>
    </row>
    <row r="57" spans="1:16" s="2" customFormat="1" ht="17.45" customHeight="1" thickBot="1">
      <c r="A57" s="40" t="s">
        <v>143</v>
      </c>
      <c r="B57" s="42" t="s">
        <v>3</v>
      </c>
      <c r="C57" s="9">
        <v>609</v>
      </c>
      <c r="D57" s="9">
        <v>649</v>
      </c>
      <c r="E57" s="9">
        <v>661</v>
      </c>
      <c r="F57" s="9">
        <v>665</v>
      </c>
      <c r="G57" s="9">
        <v>726</v>
      </c>
      <c r="H57" s="9">
        <v>842</v>
      </c>
      <c r="I57" s="9" t="s">
        <v>30</v>
      </c>
      <c r="K57" s="23"/>
      <c r="L57" s="23"/>
    </row>
    <row r="58" spans="1:16" s="2" customFormat="1" ht="17.45" customHeight="1" thickBot="1">
      <c r="A58" s="40" t="s">
        <v>508</v>
      </c>
      <c r="B58" s="42" t="s">
        <v>3</v>
      </c>
      <c r="C58" s="9">
        <v>436</v>
      </c>
      <c r="D58" s="9">
        <v>455</v>
      </c>
      <c r="E58" s="9">
        <v>461</v>
      </c>
      <c r="F58" s="9">
        <v>461</v>
      </c>
      <c r="G58" s="9">
        <v>496</v>
      </c>
      <c r="H58" s="9" t="s">
        <v>30</v>
      </c>
      <c r="L58" s="23"/>
      <c r="M58" s="25"/>
      <c r="N58" s="23"/>
      <c r="O58" s="13"/>
    </row>
    <row r="59" spans="1:16" s="2" customFormat="1" ht="17.45" customHeight="1" thickBot="1">
      <c r="A59" s="40" t="s">
        <v>144</v>
      </c>
      <c r="B59" s="44" t="s">
        <v>28</v>
      </c>
      <c r="C59" s="9">
        <v>215</v>
      </c>
      <c r="D59" s="9">
        <v>227</v>
      </c>
      <c r="E59" s="9">
        <v>239</v>
      </c>
      <c r="F59" s="9" t="s">
        <v>30</v>
      </c>
      <c r="G59" s="23"/>
      <c r="H59" s="23"/>
      <c r="I59" s="23"/>
      <c r="J59" s="23"/>
      <c r="K59" s="25"/>
    </row>
    <row r="60" spans="1:16" s="2" customFormat="1" ht="17.45" customHeight="1" thickBot="1">
      <c r="A60" s="40" t="s">
        <v>145</v>
      </c>
      <c r="B60" s="42" t="s">
        <v>3</v>
      </c>
      <c r="C60" s="9">
        <v>207</v>
      </c>
      <c r="D60" s="9">
        <v>253</v>
      </c>
      <c r="E60" s="9">
        <v>255</v>
      </c>
      <c r="F60" s="9">
        <v>293</v>
      </c>
      <c r="G60" s="9" t="s">
        <v>30</v>
      </c>
      <c r="H60" s="23"/>
      <c r="I60" s="23"/>
      <c r="J60" s="25"/>
      <c r="L60" s="13"/>
      <c r="M60" s="13"/>
    </row>
    <row r="61" spans="1:16" s="2" customFormat="1" ht="13.5" customHeight="1">
      <c r="A61" s="28"/>
      <c r="B61" s="80"/>
      <c r="C61" s="28"/>
      <c r="D61" s="28"/>
      <c r="E61" s="28"/>
      <c r="F61" s="23"/>
      <c r="G61" s="23"/>
      <c r="H61" s="23"/>
      <c r="I61" s="23"/>
      <c r="J61" s="25"/>
      <c r="L61" s="13"/>
      <c r="M61" s="13"/>
    </row>
    <row r="62" spans="1:16" s="2" customFormat="1" ht="17.45" customHeight="1">
      <c r="A62" s="31" t="s">
        <v>345</v>
      </c>
      <c r="B62" s="23"/>
      <c r="C62" s="23"/>
      <c r="D62" s="23"/>
      <c r="E62" s="23"/>
      <c r="F62" s="23"/>
      <c r="G62" s="23"/>
      <c r="H62" s="23"/>
      <c r="I62" s="23"/>
      <c r="J62" s="23"/>
    </row>
    <row r="63" spans="1:16" s="2" customFormat="1" ht="10.5" customHeight="1" thickBot="1">
      <c r="A63" s="31"/>
      <c r="B63" s="23"/>
      <c r="C63" s="23"/>
      <c r="D63" s="23"/>
      <c r="E63" s="23"/>
      <c r="F63" s="23"/>
      <c r="G63" s="23"/>
      <c r="H63" s="23"/>
      <c r="I63" s="23"/>
      <c r="J63" s="23"/>
    </row>
    <row r="64" spans="1:16" s="2" customFormat="1" ht="16.5" customHeight="1" thickBot="1">
      <c r="A64" s="35" t="s">
        <v>0</v>
      </c>
      <c r="B64" s="36" t="s">
        <v>1</v>
      </c>
      <c r="C64" s="36" t="s">
        <v>2</v>
      </c>
      <c r="D64" s="36">
        <v>2</v>
      </c>
      <c r="E64" s="36">
        <v>3</v>
      </c>
      <c r="F64" s="36">
        <v>4</v>
      </c>
      <c r="G64" s="36">
        <v>5</v>
      </c>
      <c r="H64" s="36">
        <v>6</v>
      </c>
      <c r="I64" s="36">
        <v>7</v>
      </c>
      <c r="J64" s="36">
        <v>8</v>
      </c>
      <c r="K64" s="36">
        <v>9</v>
      </c>
      <c r="L64" s="36">
        <v>10</v>
      </c>
      <c r="M64" s="36">
        <v>11</v>
      </c>
      <c r="N64" s="45"/>
      <c r="O64" s="12" t="s">
        <v>5</v>
      </c>
      <c r="P64" s="13">
        <f>SUM(16676/25431)</f>
        <v>0.65573512642051035</v>
      </c>
    </row>
    <row r="65" spans="1:20" s="2" customFormat="1" ht="16.5" customHeight="1" thickBot="1">
      <c r="A65" s="37" t="s">
        <v>191</v>
      </c>
      <c r="B65" s="38" t="s">
        <v>6</v>
      </c>
      <c r="C65" s="8">
        <v>2654</v>
      </c>
      <c r="D65" s="8"/>
      <c r="E65" s="9"/>
      <c r="F65" s="8"/>
      <c r="G65" s="9"/>
      <c r="H65" s="8"/>
      <c r="I65" s="8"/>
      <c r="J65" s="9"/>
      <c r="K65" s="9"/>
      <c r="L65" s="9"/>
      <c r="M65" s="9"/>
      <c r="N65" s="8" t="s">
        <v>4</v>
      </c>
      <c r="O65" s="15"/>
      <c r="P65" s="12" t="s">
        <v>8</v>
      </c>
      <c r="Q65" s="12" t="s">
        <v>9</v>
      </c>
      <c r="R65" s="12" t="s">
        <v>10</v>
      </c>
    </row>
    <row r="66" spans="1:20" s="2" customFormat="1" ht="16.5" customHeight="1" thickBot="1">
      <c r="A66" s="37" t="s">
        <v>193</v>
      </c>
      <c r="B66" s="39" t="s">
        <v>3</v>
      </c>
      <c r="C66" s="8">
        <v>2616</v>
      </c>
      <c r="D66" s="9"/>
      <c r="E66" s="9"/>
      <c r="F66" s="9"/>
      <c r="G66" s="8"/>
      <c r="H66" s="9"/>
      <c r="I66" s="9"/>
      <c r="J66" s="8"/>
      <c r="K66" s="8"/>
      <c r="L66" s="8"/>
      <c r="M66" s="8"/>
      <c r="N66" s="8" t="s">
        <v>7</v>
      </c>
      <c r="O66" s="16" t="s">
        <v>6</v>
      </c>
      <c r="P66" s="17">
        <f>SUM(C65+C68+C71+C73+C74)</f>
        <v>6708</v>
      </c>
      <c r="Q66" s="18">
        <f>SUM(P66/P71)</f>
        <v>0.41461153346931207</v>
      </c>
      <c r="R66" s="15">
        <v>3</v>
      </c>
    </row>
    <row r="67" spans="1:20" s="2" customFormat="1" ht="16.5" customHeight="1" thickBot="1">
      <c r="A67" s="37" t="s">
        <v>194</v>
      </c>
      <c r="B67" s="56" t="s">
        <v>19</v>
      </c>
      <c r="C67" s="9">
        <v>1580</v>
      </c>
      <c r="D67" s="9">
        <v>1599</v>
      </c>
      <c r="E67" s="9">
        <v>1617</v>
      </c>
      <c r="F67" s="9">
        <v>1693</v>
      </c>
      <c r="G67" s="9">
        <v>1714</v>
      </c>
      <c r="H67" s="9">
        <v>1731</v>
      </c>
      <c r="I67" s="9">
        <v>1901</v>
      </c>
      <c r="J67" s="9">
        <v>1989</v>
      </c>
      <c r="K67" s="9">
        <v>2008</v>
      </c>
      <c r="L67" s="8">
        <v>2117</v>
      </c>
      <c r="M67" s="9"/>
      <c r="N67" s="8" t="s">
        <v>11</v>
      </c>
      <c r="O67" s="19" t="s">
        <v>3</v>
      </c>
      <c r="P67" s="17">
        <f>SUM(C66+C69+C75+C76+C78)</f>
        <v>5649</v>
      </c>
      <c r="Q67" s="18">
        <f>SUM(P67/P71)</f>
        <v>0.34915631374003336</v>
      </c>
      <c r="R67" s="15">
        <v>2</v>
      </c>
    </row>
    <row r="68" spans="1:20" s="2" customFormat="1" ht="16.5" customHeight="1" thickBot="1">
      <c r="A68" s="37" t="s">
        <v>392</v>
      </c>
      <c r="B68" s="38" t="s">
        <v>6</v>
      </c>
      <c r="C68" s="9">
        <v>1316</v>
      </c>
      <c r="D68" s="9">
        <v>1377</v>
      </c>
      <c r="E68" s="9">
        <v>1387</v>
      </c>
      <c r="F68" s="9">
        <v>1392</v>
      </c>
      <c r="G68" s="9">
        <v>1414</v>
      </c>
      <c r="H68" s="9">
        <v>1422</v>
      </c>
      <c r="I68" s="9">
        <v>1454</v>
      </c>
      <c r="J68" s="9">
        <v>1458</v>
      </c>
      <c r="K68" s="9">
        <v>1570</v>
      </c>
      <c r="L68" s="9">
        <v>1594</v>
      </c>
      <c r="M68" s="8">
        <v>2006</v>
      </c>
      <c r="N68" s="8" t="s">
        <v>12</v>
      </c>
      <c r="O68" s="29" t="s">
        <v>17</v>
      </c>
      <c r="P68" s="17">
        <v>943</v>
      </c>
      <c r="Q68" s="18">
        <f>SUM(P68/P71)</f>
        <v>5.8285431732492739E-2</v>
      </c>
    </row>
    <row r="69" spans="1:20" s="2" customFormat="1" ht="16.5" customHeight="1" thickBot="1">
      <c r="A69" s="37" t="s">
        <v>97</v>
      </c>
      <c r="B69" s="39" t="s">
        <v>3</v>
      </c>
      <c r="C69" s="9">
        <v>1248</v>
      </c>
      <c r="D69" s="9">
        <v>1277</v>
      </c>
      <c r="E69" s="9">
        <v>1463</v>
      </c>
      <c r="F69" s="9">
        <v>1508</v>
      </c>
      <c r="G69" s="9">
        <v>1551</v>
      </c>
      <c r="H69" s="9">
        <v>1781</v>
      </c>
      <c r="I69" s="8">
        <v>2235</v>
      </c>
      <c r="J69" s="9"/>
      <c r="K69" s="8"/>
      <c r="L69" s="8"/>
      <c r="M69" s="8"/>
      <c r="N69" s="8" t="s">
        <v>15</v>
      </c>
      <c r="O69" s="33" t="s">
        <v>19</v>
      </c>
      <c r="P69" s="17">
        <v>1580</v>
      </c>
      <c r="Q69" s="18">
        <f>SUM(P69/P71)</f>
        <v>9.7657457197601827E-2</v>
      </c>
      <c r="R69" s="2">
        <v>1</v>
      </c>
    </row>
    <row r="70" spans="1:20" s="2" customFormat="1" ht="16.5" customHeight="1" thickBot="1">
      <c r="A70" s="37" t="s">
        <v>347</v>
      </c>
      <c r="B70" s="91" t="s">
        <v>348</v>
      </c>
      <c r="C70" s="9">
        <v>962</v>
      </c>
      <c r="D70" s="9">
        <v>1080</v>
      </c>
      <c r="E70" s="9">
        <v>1181</v>
      </c>
      <c r="F70" s="9">
        <v>1196</v>
      </c>
      <c r="G70" s="9">
        <v>1324</v>
      </c>
      <c r="H70" s="9">
        <v>1359</v>
      </c>
      <c r="I70" s="9">
        <v>1412</v>
      </c>
      <c r="J70" s="9">
        <v>1455</v>
      </c>
      <c r="K70" s="9">
        <v>1509</v>
      </c>
      <c r="L70" s="9">
        <v>1812</v>
      </c>
      <c r="M70" s="8">
        <v>1949</v>
      </c>
      <c r="N70" s="8" t="s">
        <v>14</v>
      </c>
      <c r="O70" s="22" t="s">
        <v>13</v>
      </c>
      <c r="P70" s="17">
        <f>SUM(C70+C77)</f>
        <v>1299</v>
      </c>
      <c r="Q70" s="18">
        <f>SUM(P70/P71)</f>
        <v>8.0289263860559984E-2</v>
      </c>
      <c r="R70" s="2">
        <v>1</v>
      </c>
    </row>
    <row r="71" spans="1:20" s="2" customFormat="1" ht="16.5" customHeight="1" thickBot="1">
      <c r="A71" s="37" t="s">
        <v>182</v>
      </c>
      <c r="B71" s="38" t="s">
        <v>6</v>
      </c>
      <c r="C71" s="9">
        <v>959</v>
      </c>
      <c r="D71" s="9">
        <v>1049</v>
      </c>
      <c r="E71" s="9">
        <v>1099</v>
      </c>
      <c r="F71" s="9">
        <v>1105</v>
      </c>
      <c r="G71" s="9">
        <v>1115</v>
      </c>
      <c r="H71" s="9">
        <v>1229</v>
      </c>
      <c r="I71" s="9">
        <v>1271</v>
      </c>
      <c r="J71" s="9">
        <v>1291</v>
      </c>
      <c r="K71" s="9">
        <v>1571</v>
      </c>
      <c r="L71" s="9">
        <v>1630</v>
      </c>
      <c r="M71" s="8">
        <v>1932</v>
      </c>
      <c r="N71" s="8" t="s">
        <v>16</v>
      </c>
      <c r="O71" s="12"/>
      <c r="P71" s="25">
        <v>16179</v>
      </c>
      <c r="Q71" s="13"/>
      <c r="R71" s="15"/>
    </row>
    <row r="72" spans="1:20" s="2" customFormat="1" ht="16.5" customHeight="1" thickBot="1">
      <c r="A72" s="40" t="s">
        <v>349</v>
      </c>
      <c r="B72" s="50" t="s">
        <v>17</v>
      </c>
      <c r="C72" s="9">
        <v>943</v>
      </c>
      <c r="D72" s="9">
        <v>977</v>
      </c>
      <c r="E72" s="9">
        <v>1029</v>
      </c>
      <c r="F72" s="9">
        <v>1036</v>
      </c>
      <c r="G72" s="9">
        <v>1072</v>
      </c>
      <c r="H72" s="9">
        <v>1094</v>
      </c>
      <c r="I72" s="9">
        <v>1120</v>
      </c>
      <c r="J72" s="9">
        <v>1129</v>
      </c>
      <c r="K72" s="9">
        <v>1171</v>
      </c>
      <c r="L72" s="9" t="s">
        <v>30</v>
      </c>
    </row>
    <row r="73" spans="1:20" s="2" customFormat="1" ht="16.5" customHeight="1" thickBot="1">
      <c r="A73" s="40" t="s">
        <v>385</v>
      </c>
      <c r="B73" s="41" t="s">
        <v>6</v>
      </c>
      <c r="C73" s="9">
        <v>909</v>
      </c>
      <c r="D73" s="9">
        <v>1004</v>
      </c>
      <c r="E73" s="9">
        <v>1033</v>
      </c>
      <c r="F73" s="9">
        <v>1036</v>
      </c>
      <c r="G73" s="9">
        <v>1054</v>
      </c>
      <c r="H73" s="9">
        <v>1085</v>
      </c>
      <c r="I73" s="9">
        <v>1097</v>
      </c>
      <c r="J73" s="9">
        <v>1097</v>
      </c>
      <c r="K73" s="9" t="s">
        <v>30</v>
      </c>
    </row>
    <row r="74" spans="1:20" s="2" customFormat="1" ht="16.5" customHeight="1" thickBot="1">
      <c r="A74" s="40" t="s">
        <v>27</v>
      </c>
      <c r="B74" s="41" t="s">
        <v>6</v>
      </c>
      <c r="C74" s="9">
        <v>870</v>
      </c>
      <c r="D74" s="9">
        <v>1009</v>
      </c>
      <c r="E74" s="9">
        <v>1033</v>
      </c>
      <c r="F74" s="9">
        <v>1053</v>
      </c>
      <c r="G74" s="9">
        <v>1073</v>
      </c>
      <c r="H74" s="9">
        <v>1090</v>
      </c>
      <c r="I74" s="9">
        <v>1115</v>
      </c>
      <c r="J74" s="9">
        <v>1119</v>
      </c>
      <c r="K74" s="9">
        <v>1424</v>
      </c>
      <c r="L74" s="9">
        <v>1497</v>
      </c>
      <c r="M74" s="9" t="s">
        <v>30</v>
      </c>
    </row>
    <row r="75" spans="1:20" s="2" customFormat="1" ht="16.5" customHeight="1" thickBot="1">
      <c r="A75" s="40" t="s">
        <v>398</v>
      </c>
      <c r="B75" s="42" t="s">
        <v>3</v>
      </c>
      <c r="C75" s="9">
        <v>817</v>
      </c>
      <c r="D75" s="9">
        <v>825</v>
      </c>
      <c r="E75" s="9">
        <v>854</v>
      </c>
      <c r="F75" s="9">
        <v>922</v>
      </c>
      <c r="G75" s="9">
        <v>940</v>
      </c>
      <c r="H75" s="9">
        <v>1044</v>
      </c>
      <c r="I75" s="9" t="s">
        <v>30</v>
      </c>
      <c r="K75" s="23"/>
      <c r="L75" s="23"/>
      <c r="M75" s="23"/>
    </row>
    <row r="76" spans="1:20" s="2" customFormat="1" ht="16.5" customHeight="1" thickBot="1">
      <c r="A76" s="40" t="s">
        <v>352</v>
      </c>
      <c r="B76" s="42" t="s">
        <v>3</v>
      </c>
      <c r="C76" s="9">
        <v>706</v>
      </c>
      <c r="D76" s="9">
        <v>712</v>
      </c>
      <c r="E76" s="9">
        <v>751</v>
      </c>
      <c r="F76" s="9">
        <v>769</v>
      </c>
      <c r="G76" s="9">
        <v>782</v>
      </c>
      <c r="H76" s="9" t="s">
        <v>30</v>
      </c>
      <c r="I76" s="23"/>
      <c r="J76" s="23"/>
    </row>
    <row r="77" spans="1:20" s="2" customFormat="1" ht="16.5" customHeight="1" thickBot="1">
      <c r="A77" s="40" t="s">
        <v>203</v>
      </c>
      <c r="B77" s="92" t="s">
        <v>348</v>
      </c>
      <c r="C77" s="9">
        <v>337</v>
      </c>
      <c r="D77" s="9">
        <v>366</v>
      </c>
      <c r="E77" s="9">
        <v>391</v>
      </c>
      <c r="F77" s="9">
        <v>396</v>
      </c>
      <c r="G77" s="9" t="s">
        <v>30</v>
      </c>
      <c r="H77" s="23"/>
      <c r="I77" s="23"/>
      <c r="J77" s="23"/>
      <c r="K77" s="23"/>
      <c r="L77" s="23"/>
      <c r="M77" s="23"/>
      <c r="N77" s="46"/>
    </row>
    <row r="78" spans="1:20" s="2" customFormat="1" ht="16.5" customHeight="1" thickBot="1">
      <c r="A78" s="40" t="s">
        <v>350</v>
      </c>
      <c r="B78" s="42" t="s">
        <v>3</v>
      </c>
      <c r="C78" s="9">
        <v>262</v>
      </c>
      <c r="D78" s="9">
        <v>265</v>
      </c>
      <c r="E78" s="9">
        <v>295</v>
      </c>
      <c r="F78" s="9" t="s">
        <v>30</v>
      </c>
      <c r="G78" s="23"/>
      <c r="H78" s="23"/>
      <c r="I78" s="23"/>
      <c r="J78" s="23"/>
      <c r="K78" s="23"/>
      <c r="L78" s="23"/>
      <c r="M78" s="23"/>
      <c r="N78" s="12"/>
      <c r="O78" s="17"/>
      <c r="P78" s="18"/>
    </row>
    <row r="79" spans="1:20" ht="15">
      <c r="D79" s="63"/>
      <c r="E79" s="63"/>
      <c r="O79" s="25"/>
      <c r="P79" s="13"/>
      <c r="Q79" s="15"/>
      <c r="R79" s="2"/>
    </row>
    <row r="80" spans="1:20" s="99" customFormat="1" ht="15" customHeight="1">
      <c r="B80" s="64" t="s">
        <v>18</v>
      </c>
      <c r="C80" s="66" t="s">
        <v>6</v>
      </c>
      <c r="D80" s="67" t="s">
        <v>3</v>
      </c>
      <c r="E80" s="68" t="s">
        <v>17</v>
      </c>
      <c r="F80" s="69" t="s">
        <v>19</v>
      </c>
      <c r="G80" s="64" t="s">
        <v>13</v>
      </c>
      <c r="H80" s="101"/>
      <c r="S80" s="98"/>
      <c r="T80" s="103"/>
    </row>
    <row r="81" spans="1:20" s="99" customFormat="1" ht="15" customHeight="1">
      <c r="A81" s="99" t="s">
        <v>8</v>
      </c>
      <c r="B81" s="110">
        <f>SUM(M8+O23+M55+O39+P71)</f>
        <v>60237</v>
      </c>
      <c r="C81" s="108">
        <f>SUM(P66+O36+M52+O18+M5)</f>
        <v>28878</v>
      </c>
      <c r="D81" s="108">
        <f>SUM(P67+O37+M53+O19+M6)</f>
        <v>22191</v>
      </c>
      <c r="E81" s="108">
        <f>SUM(O20+P68)</f>
        <v>1180</v>
      </c>
      <c r="F81" s="108">
        <f>SUM(P69+O21)</f>
        <v>2569</v>
      </c>
      <c r="G81" s="108">
        <f>SUM(P70+O38+M54+O22+M7)</f>
        <v>5409</v>
      </c>
      <c r="H81" s="98"/>
      <c r="R81" s="107"/>
      <c r="S81" s="77"/>
      <c r="T81" s="103"/>
    </row>
    <row r="82" spans="1:20" s="99" customFormat="1" ht="15" customHeight="1">
      <c r="A82" s="99" t="s">
        <v>9</v>
      </c>
      <c r="B82" s="102">
        <v>1</v>
      </c>
      <c r="C82" s="103">
        <f>SUM(C81/$B$81)</f>
        <v>0.4794063449374969</v>
      </c>
      <c r="D82" s="103">
        <f>SUM(D81/$B$81)</f>
        <v>0.36839484038049702</v>
      </c>
      <c r="E82" s="103">
        <f>SUM(E81/$B$81)</f>
        <v>1.9589288975214569E-2</v>
      </c>
      <c r="F82" s="103">
        <f>SUM(F81/$B$81)</f>
        <v>4.2648206251971382E-2</v>
      </c>
      <c r="G82" s="103">
        <f>SUM(G81/$B$81)</f>
        <v>8.9795308531301354E-2</v>
      </c>
      <c r="H82" s="103"/>
      <c r="R82" s="64"/>
    </row>
    <row r="83" spans="1:20" s="99" customFormat="1" ht="15" customHeight="1">
      <c r="A83" s="99" t="s">
        <v>10</v>
      </c>
      <c r="B83" s="110">
        <v>31</v>
      </c>
      <c r="C83" s="108">
        <v>16</v>
      </c>
      <c r="D83" s="108">
        <v>10</v>
      </c>
      <c r="E83" s="108">
        <v>0</v>
      </c>
      <c r="F83" s="108">
        <v>2</v>
      </c>
      <c r="G83" s="108">
        <v>3</v>
      </c>
    </row>
    <row r="84" spans="1:20" s="2" customFormat="1" ht="16.5" customHeight="1">
      <c r="A84" s="1"/>
    </row>
    <row r="85" spans="1:20" ht="14.25">
      <c r="O85" s="2"/>
      <c r="P85" s="2"/>
      <c r="Q85" s="2"/>
      <c r="R85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91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7.7109375" customWidth="1"/>
    <col min="3" max="3" width="9.7109375" customWidth="1"/>
    <col min="4" max="24" width="8.7109375" customWidth="1"/>
  </cols>
  <sheetData>
    <row r="1" spans="1:15" s="2" customFormat="1" ht="16.5" customHeight="1">
      <c r="A1" s="31" t="s">
        <v>172</v>
      </c>
      <c r="B1" s="23"/>
      <c r="C1" s="23"/>
      <c r="D1" s="23"/>
      <c r="E1" s="23"/>
      <c r="F1" s="23"/>
      <c r="G1" s="23"/>
      <c r="H1" s="23"/>
      <c r="I1" s="23"/>
      <c r="J1" s="23"/>
    </row>
    <row r="2" spans="1:15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5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5"/>
      <c r="L3" s="12" t="s">
        <v>5</v>
      </c>
      <c r="M3" s="13">
        <f>SUM(10089/14265)</f>
        <v>0.70725552050473184</v>
      </c>
    </row>
    <row r="4" spans="1:15" s="2" customFormat="1" ht="16.5" customHeight="1" thickBot="1">
      <c r="A4" s="37" t="s">
        <v>173</v>
      </c>
      <c r="B4" s="38" t="s">
        <v>6</v>
      </c>
      <c r="C4" s="8">
        <v>2401</v>
      </c>
      <c r="D4" s="9"/>
      <c r="E4" s="8"/>
      <c r="F4" s="9"/>
      <c r="G4" s="9"/>
      <c r="H4" s="8"/>
      <c r="I4" s="9"/>
      <c r="J4" s="9"/>
      <c r="K4" s="11" t="s">
        <v>4</v>
      </c>
      <c r="L4" s="15"/>
      <c r="M4" s="12" t="s">
        <v>8</v>
      </c>
      <c r="N4" s="12" t="s">
        <v>9</v>
      </c>
      <c r="O4" s="12" t="s">
        <v>10</v>
      </c>
    </row>
    <row r="5" spans="1:15" s="2" customFormat="1" ht="16.5" customHeight="1" thickBot="1">
      <c r="A5" s="37" t="s">
        <v>174</v>
      </c>
      <c r="B5" s="38" t="s">
        <v>6</v>
      </c>
      <c r="C5" s="8">
        <v>1915</v>
      </c>
      <c r="D5" s="8"/>
      <c r="E5" s="8"/>
      <c r="F5" s="9"/>
      <c r="G5" s="8"/>
      <c r="H5" s="8"/>
      <c r="I5" s="9"/>
      <c r="J5" s="9"/>
      <c r="K5" s="11" t="s">
        <v>7</v>
      </c>
      <c r="L5" s="16" t="s">
        <v>6</v>
      </c>
      <c r="M5" s="17">
        <f>SUM(C4+C5+C6+C10)</f>
        <v>6125</v>
      </c>
      <c r="N5" s="18">
        <f>SUM(M5/M8)</f>
        <v>0.62182741116751272</v>
      </c>
      <c r="O5" s="15">
        <v>3</v>
      </c>
    </row>
    <row r="6" spans="1:15" s="2" customFormat="1" ht="16.5" customHeight="1" thickBot="1">
      <c r="A6" s="37" t="s">
        <v>23</v>
      </c>
      <c r="B6" s="38" t="s">
        <v>6</v>
      </c>
      <c r="C6" s="9">
        <v>1081</v>
      </c>
      <c r="D6" s="9">
        <v>1253</v>
      </c>
      <c r="E6" s="9">
        <v>1303</v>
      </c>
      <c r="F6" s="9">
        <v>1332</v>
      </c>
      <c r="G6" s="9">
        <v>1350</v>
      </c>
      <c r="H6" s="9">
        <v>1443</v>
      </c>
      <c r="I6" s="9">
        <v>1487</v>
      </c>
      <c r="J6" s="8">
        <v>2210</v>
      </c>
      <c r="K6" s="11" t="s">
        <v>12</v>
      </c>
      <c r="L6" s="19" t="s">
        <v>3</v>
      </c>
      <c r="M6" s="17">
        <f>SUM(C7+C8+C9+C11+C12)</f>
        <v>3448</v>
      </c>
      <c r="N6" s="18">
        <f>SUM(M6/M8)</f>
        <v>0.3500507614213198</v>
      </c>
      <c r="O6" s="15">
        <v>2</v>
      </c>
    </row>
    <row r="7" spans="1:15" s="2" customFormat="1" ht="16.5" customHeight="1" thickBot="1">
      <c r="A7" s="37" t="s">
        <v>175</v>
      </c>
      <c r="B7" s="39" t="s">
        <v>3</v>
      </c>
      <c r="C7" s="9">
        <v>937</v>
      </c>
      <c r="D7" s="9">
        <v>990</v>
      </c>
      <c r="E7" s="9">
        <v>999</v>
      </c>
      <c r="F7" s="9">
        <v>1053</v>
      </c>
      <c r="G7" s="9">
        <v>1104</v>
      </c>
      <c r="H7" s="9">
        <v>1261</v>
      </c>
      <c r="I7" s="9">
        <v>1571</v>
      </c>
      <c r="J7" s="8">
        <v>1773</v>
      </c>
      <c r="K7" s="11" t="s">
        <v>15</v>
      </c>
      <c r="L7" s="12" t="s">
        <v>13</v>
      </c>
      <c r="M7" s="2">
        <v>277</v>
      </c>
      <c r="N7" s="13">
        <f>SUM(M7/M8)</f>
        <v>2.8121827411167512E-2</v>
      </c>
      <c r="O7" s="15"/>
    </row>
    <row r="8" spans="1:15" s="2" customFormat="1" ht="16.5" customHeight="1" thickBot="1">
      <c r="A8" s="37" t="s">
        <v>85</v>
      </c>
      <c r="B8" s="39" t="s">
        <v>3</v>
      </c>
      <c r="C8" s="9">
        <v>838</v>
      </c>
      <c r="D8" s="9">
        <v>905</v>
      </c>
      <c r="E8" s="9">
        <v>922</v>
      </c>
      <c r="F8" s="9">
        <v>948</v>
      </c>
      <c r="G8" s="9">
        <v>1075</v>
      </c>
      <c r="H8" s="9">
        <v>1221</v>
      </c>
      <c r="I8" s="8">
        <v>1657</v>
      </c>
      <c r="J8" s="8"/>
      <c r="K8" s="11" t="s">
        <v>11</v>
      </c>
      <c r="M8" s="25">
        <v>9850</v>
      </c>
    </row>
    <row r="9" spans="1:15" s="2" customFormat="1" ht="16.5" customHeight="1" thickBot="1">
      <c r="A9" s="40" t="s">
        <v>355</v>
      </c>
      <c r="B9" s="42" t="s">
        <v>3</v>
      </c>
      <c r="C9" s="9">
        <v>828</v>
      </c>
      <c r="D9" s="9">
        <v>883</v>
      </c>
      <c r="E9" s="9">
        <v>927</v>
      </c>
      <c r="F9" s="9">
        <v>943</v>
      </c>
      <c r="G9" s="9">
        <v>1040</v>
      </c>
      <c r="H9" s="9">
        <v>1070</v>
      </c>
      <c r="I9" s="9" t="s">
        <v>30</v>
      </c>
    </row>
    <row r="10" spans="1:15" s="2" customFormat="1" ht="16.5" customHeight="1" thickBot="1">
      <c r="A10" s="40" t="s">
        <v>176</v>
      </c>
      <c r="B10" s="41" t="s">
        <v>6</v>
      </c>
      <c r="C10" s="9">
        <v>728</v>
      </c>
      <c r="D10" s="9">
        <v>1079</v>
      </c>
      <c r="E10" s="9">
        <v>1224</v>
      </c>
      <c r="F10" s="9">
        <v>1258</v>
      </c>
      <c r="G10" s="9">
        <v>1281</v>
      </c>
      <c r="H10" s="9">
        <v>1300</v>
      </c>
      <c r="I10" s="9">
        <v>1370</v>
      </c>
      <c r="J10" s="9" t="s">
        <v>30</v>
      </c>
      <c r="K10" s="11"/>
    </row>
    <row r="11" spans="1:15" s="2" customFormat="1" ht="16.5" customHeight="1" thickBot="1">
      <c r="A11" s="40" t="s">
        <v>177</v>
      </c>
      <c r="B11" s="42" t="s">
        <v>3</v>
      </c>
      <c r="C11" s="9">
        <v>439</v>
      </c>
      <c r="D11" s="9">
        <v>445</v>
      </c>
      <c r="E11" s="9">
        <v>448</v>
      </c>
      <c r="F11" s="9">
        <v>474</v>
      </c>
      <c r="G11" s="9">
        <v>532</v>
      </c>
      <c r="H11" s="9" t="s">
        <v>30</v>
      </c>
    </row>
    <row r="12" spans="1:15" s="2" customFormat="1" ht="16.5" customHeight="1" thickBot="1">
      <c r="A12" s="40" t="s">
        <v>178</v>
      </c>
      <c r="B12" s="42" t="s">
        <v>3</v>
      </c>
      <c r="C12" s="9">
        <v>406</v>
      </c>
      <c r="D12" s="9">
        <v>431</v>
      </c>
      <c r="E12" s="9">
        <v>433</v>
      </c>
      <c r="F12" s="9">
        <v>469</v>
      </c>
      <c r="G12" s="9" t="s">
        <v>30</v>
      </c>
      <c r="L12" s="25"/>
    </row>
    <row r="13" spans="1:15" s="2" customFormat="1" ht="16.5" customHeight="1" thickBot="1">
      <c r="A13" s="40" t="s">
        <v>179</v>
      </c>
      <c r="B13" s="44" t="s">
        <v>28</v>
      </c>
      <c r="C13" s="9">
        <v>277</v>
      </c>
      <c r="D13" s="9">
        <v>307</v>
      </c>
      <c r="E13" s="9">
        <v>310</v>
      </c>
      <c r="F13" s="9" t="s">
        <v>30</v>
      </c>
    </row>
    <row r="14" spans="1:15" s="2" customFormat="1" ht="10.5" customHeight="1">
      <c r="A14" s="31"/>
      <c r="B14" s="23"/>
      <c r="C14" s="23"/>
      <c r="D14" s="23"/>
      <c r="E14" s="23"/>
      <c r="F14" s="23"/>
      <c r="G14" s="23"/>
      <c r="H14" s="23"/>
      <c r="I14" s="23"/>
      <c r="J14" s="23"/>
    </row>
    <row r="15" spans="1:15" s="2" customFormat="1" ht="17.45" customHeight="1">
      <c r="A15" s="31" t="s">
        <v>180</v>
      </c>
      <c r="B15" s="23"/>
      <c r="C15" s="23"/>
      <c r="D15" s="23"/>
      <c r="E15" s="23"/>
      <c r="F15" s="23"/>
      <c r="G15" s="23"/>
      <c r="H15" s="23"/>
      <c r="I15" s="23"/>
      <c r="J15" s="23"/>
    </row>
    <row r="16" spans="1:15" s="2" customFormat="1" ht="10.5" customHeight="1" thickBot="1">
      <c r="A16" s="31"/>
      <c r="B16" s="23"/>
      <c r="C16" s="23"/>
      <c r="D16" s="23"/>
      <c r="E16" s="23"/>
      <c r="F16" s="23"/>
      <c r="G16" s="23"/>
      <c r="H16" s="23"/>
      <c r="I16" s="23"/>
      <c r="J16" s="23"/>
    </row>
    <row r="17" spans="1:17" s="2" customFormat="1" ht="16.5" customHeight="1" thickBot="1">
      <c r="A17" s="35" t="s">
        <v>0</v>
      </c>
      <c r="B17" s="36" t="s">
        <v>1</v>
      </c>
      <c r="C17" s="36" t="s">
        <v>2</v>
      </c>
      <c r="D17" s="36">
        <v>2</v>
      </c>
      <c r="E17" s="36">
        <v>3</v>
      </c>
      <c r="F17" s="36">
        <v>4</v>
      </c>
      <c r="G17" s="36">
        <v>5</v>
      </c>
      <c r="H17" s="36">
        <v>6</v>
      </c>
      <c r="I17" s="36">
        <v>7</v>
      </c>
      <c r="J17" s="36">
        <v>8</v>
      </c>
      <c r="K17" s="36">
        <v>9</v>
      </c>
      <c r="L17" s="36">
        <v>10</v>
      </c>
      <c r="M17" s="45"/>
      <c r="N17" s="12" t="s">
        <v>5</v>
      </c>
      <c r="O17" s="13">
        <f>SUM(14782/19719)</f>
        <v>0.74963233429687104</v>
      </c>
    </row>
    <row r="18" spans="1:17" s="2" customFormat="1" ht="16.5" customHeight="1" thickBot="1">
      <c r="A18" s="37" t="s">
        <v>181</v>
      </c>
      <c r="B18" s="38" t="s">
        <v>6</v>
      </c>
      <c r="C18" s="8">
        <v>2481</v>
      </c>
      <c r="D18" s="9"/>
      <c r="E18" s="9"/>
      <c r="F18" s="8"/>
      <c r="G18" s="9"/>
      <c r="H18" s="8"/>
      <c r="I18" s="8"/>
      <c r="J18" s="9"/>
      <c r="K18" s="8"/>
      <c r="L18" s="8"/>
      <c r="M18" s="8" t="s">
        <v>4</v>
      </c>
      <c r="N18" s="15"/>
      <c r="O18" s="12" t="s">
        <v>8</v>
      </c>
      <c r="P18" s="12" t="s">
        <v>9</v>
      </c>
      <c r="Q18" s="12" t="s">
        <v>10</v>
      </c>
    </row>
    <row r="19" spans="1:17" s="2" customFormat="1" ht="16.5" customHeight="1" thickBot="1">
      <c r="A19" s="37" t="s">
        <v>182</v>
      </c>
      <c r="B19" s="39" t="s">
        <v>3</v>
      </c>
      <c r="C19" s="8">
        <v>2063</v>
      </c>
      <c r="D19" s="9"/>
      <c r="E19" s="9"/>
      <c r="F19" s="9"/>
      <c r="G19" s="9"/>
      <c r="H19" s="9"/>
      <c r="I19" s="9"/>
      <c r="J19" s="8"/>
      <c r="K19" s="8"/>
      <c r="L19" s="8"/>
      <c r="M19" s="8" t="s">
        <v>7</v>
      </c>
      <c r="N19" s="16" t="s">
        <v>6</v>
      </c>
      <c r="O19" s="17">
        <f>SUM(C18+C20+C22+C29)</f>
        <v>5872</v>
      </c>
      <c r="P19" s="18">
        <f>SUM(O19/O24)</f>
        <v>0.40191649555099246</v>
      </c>
      <c r="Q19" s="15">
        <v>3</v>
      </c>
    </row>
    <row r="20" spans="1:17" s="2" customFormat="1" ht="16.5" customHeight="1" thickBot="1">
      <c r="A20" s="37" t="s">
        <v>183</v>
      </c>
      <c r="B20" s="38" t="s">
        <v>6</v>
      </c>
      <c r="C20" s="9">
        <v>1796</v>
      </c>
      <c r="D20" s="8">
        <v>2072</v>
      </c>
      <c r="E20" s="9"/>
      <c r="F20" s="9"/>
      <c r="G20" s="9"/>
      <c r="H20" s="9"/>
      <c r="I20" s="9"/>
      <c r="J20" s="8"/>
      <c r="K20" s="8"/>
      <c r="L20" s="9"/>
      <c r="M20" s="8" t="s">
        <v>11</v>
      </c>
      <c r="N20" s="19" t="s">
        <v>3</v>
      </c>
      <c r="O20" s="17">
        <f>SUM(C19+C21+C26+C27+C28)</f>
        <v>5603</v>
      </c>
      <c r="P20" s="18">
        <f>SUM(O20/O24)</f>
        <v>0.38350444900752911</v>
      </c>
      <c r="Q20" s="15">
        <v>2</v>
      </c>
    </row>
    <row r="21" spans="1:17" s="2" customFormat="1" ht="16.5" customHeight="1" thickBot="1">
      <c r="A21" s="37" t="s">
        <v>184</v>
      </c>
      <c r="B21" s="39" t="s">
        <v>3</v>
      </c>
      <c r="C21" s="9">
        <v>1562</v>
      </c>
      <c r="D21" s="9">
        <v>1636</v>
      </c>
      <c r="E21" s="9">
        <v>1720</v>
      </c>
      <c r="F21" s="9">
        <v>1726</v>
      </c>
      <c r="G21" s="9">
        <v>1736</v>
      </c>
      <c r="H21" s="9">
        <v>1750</v>
      </c>
      <c r="I21" s="8">
        <v>1831</v>
      </c>
      <c r="J21" s="8"/>
      <c r="K21" s="8"/>
      <c r="L21" s="9"/>
      <c r="M21" s="8" t="s">
        <v>12</v>
      </c>
      <c r="N21" s="29" t="s">
        <v>17</v>
      </c>
      <c r="O21" s="17">
        <v>315</v>
      </c>
      <c r="P21" s="18">
        <f>SUM(O21/O24)</f>
        <v>2.1560574948665298E-2</v>
      </c>
    </row>
    <row r="22" spans="1:17" s="2" customFormat="1" ht="16.5" customHeight="1" thickBot="1">
      <c r="A22" s="37" t="s">
        <v>185</v>
      </c>
      <c r="B22" s="38" t="s">
        <v>6</v>
      </c>
      <c r="C22" s="9">
        <v>1251</v>
      </c>
      <c r="D22" s="9">
        <v>1381</v>
      </c>
      <c r="E22" s="9">
        <v>1386</v>
      </c>
      <c r="F22" s="9">
        <v>1473</v>
      </c>
      <c r="G22" s="9">
        <v>1481</v>
      </c>
      <c r="H22" s="9">
        <v>1672</v>
      </c>
      <c r="I22" s="9">
        <v>1684</v>
      </c>
      <c r="J22" s="9">
        <v>1823</v>
      </c>
      <c r="K22" s="8">
        <v>2188</v>
      </c>
      <c r="L22" s="8"/>
      <c r="M22" s="8" t="s">
        <v>15</v>
      </c>
      <c r="N22" s="33" t="s">
        <v>19</v>
      </c>
      <c r="O22" s="17">
        <v>1054</v>
      </c>
      <c r="P22" s="18">
        <f>SUM(O22/O24)</f>
        <v>7.2142368240930871E-2</v>
      </c>
      <c r="Q22" s="2">
        <v>1</v>
      </c>
    </row>
    <row r="23" spans="1:17" s="2" customFormat="1" ht="16.5" customHeight="1" thickBot="1">
      <c r="A23" s="37" t="s">
        <v>186</v>
      </c>
      <c r="B23" s="56" t="s">
        <v>19</v>
      </c>
      <c r="C23" s="9">
        <v>1054</v>
      </c>
      <c r="D23" s="9">
        <v>1091</v>
      </c>
      <c r="E23" s="9">
        <v>1114</v>
      </c>
      <c r="F23" s="9">
        <v>1121</v>
      </c>
      <c r="G23" s="9">
        <v>1141</v>
      </c>
      <c r="H23" s="9">
        <v>1177</v>
      </c>
      <c r="I23" s="9">
        <v>1245</v>
      </c>
      <c r="J23" s="9">
        <v>1294</v>
      </c>
      <c r="K23" s="9">
        <v>1381</v>
      </c>
      <c r="L23" s="8">
        <v>1431</v>
      </c>
      <c r="M23" s="8" t="s">
        <v>14</v>
      </c>
      <c r="N23" s="22" t="s">
        <v>13</v>
      </c>
      <c r="O23" s="17">
        <f>SUM(C24+C25)</f>
        <v>1766</v>
      </c>
      <c r="P23" s="18">
        <f>SUM(O23/O24)</f>
        <v>0.12087611225188227</v>
      </c>
      <c r="Q23" s="2">
        <v>1</v>
      </c>
    </row>
    <row r="24" spans="1:17" s="2" customFormat="1" ht="16.5" customHeight="1" thickBot="1">
      <c r="A24" s="40" t="s">
        <v>336</v>
      </c>
      <c r="B24" s="44" t="s">
        <v>28</v>
      </c>
      <c r="C24" s="9">
        <v>917</v>
      </c>
      <c r="D24" s="9">
        <v>949</v>
      </c>
      <c r="E24" s="9">
        <v>981</v>
      </c>
      <c r="F24" s="9">
        <v>986</v>
      </c>
      <c r="G24" s="9">
        <v>1016</v>
      </c>
      <c r="H24" s="9">
        <v>1044</v>
      </c>
      <c r="I24" s="9">
        <v>1158</v>
      </c>
      <c r="J24" s="9">
        <v>1189</v>
      </c>
      <c r="K24" s="9">
        <v>1258</v>
      </c>
      <c r="L24" s="9">
        <v>1280</v>
      </c>
      <c r="M24" s="9"/>
      <c r="N24" s="12"/>
      <c r="O24" s="25">
        <v>14610</v>
      </c>
      <c r="P24" s="13"/>
      <c r="Q24" s="15"/>
    </row>
    <row r="25" spans="1:17" s="2" customFormat="1" ht="16.5" customHeight="1" thickBot="1">
      <c r="A25" s="37" t="s">
        <v>187</v>
      </c>
      <c r="B25" s="52" t="s">
        <v>28</v>
      </c>
      <c r="C25" s="9">
        <v>849</v>
      </c>
      <c r="D25" s="9">
        <v>867</v>
      </c>
      <c r="E25" s="9">
        <v>878</v>
      </c>
      <c r="F25" s="9">
        <v>882</v>
      </c>
      <c r="G25" s="9">
        <v>970</v>
      </c>
      <c r="H25" s="9">
        <v>1051</v>
      </c>
      <c r="I25" s="9">
        <v>1242</v>
      </c>
      <c r="J25" s="9">
        <v>1245</v>
      </c>
      <c r="K25" s="9">
        <v>1290</v>
      </c>
      <c r="L25" s="8">
        <v>1309</v>
      </c>
      <c r="M25" s="8" t="s">
        <v>16</v>
      </c>
    </row>
    <row r="26" spans="1:17" s="2" customFormat="1" ht="16.5" customHeight="1" thickBot="1">
      <c r="A26" s="40" t="s">
        <v>188</v>
      </c>
      <c r="B26" s="42" t="s">
        <v>3</v>
      </c>
      <c r="C26" s="9">
        <v>790</v>
      </c>
      <c r="D26" s="9">
        <v>804</v>
      </c>
      <c r="E26" s="9">
        <v>819</v>
      </c>
      <c r="F26" s="9">
        <v>820</v>
      </c>
      <c r="G26" s="9">
        <v>827</v>
      </c>
      <c r="H26" s="9">
        <v>831</v>
      </c>
      <c r="I26" s="9">
        <v>905</v>
      </c>
      <c r="J26" s="9">
        <v>1127</v>
      </c>
      <c r="K26" s="9" t="s">
        <v>30</v>
      </c>
    </row>
    <row r="27" spans="1:17" s="2" customFormat="1" ht="16.5" customHeight="1" thickBot="1">
      <c r="A27" s="40" t="s">
        <v>150</v>
      </c>
      <c r="B27" s="42" t="s">
        <v>3</v>
      </c>
      <c r="C27" s="9">
        <v>650</v>
      </c>
      <c r="D27" s="9">
        <v>687</v>
      </c>
      <c r="E27" s="9">
        <v>709</v>
      </c>
      <c r="F27" s="9">
        <v>716</v>
      </c>
      <c r="G27" s="9">
        <v>723</v>
      </c>
      <c r="H27" s="9">
        <v>725</v>
      </c>
      <c r="I27" s="9">
        <v>732</v>
      </c>
      <c r="J27" s="9" t="s">
        <v>30</v>
      </c>
      <c r="K27" s="23"/>
      <c r="L27" s="23"/>
      <c r="M27" s="23"/>
    </row>
    <row r="28" spans="1:17" s="2" customFormat="1" ht="16.5" customHeight="1" thickBot="1">
      <c r="A28" s="40" t="s">
        <v>242</v>
      </c>
      <c r="B28" s="42" t="s">
        <v>3</v>
      </c>
      <c r="C28" s="9">
        <v>538</v>
      </c>
      <c r="D28" s="9">
        <v>543</v>
      </c>
      <c r="E28" s="9">
        <v>580</v>
      </c>
      <c r="F28" s="9">
        <v>582</v>
      </c>
      <c r="G28" s="9">
        <v>626</v>
      </c>
      <c r="H28" s="9">
        <v>654</v>
      </c>
      <c r="I28" s="9" t="s">
        <v>30</v>
      </c>
      <c r="K28" s="23"/>
      <c r="L28" s="23"/>
      <c r="M28" s="23"/>
    </row>
    <row r="29" spans="1:17" s="2" customFormat="1" ht="16.5" customHeight="1" thickBot="1">
      <c r="A29" s="40" t="s">
        <v>189</v>
      </c>
      <c r="B29" s="41" t="s">
        <v>6</v>
      </c>
      <c r="C29" s="9">
        <v>344</v>
      </c>
      <c r="D29" s="9">
        <v>374</v>
      </c>
      <c r="E29" s="9">
        <v>377</v>
      </c>
      <c r="F29" s="9">
        <v>478</v>
      </c>
      <c r="G29" s="9">
        <v>524</v>
      </c>
      <c r="H29" s="9" t="s">
        <v>30</v>
      </c>
      <c r="I29" s="23"/>
      <c r="J29" s="23"/>
    </row>
    <row r="30" spans="1:17" s="2" customFormat="1" ht="16.5" customHeight="1" thickBot="1">
      <c r="A30" s="40" t="s">
        <v>190</v>
      </c>
      <c r="B30" s="50" t="s">
        <v>17</v>
      </c>
      <c r="C30" s="9">
        <v>315</v>
      </c>
      <c r="D30" s="9">
        <v>317</v>
      </c>
      <c r="E30" s="9">
        <v>321</v>
      </c>
      <c r="F30" s="9">
        <v>321</v>
      </c>
      <c r="G30" s="9" t="s">
        <v>30</v>
      </c>
      <c r="H30" s="23"/>
      <c r="I30" s="23"/>
      <c r="J30" s="23"/>
      <c r="K30" s="23"/>
      <c r="L30" s="23"/>
      <c r="M30" s="23"/>
      <c r="N30" s="46"/>
      <c r="O30" s="17"/>
      <c r="P30" s="18"/>
    </row>
    <row r="31" spans="1:17" s="2" customFormat="1" ht="11.25" customHeight="1">
      <c r="A31" s="28"/>
      <c r="B31" s="47"/>
      <c r="C31" s="28"/>
      <c r="D31" s="28"/>
      <c r="E31" s="28"/>
      <c r="F31" s="23"/>
      <c r="G31" s="23"/>
      <c r="H31" s="23"/>
      <c r="I31" s="23"/>
      <c r="J31" s="23"/>
      <c r="N31" s="18"/>
    </row>
    <row r="32" spans="1:17" s="2" customFormat="1" ht="17.45" customHeight="1">
      <c r="A32" s="1" t="s">
        <v>225</v>
      </c>
    </row>
    <row r="33" spans="1:19" s="2" customFormat="1" ht="10.5" customHeight="1" thickBot="1">
      <c r="A33" s="1"/>
    </row>
    <row r="34" spans="1:19" s="2" customFormat="1" ht="16.5" customHeight="1" thickBot="1">
      <c r="A34" s="3" t="s">
        <v>0</v>
      </c>
      <c r="B34" s="4" t="s">
        <v>1</v>
      </c>
      <c r="C34" s="4" t="s">
        <v>2</v>
      </c>
      <c r="D34" s="4">
        <v>2</v>
      </c>
      <c r="E34" s="4">
        <v>3</v>
      </c>
      <c r="F34" s="4">
        <v>4</v>
      </c>
      <c r="G34" s="4">
        <v>5</v>
      </c>
      <c r="H34" s="4">
        <v>6</v>
      </c>
      <c r="I34" s="4">
        <v>7</v>
      </c>
      <c r="J34" s="4">
        <v>8</v>
      </c>
      <c r="K34" s="4">
        <v>9</v>
      </c>
      <c r="L34" s="4">
        <v>10</v>
      </c>
      <c r="M34" s="4">
        <v>11</v>
      </c>
      <c r="N34" s="4">
        <v>12</v>
      </c>
      <c r="O34" s="5"/>
      <c r="P34" s="12" t="s">
        <v>5</v>
      </c>
      <c r="Q34" s="13">
        <f>SUM(14102/19907)</f>
        <v>0.70839403224996234</v>
      </c>
    </row>
    <row r="35" spans="1:19" s="2" customFormat="1" ht="16.5" customHeight="1" thickBot="1">
      <c r="A35" s="6" t="s">
        <v>211</v>
      </c>
      <c r="B35" s="14" t="s">
        <v>6</v>
      </c>
      <c r="C35" s="8">
        <v>2036</v>
      </c>
      <c r="D35" s="9"/>
      <c r="E35" s="8"/>
      <c r="F35" s="9"/>
      <c r="G35" s="9"/>
      <c r="H35" s="9"/>
      <c r="I35" s="9"/>
      <c r="J35" s="9"/>
      <c r="K35" s="9"/>
      <c r="L35" s="9"/>
      <c r="M35" s="10"/>
      <c r="N35" s="9"/>
      <c r="O35" s="11" t="s">
        <v>4</v>
      </c>
      <c r="P35" s="15"/>
      <c r="Q35" s="12" t="s">
        <v>8</v>
      </c>
      <c r="R35" s="12" t="s">
        <v>9</v>
      </c>
      <c r="S35" s="12" t="s">
        <v>10</v>
      </c>
    </row>
    <row r="36" spans="1:19" s="2" customFormat="1" ht="16.5" customHeight="1" thickBot="1">
      <c r="A36" s="6" t="s">
        <v>212</v>
      </c>
      <c r="B36" s="14" t="s">
        <v>6</v>
      </c>
      <c r="C36" s="9">
        <v>1632</v>
      </c>
      <c r="D36" s="9">
        <v>1638</v>
      </c>
      <c r="E36" s="9">
        <v>1684</v>
      </c>
      <c r="F36" s="9">
        <v>1689</v>
      </c>
      <c r="G36" s="9">
        <v>1693</v>
      </c>
      <c r="H36" s="9">
        <v>1702</v>
      </c>
      <c r="I36" s="9">
        <v>1703</v>
      </c>
      <c r="J36" s="9">
        <v>1766</v>
      </c>
      <c r="K36" s="9">
        <v>1775</v>
      </c>
      <c r="L36" s="8">
        <v>2184</v>
      </c>
      <c r="M36" s="8"/>
      <c r="N36" s="8"/>
      <c r="O36" s="11" t="s">
        <v>7</v>
      </c>
      <c r="P36" s="16" t="s">
        <v>6</v>
      </c>
      <c r="Q36" s="17">
        <f>SUM(C35+C36+C39+C41+C42+C47)</f>
        <v>7323</v>
      </c>
      <c r="R36" s="18">
        <f>SUM(Q36/Q40)</f>
        <v>0.52558673652479726</v>
      </c>
      <c r="S36" s="15">
        <v>3</v>
      </c>
    </row>
    <row r="37" spans="1:19" s="2" customFormat="1" ht="16.5" customHeight="1" thickBot="1">
      <c r="A37" s="6" t="s">
        <v>213</v>
      </c>
      <c r="B37" s="7" t="s">
        <v>3</v>
      </c>
      <c r="C37" s="9">
        <v>1613</v>
      </c>
      <c r="D37" s="9">
        <v>1632</v>
      </c>
      <c r="E37" s="9">
        <v>1638</v>
      </c>
      <c r="F37" s="9">
        <v>1645</v>
      </c>
      <c r="G37" s="9">
        <v>1856</v>
      </c>
      <c r="H37" s="8">
        <v>2095</v>
      </c>
      <c r="I37" s="8"/>
      <c r="J37" s="9"/>
      <c r="K37" s="9"/>
      <c r="L37" s="9"/>
      <c r="M37" s="9"/>
      <c r="N37" s="11"/>
      <c r="O37" s="11" t="s">
        <v>11</v>
      </c>
      <c r="P37" s="19" t="s">
        <v>3</v>
      </c>
      <c r="Q37" s="17">
        <f>SUM(C37+C38+C45+C46)</f>
        <v>4100</v>
      </c>
      <c r="R37" s="18">
        <f>SUM(Q37/Q40)</f>
        <v>0.29426541304815906</v>
      </c>
      <c r="S37" s="15">
        <v>2</v>
      </c>
    </row>
    <row r="38" spans="1:19" s="2" customFormat="1" ht="16.5" customHeight="1" thickBot="1">
      <c r="A38" s="6" t="s">
        <v>214</v>
      </c>
      <c r="B38" s="7" t="s">
        <v>3</v>
      </c>
      <c r="C38" s="9">
        <v>1309</v>
      </c>
      <c r="D38" s="9">
        <v>1309</v>
      </c>
      <c r="E38" s="9">
        <v>1316</v>
      </c>
      <c r="F38" s="9">
        <v>1317</v>
      </c>
      <c r="G38" s="9">
        <v>1391</v>
      </c>
      <c r="H38" s="9">
        <v>1397</v>
      </c>
      <c r="I38" s="9">
        <v>1419</v>
      </c>
      <c r="J38" s="9">
        <v>1503</v>
      </c>
      <c r="K38" s="9">
        <v>1751</v>
      </c>
      <c r="L38" s="9">
        <v>1931</v>
      </c>
      <c r="M38" s="9">
        <v>1950</v>
      </c>
      <c r="N38" s="8">
        <v>2032</v>
      </c>
      <c r="O38" s="11" t="s">
        <v>12</v>
      </c>
      <c r="P38" s="33" t="s">
        <v>19</v>
      </c>
      <c r="Q38" s="23">
        <v>609</v>
      </c>
      <c r="R38" s="13">
        <f>SUM(Q38/Q40)</f>
        <v>4.3709179645446065E-2</v>
      </c>
    </row>
    <row r="39" spans="1:19" s="2" customFormat="1" ht="16.5" customHeight="1" thickBot="1">
      <c r="A39" s="20" t="s">
        <v>215</v>
      </c>
      <c r="B39" s="21" t="s">
        <v>6</v>
      </c>
      <c r="C39" s="9">
        <v>1173</v>
      </c>
      <c r="D39" s="9">
        <v>1181</v>
      </c>
      <c r="E39" s="9">
        <v>1219</v>
      </c>
      <c r="F39" s="9">
        <v>1227</v>
      </c>
      <c r="G39" s="9">
        <v>1248</v>
      </c>
      <c r="H39" s="9">
        <v>1318</v>
      </c>
      <c r="I39" s="9">
        <v>1331</v>
      </c>
      <c r="J39" s="9">
        <v>1375</v>
      </c>
      <c r="K39" s="9">
        <v>1565</v>
      </c>
      <c r="L39" s="9">
        <v>1597</v>
      </c>
      <c r="M39" s="9">
        <v>1632</v>
      </c>
      <c r="N39" s="8" t="s">
        <v>30</v>
      </c>
      <c r="P39" s="12" t="s">
        <v>13</v>
      </c>
      <c r="Q39" s="23">
        <f>SUM(C40+C44+C48)</f>
        <v>1901</v>
      </c>
      <c r="R39" s="13">
        <f>SUM(Q39/Q40)</f>
        <v>0.13643867078159766</v>
      </c>
      <c r="S39" s="2">
        <v>1</v>
      </c>
    </row>
    <row r="40" spans="1:19" s="2" customFormat="1" ht="16.5" customHeight="1" thickBot="1">
      <c r="A40" s="6" t="s">
        <v>179</v>
      </c>
      <c r="B40" s="24" t="s">
        <v>28</v>
      </c>
      <c r="C40" s="9">
        <v>1143</v>
      </c>
      <c r="D40" s="9">
        <v>1171</v>
      </c>
      <c r="E40" s="9">
        <v>1237</v>
      </c>
      <c r="F40" s="9">
        <v>1238</v>
      </c>
      <c r="G40" s="9">
        <v>1313</v>
      </c>
      <c r="H40" s="9">
        <v>1350</v>
      </c>
      <c r="I40" s="9">
        <v>1362</v>
      </c>
      <c r="J40" s="9">
        <v>1571</v>
      </c>
      <c r="K40" s="9">
        <v>1634</v>
      </c>
      <c r="L40" s="9">
        <v>1707</v>
      </c>
      <c r="M40" s="9">
        <v>1737</v>
      </c>
      <c r="N40" s="8">
        <v>1867</v>
      </c>
      <c r="O40" s="11" t="s">
        <v>15</v>
      </c>
      <c r="P40" s="15"/>
      <c r="Q40" s="25">
        <v>13933</v>
      </c>
      <c r="S40" s="15"/>
    </row>
    <row r="41" spans="1:19" s="2" customFormat="1" ht="16.5" customHeight="1" thickBot="1">
      <c r="A41" s="6" t="s">
        <v>217</v>
      </c>
      <c r="B41" s="14" t="s">
        <v>6</v>
      </c>
      <c r="C41" s="9">
        <v>1112</v>
      </c>
      <c r="D41" s="9">
        <v>1121</v>
      </c>
      <c r="E41" s="9">
        <v>1383</v>
      </c>
      <c r="F41" s="9">
        <v>1397</v>
      </c>
      <c r="G41" s="9">
        <v>1423</v>
      </c>
      <c r="H41" s="9">
        <v>1524</v>
      </c>
      <c r="I41" s="9">
        <v>1549</v>
      </c>
      <c r="J41" s="9">
        <v>1613</v>
      </c>
      <c r="K41" s="9">
        <v>1675</v>
      </c>
      <c r="L41" s="9">
        <v>1748</v>
      </c>
      <c r="M41" s="9">
        <v>1857</v>
      </c>
      <c r="N41" s="8">
        <v>2663</v>
      </c>
      <c r="O41" s="11" t="s">
        <v>16</v>
      </c>
    </row>
    <row r="42" spans="1:19" s="2" customFormat="1" ht="16.5" customHeight="1" thickBot="1">
      <c r="A42" s="20" t="s">
        <v>218</v>
      </c>
      <c r="B42" s="21" t="s">
        <v>6</v>
      </c>
      <c r="C42" s="9">
        <v>858</v>
      </c>
      <c r="D42" s="10">
        <v>860</v>
      </c>
      <c r="E42" s="9">
        <v>876</v>
      </c>
      <c r="F42" s="9">
        <v>879</v>
      </c>
      <c r="G42" s="9">
        <v>884</v>
      </c>
      <c r="H42" s="9">
        <v>888</v>
      </c>
      <c r="I42" s="9">
        <v>890</v>
      </c>
      <c r="J42" s="9">
        <v>901</v>
      </c>
      <c r="K42" s="9">
        <v>907</v>
      </c>
      <c r="L42" s="9" t="s">
        <v>30</v>
      </c>
    </row>
    <row r="43" spans="1:19" s="2" customFormat="1" ht="16.5" customHeight="1" thickBot="1">
      <c r="A43" s="20" t="s">
        <v>219</v>
      </c>
      <c r="B43" s="62" t="s">
        <v>19</v>
      </c>
      <c r="C43" s="9">
        <v>609</v>
      </c>
      <c r="D43" s="10">
        <v>639</v>
      </c>
      <c r="E43" s="9">
        <v>668</v>
      </c>
      <c r="F43" s="9">
        <v>669</v>
      </c>
      <c r="G43" s="9">
        <v>693</v>
      </c>
      <c r="H43" s="9">
        <v>708</v>
      </c>
      <c r="I43" s="9">
        <v>714</v>
      </c>
      <c r="J43" s="10" t="s">
        <v>30</v>
      </c>
    </row>
    <row r="44" spans="1:19" s="2" customFormat="1" ht="16.5" customHeight="1" thickBot="1">
      <c r="A44" s="20" t="s">
        <v>220</v>
      </c>
      <c r="B44" s="26" t="s">
        <v>28</v>
      </c>
      <c r="C44" s="9">
        <v>604</v>
      </c>
      <c r="D44" s="9">
        <v>611</v>
      </c>
      <c r="E44" s="9">
        <v>613</v>
      </c>
      <c r="F44" s="9">
        <v>616</v>
      </c>
      <c r="G44" s="9">
        <v>618</v>
      </c>
      <c r="H44" s="10" t="s">
        <v>30</v>
      </c>
    </row>
    <row r="45" spans="1:19" s="2" customFormat="1" ht="16.5" customHeight="1" thickBot="1">
      <c r="A45" s="20" t="s">
        <v>221</v>
      </c>
      <c r="B45" s="27" t="s">
        <v>3</v>
      </c>
      <c r="C45" s="9">
        <v>597</v>
      </c>
      <c r="D45" s="9">
        <v>615</v>
      </c>
      <c r="E45" s="9">
        <v>619</v>
      </c>
      <c r="F45" s="10">
        <v>619</v>
      </c>
      <c r="G45" s="10">
        <v>712</v>
      </c>
      <c r="H45" s="9">
        <v>734</v>
      </c>
      <c r="I45" s="9">
        <v>757</v>
      </c>
      <c r="J45" s="9">
        <v>779</v>
      </c>
      <c r="K45" s="9" t="s">
        <v>30</v>
      </c>
      <c r="P45"/>
    </row>
    <row r="46" spans="1:19" s="2" customFormat="1" ht="16.5" customHeight="1" thickBot="1">
      <c r="A46" s="20" t="s">
        <v>222</v>
      </c>
      <c r="B46" s="27" t="s">
        <v>3</v>
      </c>
      <c r="C46" s="10">
        <v>581</v>
      </c>
      <c r="D46" s="10">
        <v>583</v>
      </c>
      <c r="E46" s="9">
        <v>588</v>
      </c>
      <c r="F46" s="9">
        <v>590</v>
      </c>
      <c r="G46" s="9" t="s">
        <v>30</v>
      </c>
      <c r="L46" s="23"/>
      <c r="M46"/>
      <c r="N46"/>
      <c r="O46"/>
    </row>
    <row r="47" spans="1:19" s="2" customFormat="1" ht="16.5" customHeight="1" thickBot="1">
      <c r="A47" s="20" t="s">
        <v>223</v>
      </c>
      <c r="B47" s="21" t="s">
        <v>6</v>
      </c>
      <c r="C47" s="10">
        <v>512</v>
      </c>
      <c r="D47" s="10">
        <v>514</v>
      </c>
      <c r="E47" s="9" t="s">
        <v>30</v>
      </c>
      <c r="L47" s="23"/>
      <c r="M47"/>
      <c r="N47"/>
      <c r="O47"/>
    </row>
    <row r="48" spans="1:19" s="2" customFormat="1" ht="16.5" customHeight="1" thickBot="1">
      <c r="A48" s="20" t="s">
        <v>224</v>
      </c>
      <c r="B48" s="85" t="s">
        <v>207</v>
      </c>
      <c r="C48" s="10">
        <v>154</v>
      </c>
      <c r="D48" s="10" t="s">
        <v>30</v>
      </c>
      <c r="L48" s="23"/>
      <c r="M48"/>
      <c r="N48"/>
      <c r="O48"/>
    </row>
    <row r="50" spans="1:23" s="2" customFormat="1" ht="17.45" customHeight="1">
      <c r="A50" s="31" t="s">
        <v>266</v>
      </c>
      <c r="B50" s="23"/>
      <c r="C50" s="23"/>
      <c r="D50" s="23"/>
      <c r="E50" s="23"/>
      <c r="F50" s="23"/>
      <c r="G50" s="23"/>
      <c r="H50" s="23"/>
      <c r="I50" s="23"/>
      <c r="J50" s="23"/>
    </row>
    <row r="51" spans="1:23" s="2" customFormat="1" ht="8.25" customHeight="1" thickBot="1">
      <c r="A51" s="31"/>
      <c r="B51" s="23"/>
      <c r="C51" s="23"/>
      <c r="D51" s="23"/>
      <c r="E51" s="23"/>
      <c r="F51" s="23"/>
      <c r="G51" s="23"/>
      <c r="H51" s="23"/>
      <c r="I51" s="23"/>
      <c r="J51" s="23"/>
    </row>
    <row r="52" spans="1:23" s="2" customFormat="1" ht="17.45" customHeight="1" thickBot="1">
      <c r="A52" s="35" t="s">
        <v>0</v>
      </c>
      <c r="B52" s="36" t="s">
        <v>1</v>
      </c>
      <c r="C52" s="36" t="s">
        <v>2</v>
      </c>
      <c r="D52" s="36">
        <v>2</v>
      </c>
      <c r="E52" s="36">
        <v>3</v>
      </c>
      <c r="F52" s="36">
        <v>4</v>
      </c>
      <c r="G52" s="36">
        <v>5</v>
      </c>
      <c r="H52" s="36">
        <v>6</v>
      </c>
      <c r="I52" s="36">
        <v>7</v>
      </c>
      <c r="J52" s="36">
        <v>8</v>
      </c>
      <c r="K52" s="36">
        <v>9</v>
      </c>
      <c r="L52" s="36">
        <v>10</v>
      </c>
      <c r="M52" s="36">
        <v>11</v>
      </c>
      <c r="N52" s="36">
        <v>12</v>
      </c>
      <c r="O52" s="36">
        <v>13</v>
      </c>
      <c r="P52" s="36">
        <v>14</v>
      </c>
      <c r="Q52" s="36">
        <v>15</v>
      </c>
      <c r="R52" s="36">
        <v>16</v>
      </c>
      <c r="S52" s="36"/>
      <c r="T52" s="25" t="s">
        <v>5</v>
      </c>
      <c r="U52" s="13">
        <f>SUM(20666/36687)</f>
        <v>0.56330580314552836</v>
      </c>
    </row>
    <row r="53" spans="1:23" s="2" customFormat="1" ht="17.45" customHeight="1" thickBot="1">
      <c r="A53" s="37" t="s">
        <v>191</v>
      </c>
      <c r="B53" s="38" t="s">
        <v>6</v>
      </c>
      <c r="C53" s="8">
        <v>3425</v>
      </c>
      <c r="D53" s="9"/>
      <c r="E53" s="8"/>
      <c r="F53" s="9"/>
      <c r="G53" s="9"/>
      <c r="H53" s="9"/>
      <c r="I53" s="8"/>
      <c r="J53" s="9"/>
      <c r="K53" s="9"/>
      <c r="L53" s="9"/>
      <c r="M53" s="8"/>
      <c r="N53" s="9"/>
      <c r="O53" s="9"/>
      <c r="P53" s="9"/>
      <c r="Q53" s="8"/>
      <c r="R53" s="9"/>
      <c r="S53" s="8" t="s">
        <v>4</v>
      </c>
      <c r="T53" s="17"/>
      <c r="U53" s="12" t="s">
        <v>8</v>
      </c>
      <c r="V53" s="12" t="s">
        <v>9</v>
      </c>
      <c r="W53" s="12" t="s">
        <v>10</v>
      </c>
    </row>
    <row r="54" spans="1:23" s="2" customFormat="1" ht="17.45" customHeight="1" thickBot="1">
      <c r="A54" s="37" t="s">
        <v>192</v>
      </c>
      <c r="B54" s="59" t="s">
        <v>17</v>
      </c>
      <c r="C54" s="52">
        <v>2497</v>
      </c>
      <c r="D54" s="9"/>
      <c r="E54" s="9"/>
      <c r="F54" s="8"/>
      <c r="G54" s="9"/>
      <c r="H54" s="9"/>
      <c r="I54" s="9"/>
      <c r="J54" s="8"/>
      <c r="K54" s="9"/>
      <c r="L54" s="9"/>
      <c r="M54" s="9"/>
      <c r="N54" s="8"/>
      <c r="O54" s="9"/>
      <c r="P54" s="9"/>
      <c r="Q54" s="9"/>
      <c r="R54" s="8"/>
      <c r="S54" s="8" t="s">
        <v>7</v>
      </c>
      <c r="T54" s="48" t="s">
        <v>6</v>
      </c>
      <c r="U54" s="17">
        <f>SUM(C53+C57+C58+C60+C61+C63+C65)</f>
        <v>8341</v>
      </c>
      <c r="V54" s="18">
        <f>SUM(U54/U59)</f>
        <v>0.41908255036929104</v>
      </c>
      <c r="W54" s="15">
        <v>4</v>
      </c>
    </row>
    <row r="55" spans="1:23" s="2" customFormat="1" ht="17.45" customHeight="1" thickBot="1">
      <c r="A55" s="37" t="s">
        <v>193</v>
      </c>
      <c r="B55" s="39" t="s">
        <v>3</v>
      </c>
      <c r="C55" s="8">
        <v>2138</v>
      </c>
      <c r="D55" s="9"/>
      <c r="E55" s="9"/>
      <c r="F55" s="9"/>
      <c r="G55" s="8"/>
      <c r="H55" s="9"/>
      <c r="I55" s="9"/>
      <c r="J55" s="9"/>
      <c r="K55" s="8"/>
      <c r="L55" s="9"/>
      <c r="M55" s="9"/>
      <c r="N55" s="9"/>
      <c r="O55" s="8"/>
      <c r="P55" s="8"/>
      <c r="Q55" s="9"/>
      <c r="R55" s="9"/>
      <c r="S55" s="8" t="s">
        <v>11</v>
      </c>
      <c r="T55" s="49" t="s">
        <v>3</v>
      </c>
      <c r="U55" s="17">
        <f>SUM(C55+C59+C62+C66+C67+C69)</f>
        <v>5162</v>
      </c>
      <c r="V55" s="18">
        <f>SUM(U55/U59)</f>
        <v>0.25935788574586743</v>
      </c>
      <c r="W55" s="15">
        <v>2</v>
      </c>
    </row>
    <row r="56" spans="1:23" s="2" customFormat="1" ht="17.45" customHeight="1" thickBot="1">
      <c r="A56" s="37" t="s">
        <v>194</v>
      </c>
      <c r="B56" s="56" t="s">
        <v>19</v>
      </c>
      <c r="C56" s="8">
        <v>2059</v>
      </c>
      <c r="D56" s="9"/>
      <c r="E56" s="9"/>
      <c r="F56" s="8"/>
      <c r="G56" s="9"/>
      <c r="H56" s="9"/>
      <c r="I56" s="9"/>
      <c r="J56" s="8"/>
      <c r="K56" s="9"/>
      <c r="L56" s="9"/>
      <c r="M56" s="8"/>
      <c r="N56" s="9"/>
      <c r="O56" s="9"/>
      <c r="P56" s="9"/>
      <c r="Q56" s="8"/>
      <c r="R56" s="9"/>
      <c r="S56" s="8" t="s">
        <v>12</v>
      </c>
      <c r="T56" s="60" t="s">
        <v>19</v>
      </c>
      <c r="U56" s="23">
        <v>2059</v>
      </c>
      <c r="V56" s="13">
        <f>SUM(U56/U59)</f>
        <v>0.10345174094357634</v>
      </c>
      <c r="W56" s="2">
        <v>1</v>
      </c>
    </row>
    <row r="57" spans="1:23" s="2" customFormat="1" ht="17.45" customHeight="1" thickBot="1">
      <c r="A57" s="37" t="s">
        <v>195</v>
      </c>
      <c r="B57" s="38" t="s">
        <v>6</v>
      </c>
      <c r="C57" s="9">
        <v>1021</v>
      </c>
      <c r="D57" s="9">
        <v>1422</v>
      </c>
      <c r="E57" s="9">
        <v>1439</v>
      </c>
      <c r="F57" s="9">
        <v>1443</v>
      </c>
      <c r="G57" s="9">
        <v>1456</v>
      </c>
      <c r="H57" s="9">
        <v>1463</v>
      </c>
      <c r="I57" s="9">
        <v>1480</v>
      </c>
      <c r="J57" s="9">
        <v>1493</v>
      </c>
      <c r="K57" s="9">
        <v>1521</v>
      </c>
      <c r="L57" s="9">
        <v>1529</v>
      </c>
      <c r="M57" s="9">
        <v>1642</v>
      </c>
      <c r="N57" s="9">
        <v>1680</v>
      </c>
      <c r="O57" s="9">
        <v>1709</v>
      </c>
      <c r="P57" s="9">
        <v>1912</v>
      </c>
      <c r="Q57" s="9">
        <v>1936</v>
      </c>
      <c r="R57" s="8">
        <v>2261</v>
      </c>
      <c r="S57" s="8" t="s">
        <v>15</v>
      </c>
      <c r="T57" s="83" t="s">
        <v>17</v>
      </c>
      <c r="U57" s="23">
        <f>SUM(C54+C68+C71+C72)</f>
        <v>3384</v>
      </c>
      <c r="V57" s="13">
        <f>SUM(U57/U59)</f>
        <v>0.17002461940410993</v>
      </c>
      <c r="W57" s="2">
        <v>1</v>
      </c>
    </row>
    <row r="58" spans="1:23" s="2" customFormat="1" ht="17.45" customHeight="1" thickBot="1">
      <c r="A58" s="37" t="s">
        <v>196</v>
      </c>
      <c r="B58" s="38" t="s">
        <v>6</v>
      </c>
      <c r="C58" s="9">
        <v>929</v>
      </c>
      <c r="D58" s="9">
        <v>1047</v>
      </c>
      <c r="E58" s="9">
        <v>1052</v>
      </c>
      <c r="F58" s="9">
        <v>1055</v>
      </c>
      <c r="G58" s="9">
        <v>1057</v>
      </c>
      <c r="H58" s="9">
        <v>1082</v>
      </c>
      <c r="I58" s="9">
        <v>1090</v>
      </c>
      <c r="J58" s="9">
        <v>1095</v>
      </c>
      <c r="K58" s="9">
        <v>1102</v>
      </c>
      <c r="L58" s="9">
        <v>1109</v>
      </c>
      <c r="M58" s="9">
        <v>1150</v>
      </c>
      <c r="N58" s="9">
        <v>1166</v>
      </c>
      <c r="O58" s="9">
        <v>1184</v>
      </c>
      <c r="P58" s="9">
        <v>1291</v>
      </c>
      <c r="Q58" s="9">
        <v>1499</v>
      </c>
      <c r="R58" s="8">
        <v>1561</v>
      </c>
      <c r="S58" s="8" t="s">
        <v>209</v>
      </c>
      <c r="T58" s="25" t="s">
        <v>13</v>
      </c>
      <c r="U58" s="23">
        <v>957</v>
      </c>
      <c r="V58" s="13">
        <f>SUM(U58/U59)</f>
        <v>4.80832035371552E-2</v>
      </c>
      <c r="W58" s="2">
        <v>1</v>
      </c>
    </row>
    <row r="59" spans="1:23" s="2" customFormat="1" ht="17.45" customHeight="1" thickBot="1">
      <c r="A59" s="37" t="s">
        <v>157</v>
      </c>
      <c r="B59" s="39" t="s">
        <v>3</v>
      </c>
      <c r="C59" s="9">
        <v>890</v>
      </c>
      <c r="D59" s="9">
        <v>902</v>
      </c>
      <c r="E59" s="9">
        <v>912</v>
      </c>
      <c r="F59" s="9">
        <v>921</v>
      </c>
      <c r="G59" s="9">
        <v>935</v>
      </c>
      <c r="H59" s="9">
        <v>940</v>
      </c>
      <c r="I59" s="9">
        <v>952</v>
      </c>
      <c r="J59" s="9">
        <v>956</v>
      </c>
      <c r="K59" s="9">
        <v>1000</v>
      </c>
      <c r="L59" s="9">
        <v>1171</v>
      </c>
      <c r="M59" s="9">
        <v>1185</v>
      </c>
      <c r="N59" s="9">
        <v>1304</v>
      </c>
      <c r="O59" s="9">
        <v>1376</v>
      </c>
      <c r="P59" s="9">
        <v>1531</v>
      </c>
      <c r="Q59" s="9">
        <v>1900</v>
      </c>
      <c r="R59" s="8">
        <v>2054</v>
      </c>
      <c r="S59" s="8" t="s">
        <v>14</v>
      </c>
      <c r="T59" s="25"/>
      <c r="U59" s="25">
        <v>19903</v>
      </c>
      <c r="V59" s="13"/>
      <c r="W59" s="13"/>
    </row>
    <row r="60" spans="1:23" s="2" customFormat="1" ht="17.45" customHeight="1" thickBot="1">
      <c r="A60" s="40" t="s">
        <v>197</v>
      </c>
      <c r="B60" s="41" t="s">
        <v>6</v>
      </c>
      <c r="C60" s="9">
        <v>872</v>
      </c>
      <c r="D60" s="9">
        <v>950</v>
      </c>
      <c r="E60" s="9">
        <v>954</v>
      </c>
      <c r="F60" s="9">
        <v>956</v>
      </c>
      <c r="G60" s="9">
        <v>971</v>
      </c>
      <c r="H60" s="9">
        <v>974</v>
      </c>
      <c r="I60" s="9">
        <v>982</v>
      </c>
      <c r="J60" s="9">
        <v>995</v>
      </c>
      <c r="K60" s="9">
        <v>1003</v>
      </c>
      <c r="L60" s="9">
        <v>1033</v>
      </c>
      <c r="M60" s="9">
        <v>1108</v>
      </c>
      <c r="N60" s="9">
        <v>1128</v>
      </c>
      <c r="O60" s="9">
        <v>1149</v>
      </c>
      <c r="P60" s="9">
        <v>1234</v>
      </c>
      <c r="Q60" s="9">
        <v>1241</v>
      </c>
      <c r="R60" s="9" t="s">
        <v>30</v>
      </c>
      <c r="T60" s="17"/>
      <c r="U60" s="12"/>
      <c r="V60" s="12"/>
      <c r="W60" s="12"/>
    </row>
    <row r="61" spans="1:23" s="2" customFormat="1" ht="17.45" customHeight="1" thickBot="1">
      <c r="A61" s="40" t="s">
        <v>198</v>
      </c>
      <c r="B61" s="41" t="s">
        <v>6</v>
      </c>
      <c r="C61" s="44">
        <v>852</v>
      </c>
      <c r="D61" s="9">
        <v>947</v>
      </c>
      <c r="E61" s="9">
        <v>953</v>
      </c>
      <c r="F61" s="9">
        <v>955</v>
      </c>
      <c r="G61" s="9">
        <v>961</v>
      </c>
      <c r="H61" s="9">
        <v>967</v>
      </c>
      <c r="I61" s="9">
        <v>974</v>
      </c>
      <c r="J61" s="9">
        <v>981</v>
      </c>
      <c r="K61" s="9">
        <v>989</v>
      </c>
      <c r="L61" s="9">
        <v>1001</v>
      </c>
      <c r="M61" s="9">
        <v>1056</v>
      </c>
      <c r="N61" s="9">
        <v>1070</v>
      </c>
      <c r="O61" s="9">
        <v>1086</v>
      </c>
      <c r="P61" s="9" t="s">
        <v>30</v>
      </c>
      <c r="T61" s="48"/>
      <c r="U61" s="17"/>
      <c r="V61" s="18"/>
      <c r="W61" s="15"/>
    </row>
    <row r="62" spans="1:23" s="2" customFormat="1" ht="17.45" customHeight="1" thickBot="1">
      <c r="A62" s="40" t="s">
        <v>143</v>
      </c>
      <c r="B62" s="42" t="s">
        <v>3</v>
      </c>
      <c r="C62" s="9">
        <v>821</v>
      </c>
      <c r="D62" s="9">
        <v>836</v>
      </c>
      <c r="E62" s="9">
        <v>842</v>
      </c>
      <c r="F62" s="9">
        <v>854</v>
      </c>
      <c r="G62" s="9">
        <v>855</v>
      </c>
      <c r="H62" s="9">
        <v>890</v>
      </c>
      <c r="I62" s="9">
        <v>895</v>
      </c>
      <c r="J62" s="9">
        <v>897</v>
      </c>
      <c r="K62" s="9">
        <v>931</v>
      </c>
      <c r="L62" s="9">
        <v>980</v>
      </c>
      <c r="M62" s="9">
        <v>988</v>
      </c>
      <c r="N62" s="9">
        <v>1121</v>
      </c>
      <c r="O62" s="9">
        <v>1167</v>
      </c>
      <c r="P62" s="9">
        <v>1178</v>
      </c>
      <c r="Q62" s="9" t="s">
        <v>30</v>
      </c>
      <c r="T62" s="49"/>
      <c r="U62" s="17"/>
      <c r="V62" s="18"/>
      <c r="W62" s="15"/>
    </row>
    <row r="63" spans="1:23" s="2" customFormat="1" ht="17.45" customHeight="1" thickBot="1">
      <c r="A63" s="37" t="s">
        <v>199</v>
      </c>
      <c r="B63" s="38" t="s">
        <v>6</v>
      </c>
      <c r="C63" s="9">
        <v>782</v>
      </c>
      <c r="D63" s="9">
        <v>959</v>
      </c>
      <c r="E63" s="9">
        <v>969</v>
      </c>
      <c r="F63" s="9">
        <v>975</v>
      </c>
      <c r="G63" s="9">
        <v>976</v>
      </c>
      <c r="H63" s="9">
        <v>984</v>
      </c>
      <c r="I63" s="9">
        <v>987</v>
      </c>
      <c r="J63" s="9">
        <v>1006</v>
      </c>
      <c r="K63" s="9">
        <v>1015</v>
      </c>
      <c r="L63" s="9">
        <v>1024</v>
      </c>
      <c r="M63" s="9">
        <v>1150</v>
      </c>
      <c r="N63" s="9">
        <v>1171</v>
      </c>
      <c r="O63" s="9">
        <v>1192</v>
      </c>
      <c r="P63" s="9">
        <v>1308</v>
      </c>
      <c r="Q63" s="9">
        <v>1380</v>
      </c>
      <c r="R63" s="8">
        <v>1606</v>
      </c>
      <c r="S63" s="8" t="s">
        <v>16</v>
      </c>
      <c r="T63" s="53"/>
      <c r="U63" s="23"/>
      <c r="V63" s="13"/>
    </row>
    <row r="64" spans="1:23" s="2" customFormat="1" ht="17.45" customHeight="1" thickBot="1">
      <c r="A64" s="37" t="s">
        <v>200</v>
      </c>
      <c r="B64" s="52" t="s">
        <v>28</v>
      </c>
      <c r="C64" s="9">
        <v>601</v>
      </c>
      <c r="D64" s="9">
        <v>725</v>
      </c>
      <c r="E64" s="9">
        <v>782</v>
      </c>
      <c r="F64" s="9">
        <v>797</v>
      </c>
      <c r="G64" s="9">
        <v>799</v>
      </c>
      <c r="H64" s="9">
        <v>819</v>
      </c>
      <c r="I64" s="9">
        <v>844</v>
      </c>
      <c r="J64" s="9">
        <v>875</v>
      </c>
      <c r="K64" s="9">
        <v>931</v>
      </c>
      <c r="L64" s="9">
        <v>985</v>
      </c>
      <c r="M64" s="9">
        <v>1082</v>
      </c>
      <c r="N64" s="9">
        <v>1251</v>
      </c>
      <c r="O64" s="9">
        <v>1383</v>
      </c>
      <c r="P64" s="9">
        <v>1410</v>
      </c>
      <c r="Q64" s="9">
        <v>1461</v>
      </c>
      <c r="R64" s="8">
        <v>1503</v>
      </c>
      <c r="S64" s="8" t="s">
        <v>210</v>
      </c>
      <c r="T64" s="25"/>
      <c r="U64" s="23"/>
      <c r="V64" s="13"/>
    </row>
    <row r="65" spans="1:23" s="2" customFormat="1" ht="17.45" customHeight="1" thickBot="1">
      <c r="A65" s="40" t="s">
        <v>201</v>
      </c>
      <c r="B65" s="41" t="s">
        <v>6</v>
      </c>
      <c r="C65" s="9">
        <v>460</v>
      </c>
      <c r="D65" s="9">
        <v>664</v>
      </c>
      <c r="E65" s="9">
        <v>691</v>
      </c>
      <c r="F65" s="9">
        <v>696</v>
      </c>
      <c r="G65" s="9">
        <v>697</v>
      </c>
      <c r="H65" s="9">
        <v>704</v>
      </c>
      <c r="I65" s="9">
        <v>712</v>
      </c>
      <c r="J65" s="9">
        <v>733</v>
      </c>
      <c r="K65" s="9">
        <v>744</v>
      </c>
      <c r="L65" s="9">
        <v>759</v>
      </c>
      <c r="M65" s="9" t="s">
        <v>30</v>
      </c>
      <c r="S65" s="23"/>
      <c r="T65" s="23"/>
      <c r="U65" s="23"/>
      <c r="V65" s="25"/>
    </row>
    <row r="66" spans="1:23" s="2" customFormat="1" ht="17.45" customHeight="1" thickBot="1">
      <c r="A66" s="40" t="s">
        <v>202</v>
      </c>
      <c r="B66" s="42" t="s">
        <v>3</v>
      </c>
      <c r="C66" s="9">
        <v>455</v>
      </c>
      <c r="D66" s="9">
        <v>467</v>
      </c>
      <c r="E66" s="9">
        <v>489</v>
      </c>
      <c r="F66" s="9">
        <v>512</v>
      </c>
      <c r="G66" s="9">
        <v>514</v>
      </c>
      <c r="H66" s="9">
        <v>524</v>
      </c>
      <c r="I66" s="9">
        <v>537</v>
      </c>
      <c r="J66" s="9">
        <v>564</v>
      </c>
      <c r="K66" s="9">
        <v>615</v>
      </c>
      <c r="L66" s="9" t="s">
        <v>30</v>
      </c>
      <c r="S66" s="23"/>
      <c r="T66" s="17"/>
      <c r="U66" s="12"/>
      <c r="V66" s="12"/>
      <c r="W66" s="12"/>
    </row>
    <row r="67" spans="1:23" s="2" customFormat="1" ht="17.45" customHeight="1" thickBot="1">
      <c r="A67" s="40" t="s">
        <v>203</v>
      </c>
      <c r="B67" s="42" t="s">
        <v>3</v>
      </c>
      <c r="C67" s="44">
        <v>443</v>
      </c>
      <c r="D67" s="9">
        <v>494</v>
      </c>
      <c r="E67" s="9">
        <v>538</v>
      </c>
      <c r="F67" s="9">
        <v>559</v>
      </c>
      <c r="G67" s="9">
        <v>563</v>
      </c>
      <c r="H67" s="9">
        <v>575</v>
      </c>
      <c r="I67" s="9">
        <v>594</v>
      </c>
      <c r="J67" s="9">
        <v>621</v>
      </c>
      <c r="K67" s="9">
        <v>735</v>
      </c>
      <c r="L67" s="9">
        <v>817</v>
      </c>
      <c r="M67" s="9">
        <v>854</v>
      </c>
      <c r="N67" s="9" t="s">
        <v>30</v>
      </c>
      <c r="P67" s="23"/>
      <c r="Q67" s="48"/>
      <c r="R67" s="17"/>
      <c r="S67" s="18"/>
      <c r="T67" s="15"/>
    </row>
    <row r="68" spans="1:23" s="2" customFormat="1" ht="17.45" customHeight="1" thickBot="1">
      <c r="A68" s="40" t="s">
        <v>204</v>
      </c>
      <c r="B68" s="50" t="s">
        <v>17</v>
      </c>
      <c r="C68" s="9">
        <v>416</v>
      </c>
      <c r="D68" s="9">
        <v>448</v>
      </c>
      <c r="E68" s="9">
        <v>553</v>
      </c>
      <c r="F68" s="9">
        <v>566</v>
      </c>
      <c r="G68" s="9">
        <v>567</v>
      </c>
      <c r="H68" s="9">
        <v>620</v>
      </c>
      <c r="I68" s="9">
        <v>723</v>
      </c>
      <c r="J68" s="9">
        <v>812</v>
      </c>
      <c r="K68" s="9">
        <v>852</v>
      </c>
      <c r="L68" s="9">
        <v>903</v>
      </c>
      <c r="M68" s="9">
        <v>940</v>
      </c>
      <c r="N68" s="9">
        <v>1003</v>
      </c>
      <c r="O68" s="9" t="s">
        <v>30</v>
      </c>
      <c r="P68" s="23"/>
      <c r="Q68" s="49"/>
      <c r="R68" s="17"/>
      <c r="S68" s="18"/>
      <c r="T68" s="15"/>
    </row>
    <row r="69" spans="1:23" s="2" customFormat="1" ht="17.45" customHeight="1" thickBot="1">
      <c r="A69" s="40" t="s">
        <v>205</v>
      </c>
      <c r="B69" s="42" t="s">
        <v>3</v>
      </c>
      <c r="C69" s="9">
        <v>415</v>
      </c>
      <c r="D69" s="9">
        <v>455</v>
      </c>
      <c r="E69" s="9">
        <v>488</v>
      </c>
      <c r="F69" s="9">
        <v>506</v>
      </c>
      <c r="G69" s="9">
        <v>507</v>
      </c>
      <c r="H69" s="9">
        <v>512</v>
      </c>
      <c r="I69" s="9">
        <v>535</v>
      </c>
      <c r="J69" s="9">
        <v>555</v>
      </c>
      <c r="K69" s="9" t="s">
        <v>30</v>
      </c>
      <c r="P69" s="23"/>
      <c r="Q69" s="53"/>
      <c r="R69" s="23"/>
      <c r="S69" s="13"/>
    </row>
    <row r="70" spans="1:23" s="2" customFormat="1" ht="17.45" customHeight="1" thickBot="1">
      <c r="A70" s="40" t="s">
        <v>206</v>
      </c>
      <c r="B70" s="84" t="s">
        <v>207</v>
      </c>
      <c r="C70" s="9">
        <v>356</v>
      </c>
      <c r="D70" s="9">
        <v>379</v>
      </c>
      <c r="E70" s="9">
        <v>414</v>
      </c>
      <c r="F70" s="9">
        <v>417</v>
      </c>
      <c r="G70" s="9">
        <v>420</v>
      </c>
      <c r="H70" s="9">
        <v>425</v>
      </c>
      <c r="I70" s="9">
        <v>441</v>
      </c>
      <c r="J70" s="9" t="s">
        <v>30</v>
      </c>
      <c r="K70" s="13"/>
    </row>
    <row r="71" spans="1:23" s="2" customFormat="1" ht="17.45" customHeight="1" thickBot="1">
      <c r="A71" s="40" t="s">
        <v>208</v>
      </c>
      <c r="B71" s="50" t="s">
        <v>17</v>
      </c>
      <c r="C71" s="9">
        <v>258</v>
      </c>
      <c r="D71" s="9">
        <v>283</v>
      </c>
      <c r="E71" s="9">
        <v>355</v>
      </c>
      <c r="F71" s="9">
        <v>360</v>
      </c>
      <c r="G71" s="9">
        <v>361</v>
      </c>
      <c r="H71" s="9">
        <v>396</v>
      </c>
      <c r="I71" s="9" t="s">
        <v>30</v>
      </c>
      <c r="J71" s="23"/>
      <c r="K71" s="25"/>
    </row>
    <row r="72" spans="1:23" s="2" customFormat="1" ht="17.45" customHeight="1" thickBot="1">
      <c r="A72" s="40" t="s">
        <v>166</v>
      </c>
      <c r="B72" s="50" t="s">
        <v>17</v>
      </c>
      <c r="C72" s="9">
        <v>213</v>
      </c>
      <c r="D72" s="9">
        <v>240</v>
      </c>
      <c r="E72" s="9">
        <v>293</v>
      </c>
      <c r="F72" s="9">
        <v>299</v>
      </c>
      <c r="G72" s="9">
        <v>300</v>
      </c>
      <c r="H72" s="9" t="s">
        <v>30</v>
      </c>
      <c r="I72" s="23"/>
      <c r="J72" s="23"/>
      <c r="K72" s="25"/>
    </row>
    <row r="73" spans="1:23">
      <c r="C73" s="63"/>
    </row>
    <row r="74" spans="1:23" s="2" customFormat="1" ht="17.45" customHeight="1">
      <c r="A74" s="31" t="s">
        <v>226</v>
      </c>
      <c r="B74" s="23"/>
      <c r="C74" s="23"/>
      <c r="D74" s="23"/>
      <c r="E74" s="23"/>
      <c r="F74" s="23"/>
      <c r="G74" s="23"/>
      <c r="H74" s="23"/>
      <c r="I74" s="23"/>
      <c r="J74" s="23"/>
    </row>
    <row r="75" spans="1:23" s="2" customFormat="1" ht="10.5" customHeight="1" thickBot="1">
      <c r="A75" s="31"/>
      <c r="B75" s="23"/>
      <c r="C75" s="23"/>
      <c r="D75" s="23"/>
      <c r="E75" s="23"/>
      <c r="F75" s="23"/>
      <c r="G75" s="23"/>
      <c r="H75" s="23"/>
      <c r="I75" s="23"/>
      <c r="J75" s="23"/>
    </row>
    <row r="76" spans="1:23" s="2" customFormat="1" ht="16.5" customHeight="1" thickBot="1">
      <c r="A76" s="35" t="s">
        <v>0</v>
      </c>
      <c r="B76" s="36" t="s">
        <v>1</v>
      </c>
      <c r="C76" s="36" t="s">
        <v>2</v>
      </c>
      <c r="D76" s="36">
        <v>2</v>
      </c>
      <c r="E76" s="36">
        <v>3</v>
      </c>
      <c r="F76" s="36">
        <v>4</v>
      </c>
      <c r="G76" s="36">
        <v>5</v>
      </c>
      <c r="H76" s="36">
        <v>6</v>
      </c>
      <c r="I76" s="36">
        <v>7</v>
      </c>
      <c r="J76" s="45"/>
      <c r="K76" s="12" t="s">
        <v>5</v>
      </c>
      <c r="L76" s="13"/>
    </row>
    <row r="77" spans="1:23" s="2" customFormat="1" ht="16.5" customHeight="1" thickBot="1">
      <c r="A77" s="37" t="s">
        <v>228</v>
      </c>
      <c r="B77" s="38" t="s">
        <v>6</v>
      </c>
      <c r="C77" s="8">
        <v>1976</v>
      </c>
      <c r="D77" s="8"/>
      <c r="E77" s="9"/>
      <c r="F77" s="9"/>
      <c r="G77" s="9"/>
      <c r="H77" s="9"/>
      <c r="I77" s="8"/>
      <c r="J77" s="8" t="s">
        <v>4</v>
      </c>
      <c r="K77" s="15"/>
      <c r="L77" s="12" t="s">
        <v>8</v>
      </c>
      <c r="M77" s="12" t="s">
        <v>9</v>
      </c>
      <c r="N77" s="12" t="s">
        <v>10</v>
      </c>
    </row>
    <row r="78" spans="1:23" s="2" customFormat="1" ht="16.5" customHeight="1" thickBot="1">
      <c r="A78" s="37" t="s">
        <v>171</v>
      </c>
      <c r="B78" s="39" t="s">
        <v>3</v>
      </c>
      <c r="C78" s="9">
        <v>1458</v>
      </c>
      <c r="D78" s="9">
        <v>1465</v>
      </c>
      <c r="E78" s="9">
        <v>1519</v>
      </c>
      <c r="F78" s="8">
        <v>1672</v>
      </c>
      <c r="G78" s="8"/>
      <c r="H78" s="9"/>
      <c r="I78" s="9"/>
      <c r="J78" s="8" t="s">
        <v>7</v>
      </c>
      <c r="K78" s="16" t="s">
        <v>6</v>
      </c>
      <c r="L78" s="17">
        <f>SUM(C77+C79+C80+C82)</f>
        <v>5046</v>
      </c>
      <c r="M78" s="18">
        <f>SUM(L78/L81)</f>
        <v>0.62753388881979855</v>
      </c>
      <c r="N78" s="15">
        <v>3</v>
      </c>
    </row>
    <row r="79" spans="1:23" s="2" customFormat="1" ht="16.5" customHeight="1" thickBot="1">
      <c r="A79" s="37" t="s">
        <v>227</v>
      </c>
      <c r="B79" s="38" t="s">
        <v>6</v>
      </c>
      <c r="C79" s="9">
        <v>1304</v>
      </c>
      <c r="D79" s="9">
        <v>1341</v>
      </c>
      <c r="E79" s="9">
        <v>1408</v>
      </c>
      <c r="F79" s="9">
        <v>1420</v>
      </c>
      <c r="G79" s="9">
        <v>1434</v>
      </c>
      <c r="H79" s="9">
        <v>1459</v>
      </c>
      <c r="I79" s="8">
        <v>1802</v>
      </c>
      <c r="J79" s="8" t="s">
        <v>11</v>
      </c>
      <c r="K79" s="19" t="s">
        <v>3</v>
      </c>
      <c r="L79" s="17">
        <f>SUM(C78+C81+C84)</f>
        <v>2550</v>
      </c>
      <c r="M79" s="18">
        <f>SUM(L79/L81)</f>
        <v>0.31712473572938688</v>
      </c>
      <c r="N79" s="15">
        <v>1</v>
      </c>
    </row>
    <row r="80" spans="1:23" s="2" customFormat="1" ht="16.5" customHeight="1" thickBot="1">
      <c r="A80" s="37" t="s">
        <v>507</v>
      </c>
      <c r="B80" s="38" t="s">
        <v>6</v>
      </c>
      <c r="C80" s="9">
        <v>1022</v>
      </c>
      <c r="D80" s="9">
        <v>1200</v>
      </c>
      <c r="E80" s="9">
        <v>1207</v>
      </c>
      <c r="F80" s="9">
        <v>1208</v>
      </c>
      <c r="G80" s="9">
        <v>1220</v>
      </c>
      <c r="H80" s="9">
        <v>1391</v>
      </c>
      <c r="I80" s="8">
        <v>1534</v>
      </c>
      <c r="J80" s="8" t="s">
        <v>12</v>
      </c>
      <c r="K80" s="22" t="s">
        <v>13</v>
      </c>
      <c r="L80" s="17">
        <f>SUM(C83+C85)</f>
        <v>445</v>
      </c>
      <c r="M80" s="18">
        <f>SUM(L80/L81)</f>
        <v>5.5341375450814578E-2</v>
      </c>
    </row>
    <row r="81" spans="1:20" s="2" customFormat="1" ht="16.5" customHeight="1" thickBot="1">
      <c r="A81" s="40" t="s">
        <v>304</v>
      </c>
      <c r="B81" s="42" t="s">
        <v>3</v>
      </c>
      <c r="C81" s="9">
        <v>845</v>
      </c>
      <c r="D81" s="9">
        <v>875</v>
      </c>
      <c r="E81" s="9">
        <v>879</v>
      </c>
      <c r="F81" s="9">
        <v>898</v>
      </c>
      <c r="G81" s="9">
        <v>918</v>
      </c>
      <c r="H81" s="9" t="s">
        <v>30</v>
      </c>
      <c r="K81" s="12"/>
      <c r="L81" s="25">
        <v>8041</v>
      </c>
      <c r="M81" s="13"/>
      <c r="N81" s="15"/>
    </row>
    <row r="82" spans="1:20" s="2" customFormat="1" ht="16.5" customHeight="1" thickBot="1">
      <c r="A82" s="40" t="s">
        <v>229</v>
      </c>
      <c r="B82" s="41" t="s">
        <v>6</v>
      </c>
      <c r="C82" s="9">
        <v>744</v>
      </c>
      <c r="D82" s="9">
        <v>846</v>
      </c>
      <c r="E82" s="9">
        <v>859</v>
      </c>
      <c r="F82" s="9">
        <v>898</v>
      </c>
      <c r="G82" s="9">
        <v>1050</v>
      </c>
      <c r="H82" s="9">
        <v>1069</v>
      </c>
      <c r="I82" s="9" t="s">
        <v>30</v>
      </c>
      <c r="J82"/>
    </row>
    <row r="83" spans="1:20" s="2" customFormat="1" ht="16.5" customHeight="1" thickBot="1">
      <c r="A83" s="40" t="s">
        <v>230</v>
      </c>
      <c r="B83" s="44" t="s">
        <v>28</v>
      </c>
      <c r="C83" s="9">
        <v>269</v>
      </c>
      <c r="D83" s="9">
        <v>274</v>
      </c>
      <c r="E83" s="9">
        <v>279</v>
      </c>
      <c r="F83" s="9">
        <v>296</v>
      </c>
      <c r="G83" s="9" t="s">
        <v>30</v>
      </c>
    </row>
    <row r="84" spans="1:20" s="2" customFormat="1" ht="16.5" customHeight="1" thickBot="1">
      <c r="A84" s="40" t="s">
        <v>231</v>
      </c>
      <c r="B84" s="42" t="s">
        <v>3</v>
      </c>
      <c r="C84" s="9">
        <v>247</v>
      </c>
      <c r="D84" s="9">
        <v>250</v>
      </c>
      <c r="E84" s="9">
        <v>256</v>
      </c>
      <c r="F84" s="9" t="s">
        <v>30</v>
      </c>
    </row>
    <row r="85" spans="1:20" s="2" customFormat="1" ht="16.5" customHeight="1" thickBot="1">
      <c r="A85" s="40" t="s">
        <v>344</v>
      </c>
      <c r="B85" s="44" t="s">
        <v>28</v>
      </c>
      <c r="C85" s="9">
        <v>176</v>
      </c>
      <c r="D85" s="9">
        <v>181</v>
      </c>
      <c r="E85" s="9" t="s">
        <v>30</v>
      </c>
    </row>
    <row r="86" spans="1:20" ht="14.25">
      <c r="C86" s="63"/>
      <c r="J86" s="2"/>
    </row>
    <row r="87" spans="1:20" s="113" customFormat="1" ht="15.75" customHeight="1">
      <c r="B87" s="64" t="s">
        <v>18</v>
      </c>
      <c r="C87" s="66" t="s">
        <v>6</v>
      </c>
      <c r="D87" s="67" t="s">
        <v>3</v>
      </c>
      <c r="E87" s="68" t="s">
        <v>17</v>
      </c>
      <c r="F87" s="69" t="s">
        <v>19</v>
      </c>
      <c r="G87" s="64" t="s">
        <v>13</v>
      </c>
      <c r="R87" s="107"/>
      <c r="S87" s="114"/>
      <c r="T87" s="76"/>
    </row>
    <row r="88" spans="1:20" s="113" customFormat="1" ht="15.75" customHeight="1">
      <c r="A88" s="113" t="s">
        <v>8</v>
      </c>
      <c r="B88" s="77">
        <f>SUM(M8+O24+U59+Q40+L81)</f>
        <v>66337</v>
      </c>
      <c r="C88" s="114">
        <f>SUM(L78+Q36+U54+O19+M5)</f>
        <v>32707</v>
      </c>
      <c r="D88" s="114">
        <f>SUM(L79+Q37+U55+O20+M6)</f>
        <v>20863</v>
      </c>
      <c r="E88" s="114">
        <f>SUM(U57+O21)</f>
        <v>3699</v>
      </c>
      <c r="F88" s="114">
        <f>SUM(Q38+U56+O22)</f>
        <v>3722</v>
      </c>
      <c r="G88" s="114">
        <f>SUM(L80+Q39+U58+O23+M7)</f>
        <v>5346</v>
      </c>
      <c r="R88" s="64"/>
      <c r="S88" s="77"/>
      <c r="T88" s="76"/>
    </row>
    <row r="89" spans="1:20" s="113" customFormat="1" ht="15.75" customHeight="1">
      <c r="A89" s="113" t="s">
        <v>9</v>
      </c>
      <c r="B89" s="102">
        <v>1</v>
      </c>
      <c r="C89" s="76">
        <f>SUM(C88/$B$88)</f>
        <v>0.49304309812020441</v>
      </c>
      <c r="D89" s="76">
        <f>SUM(D88/$B$88)</f>
        <v>0.31450020350633884</v>
      </c>
      <c r="E89" s="76">
        <f>SUM(E88/$B$88)</f>
        <v>5.5760736843692059E-2</v>
      </c>
      <c r="F89" s="76">
        <f>SUM(F88/$B$88)</f>
        <v>5.6107451346910475E-2</v>
      </c>
      <c r="G89" s="76">
        <f>SUM(G88/$B$88)</f>
        <v>8.058851018285422E-2</v>
      </c>
      <c r="H89" s="115"/>
    </row>
    <row r="90" spans="1:20" s="113" customFormat="1" ht="15.75" customHeight="1">
      <c r="A90" s="113" t="s">
        <v>10</v>
      </c>
      <c r="B90" s="64">
        <v>31</v>
      </c>
      <c r="C90" s="113">
        <v>16</v>
      </c>
      <c r="D90" s="113">
        <v>9</v>
      </c>
      <c r="E90" s="113">
        <v>1</v>
      </c>
      <c r="F90" s="113">
        <v>2</v>
      </c>
      <c r="G90" s="113">
        <v>3</v>
      </c>
    </row>
    <row r="91" spans="1:20" s="2" customFormat="1" ht="16.5" customHeight="1">
      <c r="A91" s="1"/>
      <c r="J9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T89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7.7109375" customWidth="1"/>
    <col min="3" max="3" width="8.85546875" customWidth="1"/>
    <col min="4" max="18" width="8.7109375" customWidth="1"/>
  </cols>
  <sheetData>
    <row r="1" spans="1:14" s="2" customFormat="1" ht="16.5" customHeight="1">
      <c r="A1" s="31" t="s">
        <v>232</v>
      </c>
      <c r="B1" s="23"/>
      <c r="C1" s="23"/>
      <c r="D1" s="23"/>
      <c r="E1" s="23"/>
      <c r="F1" s="23"/>
      <c r="G1" s="23"/>
      <c r="H1" s="23"/>
      <c r="I1" s="23"/>
      <c r="J1" s="23"/>
    </row>
    <row r="2" spans="1:14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4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5"/>
      <c r="K3" s="12" t="s">
        <v>5</v>
      </c>
      <c r="L3" s="13">
        <f>SUM(10558/14861)</f>
        <v>0.71045017159006796</v>
      </c>
    </row>
    <row r="4" spans="1:14" s="2" customFormat="1" ht="16.5" customHeight="1" thickBot="1">
      <c r="A4" s="37" t="s">
        <v>173</v>
      </c>
      <c r="B4" s="38" t="s">
        <v>6</v>
      </c>
      <c r="C4" s="8">
        <v>2447</v>
      </c>
      <c r="D4" s="9"/>
      <c r="E4" s="8"/>
      <c r="F4" s="9"/>
      <c r="G4" s="9"/>
      <c r="H4" s="8"/>
      <c r="I4" s="9"/>
      <c r="J4" s="11" t="s">
        <v>4</v>
      </c>
      <c r="K4" s="15"/>
      <c r="L4" s="12" t="s">
        <v>8</v>
      </c>
      <c r="M4" s="12" t="s">
        <v>9</v>
      </c>
      <c r="N4" s="12" t="s">
        <v>10</v>
      </c>
    </row>
    <row r="5" spans="1:14" s="2" customFormat="1" ht="16.5" customHeight="1" thickBot="1">
      <c r="A5" s="37" t="s">
        <v>174</v>
      </c>
      <c r="B5" s="38" t="s">
        <v>6</v>
      </c>
      <c r="C5" s="8">
        <v>2212</v>
      </c>
      <c r="D5" s="8"/>
      <c r="E5" s="8"/>
      <c r="F5" s="9"/>
      <c r="G5" s="8"/>
      <c r="H5" s="8"/>
      <c r="I5" s="9"/>
      <c r="J5" s="11" t="s">
        <v>7</v>
      </c>
      <c r="K5" s="16" t="s">
        <v>6</v>
      </c>
      <c r="L5" s="17">
        <f>SUM(C4+C5+C7+C10)</f>
        <v>6359</v>
      </c>
      <c r="M5" s="18">
        <f>SUM(L5/L8)</f>
        <v>0.61108975591005188</v>
      </c>
      <c r="N5" s="15">
        <v>3</v>
      </c>
    </row>
    <row r="6" spans="1:14" s="2" customFormat="1" ht="16.5" customHeight="1" thickBot="1">
      <c r="A6" s="37" t="s">
        <v>233</v>
      </c>
      <c r="B6" s="39" t="s">
        <v>3</v>
      </c>
      <c r="C6" s="9">
        <v>1068</v>
      </c>
      <c r="D6" s="9">
        <v>1102</v>
      </c>
      <c r="E6" s="9">
        <v>1113</v>
      </c>
      <c r="F6" s="9">
        <v>1198</v>
      </c>
      <c r="G6" s="9">
        <v>1319</v>
      </c>
      <c r="H6" s="9">
        <v>1509</v>
      </c>
      <c r="I6" s="8">
        <v>1785</v>
      </c>
      <c r="J6" s="11" t="s">
        <v>12</v>
      </c>
      <c r="K6" s="19" t="s">
        <v>3</v>
      </c>
      <c r="L6" s="17">
        <f>SUM(C6+C8+C9+C11+C12)</f>
        <v>3796</v>
      </c>
      <c r="M6" s="18">
        <f>SUM(L6/L8)</f>
        <v>0.36478954449356138</v>
      </c>
      <c r="N6" s="15">
        <v>2</v>
      </c>
    </row>
    <row r="7" spans="1:14" s="2" customFormat="1" ht="16.5" customHeight="1" thickBot="1">
      <c r="A7" s="37" t="s">
        <v>81</v>
      </c>
      <c r="B7" s="38" t="s">
        <v>6</v>
      </c>
      <c r="C7" s="9">
        <v>1027</v>
      </c>
      <c r="D7" s="9">
        <v>1268</v>
      </c>
      <c r="E7" s="9">
        <v>1432</v>
      </c>
      <c r="F7" s="9">
        <v>1453</v>
      </c>
      <c r="G7" s="9">
        <v>1466</v>
      </c>
      <c r="H7" s="9">
        <v>1529</v>
      </c>
      <c r="I7" s="8">
        <v>1589</v>
      </c>
      <c r="J7" s="11" t="s">
        <v>15</v>
      </c>
      <c r="K7" s="29" t="s">
        <v>17</v>
      </c>
      <c r="L7" s="2">
        <v>245</v>
      </c>
      <c r="M7" s="13">
        <f>SUM(L7/L8)</f>
        <v>2.3544109167787815E-2</v>
      </c>
      <c r="N7" s="15"/>
    </row>
    <row r="8" spans="1:14" s="2" customFormat="1" ht="16.5" customHeight="1" thickBot="1">
      <c r="A8" s="37" t="s">
        <v>234</v>
      </c>
      <c r="B8" s="39" t="s">
        <v>3</v>
      </c>
      <c r="C8" s="9">
        <v>985</v>
      </c>
      <c r="D8" s="9">
        <v>1040</v>
      </c>
      <c r="E8" s="9">
        <v>1082</v>
      </c>
      <c r="F8" s="9">
        <v>1104</v>
      </c>
      <c r="G8" s="9">
        <v>1171</v>
      </c>
      <c r="H8" s="9">
        <v>1256</v>
      </c>
      <c r="I8" s="8">
        <v>1879</v>
      </c>
      <c r="J8" s="11" t="s">
        <v>11</v>
      </c>
      <c r="L8" s="25">
        <v>10406</v>
      </c>
    </row>
    <row r="9" spans="1:14" s="2" customFormat="1" ht="16.5" customHeight="1" thickBot="1">
      <c r="A9" s="40" t="s">
        <v>235</v>
      </c>
      <c r="B9" s="42" t="s">
        <v>3</v>
      </c>
      <c r="C9" s="9">
        <v>905</v>
      </c>
      <c r="D9" s="9">
        <v>952</v>
      </c>
      <c r="E9" s="9">
        <v>989</v>
      </c>
      <c r="F9" s="9">
        <v>1019</v>
      </c>
      <c r="G9" s="9">
        <v>1044</v>
      </c>
      <c r="H9" s="9">
        <v>1217</v>
      </c>
      <c r="I9" s="9" t="s">
        <v>30</v>
      </c>
    </row>
    <row r="10" spans="1:14" s="2" customFormat="1" ht="16.5" customHeight="1" thickBot="1">
      <c r="A10" s="40" t="s">
        <v>236</v>
      </c>
      <c r="B10" s="41" t="s">
        <v>6</v>
      </c>
      <c r="C10" s="9">
        <v>673</v>
      </c>
      <c r="D10" s="9">
        <v>957</v>
      </c>
      <c r="E10" s="9">
        <v>1165</v>
      </c>
      <c r="F10" s="9">
        <v>1205</v>
      </c>
      <c r="G10" s="9">
        <v>1234</v>
      </c>
      <c r="H10" s="9">
        <v>1253</v>
      </c>
      <c r="I10" s="9">
        <v>1298</v>
      </c>
      <c r="J10" s="11"/>
    </row>
    <row r="11" spans="1:14" s="2" customFormat="1" ht="16.5" customHeight="1" thickBot="1">
      <c r="A11" s="40" t="s">
        <v>237</v>
      </c>
      <c r="B11" s="42" t="s">
        <v>3</v>
      </c>
      <c r="C11" s="9">
        <v>560</v>
      </c>
      <c r="D11" s="9">
        <v>572</v>
      </c>
      <c r="E11" s="9">
        <v>575</v>
      </c>
      <c r="F11" s="9">
        <v>591</v>
      </c>
      <c r="G11" s="9">
        <v>617</v>
      </c>
      <c r="H11" s="9" t="s">
        <v>30</v>
      </c>
    </row>
    <row r="12" spans="1:14" s="2" customFormat="1" ht="16.5" customHeight="1" thickBot="1">
      <c r="A12" s="40" t="s">
        <v>175</v>
      </c>
      <c r="B12" s="42" t="s">
        <v>3</v>
      </c>
      <c r="C12" s="9">
        <v>278</v>
      </c>
      <c r="D12" s="9">
        <v>294</v>
      </c>
      <c r="E12" s="9">
        <v>299</v>
      </c>
      <c r="F12" s="9">
        <v>317</v>
      </c>
      <c r="G12" s="9" t="s">
        <v>30</v>
      </c>
      <c r="L12" s="25"/>
    </row>
    <row r="13" spans="1:14" s="2" customFormat="1" ht="16.5" customHeight="1" thickBot="1">
      <c r="A13" s="40" t="s">
        <v>238</v>
      </c>
      <c r="B13" s="50" t="s">
        <v>17</v>
      </c>
      <c r="C13" s="9">
        <v>245</v>
      </c>
      <c r="D13" s="9">
        <v>269</v>
      </c>
      <c r="E13" s="9">
        <v>277</v>
      </c>
      <c r="F13" s="9" t="s">
        <v>30</v>
      </c>
    </row>
    <row r="14" spans="1:14" s="2" customFormat="1" ht="10.5" customHeight="1">
      <c r="A14" s="31"/>
      <c r="B14" s="23"/>
      <c r="C14" s="23"/>
      <c r="D14" s="23"/>
      <c r="E14" s="23"/>
      <c r="F14" s="23"/>
      <c r="G14" s="23"/>
      <c r="H14" s="23"/>
      <c r="I14" s="23"/>
      <c r="J14" s="23"/>
    </row>
    <row r="15" spans="1:14" s="2" customFormat="1" ht="17.45" customHeight="1">
      <c r="A15" s="31" t="s">
        <v>239</v>
      </c>
      <c r="B15" s="23"/>
      <c r="C15" s="23"/>
      <c r="D15" s="23"/>
      <c r="E15" s="23"/>
      <c r="F15" s="23"/>
      <c r="G15" s="23"/>
      <c r="H15" s="23"/>
      <c r="I15" s="23"/>
      <c r="J15" s="23"/>
    </row>
    <row r="16" spans="1:14" s="2" customFormat="1" ht="10.5" customHeight="1" thickBot="1">
      <c r="A16" s="31"/>
      <c r="B16" s="23"/>
      <c r="C16" s="23"/>
      <c r="D16" s="23"/>
      <c r="E16" s="23"/>
      <c r="F16" s="23"/>
      <c r="G16" s="23"/>
      <c r="H16" s="23"/>
      <c r="I16" s="23"/>
      <c r="J16" s="23"/>
    </row>
    <row r="17" spans="1:18" s="2" customFormat="1" ht="16.5" customHeight="1" thickBot="1">
      <c r="A17" s="35" t="s">
        <v>0</v>
      </c>
      <c r="B17" s="36" t="s">
        <v>1</v>
      </c>
      <c r="C17" s="36" t="s">
        <v>2</v>
      </c>
      <c r="D17" s="36">
        <v>2</v>
      </c>
      <c r="E17" s="36">
        <v>3</v>
      </c>
      <c r="F17" s="36">
        <v>4</v>
      </c>
      <c r="G17" s="36">
        <v>5</v>
      </c>
      <c r="H17" s="36">
        <v>6</v>
      </c>
      <c r="I17" s="36">
        <v>7</v>
      </c>
      <c r="J17" s="36">
        <v>8</v>
      </c>
      <c r="K17" s="36">
        <v>9</v>
      </c>
      <c r="L17" s="36">
        <v>10</v>
      </c>
      <c r="M17" s="36">
        <v>11</v>
      </c>
      <c r="N17" s="45"/>
      <c r="O17" s="12" t="s">
        <v>5</v>
      </c>
      <c r="P17" s="13">
        <f>SUM(15092/20427)</f>
        <v>0.73882606354334945</v>
      </c>
    </row>
    <row r="18" spans="1:18" s="2" customFormat="1" ht="16.5" customHeight="1" thickBot="1">
      <c r="A18" s="37" t="s">
        <v>240</v>
      </c>
      <c r="B18" s="39" t="s">
        <v>3</v>
      </c>
      <c r="C18" s="8">
        <v>2505</v>
      </c>
      <c r="D18" s="9"/>
      <c r="E18" s="9"/>
      <c r="F18" s="8"/>
      <c r="G18" s="9"/>
      <c r="H18" s="8"/>
      <c r="I18" s="8"/>
      <c r="J18" s="9"/>
      <c r="K18" s="8"/>
      <c r="L18" s="8"/>
      <c r="M18" s="8"/>
      <c r="N18" s="8" t="s">
        <v>4</v>
      </c>
      <c r="O18" s="15"/>
      <c r="P18" s="12" t="s">
        <v>8</v>
      </c>
      <c r="Q18" s="12" t="s">
        <v>9</v>
      </c>
      <c r="R18" s="12" t="s">
        <v>10</v>
      </c>
    </row>
    <row r="19" spans="1:18" s="2" customFormat="1" ht="16.5" customHeight="1" thickBot="1">
      <c r="A19" s="37" t="s">
        <v>183</v>
      </c>
      <c r="B19" s="38" t="s">
        <v>6</v>
      </c>
      <c r="C19" s="8">
        <v>2006</v>
      </c>
      <c r="D19" s="9"/>
      <c r="E19" s="9"/>
      <c r="F19" s="9"/>
      <c r="G19" s="9"/>
      <c r="H19" s="9"/>
      <c r="I19" s="9"/>
      <c r="J19" s="8"/>
      <c r="K19" s="8"/>
      <c r="L19" s="9"/>
      <c r="M19" s="8"/>
      <c r="N19" s="8" t="s">
        <v>7</v>
      </c>
      <c r="O19" s="16" t="s">
        <v>6</v>
      </c>
      <c r="P19" s="17">
        <f>SUM(C19+C22+C25+C26+C31)</f>
        <v>5171</v>
      </c>
      <c r="Q19" s="18">
        <f>SUM(P19/P24)</f>
        <v>0.34695383789586687</v>
      </c>
      <c r="R19" s="15">
        <v>2</v>
      </c>
    </row>
    <row r="20" spans="1:18" s="2" customFormat="1" ht="16.5" customHeight="1" thickBot="1">
      <c r="A20" s="37" t="s">
        <v>182</v>
      </c>
      <c r="B20" s="39" t="s">
        <v>3</v>
      </c>
      <c r="C20" s="8">
        <v>1875</v>
      </c>
      <c r="D20" s="9"/>
      <c r="E20" s="9"/>
      <c r="F20" s="9"/>
      <c r="G20" s="9"/>
      <c r="H20" s="9"/>
      <c r="I20" s="9"/>
      <c r="J20" s="8"/>
      <c r="K20" s="8"/>
      <c r="L20" s="9"/>
      <c r="M20" s="9"/>
      <c r="N20" s="8" t="s">
        <v>11</v>
      </c>
      <c r="O20" s="19" t="s">
        <v>3</v>
      </c>
      <c r="P20" s="17">
        <f>SUM(C18+C20+C21+C24)</f>
        <v>6647</v>
      </c>
      <c r="Q20" s="18">
        <f>SUM(P20/P24)</f>
        <v>0.44598765432098764</v>
      </c>
      <c r="R20" s="15">
        <v>4</v>
      </c>
    </row>
    <row r="21" spans="1:18" s="2" customFormat="1" ht="16.5" customHeight="1" thickBot="1">
      <c r="A21" s="37" t="s">
        <v>184</v>
      </c>
      <c r="B21" s="39" t="s">
        <v>3</v>
      </c>
      <c r="C21" s="9">
        <v>1278</v>
      </c>
      <c r="D21" s="9">
        <v>1537</v>
      </c>
      <c r="E21" s="9">
        <v>1541</v>
      </c>
      <c r="F21" s="9">
        <v>1546</v>
      </c>
      <c r="G21" s="9">
        <v>1561</v>
      </c>
      <c r="H21" s="9">
        <v>1596</v>
      </c>
      <c r="I21" s="9">
        <v>1700</v>
      </c>
      <c r="J21" s="9">
        <v>1705</v>
      </c>
      <c r="K21" s="9">
        <v>1846</v>
      </c>
      <c r="L21" s="8">
        <v>1899</v>
      </c>
      <c r="M21" s="9"/>
      <c r="N21" s="8" t="s">
        <v>12</v>
      </c>
      <c r="O21" s="29" t="s">
        <v>17</v>
      </c>
      <c r="P21" s="17">
        <v>394</v>
      </c>
      <c r="Q21" s="18">
        <f>SUM(P21/P24)</f>
        <v>2.6435856146001073E-2</v>
      </c>
    </row>
    <row r="22" spans="1:18" s="2" customFormat="1" ht="16.5" customHeight="1" thickBot="1">
      <c r="A22" s="37" t="s">
        <v>241</v>
      </c>
      <c r="B22" s="38" t="s">
        <v>6</v>
      </c>
      <c r="C22" s="9">
        <v>1214</v>
      </c>
      <c r="D22" s="9">
        <v>1242</v>
      </c>
      <c r="E22" s="9">
        <v>1258</v>
      </c>
      <c r="F22" s="9">
        <v>1328</v>
      </c>
      <c r="G22" s="9">
        <v>1344</v>
      </c>
      <c r="H22" s="9">
        <v>1370</v>
      </c>
      <c r="I22" s="9">
        <v>1389</v>
      </c>
      <c r="J22" s="9">
        <v>1390</v>
      </c>
      <c r="K22" s="9">
        <v>1644</v>
      </c>
      <c r="L22" s="9">
        <v>1702</v>
      </c>
      <c r="M22" s="8">
        <v>1704</v>
      </c>
      <c r="N22" s="8" t="s">
        <v>14</v>
      </c>
      <c r="O22" s="33" t="s">
        <v>19</v>
      </c>
      <c r="P22" s="17">
        <v>1203</v>
      </c>
      <c r="Q22" s="18">
        <f>SUM(P22/P24)</f>
        <v>8.0716586151368758E-2</v>
      </c>
      <c r="R22" s="2">
        <v>1</v>
      </c>
    </row>
    <row r="23" spans="1:18" s="2" customFormat="1" ht="16.5" customHeight="1" thickBot="1">
      <c r="A23" s="37" t="s">
        <v>186</v>
      </c>
      <c r="B23" s="56" t="s">
        <v>19</v>
      </c>
      <c r="C23" s="9">
        <v>1203</v>
      </c>
      <c r="D23" s="9">
        <v>1262</v>
      </c>
      <c r="E23" s="9">
        <v>1280</v>
      </c>
      <c r="F23" s="9">
        <v>1307</v>
      </c>
      <c r="G23" s="9">
        <v>1374</v>
      </c>
      <c r="H23" s="9">
        <v>1468</v>
      </c>
      <c r="I23" s="9">
        <v>1526</v>
      </c>
      <c r="J23" s="9">
        <v>1527</v>
      </c>
      <c r="K23" s="9">
        <v>1598</v>
      </c>
      <c r="L23" s="9">
        <v>1727</v>
      </c>
      <c r="M23" s="8">
        <v>1730</v>
      </c>
      <c r="N23" s="8" t="s">
        <v>15</v>
      </c>
      <c r="O23" s="22" t="s">
        <v>13</v>
      </c>
      <c r="P23" s="17">
        <f>SUM(C27:C29)</f>
        <v>1489</v>
      </c>
      <c r="Q23" s="18">
        <f>SUM(P23/P24)</f>
        <v>9.990606548577563E-2</v>
      </c>
    </row>
    <row r="24" spans="1:18" s="2" customFormat="1" ht="16.5" customHeight="1" thickBot="1">
      <c r="A24" s="37" t="s">
        <v>242</v>
      </c>
      <c r="B24" s="39" t="s">
        <v>3</v>
      </c>
      <c r="C24" s="9">
        <v>989</v>
      </c>
      <c r="D24" s="9">
        <v>1108</v>
      </c>
      <c r="E24" s="9">
        <v>1117</v>
      </c>
      <c r="F24" s="9">
        <v>1160</v>
      </c>
      <c r="G24" s="9">
        <v>1263</v>
      </c>
      <c r="H24" s="9">
        <v>1369</v>
      </c>
      <c r="I24" s="9">
        <v>1404</v>
      </c>
      <c r="J24" s="9">
        <v>1407</v>
      </c>
      <c r="K24" s="9">
        <v>1417</v>
      </c>
      <c r="L24" s="9">
        <v>1661</v>
      </c>
      <c r="M24" s="8">
        <v>1679</v>
      </c>
      <c r="N24" s="8" t="s">
        <v>16</v>
      </c>
      <c r="O24" s="12"/>
      <c r="P24" s="25">
        <v>14904</v>
      </c>
      <c r="Q24" s="13"/>
      <c r="R24" s="15"/>
    </row>
    <row r="25" spans="1:18" s="2" customFormat="1" ht="16.5" customHeight="1" thickBot="1">
      <c r="A25" s="40" t="s">
        <v>185</v>
      </c>
      <c r="B25" s="41" t="s">
        <v>6</v>
      </c>
      <c r="C25" s="9">
        <v>937</v>
      </c>
      <c r="D25" s="9">
        <v>980</v>
      </c>
      <c r="E25" s="9">
        <v>996</v>
      </c>
      <c r="F25" s="9">
        <v>1052</v>
      </c>
      <c r="G25" s="9">
        <v>1054</v>
      </c>
      <c r="H25" s="9">
        <v>1071</v>
      </c>
      <c r="I25" s="9">
        <v>1287</v>
      </c>
      <c r="J25" s="9">
        <v>1287</v>
      </c>
      <c r="K25" s="9">
        <v>1497</v>
      </c>
      <c r="L25" s="9">
        <v>1549</v>
      </c>
      <c r="M25" s="9">
        <v>1550</v>
      </c>
      <c r="N25" s="9"/>
    </row>
    <row r="26" spans="1:18" s="2" customFormat="1" ht="16.5" customHeight="1" thickBot="1">
      <c r="A26" s="40" t="s">
        <v>243</v>
      </c>
      <c r="B26" s="41" t="s">
        <v>6</v>
      </c>
      <c r="C26" s="9">
        <v>698</v>
      </c>
      <c r="D26" s="9">
        <v>729</v>
      </c>
      <c r="E26" s="9">
        <v>741</v>
      </c>
      <c r="F26" s="9">
        <v>783</v>
      </c>
      <c r="G26" s="9">
        <v>790</v>
      </c>
      <c r="H26" s="9">
        <v>804</v>
      </c>
      <c r="I26" s="9">
        <v>825</v>
      </c>
      <c r="J26" s="9">
        <v>825</v>
      </c>
      <c r="K26" s="9" t="s">
        <v>30</v>
      </c>
    </row>
    <row r="27" spans="1:18" s="2" customFormat="1" ht="16.5" customHeight="1" thickBot="1">
      <c r="A27" s="40" t="s">
        <v>244</v>
      </c>
      <c r="B27" s="44" t="s">
        <v>28</v>
      </c>
      <c r="C27" s="9">
        <v>554</v>
      </c>
      <c r="D27" s="9">
        <v>572</v>
      </c>
      <c r="E27" s="9">
        <v>580</v>
      </c>
      <c r="F27" s="9">
        <v>633</v>
      </c>
      <c r="G27" s="9">
        <v>709</v>
      </c>
      <c r="H27" s="9">
        <v>820</v>
      </c>
      <c r="I27" s="9">
        <v>832</v>
      </c>
      <c r="J27" s="9">
        <v>833</v>
      </c>
      <c r="K27" s="9">
        <v>845</v>
      </c>
      <c r="L27" s="9" t="s">
        <v>30</v>
      </c>
      <c r="N27" s="23"/>
    </row>
    <row r="28" spans="1:18" s="2" customFormat="1" ht="16.5" customHeight="1" thickBot="1">
      <c r="A28" s="40" t="s">
        <v>504</v>
      </c>
      <c r="B28" s="44" t="s">
        <v>28</v>
      </c>
      <c r="C28" s="9">
        <v>496</v>
      </c>
      <c r="D28" s="9">
        <v>554</v>
      </c>
      <c r="E28" s="9">
        <v>556</v>
      </c>
      <c r="F28" s="9">
        <v>557</v>
      </c>
      <c r="G28" s="9">
        <v>561</v>
      </c>
      <c r="H28" s="9">
        <v>567</v>
      </c>
      <c r="I28" s="9" t="s">
        <v>30</v>
      </c>
      <c r="J28" s="23"/>
      <c r="K28" s="23"/>
      <c r="L28" s="23"/>
      <c r="M28" s="23"/>
      <c r="N28" s="23"/>
    </row>
    <row r="29" spans="1:18" s="2" customFormat="1" ht="16.5" customHeight="1" thickBot="1">
      <c r="A29" s="40" t="s">
        <v>245</v>
      </c>
      <c r="B29" s="44" t="s">
        <v>28</v>
      </c>
      <c r="C29" s="9">
        <v>439</v>
      </c>
      <c r="D29" s="9">
        <v>451</v>
      </c>
      <c r="E29" s="9">
        <v>457</v>
      </c>
      <c r="F29" s="9">
        <v>479</v>
      </c>
      <c r="G29" s="9">
        <v>538</v>
      </c>
      <c r="H29" s="9" t="s">
        <v>30</v>
      </c>
      <c r="I29" s="23"/>
      <c r="J29" s="23"/>
    </row>
    <row r="30" spans="1:18" s="2" customFormat="1" ht="16.5" customHeight="1" thickBot="1">
      <c r="A30" s="40" t="s">
        <v>246</v>
      </c>
      <c r="B30" s="50" t="s">
        <v>17</v>
      </c>
      <c r="C30" s="9">
        <v>394</v>
      </c>
      <c r="D30" s="9">
        <v>401</v>
      </c>
      <c r="E30" s="9">
        <v>405</v>
      </c>
      <c r="F30" s="9">
        <v>418</v>
      </c>
      <c r="G30" s="9" t="s">
        <v>30</v>
      </c>
      <c r="H30" s="23"/>
      <c r="I30" s="23"/>
      <c r="J30" s="23"/>
      <c r="K30" s="23"/>
      <c r="L30" s="23"/>
      <c r="M30" s="23"/>
      <c r="N30" s="46"/>
      <c r="O30" s="17"/>
      <c r="P30" s="18"/>
    </row>
    <row r="31" spans="1:18" s="2" customFormat="1" ht="16.5" customHeight="1" thickBot="1">
      <c r="A31" s="40" t="s">
        <v>247</v>
      </c>
      <c r="B31" s="41" t="s">
        <v>6</v>
      </c>
      <c r="C31" s="9">
        <v>316</v>
      </c>
      <c r="D31" s="9">
        <v>323</v>
      </c>
      <c r="E31" s="9">
        <v>370</v>
      </c>
      <c r="F31" s="9" t="s">
        <v>30</v>
      </c>
      <c r="G31" s="23"/>
      <c r="H31" s="23"/>
      <c r="I31" s="23"/>
      <c r="J31" s="23"/>
      <c r="K31" s="23"/>
      <c r="L31" s="23"/>
      <c r="M31" s="23"/>
      <c r="N31" s="12"/>
      <c r="O31" s="25"/>
      <c r="P31" s="13"/>
      <c r="Q31" s="15"/>
    </row>
    <row r="32" spans="1:18" s="2" customFormat="1" ht="11.25" customHeight="1">
      <c r="A32" s="28"/>
      <c r="B32" s="47"/>
      <c r="C32" s="28"/>
      <c r="D32" s="28"/>
      <c r="E32" s="28"/>
      <c r="F32" s="23"/>
      <c r="G32" s="23"/>
      <c r="H32" s="23"/>
      <c r="I32" s="23"/>
      <c r="J32" s="23"/>
      <c r="N32" s="18"/>
    </row>
    <row r="33" spans="1:15" s="2" customFormat="1" ht="17.45" customHeight="1">
      <c r="A33" s="1" t="s">
        <v>248</v>
      </c>
    </row>
    <row r="34" spans="1:15" s="2" customFormat="1" ht="10.5" customHeight="1" thickBot="1">
      <c r="A34" s="1"/>
    </row>
    <row r="35" spans="1:15" s="2" customFormat="1" ht="16.5" customHeight="1" thickBot="1">
      <c r="A35" s="3" t="s">
        <v>0</v>
      </c>
      <c r="B35" s="4" t="s">
        <v>1</v>
      </c>
      <c r="C35" s="4" t="s">
        <v>2</v>
      </c>
      <c r="D35" s="4">
        <v>2</v>
      </c>
      <c r="E35" s="4">
        <v>3</v>
      </c>
      <c r="F35" s="4">
        <v>4</v>
      </c>
      <c r="G35" s="4">
        <v>5</v>
      </c>
      <c r="H35" s="4">
        <v>6</v>
      </c>
      <c r="I35" s="4">
        <v>7</v>
      </c>
      <c r="J35" s="4">
        <v>8</v>
      </c>
      <c r="K35" s="5"/>
      <c r="L35" s="12" t="s">
        <v>5</v>
      </c>
      <c r="M35" s="13">
        <f>SUM(14391/20629)</f>
        <v>0.69761016045373014</v>
      </c>
    </row>
    <row r="36" spans="1:15" s="2" customFormat="1" ht="16.5" customHeight="1" thickBot="1">
      <c r="A36" s="6" t="s">
        <v>211</v>
      </c>
      <c r="B36" s="14" t="s">
        <v>6</v>
      </c>
      <c r="C36" s="9">
        <v>1967</v>
      </c>
      <c r="D36" s="9">
        <v>1970</v>
      </c>
      <c r="E36" s="9">
        <v>1985</v>
      </c>
      <c r="F36" s="8">
        <v>2129</v>
      </c>
      <c r="G36" s="9"/>
      <c r="H36" s="9"/>
      <c r="I36" s="9"/>
      <c r="J36" s="9"/>
      <c r="K36" s="11" t="s">
        <v>4</v>
      </c>
      <c r="L36" s="15"/>
      <c r="M36" s="12" t="s">
        <v>8</v>
      </c>
      <c r="N36" s="12" t="s">
        <v>9</v>
      </c>
      <c r="O36" s="12" t="s">
        <v>10</v>
      </c>
    </row>
    <row r="37" spans="1:15" s="2" customFormat="1" ht="16.5" customHeight="1" thickBot="1">
      <c r="A37" s="6" t="s">
        <v>55</v>
      </c>
      <c r="B37" s="7" t="s">
        <v>3</v>
      </c>
      <c r="C37" s="9">
        <v>1852</v>
      </c>
      <c r="D37" s="9">
        <v>1921</v>
      </c>
      <c r="E37" s="9">
        <v>1990</v>
      </c>
      <c r="F37" s="9">
        <v>2012</v>
      </c>
      <c r="G37" s="8">
        <v>2125</v>
      </c>
      <c r="H37" s="8"/>
      <c r="I37" s="8"/>
      <c r="J37" s="8"/>
      <c r="K37" s="11" t="s">
        <v>7</v>
      </c>
      <c r="L37" s="16" t="s">
        <v>6</v>
      </c>
      <c r="M37" s="17">
        <f>SUM(C36+C38+C40+C41+C43+C45)</f>
        <v>8203</v>
      </c>
      <c r="N37" s="18">
        <f>SUM(M37/M41)</f>
        <v>0.57771674061553635</v>
      </c>
      <c r="O37" s="15">
        <v>4</v>
      </c>
    </row>
    <row r="38" spans="1:15" s="2" customFormat="1" ht="16.5" customHeight="1" thickBot="1">
      <c r="A38" s="6" t="s">
        <v>249</v>
      </c>
      <c r="B38" s="14" t="s">
        <v>6</v>
      </c>
      <c r="C38" s="9">
        <v>1822</v>
      </c>
      <c r="D38" s="9">
        <v>1830</v>
      </c>
      <c r="E38" s="9">
        <v>1859</v>
      </c>
      <c r="F38" s="9">
        <v>1949</v>
      </c>
      <c r="G38" s="9">
        <v>1972</v>
      </c>
      <c r="H38" s="8">
        <v>2132</v>
      </c>
      <c r="I38" s="8"/>
      <c r="J38" s="8"/>
      <c r="K38" s="8" t="s">
        <v>11</v>
      </c>
      <c r="L38" s="19" t="s">
        <v>3</v>
      </c>
      <c r="M38" s="17">
        <f>SUM(C37+C39+C44+C47)</f>
        <v>4391</v>
      </c>
      <c r="N38" s="18">
        <f>SUM(M38/M41)</f>
        <v>0.30924713007958304</v>
      </c>
      <c r="O38" s="15">
        <v>2</v>
      </c>
    </row>
    <row r="39" spans="1:15" s="2" customFormat="1" ht="16.5" customHeight="1" thickBot="1">
      <c r="A39" s="6" t="s">
        <v>213</v>
      </c>
      <c r="B39" s="7" t="s">
        <v>3</v>
      </c>
      <c r="C39" s="9">
        <v>1461</v>
      </c>
      <c r="D39" s="9">
        <v>1505</v>
      </c>
      <c r="E39" s="9">
        <v>1525</v>
      </c>
      <c r="F39" s="9">
        <v>1538</v>
      </c>
      <c r="G39" s="9">
        <v>1837</v>
      </c>
      <c r="H39" s="9">
        <v>1885</v>
      </c>
      <c r="I39" s="9">
        <v>1888</v>
      </c>
      <c r="J39" s="8">
        <v>1891</v>
      </c>
      <c r="K39" s="11" t="s">
        <v>15</v>
      </c>
      <c r="L39" s="33" t="s">
        <v>19</v>
      </c>
      <c r="M39" s="23">
        <v>504</v>
      </c>
      <c r="N39" s="13">
        <f>SUM(M39/M41)</f>
        <v>3.5495457426579335E-2</v>
      </c>
    </row>
    <row r="40" spans="1:15" s="2" customFormat="1" ht="16.5" customHeight="1" thickBot="1">
      <c r="A40" s="6" t="s">
        <v>215</v>
      </c>
      <c r="B40" s="14" t="s">
        <v>6</v>
      </c>
      <c r="C40" s="9">
        <v>1433</v>
      </c>
      <c r="D40" s="9">
        <v>1435</v>
      </c>
      <c r="E40" s="9">
        <v>1465</v>
      </c>
      <c r="F40" s="9">
        <v>1549</v>
      </c>
      <c r="G40" s="9">
        <v>1732</v>
      </c>
      <c r="H40" s="9">
        <v>1796</v>
      </c>
      <c r="I40" s="9">
        <v>1820</v>
      </c>
      <c r="J40" s="8">
        <v>1863</v>
      </c>
      <c r="K40" s="11" t="s">
        <v>14</v>
      </c>
      <c r="L40" s="12" t="s">
        <v>13</v>
      </c>
      <c r="M40" s="23">
        <v>1101</v>
      </c>
      <c r="N40" s="13">
        <f>SUM(M40/M41)</f>
        <v>7.7540671878301284E-2</v>
      </c>
    </row>
    <row r="41" spans="1:15" s="2" customFormat="1" ht="16.5" customHeight="1" thickBot="1">
      <c r="A41" s="6" t="s">
        <v>212</v>
      </c>
      <c r="B41" s="14" t="s">
        <v>6</v>
      </c>
      <c r="C41" s="9">
        <v>1244</v>
      </c>
      <c r="D41" s="9">
        <v>1247</v>
      </c>
      <c r="E41" s="9">
        <v>1300</v>
      </c>
      <c r="F41" s="9">
        <v>1450</v>
      </c>
      <c r="G41" s="9">
        <v>1460</v>
      </c>
      <c r="H41" s="9">
        <v>1928</v>
      </c>
      <c r="I41" s="9">
        <v>1995</v>
      </c>
      <c r="J41" s="8">
        <v>2041</v>
      </c>
      <c r="K41" s="11" t="s">
        <v>12</v>
      </c>
      <c r="L41" s="15"/>
      <c r="M41" s="25">
        <v>14199</v>
      </c>
      <c r="O41" s="15"/>
    </row>
    <row r="42" spans="1:15" s="2" customFormat="1" ht="16.5" customHeight="1" thickBot="1">
      <c r="A42" s="20" t="s">
        <v>250</v>
      </c>
      <c r="B42" s="26" t="s">
        <v>28</v>
      </c>
      <c r="C42" s="9">
        <v>1101</v>
      </c>
      <c r="D42" s="9">
        <v>1146</v>
      </c>
      <c r="E42" s="9">
        <v>1270</v>
      </c>
      <c r="F42" s="9">
        <v>1455</v>
      </c>
      <c r="G42" s="9">
        <v>1618</v>
      </c>
      <c r="H42" s="9">
        <v>1699</v>
      </c>
      <c r="I42" s="9">
        <v>1708</v>
      </c>
      <c r="J42" s="9">
        <v>1716</v>
      </c>
      <c r="K42" s="11"/>
    </row>
    <row r="43" spans="1:15" s="2" customFormat="1" ht="16.5" customHeight="1" thickBot="1">
      <c r="A43" s="20" t="s">
        <v>251</v>
      </c>
      <c r="B43" s="21" t="s">
        <v>6</v>
      </c>
      <c r="C43" s="9">
        <v>901</v>
      </c>
      <c r="D43" s="10">
        <v>903</v>
      </c>
      <c r="E43" s="9">
        <v>932</v>
      </c>
      <c r="F43" s="9">
        <v>1031</v>
      </c>
      <c r="G43" s="9">
        <v>1041</v>
      </c>
      <c r="H43" s="9" t="s">
        <v>30</v>
      </c>
    </row>
    <row r="44" spans="1:15" s="2" customFormat="1" ht="16.5" customHeight="1" thickBot="1">
      <c r="A44" s="20" t="s">
        <v>252</v>
      </c>
      <c r="B44" s="27" t="s">
        <v>3</v>
      </c>
      <c r="C44" s="9">
        <v>856</v>
      </c>
      <c r="D44" s="10">
        <v>874</v>
      </c>
      <c r="E44" s="10">
        <v>896</v>
      </c>
      <c r="F44" s="9">
        <v>902</v>
      </c>
      <c r="G44" s="10" t="s">
        <v>30</v>
      </c>
    </row>
    <row r="45" spans="1:15" s="2" customFormat="1" ht="16.5" customHeight="1" thickBot="1">
      <c r="A45" s="20" t="s">
        <v>223</v>
      </c>
      <c r="B45" s="21" t="s">
        <v>6</v>
      </c>
      <c r="C45" s="9">
        <v>836</v>
      </c>
      <c r="D45" s="9">
        <v>848</v>
      </c>
      <c r="E45" s="9">
        <v>866</v>
      </c>
      <c r="F45" s="9" t="s">
        <v>30</v>
      </c>
    </row>
    <row r="46" spans="1:15" s="2" customFormat="1" ht="16.5" customHeight="1" thickBot="1">
      <c r="A46" s="20" t="s">
        <v>253</v>
      </c>
      <c r="B46" s="62" t="s">
        <v>19</v>
      </c>
      <c r="C46" s="9">
        <v>504</v>
      </c>
      <c r="D46" s="9">
        <v>512</v>
      </c>
      <c r="E46" s="9" t="s">
        <v>30</v>
      </c>
      <c r="K46"/>
    </row>
    <row r="47" spans="1:15" s="2" customFormat="1" ht="16.5" customHeight="1" thickBot="1">
      <c r="A47" s="20" t="s">
        <v>254</v>
      </c>
      <c r="B47" s="27" t="s">
        <v>3</v>
      </c>
      <c r="C47" s="10">
        <v>222</v>
      </c>
      <c r="D47" s="10" t="s">
        <v>30</v>
      </c>
      <c r="G47" s="23"/>
      <c r="H47"/>
      <c r="I47"/>
      <c r="J47"/>
    </row>
    <row r="49" spans="1:19" s="2" customFormat="1" ht="17.45" customHeight="1">
      <c r="A49" s="31" t="s">
        <v>265</v>
      </c>
      <c r="B49" s="23"/>
      <c r="C49" s="23"/>
      <c r="D49" s="23"/>
      <c r="E49" s="23"/>
      <c r="F49" s="23"/>
      <c r="G49" s="23"/>
      <c r="H49" s="23"/>
      <c r="I49" s="23"/>
      <c r="J49" s="23"/>
    </row>
    <row r="50" spans="1:19" s="2" customFormat="1" ht="8.25" customHeight="1" thickBot="1">
      <c r="A50" s="31"/>
      <c r="B50" s="23"/>
      <c r="C50" s="23"/>
      <c r="D50" s="23"/>
      <c r="E50" s="23"/>
      <c r="F50" s="23"/>
      <c r="G50" s="23"/>
      <c r="H50" s="23"/>
      <c r="I50" s="23"/>
      <c r="J50" s="23"/>
    </row>
    <row r="51" spans="1:19" s="2" customFormat="1" ht="17.45" customHeight="1" thickBot="1">
      <c r="A51" s="35" t="s">
        <v>0</v>
      </c>
      <c r="B51" s="36" t="s">
        <v>1</v>
      </c>
      <c r="C51" s="36" t="s">
        <v>2</v>
      </c>
      <c r="D51" s="36">
        <v>2</v>
      </c>
      <c r="E51" s="36">
        <v>3</v>
      </c>
      <c r="F51" s="36">
        <v>4</v>
      </c>
      <c r="G51" s="36">
        <v>5</v>
      </c>
      <c r="H51" s="36">
        <v>6</v>
      </c>
      <c r="I51" s="36">
        <v>7</v>
      </c>
      <c r="J51" s="36">
        <v>8</v>
      </c>
      <c r="K51" s="36">
        <v>9</v>
      </c>
      <c r="L51" s="36">
        <v>10</v>
      </c>
      <c r="M51" s="36">
        <v>11</v>
      </c>
      <c r="N51" s="36">
        <v>12</v>
      </c>
      <c r="O51" s="36"/>
      <c r="P51" s="25" t="s">
        <v>5</v>
      </c>
      <c r="Q51" s="13">
        <f>SUM(24419/43087)</f>
        <v>0.56673706686471559</v>
      </c>
    </row>
    <row r="52" spans="1:19" s="2" customFormat="1" ht="17.45" customHeight="1" thickBot="1">
      <c r="A52" s="37" t="s">
        <v>255</v>
      </c>
      <c r="B52" s="59" t="s">
        <v>17</v>
      </c>
      <c r="C52" s="8">
        <v>3434</v>
      </c>
      <c r="D52" s="9"/>
      <c r="E52" s="8"/>
      <c r="F52" s="9"/>
      <c r="G52" s="9"/>
      <c r="H52" s="9"/>
      <c r="I52" s="8"/>
      <c r="J52" s="9"/>
      <c r="K52" s="9"/>
      <c r="L52" s="9"/>
      <c r="M52" s="8"/>
      <c r="N52" s="9"/>
      <c r="O52" s="8" t="s">
        <v>4</v>
      </c>
      <c r="P52" s="17"/>
      <c r="Q52" s="12" t="s">
        <v>8</v>
      </c>
      <c r="R52" s="12" t="s">
        <v>9</v>
      </c>
      <c r="S52" s="12" t="s">
        <v>10</v>
      </c>
    </row>
    <row r="53" spans="1:19" s="2" customFormat="1" ht="17.45" customHeight="1" thickBot="1">
      <c r="A53" s="37" t="s">
        <v>256</v>
      </c>
      <c r="B53" s="39" t="s">
        <v>3</v>
      </c>
      <c r="C53" s="44">
        <v>2021</v>
      </c>
      <c r="D53" s="9">
        <v>2077</v>
      </c>
      <c r="E53" s="9">
        <v>2173</v>
      </c>
      <c r="F53" s="9">
        <v>2213</v>
      </c>
      <c r="G53" s="8">
        <v>2554</v>
      </c>
      <c r="H53" s="9"/>
      <c r="I53" s="9"/>
      <c r="J53" s="8"/>
      <c r="K53" s="9"/>
      <c r="L53" s="9"/>
      <c r="M53" s="9"/>
      <c r="N53" s="8"/>
      <c r="O53" s="8" t="s">
        <v>7</v>
      </c>
      <c r="P53" s="48" t="s">
        <v>6</v>
      </c>
      <c r="Q53" s="17">
        <f>SUM(C56+C57+C58+C61+C62+C63+C64)</f>
        <v>9273</v>
      </c>
      <c r="R53" s="18">
        <f>SUM(Q53/Q59)</f>
        <v>0.38621407746772179</v>
      </c>
      <c r="S53" s="15">
        <v>3</v>
      </c>
    </row>
    <row r="54" spans="1:19" s="2" customFormat="1" ht="17.45" customHeight="1" thickBot="1">
      <c r="A54" s="37" t="s">
        <v>194</v>
      </c>
      <c r="B54" s="56" t="s">
        <v>19</v>
      </c>
      <c r="C54" s="9">
        <v>1966</v>
      </c>
      <c r="D54" s="9">
        <v>1984</v>
      </c>
      <c r="E54" s="9">
        <v>1988</v>
      </c>
      <c r="F54" s="9">
        <v>2006</v>
      </c>
      <c r="G54" s="9">
        <v>2012</v>
      </c>
      <c r="H54" s="9">
        <v>2014</v>
      </c>
      <c r="I54" s="9">
        <v>2027</v>
      </c>
      <c r="J54" s="9">
        <v>2049</v>
      </c>
      <c r="K54" s="9">
        <v>2269</v>
      </c>
      <c r="L54" s="9">
        <v>2346</v>
      </c>
      <c r="M54" s="9">
        <v>2382</v>
      </c>
      <c r="N54" s="8">
        <v>2390</v>
      </c>
      <c r="O54" s="8" t="s">
        <v>209</v>
      </c>
      <c r="P54" s="49" t="s">
        <v>3</v>
      </c>
      <c r="Q54" s="17">
        <f>SUM(C53+C59+C66+C67+C68)</f>
        <v>5147</v>
      </c>
      <c r="R54" s="18">
        <f>SUM(Q54/Q59)</f>
        <v>0.21436901291128696</v>
      </c>
      <c r="S54" s="15">
        <v>2</v>
      </c>
    </row>
    <row r="55" spans="1:19" s="2" customFormat="1" ht="17.45" customHeight="1" thickBot="1">
      <c r="A55" s="37" t="s">
        <v>193</v>
      </c>
      <c r="B55" s="52" t="s">
        <v>28</v>
      </c>
      <c r="C55" s="9">
        <v>1856</v>
      </c>
      <c r="D55" s="9">
        <v>2058</v>
      </c>
      <c r="E55" s="9">
        <v>2079</v>
      </c>
      <c r="F55" s="9">
        <v>2167</v>
      </c>
      <c r="G55" s="9">
        <v>2234</v>
      </c>
      <c r="H55" s="9">
        <v>2241</v>
      </c>
      <c r="I55" s="9">
        <v>2284</v>
      </c>
      <c r="J55" s="8">
        <v>2411</v>
      </c>
      <c r="K55" s="9"/>
      <c r="L55" s="9"/>
      <c r="M55" s="9"/>
      <c r="N55" s="8"/>
      <c r="O55" s="8" t="s">
        <v>11</v>
      </c>
      <c r="P55" s="60" t="s">
        <v>19</v>
      </c>
      <c r="Q55" s="23">
        <v>1966</v>
      </c>
      <c r="R55" s="13">
        <f>SUM(Q55/Q59)</f>
        <v>8.1882548937942529E-2</v>
      </c>
      <c r="S55" s="2">
        <v>1</v>
      </c>
    </row>
    <row r="56" spans="1:19" s="2" customFormat="1" ht="17.45" customHeight="1" thickBot="1">
      <c r="A56" s="37" t="s">
        <v>257</v>
      </c>
      <c r="B56" s="38" t="s">
        <v>6</v>
      </c>
      <c r="C56" s="9">
        <v>1732</v>
      </c>
      <c r="D56" s="9">
        <v>1743</v>
      </c>
      <c r="E56" s="9">
        <v>1745</v>
      </c>
      <c r="F56" s="9">
        <v>1748</v>
      </c>
      <c r="G56" s="9">
        <v>1807</v>
      </c>
      <c r="H56" s="9">
        <v>1813</v>
      </c>
      <c r="I56" s="9">
        <v>2147</v>
      </c>
      <c r="J56" s="9">
        <v>2169</v>
      </c>
      <c r="K56" s="9">
        <v>2307</v>
      </c>
      <c r="L56" s="9">
        <v>2324</v>
      </c>
      <c r="M56" s="8">
        <v>2697</v>
      </c>
      <c r="N56" s="9"/>
      <c r="O56" s="8" t="s">
        <v>12</v>
      </c>
      <c r="P56" s="83" t="s">
        <v>17</v>
      </c>
      <c r="Q56" s="23">
        <f>SUM(C52+C69)</f>
        <v>3746</v>
      </c>
      <c r="R56" s="13">
        <f>SUM(Q56/Q59)</f>
        <v>0.156018325697626</v>
      </c>
      <c r="S56" s="2">
        <v>1</v>
      </c>
    </row>
    <row r="57" spans="1:19" s="2" customFormat="1" ht="17.45" customHeight="1" thickBot="1">
      <c r="A57" s="37" t="s">
        <v>505</v>
      </c>
      <c r="B57" s="38" t="s">
        <v>6</v>
      </c>
      <c r="C57" s="9">
        <v>1719</v>
      </c>
      <c r="D57" s="9">
        <v>1768</v>
      </c>
      <c r="E57" s="9">
        <v>1775</v>
      </c>
      <c r="F57" s="9">
        <v>1784</v>
      </c>
      <c r="G57" s="9">
        <v>1794</v>
      </c>
      <c r="H57" s="9">
        <v>1795</v>
      </c>
      <c r="I57" s="9">
        <v>1872</v>
      </c>
      <c r="J57" s="9">
        <v>1947</v>
      </c>
      <c r="K57" s="9">
        <v>2022</v>
      </c>
      <c r="L57" s="9">
        <v>2087</v>
      </c>
      <c r="M57" s="9">
        <v>2315</v>
      </c>
      <c r="N57" s="8">
        <v>2434</v>
      </c>
      <c r="O57" s="8" t="s">
        <v>14</v>
      </c>
      <c r="P57" s="86" t="s">
        <v>261</v>
      </c>
      <c r="Q57" s="23">
        <v>872</v>
      </c>
      <c r="R57" s="13">
        <f>SUM(Q57/Q59)</f>
        <v>3.6318200749687633E-2</v>
      </c>
    </row>
    <row r="58" spans="1:19" s="2" customFormat="1" ht="17.45" customHeight="1" thickBot="1">
      <c r="A58" s="37" t="s">
        <v>195</v>
      </c>
      <c r="B58" s="38" t="s">
        <v>6</v>
      </c>
      <c r="C58" s="9">
        <v>1648</v>
      </c>
      <c r="D58" s="9">
        <v>1681</v>
      </c>
      <c r="E58" s="9">
        <v>1685</v>
      </c>
      <c r="F58" s="9">
        <v>1697</v>
      </c>
      <c r="G58" s="9">
        <v>1705</v>
      </c>
      <c r="H58" s="9">
        <v>1706</v>
      </c>
      <c r="I58" s="9">
        <v>1840</v>
      </c>
      <c r="J58" s="9">
        <v>1853</v>
      </c>
      <c r="K58" s="9">
        <v>2067</v>
      </c>
      <c r="L58" s="9">
        <v>2125</v>
      </c>
      <c r="M58" s="9">
        <v>2342</v>
      </c>
      <c r="N58" s="8">
        <v>2445</v>
      </c>
      <c r="O58" s="8" t="s">
        <v>15</v>
      </c>
      <c r="P58" s="25" t="s">
        <v>13</v>
      </c>
      <c r="Q58" s="23">
        <f>SUM(C55+C60)</f>
        <v>3006</v>
      </c>
      <c r="R58" s="13">
        <f>SUM(Q58/Q59)</f>
        <v>0.12519783423573511</v>
      </c>
      <c r="S58" s="2">
        <v>2</v>
      </c>
    </row>
    <row r="59" spans="1:19" s="2" customFormat="1" ht="17.45" customHeight="1" thickBot="1">
      <c r="A59" s="37" t="s">
        <v>258</v>
      </c>
      <c r="B59" s="39" t="s">
        <v>3</v>
      </c>
      <c r="C59" s="9">
        <v>1338</v>
      </c>
      <c r="D59" s="9">
        <v>1396</v>
      </c>
      <c r="E59" s="9">
        <v>1447</v>
      </c>
      <c r="F59" s="9">
        <v>1493</v>
      </c>
      <c r="G59" s="9">
        <v>1556</v>
      </c>
      <c r="H59" s="9">
        <v>1640</v>
      </c>
      <c r="I59" s="9">
        <v>1676</v>
      </c>
      <c r="J59" s="9">
        <v>2104</v>
      </c>
      <c r="K59" s="9">
        <v>2137</v>
      </c>
      <c r="L59" s="9">
        <v>2246</v>
      </c>
      <c r="M59" s="9">
        <v>2395</v>
      </c>
      <c r="N59" s="8">
        <v>2416</v>
      </c>
      <c r="O59" s="8" t="s">
        <v>16</v>
      </c>
      <c r="P59" s="25"/>
      <c r="Q59" s="25">
        <v>24010</v>
      </c>
      <c r="R59" s="13"/>
      <c r="S59" s="13"/>
    </row>
    <row r="60" spans="1:19" s="2" customFormat="1" ht="17.45" customHeight="1" thickBot="1">
      <c r="A60" s="37" t="s">
        <v>200</v>
      </c>
      <c r="B60" s="52" t="s">
        <v>28</v>
      </c>
      <c r="C60" s="44">
        <v>1150</v>
      </c>
      <c r="D60" s="9">
        <v>1282</v>
      </c>
      <c r="E60" s="9">
        <v>1311</v>
      </c>
      <c r="F60" s="9">
        <v>1357</v>
      </c>
      <c r="G60" s="9">
        <v>1379</v>
      </c>
      <c r="H60" s="9">
        <v>1380</v>
      </c>
      <c r="I60" s="9">
        <v>1404</v>
      </c>
      <c r="J60" s="9">
        <v>1510</v>
      </c>
      <c r="K60" s="9">
        <v>1532</v>
      </c>
      <c r="L60" s="9">
        <v>1723</v>
      </c>
      <c r="M60" s="9">
        <v>1783</v>
      </c>
      <c r="N60" s="8">
        <v>1787</v>
      </c>
      <c r="O60" s="8" t="s">
        <v>210</v>
      </c>
      <c r="Q60" s="23"/>
    </row>
    <row r="61" spans="1:19" s="2" customFormat="1" ht="17.45" customHeight="1" thickBot="1">
      <c r="A61" s="40" t="s">
        <v>259</v>
      </c>
      <c r="B61" s="41" t="s">
        <v>6</v>
      </c>
      <c r="C61" s="9">
        <v>1136</v>
      </c>
      <c r="D61" s="9">
        <v>1146</v>
      </c>
      <c r="E61" s="9">
        <v>1151</v>
      </c>
      <c r="F61" s="9">
        <v>1155</v>
      </c>
      <c r="G61" s="9">
        <v>1166</v>
      </c>
      <c r="H61" s="9">
        <v>1166</v>
      </c>
      <c r="I61" s="9">
        <v>1250</v>
      </c>
      <c r="J61" s="9">
        <v>1257</v>
      </c>
      <c r="K61" s="9">
        <v>1427</v>
      </c>
      <c r="L61" s="9">
        <v>1478</v>
      </c>
      <c r="M61" s="9">
        <v>1543</v>
      </c>
      <c r="N61" s="9">
        <v>1564</v>
      </c>
      <c r="O61" s="8"/>
      <c r="P61" s="49"/>
      <c r="Q61" s="17"/>
      <c r="R61" s="18"/>
      <c r="S61" s="15"/>
    </row>
    <row r="62" spans="1:19" s="2" customFormat="1" ht="17.45" customHeight="1" thickBot="1">
      <c r="A62" s="40" t="s">
        <v>496</v>
      </c>
      <c r="B62" s="41" t="s">
        <v>6</v>
      </c>
      <c r="C62" s="9">
        <v>1084</v>
      </c>
      <c r="D62" s="9">
        <v>1103</v>
      </c>
      <c r="E62" s="9">
        <v>1106</v>
      </c>
      <c r="F62" s="9">
        <v>1110</v>
      </c>
      <c r="G62" s="9">
        <v>1112</v>
      </c>
      <c r="H62" s="9">
        <v>1112</v>
      </c>
      <c r="I62" s="9">
        <v>1169</v>
      </c>
      <c r="J62" s="9">
        <v>1186</v>
      </c>
      <c r="K62" s="9">
        <v>1221</v>
      </c>
      <c r="L62" s="9">
        <v>1260</v>
      </c>
      <c r="M62" s="9" t="s">
        <v>30</v>
      </c>
      <c r="Q62" s="53"/>
      <c r="R62" s="23"/>
      <c r="S62" s="13"/>
    </row>
    <row r="63" spans="1:19" s="2" customFormat="1" ht="17.45" customHeight="1" thickBot="1">
      <c r="A63" s="40" t="s">
        <v>260</v>
      </c>
      <c r="B63" s="41" t="s">
        <v>6</v>
      </c>
      <c r="C63" s="9">
        <v>1040</v>
      </c>
      <c r="D63" s="9">
        <v>1049</v>
      </c>
      <c r="E63" s="9">
        <v>1050</v>
      </c>
      <c r="F63" s="9">
        <v>1052</v>
      </c>
      <c r="G63" s="9">
        <v>1056</v>
      </c>
      <c r="H63" s="9">
        <v>1057</v>
      </c>
      <c r="I63" s="9">
        <v>1124</v>
      </c>
      <c r="J63" s="9">
        <v>1129</v>
      </c>
      <c r="K63" s="9" t="s">
        <v>30</v>
      </c>
      <c r="Q63" s="25"/>
      <c r="R63" s="23"/>
      <c r="S63" s="13"/>
    </row>
    <row r="64" spans="1:19" s="2" customFormat="1" ht="17.45" customHeight="1" thickBot="1">
      <c r="A64" s="40" t="s">
        <v>199</v>
      </c>
      <c r="B64" s="41" t="s">
        <v>6</v>
      </c>
      <c r="C64" s="9">
        <v>914</v>
      </c>
      <c r="D64" s="9">
        <v>930</v>
      </c>
      <c r="E64" s="9">
        <v>937</v>
      </c>
      <c r="F64" s="9">
        <v>941</v>
      </c>
      <c r="G64" s="9">
        <v>962</v>
      </c>
      <c r="H64" s="9">
        <v>962</v>
      </c>
      <c r="I64" s="9" t="s">
        <v>30</v>
      </c>
      <c r="P64" s="23"/>
      <c r="Q64" s="23"/>
      <c r="R64" s="23"/>
      <c r="S64" s="25"/>
    </row>
    <row r="65" spans="1:16" s="2" customFormat="1" ht="17.45" customHeight="1" thickBot="1">
      <c r="A65" s="40" t="s">
        <v>224</v>
      </c>
      <c r="B65" s="84" t="s">
        <v>261</v>
      </c>
      <c r="C65" s="9">
        <v>872</v>
      </c>
      <c r="D65" s="9">
        <v>975</v>
      </c>
      <c r="E65" s="9">
        <v>978</v>
      </c>
      <c r="F65" s="9">
        <v>1090</v>
      </c>
      <c r="G65" s="9">
        <v>1125</v>
      </c>
      <c r="H65" s="9">
        <v>1125</v>
      </c>
      <c r="I65" s="9">
        <v>1135</v>
      </c>
      <c r="J65" s="9">
        <v>1167</v>
      </c>
      <c r="K65" s="9">
        <v>1177</v>
      </c>
      <c r="L65" s="9" t="s">
        <v>30</v>
      </c>
      <c r="M65" s="17"/>
      <c r="N65" s="12"/>
      <c r="O65" s="12"/>
      <c r="P65" s="12"/>
    </row>
    <row r="66" spans="1:16" s="2" customFormat="1" ht="17.45" customHeight="1" thickBot="1">
      <c r="A66" s="40" t="s">
        <v>506</v>
      </c>
      <c r="B66" s="42" t="s">
        <v>3</v>
      </c>
      <c r="C66" s="44">
        <v>802</v>
      </c>
      <c r="D66" s="9">
        <v>849</v>
      </c>
      <c r="E66" s="9">
        <v>903</v>
      </c>
      <c r="F66" s="9">
        <v>918</v>
      </c>
      <c r="G66" s="9">
        <v>959</v>
      </c>
      <c r="H66" s="9">
        <v>1008</v>
      </c>
      <c r="I66" s="9">
        <v>1020</v>
      </c>
      <c r="J66" s="9" t="s">
        <v>30</v>
      </c>
      <c r="L66" s="23"/>
      <c r="M66" s="48"/>
      <c r="N66" s="17"/>
      <c r="O66" s="18"/>
      <c r="P66" s="15"/>
    </row>
    <row r="67" spans="1:16" s="2" customFormat="1" ht="17.45" customHeight="1" thickBot="1">
      <c r="A67" s="40" t="s">
        <v>262</v>
      </c>
      <c r="B67" s="42" t="s">
        <v>3</v>
      </c>
      <c r="C67" s="9">
        <v>648</v>
      </c>
      <c r="D67" s="9">
        <v>675</v>
      </c>
      <c r="E67" s="9">
        <v>728</v>
      </c>
      <c r="F67" s="9">
        <v>744</v>
      </c>
      <c r="G67" s="9" t="s">
        <v>30</v>
      </c>
      <c r="L67" s="23"/>
      <c r="M67" s="49"/>
      <c r="N67" s="17"/>
      <c r="O67" s="18"/>
      <c r="P67" s="15"/>
    </row>
    <row r="68" spans="1:16" s="2" customFormat="1" ht="17.45" customHeight="1" thickBot="1">
      <c r="A68" s="40" t="s">
        <v>263</v>
      </c>
      <c r="B68" s="42" t="s">
        <v>3</v>
      </c>
      <c r="C68" s="9">
        <v>338</v>
      </c>
      <c r="D68" s="9">
        <v>369</v>
      </c>
      <c r="E68" s="9" t="s">
        <v>30</v>
      </c>
      <c r="L68" s="23"/>
      <c r="M68" s="53"/>
      <c r="N68" s="23"/>
      <c r="O68" s="13"/>
    </row>
    <row r="69" spans="1:16" s="2" customFormat="1" ht="17.45" customHeight="1" thickBot="1">
      <c r="A69" s="40" t="s">
        <v>264</v>
      </c>
      <c r="B69" s="50" t="s">
        <v>17</v>
      </c>
      <c r="C69" s="9">
        <v>312</v>
      </c>
      <c r="D69" s="9">
        <v>523</v>
      </c>
      <c r="E69" s="9">
        <v>534</v>
      </c>
      <c r="F69" s="9" t="s">
        <v>30</v>
      </c>
      <c r="G69" s="23"/>
      <c r="H69" s="23"/>
      <c r="I69" s="25"/>
      <c r="J69" s="23"/>
      <c r="K69" s="13"/>
    </row>
    <row r="70" spans="1:16">
      <c r="C70" s="63"/>
      <c r="D70" s="63"/>
      <c r="E70" s="63"/>
    </row>
    <row r="71" spans="1:16" s="2" customFormat="1" ht="17.45" customHeight="1">
      <c r="A71" s="31" t="s">
        <v>272</v>
      </c>
      <c r="B71" s="23"/>
      <c r="C71" s="23"/>
      <c r="D71" s="23"/>
      <c r="E71" s="23"/>
      <c r="F71" s="23"/>
      <c r="G71" s="23"/>
      <c r="H71" s="23"/>
      <c r="I71" s="23"/>
      <c r="J71" s="23"/>
    </row>
    <row r="72" spans="1:16" s="2" customFormat="1" ht="10.5" customHeight="1" thickBot="1">
      <c r="A72" s="31"/>
      <c r="B72" s="23"/>
      <c r="C72" s="23"/>
      <c r="D72" s="23"/>
      <c r="E72" s="23"/>
      <c r="F72" s="23"/>
      <c r="G72" s="23"/>
      <c r="H72" s="23"/>
      <c r="I72" s="23"/>
      <c r="J72" s="23"/>
    </row>
    <row r="73" spans="1:16" s="2" customFormat="1" ht="16.5" customHeight="1" thickBot="1">
      <c r="A73" s="35" t="s">
        <v>0</v>
      </c>
      <c r="B73" s="36" t="s">
        <v>1</v>
      </c>
      <c r="C73" s="36" t="s">
        <v>2</v>
      </c>
      <c r="D73" s="36">
        <v>2</v>
      </c>
      <c r="E73" s="36">
        <v>3</v>
      </c>
      <c r="F73" s="36">
        <v>4</v>
      </c>
      <c r="G73" s="36">
        <v>5</v>
      </c>
      <c r="H73" s="36">
        <v>6</v>
      </c>
      <c r="I73" s="45"/>
      <c r="J73" s="12" t="s">
        <v>5</v>
      </c>
      <c r="K73" s="13">
        <f>SUM(8318/13956)</f>
        <v>0.59601605044425332</v>
      </c>
    </row>
    <row r="74" spans="1:16" s="2" customFormat="1" ht="16.5" customHeight="1" thickBot="1">
      <c r="A74" s="37" t="s">
        <v>267</v>
      </c>
      <c r="B74" s="38" t="s">
        <v>6</v>
      </c>
      <c r="C74" s="8">
        <v>1650</v>
      </c>
      <c r="D74" s="8"/>
      <c r="E74" s="9"/>
      <c r="F74" s="8"/>
      <c r="G74" s="9"/>
      <c r="H74" s="8"/>
      <c r="I74" s="8" t="s">
        <v>4</v>
      </c>
      <c r="J74" s="15"/>
      <c r="K74" s="12" t="s">
        <v>8</v>
      </c>
      <c r="L74" s="12" t="s">
        <v>9</v>
      </c>
      <c r="M74" s="12" t="s">
        <v>10</v>
      </c>
    </row>
    <row r="75" spans="1:16" s="2" customFormat="1" ht="16.5" customHeight="1" thickBot="1">
      <c r="A75" s="37" t="s">
        <v>171</v>
      </c>
      <c r="B75" s="39" t="s">
        <v>3</v>
      </c>
      <c r="C75" s="9">
        <v>1553</v>
      </c>
      <c r="D75" s="9">
        <v>1553</v>
      </c>
      <c r="E75" s="9">
        <v>1588</v>
      </c>
      <c r="F75" s="8">
        <v>1675</v>
      </c>
      <c r="G75" s="8"/>
      <c r="H75" s="9"/>
      <c r="I75" s="8" t="s">
        <v>7</v>
      </c>
      <c r="J75" s="16" t="s">
        <v>6</v>
      </c>
      <c r="K75" s="17">
        <f>SUM(C74+C76+C77+C79)</f>
        <v>4503</v>
      </c>
      <c r="L75" s="18">
        <f>SUM(K75/K80)</f>
        <v>0.55251533742331294</v>
      </c>
      <c r="M75" s="15">
        <v>3</v>
      </c>
    </row>
    <row r="76" spans="1:16" s="2" customFormat="1" ht="16.5" customHeight="1" thickBot="1">
      <c r="A76" s="37" t="s">
        <v>268</v>
      </c>
      <c r="B76" s="38" t="s">
        <v>6</v>
      </c>
      <c r="C76" s="9">
        <v>1346</v>
      </c>
      <c r="D76" s="9">
        <v>1348</v>
      </c>
      <c r="E76" s="9">
        <v>1364</v>
      </c>
      <c r="F76" s="9">
        <v>1385</v>
      </c>
      <c r="G76" s="9">
        <v>1405</v>
      </c>
      <c r="H76" s="8">
        <v>1573</v>
      </c>
      <c r="I76" s="8" t="s">
        <v>11</v>
      </c>
      <c r="J76" s="19" t="s">
        <v>3</v>
      </c>
      <c r="K76" s="17">
        <f>SUM(C75+C78+C80)</f>
        <v>2964</v>
      </c>
      <c r="L76" s="18">
        <f>SUM(K76/K80)</f>
        <v>0.36368098159509205</v>
      </c>
      <c r="M76" s="15">
        <v>1</v>
      </c>
    </row>
    <row r="77" spans="1:16" s="2" customFormat="1" ht="16.5" customHeight="1" thickBot="1">
      <c r="A77" s="37" t="s">
        <v>501</v>
      </c>
      <c r="B77" s="38" t="s">
        <v>6</v>
      </c>
      <c r="C77" s="9">
        <v>979</v>
      </c>
      <c r="D77" s="9">
        <v>993</v>
      </c>
      <c r="E77" s="9">
        <v>1033</v>
      </c>
      <c r="F77" s="9">
        <v>1060</v>
      </c>
      <c r="G77" s="9">
        <v>1179</v>
      </c>
      <c r="H77" s="8">
        <v>1435</v>
      </c>
      <c r="I77" s="8" t="s">
        <v>12</v>
      </c>
      <c r="J77" s="29" t="s">
        <v>17</v>
      </c>
      <c r="K77" s="17">
        <v>145</v>
      </c>
      <c r="L77" s="18">
        <f>SUM(K77/K80)</f>
        <v>1.7791411042944787E-2</v>
      </c>
      <c r="M77" s="15"/>
    </row>
    <row r="78" spans="1:16" s="2" customFormat="1" ht="16.5" customHeight="1" thickBot="1">
      <c r="A78" s="40" t="s">
        <v>269</v>
      </c>
      <c r="B78" s="42" t="s">
        <v>3</v>
      </c>
      <c r="C78" s="9">
        <v>963</v>
      </c>
      <c r="D78" s="9">
        <v>966</v>
      </c>
      <c r="E78" s="9">
        <v>1027</v>
      </c>
      <c r="F78" s="9">
        <v>1060</v>
      </c>
      <c r="G78" s="9">
        <v>1309</v>
      </c>
      <c r="H78" s="9">
        <v>1360</v>
      </c>
      <c r="I78" s="8"/>
      <c r="J78" s="33" t="s">
        <v>19</v>
      </c>
      <c r="K78" s="17">
        <v>137</v>
      </c>
      <c r="L78" s="18">
        <f>SUM(K78/K80)</f>
        <v>1.6809815950920244E-2</v>
      </c>
    </row>
    <row r="79" spans="1:16" s="2" customFormat="1" ht="16.5" customHeight="1" thickBot="1">
      <c r="A79" s="40" t="s">
        <v>126</v>
      </c>
      <c r="B79" s="41" t="s">
        <v>6</v>
      </c>
      <c r="C79" s="9">
        <v>528</v>
      </c>
      <c r="D79" s="9">
        <v>528</v>
      </c>
      <c r="E79" s="9">
        <v>534</v>
      </c>
      <c r="F79" s="9">
        <v>681</v>
      </c>
      <c r="G79" s="9">
        <v>691</v>
      </c>
      <c r="H79" s="9" t="s">
        <v>30</v>
      </c>
      <c r="J79" s="22" t="s">
        <v>13</v>
      </c>
      <c r="K79" s="17">
        <v>401</v>
      </c>
      <c r="L79" s="18">
        <f>SUM(K79/K80)</f>
        <v>4.9202453987730065E-2</v>
      </c>
    </row>
    <row r="80" spans="1:16" s="2" customFormat="1" ht="16.5" customHeight="1" thickBot="1">
      <c r="A80" s="40" t="s">
        <v>304</v>
      </c>
      <c r="B80" s="42" t="s">
        <v>3</v>
      </c>
      <c r="C80" s="9">
        <v>448</v>
      </c>
      <c r="D80" s="9">
        <v>448</v>
      </c>
      <c r="E80" s="9">
        <v>467</v>
      </c>
      <c r="F80" s="9">
        <v>497</v>
      </c>
      <c r="G80" s="9" t="s">
        <v>30</v>
      </c>
      <c r="J80" s="12"/>
      <c r="K80" s="25">
        <v>8150</v>
      </c>
      <c r="L80" s="13"/>
      <c r="M80" s="15"/>
    </row>
    <row r="81" spans="1:20" s="2" customFormat="1" ht="16.5" customHeight="1" thickBot="1">
      <c r="A81" s="40" t="s">
        <v>230</v>
      </c>
      <c r="B81" s="44" t="s">
        <v>28</v>
      </c>
      <c r="C81" s="9">
        <v>401</v>
      </c>
      <c r="D81" s="9">
        <v>401</v>
      </c>
      <c r="E81" s="9">
        <v>440</v>
      </c>
      <c r="F81" s="9" t="s">
        <v>30</v>
      </c>
      <c r="K81" s="23"/>
    </row>
    <row r="82" spans="1:20" s="2" customFormat="1" ht="16.5" customHeight="1" thickBot="1">
      <c r="A82" s="40" t="s">
        <v>270</v>
      </c>
      <c r="B82" s="50" t="s">
        <v>17</v>
      </c>
      <c r="C82" s="9">
        <v>145</v>
      </c>
      <c r="D82" s="9">
        <v>145</v>
      </c>
      <c r="E82" s="9" t="s">
        <v>30</v>
      </c>
    </row>
    <row r="83" spans="1:20" s="2" customFormat="1" ht="17.25" customHeight="1" thickBot="1">
      <c r="A83" s="40" t="s">
        <v>271</v>
      </c>
      <c r="B83" s="43" t="s">
        <v>19</v>
      </c>
      <c r="C83" s="9">
        <v>137</v>
      </c>
      <c r="D83" s="9">
        <v>137</v>
      </c>
      <c r="E83" s="9" t="s">
        <v>30</v>
      </c>
      <c r="I83" s="23"/>
    </row>
    <row r="84" spans="1:20">
      <c r="C84" s="63"/>
    </row>
    <row r="85" spans="1:20" s="113" customFormat="1" ht="15" customHeight="1">
      <c r="B85" s="64" t="s">
        <v>18</v>
      </c>
      <c r="C85" s="66" t="s">
        <v>6</v>
      </c>
      <c r="D85" s="67" t="s">
        <v>3</v>
      </c>
      <c r="E85" s="68" t="s">
        <v>17</v>
      </c>
      <c r="F85" s="69" t="s">
        <v>19</v>
      </c>
      <c r="G85" s="70" t="s">
        <v>261</v>
      </c>
      <c r="H85" s="64" t="s">
        <v>13</v>
      </c>
      <c r="R85" s="107"/>
      <c r="S85" s="114"/>
      <c r="T85" s="76"/>
    </row>
    <row r="86" spans="1:20" s="113" customFormat="1" ht="15" customHeight="1">
      <c r="A86" s="113" t="s">
        <v>8</v>
      </c>
      <c r="B86" s="77">
        <f>SUM(L8+P24+Q59+M41+K80)</f>
        <v>71669</v>
      </c>
      <c r="C86" s="114">
        <f>SUM(K75+M37+Q53+P19+L5)</f>
        <v>33509</v>
      </c>
      <c r="D86" s="114">
        <f>SUM(K76+M38+Q54+P20+L6)</f>
        <v>22945</v>
      </c>
      <c r="E86" s="114">
        <f>SUM(K77+Q56+P21+L7)</f>
        <v>4530</v>
      </c>
      <c r="F86" s="114">
        <f>SUM(K78+Q55+M39+P22)</f>
        <v>3810</v>
      </c>
      <c r="G86" s="114">
        <v>872</v>
      </c>
      <c r="H86" s="114">
        <f>SUM(K79+M40+Q58+P23)</f>
        <v>5997</v>
      </c>
      <c r="R86" s="64"/>
      <c r="S86" s="77"/>
      <c r="T86" s="76"/>
    </row>
    <row r="87" spans="1:20" s="113" customFormat="1" ht="15" customHeight="1">
      <c r="A87" s="113" t="s">
        <v>9</v>
      </c>
      <c r="B87" s="102">
        <v>1</v>
      </c>
      <c r="C87" s="76">
        <f t="shared" ref="C87:H87" si="0">SUM(C86/$B$86)</f>
        <v>0.46755221923007156</v>
      </c>
      <c r="D87" s="76">
        <f t="shared" si="0"/>
        <v>0.32015236713223288</v>
      </c>
      <c r="E87" s="76">
        <f t="shared" si="0"/>
        <v>6.3207244415298111E-2</v>
      </c>
      <c r="F87" s="76">
        <f t="shared" si="0"/>
        <v>5.3161059872469267E-2</v>
      </c>
      <c r="G87" s="76">
        <f t="shared" si="0"/>
        <v>1.2167045724092704E-2</v>
      </c>
      <c r="H87" s="76">
        <f t="shared" si="0"/>
        <v>8.367634542131186E-2</v>
      </c>
      <c r="I87" s="115"/>
    </row>
    <row r="88" spans="1:20" s="113" customFormat="1" ht="15" customHeight="1">
      <c r="A88" s="113" t="s">
        <v>10</v>
      </c>
      <c r="B88" s="64">
        <v>31</v>
      </c>
      <c r="C88" s="113">
        <v>15</v>
      </c>
      <c r="D88" s="113">
        <v>11</v>
      </c>
      <c r="E88" s="113">
        <v>1</v>
      </c>
      <c r="F88" s="113">
        <v>2</v>
      </c>
      <c r="G88" s="113">
        <v>0</v>
      </c>
      <c r="H88" s="113">
        <v>2</v>
      </c>
    </row>
    <row r="89" spans="1:20" s="2" customFormat="1" ht="16.5" customHeight="1">
      <c r="A89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T84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7.7109375" customWidth="1"/>
    <col min="3" max="19" width="8.7109375" customWidth="1"/>
  </cols>
  <sheetData>
    <row r="1" spans="1:15" s="2" customFormat="1" ht="16.5" customHeight="1">
      <c r="A1" s="31" t="s">
        <v>273</v>
      </c>
      <c r="B1" s="23"/>
      <c r="C1" s="23"/>
      <c r="D1" s="23"/>
      <c r="E1" s="23"/>
      <c r="F1" s="23"/>
      <c r="G1" s="23"/>
      <c r="H1" s="23"/>
      <c r="I1" s="23"/>
      <c r="J1" s="23"/>
    </row>
    <row r="2" spans="1:15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5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36">
        <v>8</v>
      </c>
      <c r="K3" s="5"/>
      <c r="L3" s="12" t="s">
        <v>5</v>
      </c>
      <c r="M3" s="13">
        <f>SUM(11228/15563)</f>
        <v>0.72145473237807622</v>
      </c>
    </row>
    <row r="4" spans="1:15" s="2" customFormat="1" ht="16.5" customHeight="1" thickBot="1">
      <c r="A4" s="37" t="s">
        <v>290</v>
      </c>
      <c r="B4" s="38" t="s">
        <v>6</v>
      </c>
      <c r="C4" s="8">
        <v>2368</v>
      </c>
      <c r="D4" s="9"/>
      <c r="E4" s="8"/>
      <c r="F4" s="9"/>
      <c r="G4" s="9"/>
      <c r="H4" s="8"/>
      <c r="I4" s="9"/>
      <c r="J4" s="9"/>
      <c r="K4" s="11" t="s">
        <v>4</v>
      </c>
      <c r="L4" s="15"/>
      <c r="M4" s="12" t="s">
        <v>8</v>
      </c>
      <c r="N4" s="12" t="s">
        <v>9</v>
      </c>
      <c r="O4" s="12" t="s">
        <v>10</v>
      </c>
    </row>
    <row r="5" spans="1:15" s="2" customFormat="1" ht="16.5" customHeight="1" thickBot="1">
      <c r="A5" s="37" t="s">
        <v>21</v>
      </c>
      <c r="B5" s="38" t="s">
        <v>6</v>
      </c>
      <c r="C5" s="9">
        <v>1812</v>
      </c>
      <c r="D5" s="8">
        <v>2087</v>
      </c>
      <c r="E5" s="8"/>
      <c r="F5" s="9"/>
      <c r="G5" s="8"/>
      <c r="H5" s="8"/>
      <c r="I5" s="9"/>
      <c r="J5" s="9"/>
      <c r="K5" s="11" t="s">
        <v>7</v>
      </c>
      <c r="L5" s="16" t="s">
        <v>6</v>
      </c>
      <c r="M5" s="17">
        <f>SUM(C4+C5+C8+C10+C12)</f>
        <v>6378</v>
      </c>
      <c r="N5" s="18">
        <f>SUM(M5/M8)</f>
        <v>0.57693351424694705</v>
      </c>
      <c r="O5" s="15">
        <v>3</v>
      </c>
    </row>
    <row r="6" spans="1:15" s="2" customFormat="1" ht="16.5" customHeight="1" thickBot="1">
      <c r="A6" s="37" t="s">
        <v>235</v>
      </c>
      <c r="B6" s="39" t="s">
        <v>3</v>
      </c>
      <c r="C6" s="9">
        <v>1634</v>
      </c>
      <c r="D6" s="9">
        <v>1667</v>
      </c>
      <c r="E6" s="9">
        <v>1681</v>
      </c>
      <c r="F6" s="9">
        <v>1809</v>
      </c>
      <c r="G6" s="9">
        <v>1836</v>
      </c>
      <c r="H6" s="8">
        <v>2159</v>
      </c>
      <c r="I6" s="8"/>
      <c r="J6" s="8"/>
      <c r="K6" s="11" t="s">
        <v>11</v>
      </c>
      <c r="L6" s="19" t="s">
        <v>3</v>
      </c>
      <c r="M6" s="17">
        <f>SUM(C6+C9+C11+C13)</f>
        <v>3318</v>
      </c>
      <c r="N6" s="18">
        <f>SUM(M6/M8)</f>
        <v>0.30013568521031209</v>
      </c>
      <c r="O6" s="15">
        <v>1</v>
      </c>
    </row>
    <row r="7" spans="1:15" s="2" customFormat="1" ht="16.5" customHeight="1" thickBot="1">
      <c r="A7" s="37" t="s">
        <v>274</v>
      </c>
      <c r="B7" s="52" t="s">
        <v>28</v>
      </c>
      <c r="C7" s="9">
        <v>1359</v>
      </c>
      <c r="D7" s="9">
        <v>1382</v>
      </c>
      <c r="E7" s="9">
        <v>1389</v>
      </c>
      <c r="F7" s="9">
        <v>1449</v>
      </c>
      <c r="G7" s="9">
        <v>1475</v>
      </c>
      <c r="H7" s="9">
        <v>1588</v>
      </c>
      <c r="I7" s="9">
        <v>1619</v>
      </c>
      <c r="J7" s="8">
        <v>1836</v>
      </c>
      <c r="K7" s="11" t="s">
        <v>15</v>
      </c>
      <c r="L7" s="12" t="s">
        <v>13</v>
      </c>
      <c r="M7" s="2">
        <v>1359</v>
      </c>
      <c r="N7" s="13">
        <f>SUM(M7/M8)</f>
        <v>0.12293080054274085</v>
      </c>
      <c r="O7" s="15">
        <v>1</v>
      </c>
    </row>
    <row r="8" spans="1:15" s="2" customFormat="1" ht="16.5" customHeight="1" thickBot="1">
      <c r="A8" s="37" t="s">
        <v>81</v>
      </c>
      <c r="B8" s="38" t="s">
        <v>6</v>
      </c>
      <c r="C8" s="9">
        <v>1181</v>
      </c>
      <c r="D8" s="9">
        <v>1227</v>
      </c>
      <c r="E8" s="9">
        <v>1292</v>
      </c>
      <c r="F8" s="9">
        <v>1304</v>
      </c>
      <c r="G8" s="9">
        <v>1516</v>
      </c>
      <c r="H8" s="9">
        <v>1577</v>
      </c>
      <c r="I8" s="9">
        <v>1587</v>
      </c>
      <c r="J8" s="8">
        <v>2044</v>
      </c>
      <c r="K8" s="11" t="s">
        <v>12</v>
      </c>
      <c r="M8" s="25">
        <v>11055</v>
      </c>
    </row>
    <row r="9" spans="1:15" s="2" customFormat="1" ht="16.5" customHeight="1" thickBot="1">
      <c r="A9" s="40" t="s">
        <v>275</v>
      </c>
      <c r="B9" s="42" t="s">
        <v>3</v>
      </c>
      <c r="C9" s="9">
        <v>714</v>
      </c>
      <c r="D9" s="9">
        <v>730</v>
      </c>
      <c r="E9" s="9">
        <v>737</v>
      </c>
      <c r="F9" s="9">
        <v>768</v>
      </c>
      <c r="G9" s="9">
        <v>864</v>
      </c>
      <c r="H9" s="9">
        <v>958</v>
      </c>
      <c r="I9" s="9">
        <v>1168</v>
      </c>
      <c r="J9" s="9">
        <v>1196</v>
      </c>
      <c r="K9" s="11"/>
    </row>
    <row r="10" spans="1:15" s="2" customFormat="1" ht="16.5" customHeight="1" thickBot="1">
      <c r="A10" s="40" t="s">
        <v>276</v>
      </c>
      <c r="B10" s="41" t="s">
        <v>6</v>
      </c>
      <c r="C10" s="9">
        <v>587</v>
      </c>
      <c r="D10" s="9">
        <v>636</v>
      </c>
      <c r="E10" s="9">
        <v>696</v>
      </c>
      <c r="F10" s="9">
        <v>738</v>
      </c>
      <c r="G10" s="9">
        <v>870</v>
      </c>
      <c r="H10" s="9">
        <v>899</v>
      </c>
      <c r="I10" s="9">
        <v>910</v>
      </c>
      <c r="J10" s="9" t="s">
        <v>30</v>
      </c>
    </row>
    <row r="11" spans="1:15" s="2" customFormat="1" ht="16.5" customHeight="1" thickBot="1">
      <c r="A11" s="40" t="s">
        <v>277</v>
      </c>
      <c r="B11" s="42" t="s">
        <v>3</v>
      </c>
      <c r="C11" s="9">
        <v>575</v>
      </c>
      <c r="D11" s="9">
        <v>581</v>
      </c>
      <c r="E11" s="9">
        <v>583</v>
      </c>
      <c r="F11" s="9">
        <v>676</v>
      </c>
      <c r="G11" s="9">
        <v>682</v>
      </c>
      <c r="H11" s="9" t="s">
        <v>30</v>
      </c>
    </row>
    <row r="12" spans="1:15" s="2" customFormat="1" ht="16.5" customHeight="1" thickBot="1">
      <c r="A12" s="40" t="s">
        <v>278</v>
      </c>
      <c r="B12" s="41" t="s">
        <v>6</v>
      </c>
      <c r="C12" s="9">
        <v>430</v>
      </c>
      <c r="D12" s="9">
        <v>499</v>
      </c>
      <c r="E12" s="9">
        <v>586</v>
      </c>
      <c r="F12" s="9">
        <v>593</v>
      </c>
      <c r="G12" s="9" t="s">
        <v>30</v>
      </c>
      <c r="K12" s="12"/>
      <c r="M12" s="13"/>
      <c r="N12" s="15"/>
    </row>
    <row r="13" spans="1:15" s="2" customFormat="1" ht="16.5" customHeight="1" thickBot="1">
      <c r="A13" s="40" t="s">
        <v>279</v>
      </c>
      <c r="B13" s="42" t="s">
        <v>3</v>
      </c>
      <c r="C13" s="9">
        <v>395</v>
      </c>
      <c r="D13" s="9">
        <v>403</v>
      </c>
      <c r="E13" s="9">
        <v>405</v>
      </c>
      <c r="F13" s="9" t="s">
        <v>30</v>
      </c>
      <c r="L13" s="25"/>
    </row>
    <row r="14" spans="1:15" s="2" customFormat="1" ht="10.5" customHeight="1">
      <c r="A14" s="31"/>
      <c r="B14" s="23"/>
      <c r="C14" s="23"/>
      <c r="D14" s="23"/>
      <c r="E14" s="23"/>
      <c r="F14" s="23"/>
      <c r="G14" s="23"/>
      <c r="H14" s="23"/>
      <c r="I14" s="23"/>
      <c r="J14" s="23"/>
    </row>
    <row r="15" spans="1:15" s="2" customFormat="1" ht="17.45" customHeight="1">
      <c r="A15" s="31" t="s">
        <v>280</v>
      </c>
      <c r="B15" s="23"/>
      <c r="C15" s="23"/>
      <c r="D15" s="23"/>
      <c r="E15" s="23"/>
      <c r="F15" s="23"/>
      <c r="G15" s="23"/>
      <c r="H15" s="23"/>
      <c r="I15" s="23"/>
      <c r="J15" s="23"/>
    </row>
    <row r="16" spans="1:15" s="2" customFormat="1" ht="10.5" customHeight="1" thickBot="1">
      <c r="A16" s="31"/>
      <c r="B16" s="23"/>
      <c r="C16" s="23"/>
      <c r="D16" s="23"/>
      <c r="E16" s="23"/>
      <c r="F16" s="23"/>
      <c r="G16" s="23"/>
      <c r="H16" s="23"/>
      <c r="I16" s="23"/>
      <c r="J16" s="23"/>
    </row>
    <row r="17" spans="1:17" s="2" customFormat="1" ht="16.5" customHeight="1" thickBot="1">
      <c r="A17" s="35" t="s">
        <v>0</v>
      </c>
      <c r="B17" s="36" t="s">
        <v>1</v>
      </c>
      <c r="C17" s="36" t="s">
        <v>2</v>
      </c>
      <c r="D17" s="36">
        <v>2</v>
      </c>
      <c r="E17" s="36">
        <v>3</v>
      </c>
      <c r="F17" s="36">
        <v>4</v>
      </c>
      <c r="G17" s="36">
        <v>5</v>
      </c>
      <c r="H17" s="36">
        <v>6</v>
      </c>
      <c r="I17" s="36">
        <v>7</v>
      </c>
      <c r="J17" s="36">
        <v>8</v>
      </c>
      <c r="K17" s="36">
        <v>9</v>
      </c>
      <c r="L17" s="36">
        <v>10</v>
      </c>
      <c r="M17" s="45"/>
      <c r="N17" s="12" t="s">
        <v>5</v>
      </c>
      <c r="O17" s="13">
        <f>SUM(14160/19860)</f>
        <v>0.71299093655589119</v>
      </c>
    </row>
    <row r="18" spans="1:17" s="2" customFormat="1" ht="16.5" customHeight="1" thickBot="1">
      <c r="A18" s="37" t="s">
        <v>37</v>
      </c>
      <c r="B18" s="52" t="s">
        <v>28</v>
      </c>
      <c r="C18" s="8">
        <v>2438</v>
      </c>
      <c r="D18" s="9"/>
      <c r="E18" s="9"/>
      <c r="F18" s="8"/>
      <c r="G18" s="9"/>
      <c r="H18" s="8"/>
      <c r="I18" s="8"/>
      <c r="J18" s="9"/>
      <c r="K18" s="8"/>
      <c r="L18" s="8"/>
      <c r="M18" s="8" t="s">
        <v>4</v>
      </c>
      <c r="N18" s="15"/>
      <c r="O18" s="12" t="s">
        <v>8</v>
      </c>
      <c r="P18" s="12" t="s">
        <v>9</v>
      </c>
      <c r="Q18" s="12" t="s">
        <v>10</v>
      </c>
    </row>
    <row r="19" spans="1:17" s="2" customFormat="1" ht="16.5" customHeight="1" thickBot="1">
      <c r="A19" s="37" t="s">
        <v>281</v>
      </c>
      <c r="B19" s="38" t="s">
        <v>6</v>
      </c>
      <c r="C19" s="8">
        <v>1960</v>
      </c>
      <c r="D19" s="9"/>
      <c r="E19" s="9"/>
      <c r="F19" s="9"/>
      <c r="G19" s="9"/>
      <c r="H19" s="9"/>
      <c r="I19" s="9"/>
      <c r="J19" s="8"/>
      <c r="K19" s="8"/>
      <c r="L19" s="8"/>
      <c r="M19" s="8" t="s">
        <v>7</v>
      </c>
      <c r="N19" s="16" t="s">
        <v>6</v>
      </c>
      <c r="O19" s="17">
        <f>SUM(C19+C20+C24+C25+C29)</f>
        <v>5821</v>
      </c>
      <c r="P19" s="18">
        <f>SUM(O19/O23)</f>
        <v>0.41641032978038484</v>
      </c>
      <c r="Q19" s="15">
        <v>3</v>
      </c>
    </row>
    <row r="20" spans="1:17" s="2" customFormat="1" ht="16.5" customHeight="1" thickBot="1">
      <c r="A20" s="37" t="s">
        <v>282</v>
      </c>
      <c r="B20" s="38" t="s">
        <v>6</v>
      </c>
      <c r="C20" s="9">
        <v>1533</v>
      </c>
      <c r="D20" s="9">
        <v>1646</v>
      </c>
      <c r="E20" s="9">
        <v>1724</v>
      </c>
      <c r="F20" s="9">
        <v>1742</v>
      </c>
      <c r="G20" s="8">
        <v>1984</v>
      </c>
      <c r="H20" s="9"/>
      <c r="I20" s="9"/>
      <c r="J20" s="8"/>
      <c r="K20" s="8"/>
      <c r="L20" s="9"/>
      <c r="M20" s="8" t="s">
        <v>11</v>
      </c>
      <c r="N20" s="19" t="s">
        <v>3</v>
      </c>
      <c r="O20" s="17">
        <f>SUM(C21+C23+C28+C30)</f>
        <v>3254</v>
      </c>
      <c r="P20" s="18">
        <f>SUM(O20/O23)</f>
        <v>0.23277773803562488</v>
      </c>
      <c r="Q20" s="15">
        <v>2</v>
      </c>
    </row>
    <row r="21" spans="1:17" s="2" customFormat="1" ht="16.5" customHeight="1" thickBot="1">
      <c r="A21" s="37" t="s">
        <v>184</v>
      </c>
      <c r="B21" s="39" t="s">
        <v>3</v>
      </c>
      <c r="C21" s="9">
        <v>1350</v>
      </c>
      <c r="D21" s="9">
        <v>1406</v>
      </c>
      <c r="E21" s="9">
        <v>1414</v>
      </c>
      <c r="F21" s="9">
        <v>1523</v>
      </c>
      <c r="G21" s="9">
        <v>1546</v>
      </c>
      <c r="H21" s="9">
        <v>1549</v>
      </c>
      <c r="I21" s="8">
        <v>1868</v>
      </c>
      <c r="J21" s="8"/>
      <c r="K21" s="8"/>
      <c r="L21" s="9"/>
      <c r="M21" s="8" t="s">
        <v>12</v>
      </c>
      <c r="N21" s="33" t="s">
        <v>19</v>
      </c>
      <c r="O21" s="17">
        <v>1145</v>
      </c>
      <c r="P21" s="18">
        <f>SUM(O21/O23)</f>
        <v>8.1908577151441453E-2</v>
      </c>
      <c r="Q21" s="2">
        <v>1</v>
      </c>
    </row>
    <row r="22" spans="1:17" s="2" customFormat="1" ht="16.5" customHeight="1" thickBot="1">
      <c r="A22" s="37" t="s">
        <v>186</v>
      </c>
      <c r="B22" s="56" t="s">
        <v>19</v>
      </c>
      <c r="C22" s="9">
        <v>1145</v>
      </c>
      <c r="D22" s="9">
        <v>1292</v>
      </c>
      <c r="E22" s="9">
        <v>1308</v>
      </c>
      <c r="F22" s="9">
        <v>1349</v>
      </c>
      <c r="G22" s="9">
        <v>1479</v>
      </c>
      <c r="H22" s="9">
        <v>1503</v>
      </c>
      <c r="I22" s="9">
        <v>1575</v>
      </c>
      <c r="J22" s="9">
        <v>1587</v>
      </c>
      <c r="K22" s="9">
        <v>1666</v>
      </c>
      <c r="L22" s="8">
        <v>1915</v>
      </c>
      <c r="M22" s="8" t="s">
        <v>15</v>
      </c>
      <c r="N22" s="22" t="s">
        <v>13</v>
      </c>
      <c r="O22" s="17">
        <f>SUM(C18+C26+C27)</f>
        <v>3757</v>
      </c>
      <c r="P22" s="18">
        <f>SUM(O22/O23)</f>
        <v>0.26876028328206597</v>
      </c>
      <c r="Q22" s="2">
        <v>1</v>
      </c>
    </row>
    <row r="23" spans="1:17" s="2" customFormat="1" ht="16.5" customHeight="1" thickBot="1">
      <c r="A23" s="37" t="s">
        <v>283</v>
      </c>
      <c r="B23" s="39" t="s">
        <v>3</v>
      </c>
      <c r="C23" s="9">
        <v>974</v>
      </c>
      <c r="D23" s="9">
        <v>998</v>
      </c>
      <c r="E23" s="9">
        <v>1009</v>
      </c>
      <c r="F23" s="9">
        <v>1054</v>
      </c>
      <c r="G23" s="9">
        <v>1066</v>
      </c>
      <c r="H23" s="9">
        <v>1068</v>
      </c>
      <c r="I23" s="9">
        <v>1199</v>
      </c>
      <c r="J23" s="9">
        <v>1293</v>
      </c>
      <c r="K23" s="9">
        <v>1468</v>
      </c>
      <c r="L23" s="8">
        <v>1548</v>
      </c>
      <c r="M23" s="8" t="s">
        <v>14</v>
      </c>
      <c r="N23" s="12"/>
      <c r="O23" s="25">
        <v>13979</v>
      </c>
      <c r="P23" s="13"/>
    </row>
    <row r="24" spans="1:17" s="2" customFormat="1" ht="16.5" customHeight="1" thickBot="1">
      <c r="A24" s="37" t="s">
        <v>152</v>
      </c>
      <c r="B24" s="38" t="s">
        <v>6</v>
      </c>
      <c r="C24" s="9">
        <v>954</v>
      </c>
      <c r="D24" s="9">
        <v>960</v>
      </c>
      <c r="E24" s="9">
        <v>988</v>
      </c>
      <c r="F24" s="9">
        <v>991</v>
      </c>
      <c r="G24" s="9">
        <v>1039</v>
      </c>
      <c r="H24" s="9">
        <v>1094</v>
      </c>
      <c r="I24" s="9">
        <v>1123</v>
      </c>
      <c r="J24" s="9">
        <v>1125</v>
      </c>
      <c r="K24" s="9">
        <v>1321</v>
      </c>
      <c r="L24" s="8">
        <v>1352</v>
      </c>
      <c r="M24" s="8" t="s">
        <v>16</v>
      </c>
    </row>
    <row r="25" spans="1:17" s="2" customFormat="1" ht="16.5" customHeight="1" thickBot="1">
      <c r="A25" s="40" t="s">
        <v>243</v>
      </c>
      <c r="B25" s="41" t="s">
        <v>6</v>
      </c>
      <c r="C25" s="9">
        <v>818</v>
      </c>
      <c r="D25" s="9">
        <v>858</v>
      </c>
      <c r="E25" s="9">
        <v>884</v>
      </c>
      <c r="F25" s="9">
        <v>897</v>
      </c>
      <c r="G25" s="9">
        <v>957</v>
      </c>
      <c r="H25" s="9">
        <v>1043</v>
      </c>
      <c r="I25" s="9">
        <v>1078</v>
      </c>
      <c r="J25" s="9">
        <v>1084</v>
      </c>
      <c r="K25" s="9">
        <v>1232</v>
      </c>
      <c r="L25" s="9">
        <v>1319</v>
      </c>
      <c r="M25" s="9"/>
    </row>
    <row r="26" spans="1:17" s="2" customFormat="1" ht="16.5" customHeight="1" thickBot="1">
      <c r="A26" s="40" t="s">
        <v>287</v>
      </c>
      <c r="B26" s="44" t="s">
        <v>28</v>
      </c>
      <c r="C26" s="9">
        <v>742</v>
      </c>
      <c r="D26" s="9">
        <v>757</v>
      </c>
      <c r="E26" s="9">
        <v>761</v>
      </c>
      <c r="F26" s="9">
        <v>771</v>
      </c>
      <c r="G26" s="9">
        <v>782</v>
      </c>
      <c r="H26" s="9">
        <v>783</v>
      </c>
      <c r="I26" s="9">
        <v>828</v>
      </c>
      <c r="J26" s="9">
        <v>833</v>
      </c>
      <c r="K26" s="9" t="s">
        <v>30</v>
      </c>
    </row>
    <row r="27" spans="1:17" s="2" customFormat="1" ht="16.5" customHeight="1" thickBot="1">
      <c r="A27" s="40" t="s">
        <v>245</v>
      </c>
      <c r="B27" s="44" t="s">
        <v>28</v>
      </c>
      <c r="C27" s="9">
        <v>577</v>
      </c>
      <c r="D27" s="9">
        <v>730</v>
      </c>
      <c r="E27" s="9">
        <v>738</v>
      </c>
      <c r="F27" s="9">
        <v>808</v>
      </c>
      <c r="G27" s="9">
        <v>822</v>
      </c>
      <c r="H27" s="9">
        <v>824</v>
      </c>
      <c r="I27" s="9">
        <v>837</v>
      </c>
      <c r="J27" s="9">
        <v>838</v>
      </c>
      <c r="K27" s="9">
        <v>869</v>
      </c>
      <c r="L27" s="9" t="s">
        <v>30</v>
      </c>
      <c r="M27" s="23"/>
    </row>
    <row r="28" spans="1:17" s="2" customFormat="1" ht="16.5" customHeight="1" thickBot="1">
      <c r="A28" s="40" t="s">
        <v>284</v>
      </c>
      <c r="B28" s="42" t="s">
        <v>3</v>
      </c>
      <c r="C28" s="9">
        <v>566</v>
      </c>
      <c r="D28" s="9">
        <v>582</v>
      </c>
      <c r="E28" s="9">
        <v>589</v>
      </c>
      <c r="F28" s="9">
        <v>682</v>
      </c>
      <c r="G28" s="9">
        <v>696</v>
      </c>
      <c r="H28" s="9">
        <v>697</v>
      </c>
      <c r="I28" s="9" t="s">
        <v>30</v>
      </c>
      <c r="J28" s="23"/>
      <c r="K28" s="23"/>
      <c r="L28" s="23"/>
      <c r="M28" s="23"/>
      <c r="Q28" s="15"/>
    </row>
    <row r="29" spans="1:17" s="2" customFormat="1" ht="16.5" customHeight="1" thickBot="1">
      <c r="A29" s="40" t="s">
        <v>285</v>
      </c>
      <c r="B29" s="41" t="s">
        <v>6</v>
      </c>
      <c r="C29" s="9">
        <v>556</v>
      </c>
      <c r="D29" s="9">
        <v>584</v>
      </c>
      <c r="E29" s="9">
        <v>610</v>
      </c>
      <c r="F29" s="9">
        <v>630</v>
      </c>
      <c r="G29" s="9" t="s">
        <v>30</v>
      </c>
      <c r="H29" s="23"/>
      <c r="I29" s="23"/>
      <c r="J29" s="23"/>
    </row>
    <row r="30" spans="1:17" s="2" customFormat="1" ht="16.5" customHeight="1" thickBot="1">
      <c r="A30" s="40" t="s">
        <v>286</v>
      </c>
      <c r="B30" s="42" t="s">
        <v>3</v>
      </c>
      <c r="C30" s="9">
        <v>364</v>
      </c>
      <c r="D30" s="9">
        <v>456</v>
      </c>
      <c r="E30" s="9">
        <v>458</v>
      </c>
      <c r="F30" s="9" t="s">
        <v>30</v>
      </c>
      <c r="G30" s="23"/>
      <c r="H30" s="23"/>
      <c r="I30" s="23"/>
      <c r="J30" s="23"/>
      <c r="K30" s="23"/>
      <c r="L30" s="23"/>
      <c r="M30" s="23"/>
      <c r="N30" s="46"/>
      <c r="O30" s="17"/>
      <c r="P30" s="18"/>
    </row>
    <row r="31" spans="1:17" s="2" customFormat="1" ht="11.25" customHeight="1">
      <c r="A31" s="28"/>
      <c r="B31" s="47"/>
      <c r="C31" s="28"/>
      <c r="D31" s="28"/>
      <c r="E31" s="28"/>
      <c r="F31" s="23"/>
      <c r="G31" s="23"/>
      <c r="H31" s="23"/>
      <c r="I31" s="23"/>
      <c r="J31" s="23"/>
      <c r="N31" s="18"/>
    </row>
    <row r="32" spans="1:17" s="2" customFormat="1" ht="17.45" customHeight="1">
      <c r="A32" s="1" t="s">
        <v>291</v>
      </c>
    </row>
    <row r="33" spans="1:19" s="2" customFormat="1" ht="10.5" customHeight="1" thickBot="1">
      <c r="A33" s="1"/>
    </row>
    <row r="34" spans="1:19" s="2" customFormat="1" ht="16.5" customHeight="1" thickBot="1">
      <c r="A34" s="3" t="s">
        <v>0</v>
      </c>
      <c r="B34" s="4" t="s">
        <v>1</v>
      </c>
      <c r="C34" s="4" t="s">
        <v>2</v>
      </c>
      <c r="D34" s="4">
        <v>2</v>
      </c>
      <c r="E34" s="4">
        <v>3</v>
      </c>
      <c r="F34" s="4">
        <v>4</v>
      </c>
      <c r="G34" s="4">
        <v>5</v>
      </c>
      <c r="H34" s="4">
        <v>6</v>
      </c>
      <c r="I34" s="4">
        <v>7</v>
      </c>
      <c r="J34" s="4">
        <v>8</v>
      </c>
      <c r="K34" s="4">
        <v>9</v>
      </c>
      <c r="L34" s="4">
        <v>10</v>
      </c>
      <c r="M34" s="4">
        <v>11</v>
      </c>
      <c r="N34" s="4">
        <v>12</v>
      </c>
      <c r="O34" s="5"/>
      <c r="P34" s="12" t="s">
        <v>5</v>
      </c>
      <c r="Q34" s="13">
        <f>(16163/22507)</f>
        <v>0.71813213666859199</v>
      </c>
    </row>
    <row r="35" spans="1:19" s="2" customFormat="1" ht="16.5" customHeight="1" thickBot="1">
      <c r="A35" s="6" t="s">
        <v>211</v>
      </c>
      <c r="B35" s="14" t="s">
        <v>6</v>
      </c>
      <c r="C35" s="8">
        <v>2389</v>
      </c>
      <c r="D35" s="9"/>
      <c r="E35" s="8"/>
      <c r="F35" s="9"/>
      <c r="G35" s="9"/>
      <c r="H35" s="9"/>
      <c r="I35" s="9"/>
      <c r="J35" s="9"/>
      <c r="K35" s="9"/>
      <c r="L35" s="9"/>
      <c r="M35" s="9"/>
      <c r="N35" s="9"/>
      <c r="O35" s="11" t="s">
        <v>4</v>
      </c>
      <c r="P35" s="15"/>
      <c r="Q35" s="12" t="s">
        <v>8</v>
      </c>
      <c r="R35" s="12" t="s">
        <v>9</v>
      </c>
      <c r="S35" s="12" t="s">
        <v>10</v>
      </c>
    </row>
    <row r="36" spans="1:19" s="2" customFormat="1" ht="16.5" customHeight="1" thickBot="1">
      <c r="A36" s="6" t="s">
        <v>54</v>
      </c>
      <c r="B36" s="14" t="s">
        <v>6</v>
      </c>
      <c r="C36" s="8">
        <v>2147</v>
      </c>
      <c r="D36" s="9"/>
      <c r="E36" s="9"/>
      <c r="F36" s="8"/>
      <c r="G36" s="8"/>
      <c r="H36" s="8"/>
      <c r="I36" s="8"/>
      <c r="J36" s="8"/>
      <c r="K36" s="8"/>
      <c r="L36" s="8"/>
      <c r="M36" s="8"/>
      <c r="N36" s="8"/>
      <c r="O36" s="11" t="s">
        <v>7</v>
      </c>
      <c r="P36" s="16" t="s">
        <v>6</v>
      </c>
      <c r="Q36" s="17">
        <f>SUM(C35+C36+C38+C39+C40+C41)</f>
        <v>9225</v>
      </c>
      <c r="R36" s="18">
        <f>SUM(Q36/Q42)</f>
        <v>0.57663457932241535</v>
      </c>
      <c r="S36" s="15">
        <v>4</v>
      </c>
    </row>
    <row r="37" spans="1:19" s="2" customFormat="1" ht="16.5" customHeight="1" thickBot="1">
      <c r="A37" s="6" t="s">
        <v>55</v>
      </c>
      <c r="B37" s="7" t="s">
        <v>3</v>
      </c>
      <c r="C37" s="8">
        <v>2132</v>
      </c>
      <c r="D37" s="9"/>
      <c r="E37" s="9"/>
      <c r="F37" s="9"/>
      <c r="G37" s="9"/>
      <c r="H37" s="9"/>
      <c r="I37" s="8"/>
      <c r="J37" s="9"/>
      <c r="K37" s="9"/>
      <c r="L37" s="9"/>
      <c r="M37" s="8"/>
      <c r="N37" s="8"/>
      <c r="O37" s="11" t="s">
        <v>11</v>
      </c>
      <c r="P37" s="19" t="s">
        <v>3</v>
      </c>
      <c r="Q37" s="17">
        <f>SUM(C37+C42+C44+C45+C46)</f>
        <v>5252</v>
      </c>
      <c r="R37" s="18">
        <f>SUM(Q37/Q42)</f>
        <v>0.32829103637954743</v>
      </c>
      <c r="S37" s="15">
        <v>3</v>
      </c>
    </row>
    <row r="38" spans="1:19" s="2" customFormat="1" ht="16.5" customHeight="1" thickBot="1">
      <c r="A38" s="6" t="s">
        <v>292</v>
      </c>
      <c r="B38" s="14" t="s">
        <v>6</v>
      </c>
      <c r="C38" s="9">
        <v>1635</v>
      </c>
      <c r="D38" s="9">
        <v>1708</v>
      </c>
      <c r="E38" s="9">
        <v>1727</v>
      </c>
      <c r="F38" s="9">
        <v>1729</v>
      </c>
      <c r="G38" s="9">
        <v>1736</v>
      </c>
      <c r="H38" s="9">
        <v>1750</v>
      </c>
      <c r="I38" s="9">
        <v>1785</v>
      </c>
      <c r="J38" s="9">
        <v>1829</v>
      </c>
      <c r="K38" s="8">
        <v>2033</v>
      </c>
      <c r="L38" s="8"/>
      <c r="M38" s="8"/>
      <c r="N38" s="8"/>
      <c r="O38" s="11" t="s">
        <v>12</v>
      </c>
      <c r="P38" s="33" t="s">
        <v>19</v>
      </c>
      <c r="Q38" s="23">
        <v>380</v>
      </c>
      <c r="R38" s="13">
        <f>SUM(Q38/Q42)</f>
        <v>2.3752969121140142E-2</v>
      </c>
    </row>
    <row r="39" spans="1:19" s="2" customFormat="1" ht="16.5" customHeight="1" thickBot="1">
      <c r="A39" s="20" t="s">
        <v>293</v>
      </c>
      <c r="B39" s="21" t="s">
        <v>6</v>
      </c>
      <c r="C39" s="9">
        <v>1112</v>
      </c>
      <c r="D39" s="9">
        <v>1161</v>
      </c>
      <c r="E39" s="9">
        <v>1182</v>
      </c>
      <c r="F39" s="9">
        <v>1187</v>
      </c>
      <c r="G39" s="9">
        <v>1189</v>
      </c>
      <c r="H39" s="9">
        <v>1198</v>
      </c>
      <c r="I39" s="9">
        <v>1247</v>
      </c>
      <c r="J39" s="9">
        <v>1250</v>
      </c>
      <c r="K39" s="9">
        <v>1278</v>
      </c>
      <c r="L39" s="9">
        <v>1363</v>
      </c>
      <c r="M39" s="9">
        <v>1368</v>
      </c>
      <c r="N39" s="9" t="s">
        <v>30</v>
      </c>
      <c r="P39" s="29" t="s">
        <v>17</v>
      </c>
      <c r="Q39" s="23">
        <v>124</v>
      </c>
      <c r="R39" s="13">
        <f>SUM(Q39/Q42)</f>
        <v>7.7509688711088886E-3</v>
      </c>
    </row>
    <row r="40" spans="1:19" s="2" customFormat="1" ht="16.5" customHeight="1" thickBot="1">
      <c r="A40" s="20" t="s">
        <v>212</v>
      </c>
      <c r="B40" s="21" t="s">
        <v>6</v>
      </c>
      <c r="C40" s="9">
        <v>992</v>
      </c>
      <c r="D40" s="9">
        <v>1069</v>
      </c>
      <c r="E40" s="9">
        <v>1087</v>
      </c>
      <c r="F40" s="9">
        <v>1089</v>
      </c>
      <c r="G40" s="9">
        <v>1097</v>
      </c>
      <c r="H40" s="9">
        <v>1112</v>
      </c>
      <c r="I40" s="9">
        <v>1139</v>
      </c>
      <c r="J40" s="9">
        <v>1294</v>
      </c>
      <c r="K40" s="9">
        <v>1372</v>
      </c>
      <c r="L40" s="9">
        <v>1411</v>
      </c>
      <c r="M40" s="9">
        <v>1420</v>
      </c>
      <c r="N40" s="9">
        <v>1705</v>
      </c>
      <c r="O40" s="11"/>
      <c r="P40" s="88" t="s">
        <v>135</v>
      </c>
      <c r="Q40" s="23">
        <v>246</v>
      </c>
      <c r="R40" s="13">
        <f>SUM(Q40/Q42)</f>
        <v>1.5376922115264409E-2</v>
      </c>
    </row>
    <row r="41" spans="1:19" s="2" customFormat="1" ht="16.5" customHeight="1" thickBot="1">
      <c r="A41" s="6" t="s">
        <v>294</v>
      </c>
      <c r="B41" s="14" t="s">
        <v>6</v>
      </c>
      <c r="C41" s="9">
        <v>950</v>
      </c>
      <c r="D41" s="9">
        <v>1027</v>
      </c>
      <c r="E41" s="9">
        <v>1058</v>
      </c>
      <c r="F41" s="9">
        <v>1061</v>
      </c>
      <c r="G41" s="9">
        <v>1067</v>
      </c>
      <c r="H41" s="9">
        <v>1091</v>
      </c>
      <c r="I41" s="9">
        <v>1133</v>
      </c>
      <c r="J41" s="9">
        <v>1156</v>
      </c>
      <c r="K41" s="9">
        <v>1320</v>
      </c>
      <c r="L41" s="9">
        <v>1372</v>
      </c>
      <c r="M41" s="9">
        <v>1387</v>
      </c>
      <c r="N41" s="8">
        <v>1803</v>
      </c>
      <c r="O41" s="11" t="s">
        <v>15</v>
      </c>
      <c r="P41" s="12" t="s">
        <v>13</v>
      </c>
      <c r="Q41" s="23">
        <v>771</v>
      </c>
      <c r="R41" s="13">
        <f>SUM(Q41/Q42)</f>
        <v>4.8193524190523813E-2</v>
      </c>
    </row>
    <row r="42" spans="1:19" s="2" customFormat="1" ht="16.5" customHeight="1" thickBot="1">
      <c r="A42" s="6" t="s">
        <v>252</v>
      </c>
      <c r="B42" s="7" t="s">
        <v>3</v>
      </c>
      <c r="C42" s="9">
        <v>854</v>
      </c>
      <c r="D42" s="10">
        <v>859</v>
      </c>
      <c r="E42" s="9">
        <v>863</v>
      </c>
      <c r="F42" s="9">
        <v>876</v>
      </c>
      <c r="G42" s="9">
        <v>886</v>
      </c>
      <c r="H42" s="9">
        <v>896</v>
      </c>
      <c r="I42" s="9">
        <v>916</v>
      </c>
      <c r="J42" s="9">
        <v>1014</v>
      </c>
      <c r="K42" s="9">
        <v>1097</v>
      </c>
      <c r="L42" s="9">
        <v>1486</v>
      </c>
      <c r="M42" s="9">
        <v>1488</v>
      </c>
      <c r="N42" s="8">
        <v>1772</v>
      </c>
      <c r="O42" s="11" t="s">
        <v>16</v>
      </c>
      <c r="P42" s="15"/>
      <c r="Q42" s="25">
        <v>15998</v>
      </c>
      <c r="S42" s="15"/>
    </row>
    <row r="43" spans="1:19" s="2" customFormat="1" ht="16.5" customHeight="1" thickBot="1">
      <c r="A43" s="20" t="s">
        <v>179</v>
      </c>
      <c r="B43" s="26" t="s">
        <v>28</v>
      </c>
      <c r="C43" s="9">
        <v>771</v>
      </c>
      <c r="D43" s="10">
        <v>776</v>
      </c>
      <c r="E43" s="10">
        <v>778</v>
      </c>
      <c r="F43" s="10">
        <v>786</v>
      </c>
      <c r="G43" s="10">
        <v>799</v>
      </c>
      <c r="H43" s="10">
        <v>827</v>
      </c>
      <c r="I43" s="9">
        <v>865</v>
      </c>
      <c r="J43" s="10">
        <v>931</v>
      </c>
      <c r="K43" s="10" t="s">
        <v>30</v>
      </c>
    </row>
    <row r="44" spans="1:19" s="2" customFormat="1" ht="16.5" customHeight="1" thickBot="1">
      <c r="A44" s="20" t="s">
        <v>52</v>
      </c>
      <c r="B44" s="27" t="s">
        <v>3</v>
      </c>
      <c r="C44" s="9">
        <v>760</v>
      </c>
      <c r="D44" s="9">
        <v>769</v>
      </c>
      <c r="E44" s="9">
        <v>775</v>
      </c>
      <c r="F44" s="9">
        <v>831</v>
      </c>
      <c r="G44" s="9">
        <v>834</v>
      </c>
      <c r="H44" s="9">
        <v>869</v>
      </c>
      <c r="I44" s="9">
        <v>874</v>
      </c>
      <c r="J44" s="9">
        <v>974</v>
      </c>
      <c r="K44" s="9">
        <v>1043</v>
      </c>
      <c r="L44" s="9" t="s">
        <v>30</v>
      </c>
    </row>
    <row r="45" spans="1:19" s="2" customFormat="1" ht="16.5" customHeight="1" thickBot="1">
      <c r="A45" s="6" t="s">
        <v>295</v>
      </c>
      <c r="B45" s="7" t="s">
        <v>3</v>
      </c>
      <c r="C45" s="9">
        <v>759</v>
      </c>
      <c r="D45" s="9">
        <v>821</v>
      </c>
      <c r="E45" s="9">
        <v>851</v>
      </c>
      <c r="F45" s="9">
        <v>857</v>
      </c>
      <c r="G45" s="9">
        <v>896</v>
      </c>
      <c r="H45" s="9">
        <v>967</v>
      </c>
      <c r="I45" s="9">
        <v>1070</v>
      </c>
      <c r="J45" s="9">
        <v>1293</v>
      </c>
      <c r="K45" s="9">
        <v>1412</v>
      </c>
      <c r="L45" s="9">
        <v>1703</v>
      </c>
      <c r="M45" s="9">
        <v>1705</v>
      </c>
      <c r="N45" s="8">
        <v>1778</v>
      </c>
      <c r="O45" s="11" t="s">
        <v>14</v>
      </c>
    </row>
    <row r="46" spans="1:19" s="2" customFormat="1" ht="16.5" customHeight="1" thickBot="1">
      <c r="A46" s="20" t="s">
        <v>296</v>
      </c>
      <c r="B46" s="27" t="s">
        <v>3</v>
      </c>
      <c r="C46" s="10">
        <v>747</v>
      </c>
      <c r="D46" s="10">
        <v>748</v>
      </c>
      <c r="E46" s="10">
        <v>748</v>
      </c>
      <c r="F46" s="10">
        <v>751</v>
      </c>
      <c r="G46" s="10">
        <v>793</v>
      </c>
      <c r="H46" s="10">
        <v>796</v>
      </c>
      <c r="I46" s="10">
        <v>801</v>
      </c>
      <c r="J46" s="10" t="s">
        <v>30</v>
      </c>
    </row>
    <row r="47" spans="1:19" s="2" customFormat="1" ht="16.5" customHeight="1" thickBot="1">
      <c r="A47" s="20" t="s">
        <v>297</v>
      </c>
      <c r="B47" s="62" t="s">
        <v>19</v>
      </c>
      <c r="C47" s="10">
        <v>380</v>
      </c>
      <c r="D47" s="10">
        <v>398</v>
      </c>
      <c r="E47" s="10">
        <v>405</v>
      </c>
      <c r="F47" s="10">
        <v>409</v>
      </c>
      <c r="G47" s="10">
        <v>410</v>
      </c>
      <c r="H47" s="10">
        <v>436</v>
      </c>
      <c r="I47" s="10" t="s">
        <v>30</v>
      </c>
      <c r="J47"/>
    </row>
    <row r="48" spans="1:19" s="2" customFormat="1" ht="16.5" customHeight="1" thickBot="1">
      <c r="A48" s="20" t="s">
        <v>298</v>
      </c>
      <c r="B48" s="85" t="s">
        <v>135</v>
      </c>
      <c r="C48" s="10">
        <v>246</v>
      </c>
      <c r="D48" s="10">
        <v>257</v>
      </c>
      <c r="E48" s="9">
        <v>265</v>
      </c>
      <c r="F48" s="9">
        <v>285</v>
      </c>
      <c r="G48" s="9">
        <v>286</v>
      </c>
      <c r="H48" s="9" t="s">
        <v>30</v>
      </c>
      <c r="I48"/>
      <c r="J48"/>
    </row>
    <row r="49" spans="1:14" s="2" customFormat="1" ht="16.5" customHeight="1" thickBot="1">
      <c r="A49" s="20" t="s">
        <v>299</v>
      </c>
      <c r="B49" s="87" t="s">
        <v>17</v>
      </c>
      <c r="C49" s="10">
        <v>124</v>
      </c>
      <c r="D49" s="10">
        <v>126</v>
      </c>
      <c r="E49" s="10">
        <v>127</v>
      </c>
      <c r="F49" s="10" t="s">
        <v>30</v>
      </c>
      <c r="G49" s="23"/>
      <c r="H49"/>
      <c r="I49"/>
      <c r="J49"/>
    </row>
    <row r="51" spans="1:14" s="2" customFormat="1" ht="17.45" customHeight="1">
      <c r="A51" s="31" t="s">
        <v>288</v>
      </c>
      <c r="B51" s="23"/>
      <c r="C51" s="23"/>
      <c r="D51" s="23"/>
      <c r="E51" s="23"/>
      <c r="F51" s="23"/>
      <c r="G51" s="23"/>
      <c r="H51" s="23"/>
      <c r="I51" s="23"/>
      <c r="J51" s="23"/>
    </row>
    <row r="52" spans="1:14" s="2" customFormat="1" ht="8.25" customHeight="1" thickBot="1">
      <c r="A52" s="31"/>
      <c r="B52" s="23"/>
      <c r="C52" s="23"/>
      <c r="D52" s="23"/>
      <c r="E52" s="23"/>
      <c r="F52" s="23"/>
      <c r="G52" s="23"/>
      <c r="H52" s="23"/>
      <c r="I52" s="23"/>
      <c r="J52" s="23"/>
    </row>
    <row r="53" spans="1:14" s="2" customFormat="1" ht="17.45" customHeight="1" thickBot="1">
      <c r="A53" s="35" t="s">
        <v>0</v>
      </c>
      <c r="B53" s="36" t="s">
        <v>1</v>
      </c>
      <c r="C53" s="36" t="s">
        <v>2</v>
      </c>
      <c r="D53" s="36">
        <v>2</v>
      </c>
      <c r="E53" s="36">
        <v>3</v>
      </c>
      <c r="F53" s="36">
        <v>4</v>
      </c>
      <c r="G53" s="36">
        <v>5</v>
      </c>
      <c r="H53" s="36">
        <v>6</v>
      </c>
      <c r="I53" s="36"/>
      <c r="J53" s="25" t="s">
        <v>5</v>
      </c>
      <c r="K53" s="13">
        <f>SUM(9910/17220)</f>
        <v>0.57549361207897798</v>
      </c>
    </row>
    <row r="54" spans="1:14" s="2" customFormat="1" ht="17.45" customHeight="1" thickBot="1">
      <c r="A54" s="37" t="s">
        <v>183</v>
      </c>
      <c r="B54" s="38" t="s">
        <v>6</v>
      </c>
      <c r="C54" s="8">
        <v>1917</v>
      </c>
      <c r="D54" s="9"/>
      <c r="E54" s="8"/>
      <c r="F54" s="9"/>
      <c r="G54" s="9"/>
      <c r="H54" s="9"/>
      <c r="I54" s="8" t="s">
        <v>4</v>
      </c>
      <c r="J54" s="17"/>
      <c r="K54" s="12" t="s">
        <v>8</v>
      </c>
      <c r="L54" s="12" t="s">
        <v>9</v>
      </c>
      <c r="M54" s="12" t="s">
        <v>10</v>
      </c>
    </row>
    <row r="55" spans="1:14" s="2" customFormat="1" ht="17.45" customHeight="1" thickBot="1">
      <c r="A55" s="37" t="s">
        <v>191</v>
      </c>
      <c r="B55" s="38" t="s">
        <v>6</v>
      </c>
      <c r="C55" s="52">
        <v>1776</v>
      </c>
      <c r="D55" s="9"/>
      <c r="E55" s="9"/>
      <c r="F55" s="8"/>
      <c r="G55" s="9"/>
      <c r="H55" s="9"/>
      <c r="I55" s="8" t="s">
        <v>7</v>
      </c>
      <c r="J55" s="48" t="s">
        <v>6</v>
      </c>
      <c r="K55" s="17">
        <f>SUM(C54+C55+C58+C60)</f>
        <v>5637</v>
      </c>
      <c r="L55" s="18">
        <f>SUM(K55/K59)</f>
        <v>0.5750280526369479</v>
      </c>
      <c r="M55" s="15">
        <v>4</v>
      </c>
    </row>
    <row r="56" spans="1:14" s="2" customFormat="1" ht="17.45" customHeight="1" thickBot="1">
      <c r="A56" s="37" t="s">
        <v>256</v>
      </c>
      <c r="B56" s="39" t="s">
        <v>3</v>
      </c>
      <c r="C56" s="9">
        <v>1367</v>
      </c>
      <c r="D56" s="8">
        <v>1404</v>
      </c>
      <c r="E56" s="9"/>
      <c r="F56" s="9"/>
      <c r="G56" s="8"/>
      <c r="H56" s="8"/>
      <c r="I56" s="8" t="s">
        <v>12</v>
      </c>
      <c r="J56" s="49" t="s">
        <v>3</v>
      </c>
      <c r="K56" s="17">
        <f>SUM(C56+C59+C61)</f>
        <v>2738</v>
      </c>
      <c r="L56" s="18">
        <f>SUM(K56/K59)</f>
        <v>0.2793022544119147</v>
      </c>
      <c r="M56" s="15">
        <v>2</v>
      </c>
    </row>
    <row r="57" spans="1:14" s="2" customFormat="1" ht="17.45" customHeight="1" thickBot="1">
      <c r="A57" s="40" t="s">
        <v>194</v>
      </c>
      <c r="B57" s="43" t="s">
        <v>19</v>
      </c>
      <c r="C57" s="9">
        <v>1157</v>
      </c>
      <c r="D57" s="9">
        <v>1208</v>
      </c>
      <c r="E57" s="9">
        <v>1231</v>
      </c>
      <c r="F57" s="9">
        <v>1282</v>
      </c>
      <c r="G57" s="9">
        <v>1301</v>
      </c>
      <c r="H57" s="9">
        <v>1303</v>
      </c>
      <c r="I57" s="8"/>
      <c r="J57" s="60" t="s">
        <v>19</v>
      </c>
      <c r="K57" s="23">
        <v>1157</v>
      </c>
      <c r="L57" s="13">
        <f>SUM(K57/K59)</f>
        <v>0.11802509435886974</v>
      </c>
    </row>
    <row r="58" spans="1:14" s="2" customFormat="1" ht="17.45" customHeight="1" thickBot="1">
      <c r="A58" s="37" t="s">
        <v>156</v>
      </c>
      <c r="B58" s="38" t="s">
        <v>6</v>
      </c>
      <c r="C58" s="9">
        <v>1153</v>
      </c>
      <c r="D58" s="8">
        <v>1419</v>
      </c>
      <c r="E58" s="9"/>
      <c r="F58" s="9"/>
      <c r="G58" s="9"/>
      <c r="H58" s="9"/>
      <c r="I58" s="8" t="s">
        <v>11</v>
      </c>
      <c r="J58" s="86" t="s">
        <v>135</v>
      </c>
      <c r="K58" s="23">
        <v>271</v>
      </c>
      <c r="L58" s="13">
        <f>SUM(K58/K59)</f>
        <v>2.7644598592267672E-2</v>
      </c>
    </row>
    <row r="59" spans="1:14" s="2" customFormat="1" ht="17.45" customHeight="1" thickBot="1">
      <c r="A59" s="37" t="s">
        <v>154</v>
      </c>
      <c r="B59" s="39" t="s">
        <v>3</v>
      </c>
      <c r="C59" s="9">
        <v>966</v>
      </c>
      <c r="D59" s="9">
        <v>1002</v>
      </c>
      <c r="E59" s="9">
        <v>1016</v>
      </c>
      <c r="F59" s="9">
        <v>1053</v>
      </c>
      <c r="G59" s="9">
        <v>1392</v>
      </c>
      <c r="H59" s="8">
        <v>1392</v>
      </c>
      <c r="I59" s="8" t="s">
        <v>15</v>
      </c>
      <c r="J59" s="25"/>
      <c r="K59" s="25">
        <v>9803</v>
      </c>
      <c r="L59" s="13"/>
    </row>
    <row r="60" spans="1:14" s="2" customFormat="1" ht="17.45" customHeight="1" thickBot="1">
      <c r="A60" s="37" t="s">
        <v>27</v>
      </c>
      <c r="B60" s="38" t="s">
        <v>6</v>
      </c>
      <c r="C60" s="9">
        <v>791</v>
      </c>
      <c r="D60" s="9">
        <v>905</v>
      </c>
      <c r="E60" s="9">
        <v>1197</v>
      </c>
      <c r="F60" s="9">
        <v>1238</v>
      </c>
      <c r="G60" s="9">
        <v>1301</v>
      </c>
      <c r="H60" s="8">
        <v>1317</v>
      </c>
      <c r="I60" s="8" t="s">
        <v>14</v>
      </c>
      <c r="J60" s="23"/>
      <c r="K60" s="25"/>
      <c r="M60" s="13"/>
      <c r="N60" s="13"/>
    </row>
    <row r="61" spans="1:14" s="2" customFormat="1" ht="17.45" customHeight="1" thickBot="1">
      <c r="A61" s="40" t="s">
        <v>289</v>
      </c>
      <c r="B61" s="42" t="s">
        <v>3</v>
      </c>
      <c r="C61" s="9">
        <v>405</v>
      </c>
      <c r="D61" s="9">
        <v>413</v>
      </c>
      <c r="E61" s="9">
        <v>435</v>
      </c>
      <c r="F61" s="9">
        <v>532</v>
      </c>
      <c r="G61" s="8" t="s">
        <v>30</v>
      </c>
      <c r="I61" s="23"/>
      <c r="J61" s="17"/>
      <c r="K61" s="12"/>
      <c r="L61" s="12"/>
      <c r="M61" s="12"/>
    </row>
    <row r="62" spans="1:14" s="2" customFormat="1" ht="17.45" customHeight="1" thickBot="1">
      <c r="A62" s="40" t="s">
        <v>500</v>
      </c>
      <c r="B62" s="84" t="s">
        <v>135</v>
      </c>
      <c r="C62" s="44">
        <v>271</v>
      </c>
      <c r="D62" s="9">
        <v>275</v>
      </c>
      <c r="E62" s="9">
        <v>299</v>
      </c>
      <c r="F62" s="9" t="s">
        <v>30</v>
      </c>
      <c r="H62" s="23"/>
      <c r="I62" s="48"/>
      <c r="J62" s="17"/>
      <c r="K62" s="18"/>
      <c r="L62" s="15"/>
    </row>
    <row r="63" spans="1:14">
      <c r="C63" s="63"/>
    </row>
    <row r="64" spans="1:14" s="2" customFormat="1" ht="17.45" customHeight="1">
      <c r="A64" s="31" t="s">
        <v>305</v>
      </c>
      <c r="B64" s="23"/>
      <c r="C64" s="23"/>
      <c r="D64" s="23"/>
      <c r="E64" s="23"/>
      <c r="F64" s="23"/>
      <c r="G64" s="23"/>
      <c r="H64" s="23"/>
      <c r="I64" s="23"/>
      <c r="J64" s="23"/>
    </row>
    <row r="65" spans="1:20" s="2" customFormat="1" ht="10.5" customHeight="1" thickBot="1">
      <c r="A65" s="31"/>
      <c r="B65" s="23"/>
      <c r="C65" s="23"/>
      <c r="D65" s="23"/>
      <c r="E65" s="23"/>
      <c r="F65" s="23"/>
      <c r="G65" s="23"/>
      <c r="H65" s="23"/>
      <c r="I65" s="23"/>
      <c r="J65" s="23"/>
    </row>
    <row r="66" spans="1:20" s="2" customFormat="1" ht="16.5" customHeight="1" thickBot="1">
      <c r="A66" s="35" t="s">
        <v>0</v>
      </c>
      <c r="B66" s="36" t="s">
        <v>1</v>
      </c>
      <c r="C66" s="36" t="s">
        <v>2</v>
      </c>
      <c r="D66" s="36">
        <v>2</v>
      </c>
      <c r="E66" s="36">
        <v>3</v>
      </c>
      <c r="F66" s="36">
        <v>4</v>
      </c>
      <c r="G66" s="36">
        <v>5</v>
      </c>
      <c r="H66" s="36">
        <v>6</v>
      </c>
      <c r="I66" s="36">
        <v>7</v>
      </c>
      <c r="J66" s="36">
        <v>8</v>
      </c>
      <c r="K66" s="45"/>
      <c r="L66" s="12" t="s">
        <v>5</v>
      </c>
      <c r="M66" s="13">
        <f>SUM(9378/15670)</f>
        <v>0.59846841097638803</v>
      </c>
    </row>
    <row r="67" spans="1:20" s="2" customFormat="1" ht="16.5" customHeight="1" thickBot="1">
      <c r="A67" s="37" t="s">
        <v>302</v>
      </c>
      <c r="B67" s="38" t="s">
        <v>6</v>
      </c>
      <c r="C67" s="8">
        <v>1842</v>
      </c>
      <c r="D67" s="8"/>
      <c r="E67" s="9"/>
      <c r="F67" s="8"/>
      <c r="G67" s="9"/>
      <c r="H67" s="8"/>
      <c r="I67" s="8"/>
      <c r="J67" s="9"/>
      <c r="K67" s="8" t="s">
        <v>4</v>
      </c>
      <c r="L67" s="15"/>
      <c r="M67" s="12" t="s">
        <v>8</v>
      </c>
      <c r="N67" s="12" t="s">
        <v>9</v>
      </c>
      <c r="O67" s="12" t="s">
        <v>10</v>
      </c>
    </row>
    <row r="68" spans="1:20" s="2" customFormat="1" ht="16.5" customHeight="1" thickBot="1">
      <c r="A68" s="37" t="s">
        <v>171</v>
      </c>
      <c r="B68" s="39" t="s">
        <v>3</v>
      </c>
      <c r="C68" s="9">
        <v>1297</v>
      </c>
      <c r="D68" s="9">
        <v>1300</v>
      </c>
      <c r="E68" s="9">
        <v>1312</v>
      </c>
      <c r="F68" s="9">
        <v>1468</v>
      </c>
      <c r="G68" s="9">
        <v>1488</v>
      </c>
      <c r="H68" s="8">
        <v>1959</v>
      </c>
      <c r="I68" s="9"/>
      <c r="J68" s="8"/>
      <c r="K68" s="8" t="s">
        <v>7</v>
      </c>
      <c r="L68" s="16" t="s">
        <v>6</v>
      </c>
      <c r="M68" s="17">
        <f>SUM(C67+C69+C70+C71+C73)</f>
        <v>5655</v>
      </c>
      <c r="N68" s="18">
        <f>SUM(M68/M71)</f>
        <v>0.61307458803122294</v>
      </c>
      <c r="O68" s="15">
        <v>3</v>
      </c>
    </row>
    <row r="69" spans="1:20" s="2" customFormat="1" ht="16.5" customHeight="1" thickBot="1">
      <c r="A69" s="37" t="s">
        <v>501</v>
      </c>
      <c r="B69" s="38" t="s">
        <v>6</v>
      </c>
      <c r="C69" s="9">
        <v>1042</v>
      </c>
      <c r="D69" s="9">
        <v>1201</v>
      </c>
      <c r="E69" s="9">
        <v>1205</v>
      </c>
      <c r="F69" s="9">
        <v>1270</v>
      </c>
      <c r="G69" s="9">
        <v>1334</v>
      </c>
      <c r="H69" s="9">
        <v>1350</v>
      </c>
      <c r="I69" s="9">
        <v>1367</v>
      </c>
      <c r="J69" s="8">
        <v>1567</v>
      </c>
      <c r="K69" s="8" t="s">
        <v>11</v>
      </c>
      <c r="L69" s="19" t="s">
        <v>3</v>
      </c>
      <c r="M69" s="17">
        <f>SUM(C68+C74+C75)</f>
        <v>2266</v>
      </c>
      <c r="N69" s="18">
        <f>SUM(M69/M71)</f>
        <v>0.24566348655680834</v>
      </c>
      <c r="O69" s="15">
        <v>1</v>
      </c>
    </row>
    <row r="70" spans="1:20" s="2" customFormat="1" ht="16.5" customHeight="1" thickBot="1">
      <c r="A70" s="37" t="s">
        <v>257</v>
      </c>
      <c r="B70" s="38" t="s">
        <v>6</v>
      </c>
      <c r="C70" s="9">
        <v>1005</v>
      </c>
      <c r="D70" s="9">
        <v>1016</v>
      </c>
      <c r="E70" s="9">
        <v>1026</v>
      </c>
      <c r="F70" s="9">
        <v>1030</v>
      </c>
      <c r="G70" s="9">
        <v>1034</v>
      </c>
      <c r="H70" s="9">
        <v>1158</v>
      </c>
      <c r="I70" s="9">
        <v>1216</v>
      </c>
      <c r="J70" s="8">
        <v>1534</v>
      </c>
      <c r="K70" s="8" t="s">
        <v>12</v>
      </c>
      <c r="L70" s="22" t="s">
        <v>13</v>
      </c>
      <c r="M70" s="17">
        <f>SUM(C72+C77+C76+C78)</f>
        <v>1303</v>
      </c>
      <c r="N70" s="18">
        <f>SUM(M70/M71)</f>
        <v>0.14126192541196878</v>
      </c>
      <c r="O70" s="2">
        <v>1</v>
      </c>
    </row>
    <row r="71" spans="1:20" s="2" customFormat="1" ht="16.5" customHeight="1" thickBot="1">
      <c r="A71" s="40" t="s">
        <v>268</v>
      </c>
      <c r="B71" s="41" t="s">
        <v>6</v>
      </c>
      <c r="C71" s="9">
        <v>967</v>
      </c>
      <c r="D71" s="9">
        <v>987</v>
      </c>
      <c r="E71" s="9">
        <v>990</v>
      </c>
      <c r="F71" s="9">
        <v>992</v>
      </c>
      <c r="G71" s="9">
        <v>1002</v>
      </c>
      <c r="H71" s="9">
        <v>1014</v>
      </c>
      <c r="I71" s="9">
        <v>1033</v>
      </c>
      <c r="J71" s="9">
        <v>1208</v>
      </c>
      <c r="K71" s="8"/>
      <c r="L71" s="12"/>
      <c r="M71" s="25">
        <v>9224</v>
      </c>
      <c r="N71" s="13"/>
      <c r="O71" s="15"/>
    </row>
    <row r="72" spans="1:20" s="2" customFormat="1" ht="16.5" customHeight="1" thickBot="1">
      <c r="A72" s="37" t="s">
        <v>502</v>
      </c>
      <c r="B72" s="52" t="s">
        <v>28</v>
      </c>
      <c r="C72" s="9">
        <v>803</v>
      </c>
      <c r="D72" s="9">
        <v>864</v>
      </c>
      <c r="E72" s="9">
        <v>900</v>
      </c>
      <c r="F72" s="9">
        <v>936</v>
      </c>
      <c r="G72" s="9">
        <v>1204</v>
      </c>
      <c r="H72" s="9">
        <v>1220</v>
      </c>
      <c r="I72" s="9">
        <v>1256</v>
      </c>
      <c r="J72" s="8">
        <v>1303</v>
      </c>
      <c r="K72" s="8" t="s">
        <v>15</v>
      </c>
    </row>
    <row r="73" spans="1:20" s="2" customFormat="1" ht="16.5" customHeight="1" thickBot="1">
      <c r="A73" s="40" t="s">
        <v>497</v>
      </c>
      <c r="B73" s="41" t="s">
        <v>6</v>
      </c>
      <c r="C73" s="9">
        <v>799</v>
      </c>
      <c r="D73" s="9">
        <v>826</v>
      </c>
      <c r="E73" s="9">
        <v>849</v>
      </c>
      <c r="F73" s="9">
        <v>855</v>
      </c>
      <c r="G73" s="9">
        <v>862</v>
      </c>
      <c r="H73" s="9">
        <v>885</v>
      </c>
      <c r="I73" s="9">
        <v>915</v>
      </c>
      <c r="J73" s="9" t="s">
        <v>30</v>
      </c>
    </row>
    <row r="74" spans="1:20" s="2" customFormat="1" ht="16.5" customHeight="1" thickBot="1">
      <c r="A74" s="40" t="s">
        <v>303</v>
      </c>
      <c r="B74" s="42" t="s">
        <v>3</v>
      </c>
      <c r="C74" s="9">
        <v>596</v>
      </c>
      <c r="D74" s="9">
        <v>597</v>
      </c>
      <c r="E74" s="9">
        <v>609</v>
      </c>
      <c r="F74" s="9">
        <v>686</v>
      </c>
      <c r="G74" s="9">
        <v>695</v>
      </c>
      <c r="H74" s="9" t="s">
        <v>30</v>
      </c>
    </row>
    <row r="75" spans="1:20" s="2" customFormat="1" ht="16.5" customHeight="1" thickBot="1">
      <c r="A75" s="40" t="s">
        <v>304</v>
      </c>
      <c r="B75" s="42" t="s">
        <v>3</v>
      </c>
      <c r="C75" s="9">
        <v>373</v>
      </c>
      <c r="D75" s="9">
        <v>376</v>
      </c>
      <c r="E75" s="9">
        <v>380</v>
      </c>
      <c r="F75" s="9" t="s">
        <v>30</v>
      </c>
    </row>
    <row r="76" spans="1:20" s="2" customFormat="1" ht="16.5" customHeight="1" thickBot="1">
      <c r="A76" s="40" t="s">
        <v>306</v>
      </c>
      <c r="B76" s="44" t="s">
        <v>28</v>
      </c>
      <c r="C76" s="9">
        <v>368</v>
      </c>
      <c r="D76" s="9">
        <v>385</v>
      </c>
      <c r="E76" s="9">
        <v>405</v>
      </c>
      <c r="F76" s="9">
        <v>428</v>
      </c>
      <c r="G76" s="9" t="s">
        <v>30</v>
      </c>
      <c r="H76" s="23"/>
      <c r="I76" s="23"/>
      <c r="J76" s="23"/>
      <c r="K76" s="23"/>
    </row>
    <row r="77" spans="1:20" s="2" customFormat="1" ht="16.5" customHeight="1" thickBot="1">
      <c r="A77" s="40" t="s">
        <v>503</v>
      </c>
      <c r="B77" s="44" t="s">
        <v>28</v>
      </c>
      <c r="C77" s="9">
        <v>114</v>
      </c>
      <c r="D77" s="9">
        <v>116</v>
      </c>
      <c r="E77" s="9" t="s">
        <v>30</v>
      </c>
      <c r="K77" s="23"/>
      <c r="L77" s="23"/>
      <c r="M77" s="23"/>
    </row>
    <row r="78" spans="1:20" s="2" customFormat="1" ht="16.5" customHeight="1" thickBot="1">
      <c r="A78" s="40" t="s">
        <v>307</v>
      </c>
      <c r="B78" s="44" t="s">
        <v>28</v>
      </c>
      <c r="C78" s="9">
        <v>18</v>
      </c>
      <c r="D78" s="9">
        <v>18</v>
      </c>
      <c r="E78" s="9" t="s">
        <v>30</v>
      </c>
    </row>
    <row r="79" spans="1:20">
      <c r="C79" s="63"/>
    </row>
    <row r="80" spans="1:20" s="113" customFormat="1" ht="15" customHeight="1">
      <c r="B80" s="64" t="s">
        <v>18</v>
      </c>
      <c r="C80" s="66" t="s">
        <v>6</v>
      </c>
      <c r="D80" s="67" t="s">
        <v>3</v>
      </c>
      <c r="E80" s="68" t="s">
        <v>17</v>
      </c>
      <c r="F80" s="69" t="s">
        <v>19</v>
      </c>
      <c r="G80" s="70" t="s">
        <v>135</v>
      </c>
      <c r="H80" s="64" t="s">
        <v>13</v>
      </c>
      <c r="R80" s="107"/>
      <c r="S80" s="114"/>
      <c r="T80" s="76"/>
    </row>
    <row r="81" spans="1:20" s="113" customFormat="1" ht="15" customHeight="1">
      <c r="A81" s="113" t="s">
        <v>8</v>
      </c>
      <c r="B81" s="77">
        <f>SUM(M8+O23+K59+Q42+M71)</f>
        <v>60059</v>
      </c>
      <c r="C81" s="114">
        <f>SUM(M68+Q36+K55+O19+M5)</f>
        <v>32716</v>
      </c>
      <c r="D81" s="114">
        <f>SUM(M69+Q37+K56+O20+M6)</f>
        <v>16828</v>
      </c>
      <c r="E81" s="114">
        <v>124</v>
      </c>
      <c r="F81" s="114">
        <f>SUM(K57+Q38+O21)</f>
        <v>2682</v>
      </c>
      <c r="G81" s="114">
        <f>SUM(K58+Q40)</f>
        <v>517</v>
      </c>
      <c r="H81" s="114">
        <f>SUM(M70+Q41+O22+M7)</f>
        <v>7190</v>
      </c>
      <c r="R81" s="64"/>
      <c r="S81" s="77"/>
      <c r="T81" s="76"/>
    </row>
    <row r="82" spans="1:20" s="113" customFormat="1" ht="15" customHeight="1">
      <c r="A82" s="113" t="s">
        <v>9</v>
      </c>
      <c r="B82" s="102">
        <v>1</v>
      </c>
      <c r="C82" s="76">
        <f t="shared" ref="C82:H82" si="0">SUM(C81/$B$81)</f>
        <v>0.54473101450240602</v>
      </c>
      <c r="D82" s="76">
        <f t="shared" si="0"/>
        <v>0.28019114537371587</v>
      </c>
      <c r="E82" s="76">
        <f t="shared" si="0"/>
        <v>2.0646364408331806E-3</v>
      </c>
      <c r="F82" s="76">
        <f t="shared" si="0"/>
        <v>4.465608817995638E-2</v>
      </c>
      <c r="G82" s="76">
        <f t="shared" si="0"/>
        <v>8.6082019347641491E-3</v>
      </c>
      <c r="H82" s="76">
        <f t="shared" si="0"/>
        <v>0.11971561298056911</v>
      </c>
    </row>
    <row r="83" spans="1:20" s="113" customFormat="1" ht="15" customHeight="1">
      <c r="A83" s="113" t="s">
        <v>10</v>
      </c>
      <c r="B83" s="64">
        <v>30</v>
      </c>
      <c r="C83" s="113">
        <v>17</v>
      </c>
      <c r="D83" s="113">
        <v>9</v>
      </c>
      <c r="E83" s="113">
        <v>0</v>
      </c>
      <c r="F83" s="113">
        <v>1</v>
      </c>
      <c r="G83" s="113">
        <v>0</v>
      </c>
      <c r="H83" s="113">
        <v>3</v>
      </c>
    </row>
    <row r="84" spans="1:20" s="2" customFormat="1" ht="16.5" customHeight="1">
      <c r="A84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U89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7.7109375" customWidth="1"/>
    <col min="3" max="19" width="8.7109375" customWidth="1"/>
  </cols>
  <sheetData>
    <row r="1" spans="1:17" s="2" customFormat="1" ht="16.5" customHeight="1">
      <c r="A1" s="31" t="s">
        <v>311</v>
      </c>
      <c r="B1" s="23"/>
      <c r="C1" s="23"/>
      <c r="D1" s="23"/>
      <c r="E1" s="23"/>
      <c r="F1" s="23"/>
      <c r="G1" s="23"/>
      <c r="H1" s="23"/>
      <c r="I1" s="23"/>
      <c r="J1" s="23"/>
    </row>
    <row r="2" spans="1:17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7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3</v>
      </c>
      <c r="H3" s="36">
        <v>4</v>
      </c>
      <c r="I3" s="5"/>
      <c r="J3" s="12" t="s">
        <v>5</v>
      </c>
      <c r="K3" s="13">
        <f>SUM(9460/15564)</f>
        <v>0.60781290156772039</v>
      </c>
    </row>
    <row r="4" spans="1:17" s="2" customFormat="1" ht="16.5" customHeight="1" thickBot="1">
      <c r="A4" s="37" t="s">
        <v>174</v>
      </c>
      <c r="B4" s="38" t="s">
        <v>6</v>
      </c>
      <c r="C4" s="8">
        <v>2230</v>
      </c>
      <c r="D4" s="9"/>
      <c r="E4" s="8"/>
      <c r="F4" s="9"/>
      <c r="G4" s="8"/>
      <c r="H4" s="9"/>
      <c r="I4" s="11" t="s">
        <v>4</v>
      </c>
      <c r="J4" s="15"/>
      <c r="K4" s="12" t="s">
        <v>8</v>
      </c>
      <c r="L4" s="12" t="s">
        <v>9</v>
      </c>
      <c r="M4" s="12" t="s">
        <v>10</v>
      </c>
    </row>
    <row r="5" spans="1:17" s="2" customFormat="1" ht="16.5" customHeight="1" thickBot="1">
      <c r="A5" s="37" t="s">
        <v>21</v>
      </c>
      <c r="B5" s="38" t="s">
        <v>6</v>
      </c>
      <c r="C5" s="8">
        <v>1751</v>
      </c>
      <c r="D5" s="8"/>
      <c r="E5" s="8"/>
      <c r="F5" s="9"/>
      <c r="G5" s="8"/>
      <c r="H5" s="9"/>
      <c r="I5" s="11" t="s">
        <v>7</v>
      </c>
      <c r="J5" s="16" t="s">
        <v>6</v>
      </c>
      <c r="K5" s="17">
        <f>SUM(C4+C5+C8+C10)</f>
        <v>5684</v>
      </c>
      <c r="L5" s="18">
        <f>SUM(K5/K8)</f>
        <v>0.60694073678590499</v>
      </c>
      <c r="M5" s="15">
        <v>3</v>
      </c>
    </row>
    <row r="6" spans="1:17" s="2" customFormat="1" ht="16.5" customHeight="1" thickBot="1">
      <c r="A6" s="37" t="s">
        <v>22</v>
      </c>
      <c r="B6" s="39" t="s">
        <v>3</v>
      </c>
      <c r="C6" s="8">
        <v>1676</v>
      </c>
      <c r="D6" s="9"/>
      <c r="E6" s="9"/>
      <c r="F6" s="8"/>
      <c r="G6" s="9"/>
      <c r="H6" s="8"/>
      <c r="I6" s="11" t="s">
        <v>11</v>
      </c>
      <c r="J6" s="19" t="s">
        <v>3</v>
      </c>
      <c r="K6" s="17">
        <f>SUM(C6:C7)</f>
        <v>2798</v>
      </c>
      <c r="L6" s="18">
        <f>SUM(K6/K8)</f>
        <v>0.29877202349172449</v>
      </c>
      <c r="M6" s="15">
        <v>2</v>
      </c>
    </row>
    <row r="7" spans="1:17" s="2" customFormat="1" ht="16.5" customHeight="1" thickBot="1">
      <c r="A7" s="37" t="s">
        <v>312</v>
      </c>
      <c r="B7" s="39" t="s">
        <v>3</v>
      </c>
      <c r="C7" s="9">
        <v>1122</v>
      </c>
      <c r="D7" s="9">
        <v>1184</v>
      </c>
      <c r="E7" s="9">
        <v>1200</v>
      </c>
      <c r="F7" s="8">
        <v>1597</v>
      </c>
      <c r="G7" s="9"/>
      <c r="H7" s="8"/>
      <c r="I7" s="11" t="s">
        <v>12</v>
      </c>
      <c r="J7" s="12" t="s">
        <v>13</v>
      </c>
      <c r="K7" s="2">
        <v>883</v>
      </c>
      <c r="L7" s="13">
        <f>SUM(K7/K8)</f>
        <v>9.4287239722370533E-2</v>
      </c>
      <c r="M7" s="15"/>
    </row>
    <row r="8" spans="1:17" s="2" customFormat="1" ht="16.5" customHeight="1" thickBot="1">
      <c r="A8" s="40" t="s">
        <v>81</v>
      </c>
      <c r="B8" s="41" t="s">
        <v>6</v>
      </c>
      <c r="C8" s="9">
        <v>904</v>
      </c>
      <c r="D8" s="9">
        <v>1177</v>
      </c>
      <c r="E8" s="9">
        <v>1265</v>
      </c>
      <c r="F8" s="9">
        <v>1380</v>
      </c>
      <c r="G8" s="9">
        <v>1429</v>
      </c>
      <c r="H8" s="9">
        <v>1442</v>
      </c>
      <c r="I8" s="11"/>
      <c r="K8" s="25">
        <v>9365</v>
      </c>
    </row>
    <row r="9" spans="1:17" s="2" customFormat="1" ht="16.5" customHeight="1" thickBot="1">
      <c r="A9" s="40" t="s">
        <v>274</v>
      </c>
      <c r="B9" s="44" t="s">
        <v>28</v>
      </c>
      <c r="C9" s="9">
        <v>883</v>
      </c>
      <c r="D9" s="9">
        <v>945</v>
      </c>
      <c r="E9" s="9">
        <v>968</v>
      </c>
      <c r="F9" s="9" t="s">
        <v>30</v>
      </c>
    </row>
    <row r="10" spans="1:17" s="2" customFormat="1" ht="16.5" customHeight="1" thickBot="1">
      <c r="A10" s="37" t="s">
        <v>313</v>
      </c>
      <c r="B10" s="38" t="s">
        <v>6</v>
      </c>
      <c r="C10" s="9">
        <v>799</v>
      </c>
      <c r="D10" s="9">
        <v>1070</v>
      </c>
      <c r="E10" s="9">
        <v>1132</v>
      </c>
      <c r="F10" s="9">
        <v>1393</v>
      </c>
      <c r="G10" s="10">
        <v>1458</v>
      </c>
      <c r="H10" s="8">
        <v>1480</v>
      </c>
      <c r="I10" s="11" t="s">
        <v>15</v>
      </c>
    </row>
    <row r="11" spans="1:17" s="2" customFormat="1" ht="10.5" customHeight="1">
      <c r="A11" s="31"/>
      <c r="B11" s="23"/>
      <c r="C11" s="23"/>
      <c r="D11" s="23"/>
      <c r="E11" s="23"/>
      <c r="F11" s="23"/>
      <c r="G11" s="23"/>
      <c r="H11" s="23"/>
      <c r="I11" s="23"/>
      <c r="J11" s="23"/>
    </row>
    <row r="12" spans="1:17" s="2" customFormat="1" ht="17.45" customHeight="1">
      <c r="A12" s="31" t="s">
        <v>314</v>
      </c>
      <c r="B12" s="23"/>
      <c r="C12" s="23"/>
      <c r="D12" s="23"/>
      <c r="E12" s="23"/>
      <c r="F12" s="23"/>
      <c r="G12" s="23"/>
      <c r="H12" s="23"/>
      <c r="I12" s="23"/>
      <c r="J12" s="23"/>
    </row>
    <row r="13" spans="1:17" s="2" customFormat="1" ht="10.5" customHeight="1" thickBot="1">
      <c r="A13" s="31"/>
      <c r="B13" s="23"/>
      <c r="C13" s="23"/>
      <c r="D13" s="23"/>
      <c r="E13" s="23"/>
      <c r="F13" s="23"/>
      <c r="G13" s="23"/>
      <c r="H13" s="23"/>
      <c r="I13" s="23"/>
      <c r="J13" s="23"/>
    </row>
    <row r="14" spans="1:17" s="2" customFormat="1" ht="16.5" customHeight="1" thickBot="1">
      <c r="A14" s="35" t="s">
        <v>0</v>
      </c>
      <c r="B14" s="36" t="s">
        <v>1</v>
      </c>
      <c r="C14" s="36" t="s">
        <v>2</v>
      </c>
      <c r="D14" s="36">
        <v>2</v>
      </c>
      <c r="E14" s="36">
        <v>3</v>
      </c>
      <c r="F14" s="36">
        <v>4</v>
      </c>
      <c r="G14" s="36">
        <v>5</v>
      </c>
      <c r="H14" s="36">
        <v>6</v>
      </c>
      <c r="I14" s="36">
        <v>7</v>
      </c>
      <c r="J14" s="36">
        <v>8</v>
      </c>
      <c r="K14" s="36">
        <v>9</v>
      </c>
      <c r="L14" s="36">
        <v>10</v>
      </c>
      <c r="M14" s="45"/>
      <c r="N14" s="12" t="s">
        <v>5</v>
      </c>
      <c r="O14" s="13">
        <f>SUM(13199/19649)</f>
        <v>0.67173901979744521</v>
      </c>
    </row>
    <row r="15" spans="1:17" s="2" customFormat="1" ht="16.5" customHeight="1" thickBot="1">
      <c r="A15" s="37" t="s">
        <v>37</v>
      </c>
      <c r="B15" s="51" t="s">
        <v>20</v>
      </c>
      <c r="C15" s="8">
        <v>1824</v>
      </c>
      <c r="D15" s="9"/>
      <c r="E15" s="9"/>
      <c r="F15" s="8"/>
      <c r="G15" s="9"/>
      <c r="H15" s="8"/>
      <c r="I15" s="9"/>
      <c r="J15" s="9"/>
      <c r="K15" s="8"/>
      <c r="L15" s="8"/>
      <c r="M15" s="8" t="s">
        <v>4</v>
      </c>
      <c r="N15" s="15"/>
      <c r="O15" s="12" t="s">
        <v>8</v>
      </c>
      <c r="P15" s="12" t="s">
        <v>9</v>
      </c>
      <c r="Q15" s="12" t="s">
        <v>10</v>
      </c>
    </row>
    <row r="16" spans="1:17" s="2" customFormat="1" ht="16.5" customHeight="1" thickBot="1">
      <c r="A16" s="37" t="s">
        <v>240</v>
      </c>
      <c r="B16" s="39" t="s">
        <v>3</v>
      </c>
      <c r="C16" s="8">
        <v>1650</v>
      </c>
      <c r="D16" s="9"/>
      <c r="E16" s="9"/>
      <c r="F16" s="9"/>
      <c r="G16" s="9"/>
      <c r="H16" s="9"/>
      <c r="I16" s="9"/>
      <c r="J16" s="8"/>
      <c r="K16" s="9"/>
      <c r="L16" s="8"/>
      <c r="M16" s="8" t="s">
        <v>7</v>
      </c>
      <c r="N16" s="16" t="s">
        <v>6</v>
      </c>
      <c r="O16" s="17">
        <f>SUM(C17+C18+C23+C24+C26)</f>
        <v>4641</v>
      </c>
      <c r="P16" s="18">
        <f>SUM(O16/O21)</f>
        <v>0.3551966937088627</v>
      </c>
      <c r="Q16" s="15">
        <v>3</v>
      </c>
    </row>
    <row r="17" spans="1:21" s="2" customFormat="1" ht="16.5" customHeight="1" thickBot="1">
      <c r="A17" s="37" t="s">
        <v>181</v>
      </c>
      <c r="B17" s="38" t="s">
        <v>6</v>
      </c>
      <c r="C17" s="9">
        <v>1440</v>
      </c>
      <c r="D17" s="9">
        <v>1455</v>
      </c>
      <c r="E17" s="9">
        <v>1456</v>
      </c>
      <c r="F17" s="9">
        <v>1610</v>
      </c>
      <c r="G17" s="8">
        <v>1666</v>
      </c>
      <c r="H17" s="9"/>
      <c r="I17" s="9"/>
      <c r="J17" s="8"/>
      <c r="K17" s="8"/>
      <c r="L17" s="9"/>
      <c r="M17" s="8" t="s">
        <v>11</v>
      </c>
      <c r="N17" s="19" t="s">
        <v>3</v>
      </c>
      <c r="O17" s="17">
        <f>SUM(C16+C19+C20)</f>
        <v>3961</v>
      </c>
      <c r="P17" s="18">
        <f>SUM(O17/O21)</f>
        <v>0.30315322210316853</v>
      </c>
      <c r="Q17" s="15">
        <v>3</v>
      </c>
    </row>
    <row r="18" spans="1:21" s="2" customFormat="1" ht="16.5" customHeight="1" thickBot="1">
      <c r="A18" s="37" t="s">
        <v>282</v>
      </c>
      <c r="B18" s="38" t="s">
        <v>6</v>
      </c>
      <c r="C18" s="9">
        <v>1274</v>
      </c>
      <c r="D18" s="9">
        <v>1310</v>
      </c>
      <c r="E18" s="9">
        <v>1311</v>
      </c>
      <c r="F18" s="9">
        <v>1342</v>
      </c>
      <c r="G18" s="9">
        <v>1413</v>
      </c>
      <c r="H18" s="9">
        <v>1462</v>
      </c>
      <c r="I18" s="9">
        <v>1474</v>
      </c>
      <c r="J18" s="9">
        <v>1609</v>
      </c>
      <c r="K18" s="8">
        <v>1805</v>
      </c>
      <c r="L18" s="9"/>
      <c r="M18" s="8" t="s">
        <v>12</v>
      </c>
      <c r="N18" s="16" t="s">
        <v>74</v>
      </c>
      <c r="O18" s="17">
        <v>810</v>
      </c>
      <c r="P18" s="18">
        <f>SUM(O18/O21)</f>
        <v>6.1992958824429817E-2</v>
      </c>
    </row>
    <row r="19" spans="1:21" s="2" customFormat="1" ht="16.5" customHeight="1" thickBot="1">
      <c r="A19" s="37" t="s">
        <v>36</v>
      </c>
      <c r="B19" s="39" t="s">
        <v>3</v>
      </c>
      <c r="C19" s="9">
        <v>1191</v>
      </c>
      <c r="D19" s="9">
        <v>1194</v>
      </c>
      <c r="E19" s="9">
        <v>1196</v>
      </c>
      <c r="F19" s="9">
        <v>1232</v>
      </c>
      <c r="G19" s="9">
        <v>1246</v>
      </c>
      <c r="H19" s="9">
        <v>1366</v>
      </c>
      <c r="I19" s="9">
        <v>1367</v>
      </c>
      <c r="J19" s="9">
        <v>1420</v>
      </c>
      <c r="K19" s="9">
        <v>1430</v>
      </c>
      <c r="L19" s="8">
        <v>1434</v>
      </c>
      <c r="M19" s="8" t="s">
        <v>14</v>
      </c>
      <c r="N19" s="30" t="s">
        <v>20</v>
      </c>
      <c r="O19" s="17">
        <f>SUM(C15+C22)</f>
        <v>2543</v>
      </c>
      <c r="P19" s="18">
        <f>SUM(O19/O21)</f>
        <v>0.19462727690188275</v>
      </c>
      <c r="Q19" s="2">
        <v>1</v>
      </c>
    </row>
    <row r="20" spans="1:21" s="2" customFormat="1" ht="16.5" customHeight="1" thickBot="1">
      <c r="A20" s="37" t="s">
        <v>184</v>
      </c>
      <c r="B20" s="39" t="s">
        <v>3</v>
      </c>
      <c r="C20" s="9">
        <v>1120</v>
      </c>
      <c r="D20" s="9">
        <v>1131</v>
      </c>
      <c r="E20" s="9">
        <v>1137</v>
      </c>
      <c r="F20" s="9">
        <v>1167</v>
      </c>
      <c r="G20" s="9">
        <v>1304</v>
      </c>
      <c r="H20" s="9">
        <v>1362</v>
      </c>
      <c r="I20" s="9">
        <v>1365</v>
      </c>
      <c r="J20" s="9">
        <v>1471</v>
      </c>
      <c r="K20" s="8">
        <v>1680</v>
      </c>
      <c r="L20" s="8"/>
      <c r="M20" s="8" t="s">
        <v>15</v>
      </c>
      <c r="N20" s="22" t="s">
        <v>13</v>
      </c>
      <c r="O20" s="17">
        <f>SUM(C25+C27)</f>
        <v>1111</v>
      </c>
      <c r="P20" s="18">
        <f>SUM(O20/O21)</f>
        <v>8.5029848461656204E-2</v>
      </c>
    </row>
    <row r="21" spans="1:21" s="2" customFormat="1" ht="16.5" customHeight="1" thickBot="1">
      <c r="A21" s="40" t="s">
        <v>186</v>
      </c>
      <c r="B21" s="89" t="s">
        <v>74</v>
      </c>
      <c r="C21" s="9">
        <v>810</v>
      </c>
      <c r="D21" s="9">
        <v>829</v>
      </c>
      <c r="E21" s="9">
        <v>830</v>
      </c>
      <c r="F21" s="9">
        <v>842</v>
      </c>
      <c r="G21" s="9">
        <v>873</v>
      </c>
      <c r="H21" s="9">
        <v>945</v>
      </c>
      <c r="I21" s="9">
        <v>946</v>
      </c>
      <c r="J21" s="9">
        <v>1147</v>
      </c>
      <c r="K21" s="9">
        <v>1194</v>
      </c>
      <c r="L21" s="9">
        <v>1217</v>
      </c>
      <c r="M21" s="8"/>
      <c r="N21" s="12"/>
      <c r="O21" s="25">
        <v>13066</v>
      </c>
      <c r="P21" s="13"/>
      <c r="Q21" s="15"/>
    </row>
    <row r="22" spans="1:21" s="2" customFormat="1" ht="16.5" customHeight="1" thickBot="1">
      <c r="A22" s="40" t="s">
        <v>315</v>
      </c>
      <c r="B22" s="58" t="s">
        <v>20</v>
      </c>
      <c r="C22" s="9">
        <v>719</v>
      </c>
      <c r="D22" s="9">
        <v>805</v>
      </c>
      <c r="E22" s="9">
        <v>806</v>
      </c>
      <c r="F22" s="9">
        <v>810</v>
      </c>
      <c r="G22" s="9">
        <v>855</v>
      </c>
      <c r="H22" s="9">
        <v>899</v>
      </c>
      <c r="I22" s="9">
        <v>900</v>
      </c>
      <c r="J22" s="9" t="s">
        <v>30</v>
      </c>
      <c r="L22" s="23"/>
      <c r="M22" s="23"/>
    </row>
    <row r="23" spans="1:21" s="2" customFormat="1" ht="16.5" customHeight="1" thickBot="1">
      <c r="A23" s="40" t="s">
        <v>38</v>
      </c>
      <c r="B23" s="41" t="s">
        <v>6</v>
      </c>
      <c r="C23" s="9">
        <v>703</v>
      </c>
      <c r="D23" s="9">
        <v>710</v>
      </c>
      <c r="E23" s="9">
        <v>711</v>
      </c>
      <c r="F23" s="9">
        <v>789</v>
      </c>
      <c r="G23" s="9">
        <v>860</v>
      </c>
      <c r="H23" s="9">
        <v>909</v>
      </c>
      <c r="I23" s="9">
        <v>919</v>
      </c>
      <c r="J23" s="9">
        <v>963</v>
      </c>
      <c r="K23" s="9" t="s">
        <v>30</v>
      </c>
    </row>
    <row r="24" spans="1:21" s="2" customFormat="1" ht="16.5" customHeight="1" thickBot="1">
      <c r="A24" s="37" t="s">
        <v>316</v>
      </c>
      <c r="B24" s="38" t="s">
        <v>6</v>
      </c>
      <c r="C24" s="9">
        <v>677</v>
      </c>
      <c r="D24" s="9">
        <v>679</v>
      </c>
      <c r="E24" s="9">
        <v>680</v>
      </c>
      <c r="F24" s="9">
        <v>798</v>
      </c>
      <c r="G24" s="9">
        <v>820</v>
      </c>
      <c r="H24" s="9">
        <v>958</v>
      </c>
      <c r="I24" s="9">
        <v>967</v>
      </c>
      <c r="J24" s="9">
        <v>1008</v>
      </c>
      <c r="K24" s="9">
        <v>1204</v>
      </c>
      <c r="L24" s="8">
        <v>1348</v>
      </c>
      <c r="M24" s="8" t="s">
        <v>16</v>
      </c>
    </row>
    <row r="25" spans="1:21" s="2" customFormat="1" ht="16.5" customHeight="1" thickBot="1">
      <c r="A25" s="40" t="s">
        <v>45</v>
      </c>
      <c r="B25" s="44" t="s">
        <v>28</v>
      </c>
      <c r="C25" s="9">
        <v>565</v>
      </c>
      <c r="D25" s="9">
        <v>572</v>
      </c>
      <c r="E25" s="9">
        <v>572</v>
      </c>
      <c r="F25" s="9">
        <v>575</v>
      </c>
      <c r="G25" s="9" t="s">
        <v>30</v>
      </c>
      <c r="I25" s="23"/>
      <c r="J25" s="23"/>
      <c r="K25" s="23"/>
      <c r="L25" s="23"/>
      <c r="M25" s="23"/>
    </row>
    <row r="26" spans="1:21" s="2" customFormat="1" ht="16.5" customHeight="1" thickBot="1">
      <c r="A26" s="40" t="s">
        <v>185</v>
      </c>
      <c r="B26" s="41" t="s">
        <v>6</v>
      </c>
      <c r="C26" s="9">
        <v>547</v>
      </c>
      <c r="D26" s="9">
        <v>548</v>
      </c>
      <c r="E26" s="9">
        <v>549</v>
      </c>
      <c r="F26" s="9" t="s">
        <v>30</v>
      </c>
      <c r="H26" s="23"/>
      <c r="I26" s="23"/>
      <c r="J26" s="23"/>
    </row>
    <row r="27" spans="1:21" s="2" customFormat="1" ht="16.5" customHeight="1" thickBot="1">
      <c r="A27" s="40" t="s">
        <v>317</v>
      </c>
      <c r="B27" s="44" t="s">
        <v>28</v>
      </c>
      <c r="C27" s="9">
        <v>546</v>
      </c>
      <c r="D27" s="9">
        <v>549</v>
      </c>
      <c r="E27" s="9">
        <v>550</v>
      </c>
      <c r="F27" s="9">
        <v>596</v>
      </c>
      <c r="G27" s="9">
        <v>654</v>
      </c>
      <c r="H27" s="9" t="s">
        <v>30</v>
      </c>
      <c r="J27" s="23"/>
      <c r="K27" s="23"/>
      <c r="L27" s="23"/>
      <c r="M27" s="23"/>
      <c r="N27" s="46"/>
      <c r="O27" s="17"/>
      <c r="P27" s="18"/>
    </row>
    <row r="28" spans="1:21" s="2" customFormat="1" ht="11.25" customHeight="1">
      <c r="A28" s="28"/>
      <c r="B28" s="47"/>
      <c r="C28" s="28"/>
      <c r="D28" s="28"/>
      <c r="E28" s="28"/>
      <c r="F28" s="23"/>
      <c r="G28" s="23"/>
      <c r="H28" s="23"/>
      <c r="I28" s="23"/>
      <c r="J28" s="23"/>
      <c r="N28" s="18"/>
    </row>
    <row r="29" spans="1:21" s="2" customFormat="1" ht="17.45" customHeight="1">
      <c r="A29" s="1" t="s">
        <v>318</v>
      </c>
    </row>
    <row r="30" spans="1:21" s="2" customFormat="1" ht="10.5" customHeight="1" thickBot="1">
      <c r="A30" s="1"/>
    </row>
    <row r="31" spans="1:21" s="2" customFormat="1" ht="16.5" customHeight="1" thickBot="1">
      <c r="A31" s="3" t="s">
        <v>0</v>
      </c>
      <c r="B31" s="4" t="s">
        <v>1</v>
      </c>
      <c r="C31" s="4" t="s">
        <v>2</v>
      </c>
      <c r="D31" s="4">
        <v>2</v>
      </c>
      <c r="E31" s="4">
        <v>3</v>
      </c>
      <c r="F31" s="4">
        <v>4</v>
      </c>
      <c r="G31" s="4">
        <v>5</v>
      </c>
      <c r="H31" s="4">
        <v>6</v>
      </c>
      <c r="I31" s="4">
        <v>7</v>
      </c>
      <c r="J31" s="4">
        <v>8</v>
      </c>
      <c r="K31" s="4">
        <v>9</v>
      </c>
      <c r="L31" s="4">
        <v>10</v>
      </c>
      <c r="M31" s="4">
        <v>11</v>
      </c>
      <c r="N31" s="4">
        <v>12</v>
      </c>
      <c r="O31" s="4">
        <v>13</v>
      </c>
      <c r="P31" s="4">
        <v>14</v>
      </c>
      <c r="Q31" s="5"/>
      <c r="R31" s="12" t="s">
        <v>5</v>
      </c>
      <c r="S31" s="13">
        <f>SUM(15142/22731)</f>
        <v>0.66613875324446792</v>
      </c>
    </row>
    <row r="32" spans="1:21" s="2" customFormat="1" ht="16.5" customHeight="1" thickBot="1">
      <c r="A32" s="6" t="s">
        <v>54</v>
      </c>
      <c r="B32" s="14" t="s">
        <v>6</v>
      </c>
      <c r="C32" s="8">
        <v>2055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11" t="s">
        <v>4</v>
      </c>
      <c r="R32" s="15"/>
      <c r="S32" s="12" t="s">
        <v>8</v>
      </c>
      <c r="T32" s="12" t="s">
        <v>9</v>
      </c>
      <c r="U32" s="12" t="s">
        <v>10</v>
      </c>
    </row>
    <row r="33" spans="1:21" s="2" customFormat="1" ht="16.5" customHeight="1" thickBot="1">
      <c r="A33" s="6" t="s">
        <v>59</v>
      </c>
      <c r="B33" s="14" t="s">
        <v>6</v>
      </c>
      <c r="C33" s="9">
        <v>1484</v>
      </c>
      <c r="D33" s="9">
        <v>1511</v>
      </c>
      <c r="E33" s="9">
        <v>1518</v>
      </c>
      <c r="F33" s="9">
        <v>1523</v>
      </c>
      <c r="G33" s="9">
        <v>1530</v>
      </c>
      <c r="H33" s="9">
        <v>1551</v>
      </c>
      <c r="I33" s="9">
        <v>1580</v>
      </c>
      <c r="J33" s="9">
        <v>1586</v>
      </c>
      <c r="K33" s="9">
        <v>1623</v>
      </c>
      <c r="L33" s="9">
        <v>1861</v>
      </c>
      <c r="M33" s="8">
        <v>2119</v>
      </c>
      <c r="N33" s="9"/>
      <c r="O33" s="9"/>
      <c r="P33" s="9"/>
      <c r="Q33" s="11" t="s">
        <v>7</v>
      </c>
      <c r="R33" s="16" t="s">
        <v>6</v>
      </c>
      <c r="S33" s="17">
        <f>SUM(C32+C33+C35+C39+C40+C42)</f>
        <v>7490</v>
      </c>
      <c r="T33" s="18">
        <f>SUM(S33/S39)</f>
        <v>0.49906716417910446</v>
      </c>
      <c r="U33" s="15">
        <v>4</v>
      </c>
    </row>
    <row r="34" spans="1:21" s="2" customFormat="1" ht="16.5" customHeight="1" thickBot="1">
      <c r="A34" s="6" t="s">
        <v>319</v>
      </c>
      <c r="B34" s="7" t="s">
        <v>3</v>
      </c>
      <c r="C34" s="9">
        <v>1367</v>
      </c>
      <c r="D34" s="9">
        <v>1367</v>
      </c>
      <c r="E34" s="9">
        <v>1367</v>
      </c>
      <c r="F34" s="9">
        <v>1368</v>
      </c>
      <c r="G34" s="9">
        <v>1372</v>
      </c>
      <c r="H34" s="9">
        <v>1379</v>
      </c>
      <c r="I34" s="9">
        <v>1482</v>
      </c>
      <c r="J34" s="9">
        <v>1485</v>
      </c>
      <c r="K34" s="9">
        <v>1618</v>
      </c>
      <c r="L34" s="9">
        <v>1685</v>
      </c>
      <c r="M34" s="9">
        <v>1690</v>
      </c>
      <c r="N34" s="9">
        <v>1690</v>
      </c>
      <c r="O34" s="9">
        <v>1848</v>
      </c>
      <c r="P34" s="8">
        <v>1931</v>
      </c>
      <c r="Q34" s="8" t="s">
        <v>15</v>
      </c>
      <c r="R34" s="19" t="s">
        <v>3</v>
      </c>
      <c r="S34" s="17">
        <f>SUM(C34+C38+C41+C43)</f>
        <v>4044</v>
      </c>
      <c r="T34" s="18">
        <f>SUM(S34/S39)</f>
        <v>0.26945628997867804</v>
      </c>
      <c r="U34" s="15">
        <v>2</v>
      </c>
    </row>
    <row r="35" spans="1:21" s="2" customFormat="1" ht="16.5" customHeight="1" thickBot="1">
      <c r="A35" s="6" t="s">
        <v>320</v>
      </c>
      <c r="B35" s="14" t="s">
        <v>6</v>
      </c>
      <c r="C35" s="9">
        <v>1247</v>
      </c>
      <c r="D35" s="9">
        <v>1256</v>
      </c>
      <c r="E35" s="9">
        <v>1257</v>
      </c>
      <c r="F35" s="9">
        <v>1259</v>
      </c>
      <c r="G35" s="9">
        <v>1262</v>
      </c>
      <c r="H35" s="9">
        <v>1276</v>
      </c>
      <c r="I35" s="9">
        <v>1304</v>
      </c>
      <c r="J35" s="9">
        <v>1309</v>
      </c>
      <c r="K35" s="9">
        <v>1339</v>
      </c>
      <c r="L35" s="9">
        <v>1610</v>
      </c>
      <c r="M35" s="9">
        <v>1733</v>
      </c>
      <c r="N35" s="9">
        <v>1801</v>
      </c>
      <c r="O35" s="8">
        <v>1886</v>
      </c>
      <c r="P35" s="9"/>
      <c r="Q35" s="11" t="s">
        <v>12</v>
      </c>
      <c r="R35" s="30" t="s">
        <v>20</v>
      </c>
      <c r="S35" s="23">
        <v>1102</v>
      </c>
      <c r="T35" s="13">
        <f>SUM(S35/S39)</f>
        <v>7.3427505330490403E-2</v>
      </c>
      <c r="U35" s="2">
        <v>1</v>
      </c>
    </row>
    <row r="36" spans="1:21" s="2" customFormat="1" ht="16.5" customHeight="1" thickBot="1">
      <c r="A36" s="6" t="s">
        <v>112</v>
      </c>
      <c r="B36" s="61" t="s">
        <v>20</v>
      </c>
      <c r="C36" s="9">
        <v>1102</v>
      </c>
      <c r="D36" s="9">
        <v>1104</v>
      </c>
      <c r="E36" s="9">
        <v>1110</v>
      </c>
      <c r="F36" s="9">
        <v>1123</v>
      </c>
      <c r="G36" s="9">
        <v>1138</v>
      </c>
      <c r="H36" s="9">
        <v>1142</v>
      </c>
      <c r="I36" s="9">
        <v>1216</v>
      </c>
      <c r="J36" s="9">
        <v>1252</v>
      </c>
      <c r="K36" s="9">
        <v>1297</v>
      </c>
      <c r="L36" s="9">
        <v>1350</v>
      </c>
      <c r="M36" s="9">
        <v>1419</v>
      </c>
      <c r="N36" s="9">
        <v>1426</v>
      </c>
      <c r="O36" s="9">
        <v>1562</v>
      </c>
      <c r="P36" s="8">
        <v>1580</v>
      </c>
      <c r="Q36" s="11" t="s">
        <v>16</v>
      </c>
      <c r="R36" s="33" t="s">
        <v>19</v>
      </c>
      <c r="S36" s="17">
        <v>232</v>
      </c>
      <c r="T36" s="18">
        <f>SUM(S36/S39)</f>
        <v>1.5458422174840085E-2</v>
      </c>
      <c r="U36" s="15"/>
    </row>
    <row r="37" spans="1:21" s="2" customFormat="1" ht="16.5" customHeight="1" thickBot="1">
      <c r="A37" s="20" t="s">
        <v>60</v>
      </c>
      <c r="B37" s="26" t="s">
        <v>28</v>
      </c>
      <c r="C37" s="9">
        <v>1100</v>
      </c>
      <c r="D37" s="9">
        <v>1102</v>
      </c>
      <c r="E37" s="9">
        <v>1104</v>
      </c>
      <c r="F37" s="9">
        <v>1134</v>
      </c>
      <c r="G37" s="9">
        <v>1140</v>
      </c>
      <c r="H37" s="9">
        <v>1179</v>
      </c>
      <c r="I37" s="9">
        <v>1188</v>
      </c>
      <c r="J37" s="9">
        <v>1216</v>
      </c>
      <c r="K37" s="9">
        <v>1271</v>
      </c>
      <c r="L37" s="9">
        <v>1357</v>
      </c>
      <c r="M37" s="9">
        <v>1373</v>
      </c>
      <c r="N37" s="9">
        <v>1374</v>
      </c>
      <c r="O37" s="9">
        <v>1427</v>
      </c>
      <c r="P37" s="9">
        <v>1432</v>
      </c>
      <c r="Q37" s="11"/>
      <c r="R37" s="88" t="s">
        <v>135</v>
      </c>
      <c r="S37" s="23">
        <v>338</v>
      </c>
      <c r="T37" s="13">
        <f>SUM(S37/S39)</f>
        <v>2.2521321961620468E-2</v>
      </c>
    </row>
    <row r="38" spans="1:21" s="2" customFormat="1" ht="16.5" customHeight="1" thickBot="1">
      <c r="A38" s="20" t="s">
        <v>321</v>
      </c>
      <c r="B38" s="27" t="s">
        <v>3</v>
      </c>
      <c r="C38" s="9">
        <v>1018</v>
      </c>
      <c r="D38" s="9">
        <v>1021</v>
      </c>
      <c r="E38" s="9">
        <v>1027</v>
      </c>
      <c r="F38" s="9">
        <v>1031</v>
      </c>
      <c r="G38" s="9">
        <v>1042</v>
      </c>
      <c r="H38" s="9">
        <v>1056</v>
      </c>
      <c r="I38" s="9">
        <v>1069</v>
      </c>
      <c r="J38" s="9">
        <v>1080</v>
      </c>
      <c r="K38" s="9">
        <v>1210</v>
      </c>
      <c r="L38" s="9">
        <v>1221</v>
      </c>
      <c r="M38" s="9">
        <v>1298</v>
      </c>
      <c r="N38" s="9">
        <v>1314</v>
      </c>
      <c r="O38" s="8" t="s">
        <v>30</v>
      </c>
      <c r="P38" s="23"/>
      <c r="R38" s="12" t="s">
        <v>13</v>
      </c>
      <c r="S38" s="23">
        <f>SUM(C37+C44+C47+C48+C49)</f>
        <v>1802</v>
      </c>
      <c r="T38" s="13">
        <f>SUM(S38/S39)</f>
        <v>0.12006929637526652</v>
      </c>
    </row>
    <row r="39" spans="1:21" s="2" customFormat="1" ht="16.5" customHeight="1" thickBot="1">
      <c r="A39" s="20" t="s">
        <v>322</v>
      </c>
      <c r="B39" s="21" t="s">
        <v>6</v>
      </c>
      <c r="C39" s="9">
        <v>986</v>
      </c>
      <c r="D39" s="9">
        <v>1008</v>
      </c>
      <c r="E39" s="9">
        <v>1018</v>
      </c>
      <c r="F39" s="9">
        <v>1026</v>
      </c>
      <c r="G39" s="9">
        <v>1033</v>
      </c>
      <c r="H39" s="9">
        <v>1047</v>
      </c>
      <c r="I39" s="9">
        <v>1049</v>
      </c>
      <c r="J39" s="9">
        <v>1081</v>
      </c>
      <c r="K39" s="9">
        <v>1104</v>
      </c>
      <c r="L39" s="9">
        <v>1133</v>
      </c>
      <c r="M39" s="9" t="s">
        <v>30</v>
      </c>
      <c r="N39" s="23"/>
      <c r="O39" s="23"/>
      <c r="P39" s="23"/>
      <c r="R39" s="15"/>
      <c r="S39" s="25">
        <v>15008</v>
      </c>
      <c r="U39" s="15"/>
    </row>
    <row r="40" spans="1:21" s="2" customFormat="1" ht="16.5" customHeight="1" thickBot="1">
      <c r="A40" s="6" t="s">
        <v>323</v>
      </c>
      <c r="B40" s="14" t="s">
        <v>6</v>
      </c>
      <c r="C40" s="9">
        <v>890</v>
      </c>
      <c r="D40" s="9">
        <v>938</v>
      </c>
      <c r="E40" s="9">
        <v>944</v>
      </c>
      <c r="F40" s="9">
        <v>970</v>
      </c>
      <c r="G40" s="9">
        <v>976</v>
      </c>
      <c r="H40" s="9">
        <v>1025</v>
      </c>
      <c r="I40" s="9">
        <v>1028</v>
      </c>
      <c r="J40" s="9">
        <v>1055</v>
      </c>
      <c r="K40" s="9">
        <v>1127</v>
      </c>
      <c r="L40" s="9">
        <v>1194</v>
      </c>
      <c r="M40" s="9">
        <v>1472</v>
      </c>
      <c r="N40" s="9">
        <v>1546</v>
      </c>
      <c r="O40" s="9">
        <v>1705</v>
      </c>
      <c r="P40" s="8">
        <v>1709</v>
      </c>
      <c r="Q40" s="11" t="s">
        <v>14</v>
      </c>
    </row>
    <row r="41" spans="1:21" s="2" customFormat="1" ht="16.5" customHeight="1" thickBot="1">
      <c r="A41" s="6" t="s">
        <v>300</v>
      </c>
      <c r="B41" s="7" t="s">
        <v>3</v>
      </c>
      <c r="C41" s="9">
        <v>867</v>
      </c>
      <c r="D41" s="9">
        <v>883</v>
      </c>
      <c r="E41" s="9">
        <v>890</v>
      </c>
      <c r="F41" s="9">
        <v>903</v>
      </c>
      <c r="G41" s="9">
        <v>916</v>
      </c>
      <c r="H41" s="9">
        <v>927</v>
      </c>
      <c r="I41" s="9">
        <v>930</v>
      </c>
      <c r="J41" s="9">
        <v>1073</v>
      </c>
      <c r="K41" s="9">
        <v>1325</v>
      </c>
      <c r="L41" s="9">
        <v>1352</v>
      </c>
      <c r="M41" s="9">
        <v>1479</v>
      </c>
      <c r="N41" s="9">
        <v>1486</v>
      </c>
      <c r="O41" s="8">
        <v>1987</v>
      </c>
      <c r="P41" s="9"/>
      <c r="Q41" s="8" t="s">
        <v>11</v>
      </c>
    </row>
    <row r="42" spans="1:21" s="2" customFormat="1" ht="16.5" customHeight="1" thickBot="1">
      <c r="A42" s="20" t="s">
        <v>324</v>
      </c>
      <c r="B42" s="21" t="s">
        <v>6</v>
      </c>
      <c r="C42" s="9">
        <v>828</v>
      </c>
      <c r="D42" s="9">
        <v>843</v>
      </c>
      <c r="E42" s="9">
        <v>844</v>
      </c>
      <c r="F42" s="9">
        <v>845</v>
      </c>
      <c r="G42" s="9">
        <v>847</v>
      </c>
      <c r="H42" s="9">
        <v>850</v>
      </c>
      <c r="I42" s="9">
        <v>900</v>
      </c>
      <c r="J42" s="9">
        <v>908</v>
      </c>
      <c r="K42" s="9">
        <v>960</v>
      </c>
      <c r="L42" s="9" t="s">
        <v>30</v>
      </c>
      <c r="M42" s="23"/>
      <c r="N42" s="23"/>
      <c r="O42" s="23"/>
      <c r="P42" s="23"/>
      <c r="Q42"/>
    </row>
    <row r="43" spans="1:21" s="2" customFormat="1" ht="16.5" customHeight="1" thickBot="1">
      <c r="A43" s="20" t="s">
        <v>325</v>
      </c>
      <c r="B43" s="27" t="s">
        <v>3</v>
      </c>
      <c r="C43" s="9">
        <v>792</v>
      </c>
      <c r="D43" s="9">
        <v>807</v>
      </c>
      <c r="E43" s="9">
        <v>813</v>
      </c>
      <c r="F43" s="9">
        <v>823</v>
      </c>
      <c r="G43" s="9">
        <v>832</v>
      </c>
      <c r="H43" s="9">
        <v>855</v>
      </c>
      <c r="I43" s="9">
        <v>863</v>
      </c>
      <c r="J43" s="9">
        <v>889</v>
      </c>
      <c r="K43" s="9" t="s">
        <v>30</v>
      </c>
      <c r="L43" s="23"/>
      <c r="M43" s="23"/>
      <c r="N43" s="63"/>
      <c r="O43" s="63"/>
      <c r="P43" s="63"/>
    </row>
    <row r="44" spans="1:21" s="2" customFormat="1" ht="16.5" customHeight="1" thickBot="1">
      <c r="A44" s="20" t="s">
        <v>326</v>
      </c>
      <c r="B44" s="26" t="s">
        <v>28</v>
      </c>
      <c r="C44" s="9">
        <v>342</v>
      </c>
      <c r="D44" s="9">
        <v>343</v>
      </c>
      <c r="E44" s="9">
        <v>344</v>
      </c>
      <c r="F44" s="9">
        <v>346</v>
      </c>
      <c r="G44" s="9">
        <v>353</v>
      </c>
      <c r="H44" s="9">
        <v>354</v>
      </c>
      <c r="I44" s="9" t="s">
        <v>30</v>
      </c>
      <c r="J44" s="23"/>
      <c r="K44" s="23"/>
      <c r="L44" s="23"/>
      <c r="M44" s="23"/>
      <c r="N44" s="63"/>
      <c r="O44" s="63"/>
      <c r="P44" s="63"/>
    </row>
    <row r="45" spans="1:21" s="2" customFormat="1" ht="16.5" customHeight="1" thickBot="1">
      <c r="A45" s="20" t="s">
        <v>327</v>
      </c>
      <c r="B45" s="85" t="s">
        <v>135</v>
      </c>
      <c r="C45" s="9">
        <v>338</v>
      </c>
      <c r="D45" s="9">
        <v>344</v>
      </c>
      <c r="E45" s="9">
        <v>350</v>
      </c>
      <c r="F45" s="9">
        <v>360</v>
      </c>
      <c r="G45" s="9">
        <v>403</v>
      </c>
      <c r="H45" s="9">
        <v>431</v>
      </c>
      <c r="I45" s="9">
        <v>433</v>
      </c>
      <c r="J45" s="9" t="s">
        <v>30</v>
      </c>
      <c r="K45" s="23"/>
      <c r="L45" s="23"/>
      <c r="M45" s="23"/>
      <c r="N45" s="23"/>
      <c r="O45" s="23"/>
      <c r="P45" s="23"/>
    </row>
    <row r="46" spans="1:21" s="2" customFormat="1" ht="16.5" customHeight="1" thickBot="1">
      <c r="A46" s="20" t="s">
        <v>297</v>
      </c>
      <c r="B46" s="62" t="s">
        <v>19</v>
      </c>
      <c r="C46" s="9">
        <v>232</v>
      </c>
      <c r="D46" s="9">
        <v>237</v>
      </c>
      <c r="E46" s="9">
        <v>238</v>
      </c>
      <c r="F46" s="9">
        <v>252</v>
      </c>
      <c r="G46" s="9">
        <v>260</v>
      </c>
      <c r="H46" s="9" t="s">
        <v>30</v>
      </c>
      <c r="I46" s="23"/>
      <c r="J46" s="23"/>
      <c r="K46" s="23"/>
      <c r="L46" s="23"/>
      <c r="M46" s="23"/>
      <c r="N46" s="23"/>
      <c r="O46" s="23"/>
      <c r="P46" s="23"/>
    </row>
    <row r="47" spans="1:21" s="2" customFormat="1" ht="16.5" customHeight="1" thickBot="1">
      <c r="A47" s="20" t="s">
        <v>65</v>
      </c>
      <c r="B47" s="26" t="s">
        <v>28</v>
      </c>
      <c r="C47" s="9">
        <v>146</v>
      </c>
      <c r="D47" s="9">
        <v>150</v>
      </c>
      <c r="E47" s="9">
        <v>150</v>
      </c>
      <c r="F47" s="9" t="s">
        <v>30</v>
      </c>
      <c r="G47" s="23"/>
      <c r="H47" s="23"/>
      <c r="I47" s="23"/>
      <c r="J47" s="23"/>
      <c r="K47" s="63"/>
      <c r="L47" s="23"/>
      <c r="M47" s="23"/>
      <c r="N47" s="23"/>
      <c r="O47" s="23"/>
      <c r="P47" s="23"/>
    </row>
    <row r="48" spans="1:21" s="2" customFormat="1" ht="16.5" customHeight="1" thickBot="1">
      <c r="A48" s="20" t="s">
        <v>328</v>
      </c>
      <c r="B48" s="26" t="s">
        <v>28</v>
      </c>
      <c r="C48" s="9">
        <v>142</v>
      </c>
      <c r="D48" s="9">
        <v>143</v>
      </c>
      <c r="E48" s="9">
        <v>152</v>
      </c>
      <c r="F48" s="9">
        <v>153</v>
      </c>
      <c r="G48" s="8" t="s">
        <v>30</v>
      </c>
      <c r="H48" s="63"/>
      <c r="I48" s="63"/>
      <c r="J48" s="63"/>
      <c r="K48" s="23"/>
      <c r="L48" s="23"/>
      <c r="M48" s="23"/>
      <c r="N48" s="23"/>
      <c r="O48" s="23"/>
      <c r="P48" s="23"/>
    </row>
    <row r="49" spans="1:16" s="2" customFormat="1" ht="16.5" customHeight="1" thickBot="1">
      <c r="A49" s="20" t="s">
        <v>329</v>
      </c>
      <c r="B49" s="26" t="s">
        <v>28</v>
      </c>
      <c r="C49" s="9">
        <v>72</v>
      </c>
      <c r="D49" s="9">
        <v>74</v>
      </c>
      <c r="E49" s="9" t="s">
        <v>30</v>
      </c>
      <c r="F49" s="23"/>
      <c r="G49" s="23"/>
      <c r="H49" s="63"/>
      <c r="I49" s="63"/>
      <c r="J49" s="63"/>
      <c r="K49" s="23"/>
      <c r="L49" s="23"/>
      <c r="M49" s="23"/>
      <c r="N49" s="23"/>
      <c r="O49" s="23"/>
      <c r="P49" s="23"/>
    </row>
    <row r="50" spans="1:16"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</row>
    <row r="51" spans="1:16" s="2" customFormat="1" ht="17.45" customHeight="1">
      <c r="A51" s="31" t="s">
        <v>310</v>
      </c>
      <c r="B51" s="23"/>
      <c r="C51" s="23"/>
      <c r="D51" s="23"/>
      <c r="E51" s="23"/>
      <c r="F51" s="23"/>
      <c r="G51" s="23"/>
      <c r="H51" s="23"/>
      <c r="I51" s="23"/>
      <c r="J51" s="23"/>
    </row>
    <row r="52" spans="1:16" s="2" customFormat="1" ht="8.25" customHeight="1" thickBot="1">
      <c r="A52" s="31"/>
      <c r="B52" s="23"/>
      <c r="C52" s="23"/>
      <c r="D52" s="23"/>
      <c r="E52" s="23"/>
      <c r="F52" s="23"/>
      <c r="G52" s="23"/>
      <c r="H52" s="23"/>
      <c r="I52" s="23"/>
      <c r="J52" s="23"/>
    </row>
    <row r="53" spans="1:16" s="2" customFormat="1" ht="17.45" customHeight="1" thickBot="1">
      <c r="A53" s="35" t="s">
        <v>0</v>
      </c>
      <c r="B53" s="36" t="s">
        <v>1</v>
      </c>
      <c r="C53" s="36" t="s">
        <v>2</v>
      </c>
      <c r="D53" s="36">
        <v>2</v>
      </c>
      <c r="E53" s="36">
        <v>3</v>
      </c>
      <c r="F53" s="36">
        <v>4</v>
      </c>
      <c r="G53" s="36">
        <v>5</v>
      </c>
      <c r="H53" s="36">
        <v>6</v>
      </c>
      <c r="I53" s="36">
        <v>7</v>
      </c>
      <c r="J53" s="36">
        <v>8</v>
      </c>
      <c r="K53" s="36"/>
      <c r="L53" s="12" t="s">
        <v>5</v>
      </c>
      <c r="M53" s="13">
        <f>SUM(10925/18636)</f>
        <v>0.5862309508478214</v>
      </c>
    </row>
    <row r="54" spans="1:16" s="2" customFormat="1" ht="17.45" customHeight="1" thickBot="1">
      <c r="A54" s="37" t="s">
        <v>47</v>
      </c>
      <c r="B54" s="39" t="s">
        <v>3</v>
      </c>
      <c r="C54" s="8">
        <v>1971</v>
      </c>
      <c r="D54" s="9"/>
      <c r="E54" s="9"/>
      <c r="F54" s="9"/>
      <c r="G54" s="9"/>
      <c r="H54" s="9"/>
      <c r="I54" s="9"/>
      <c r="J54" s="9"/>
      <c r="K54" s="8" t="s">
        <v>4</v>
      </c>
      <c r="L54" s="17"/>
      <c r="M54" s="12" t="s">
        <v>8</v>
      </c>
      <c r="N54" s="12" t="s">
        <v>9</v>
      </c>
      <c r="O54" s="12" t="s">
        <v>10</v>
      </c>
    </row>
    <row r="55" spans="1:16" s="2" customFormat="1" ht="17.45" customHeight="1" thickBot="1">
      <c r="A55" s="37" t="s">
        <v>155</v>
      </c>
      <c r="B55" s="52" t="s">
        <v>28</v>
      </c>
      <c r="C55" s="44">
        <v>1431</v>
      </c>
      <c r="D55" s="9">
        <v>1436</v>
      </c>
      <c r="E55" s="9">
        <v>1497</v>
      </c>
      <c r="F55" s="8">
        <v>1551</v>
      </c>
      <c r="G55" s="9"/>
      <c r="H55" s="9"/>
      <c r="I55" s="9"/>
      <c r="J55" s="9"/>
      <c r="K55" s="8" t="s">
        <v>7</v>
      </c>
      <c r="L55" s="48" t="s">
        <v>6</v>
      </c>
      <c r="M55" s="17">
        <f>SUM(C56+C57+C60+C62+C61)</f>
        <v>4086</v>
      </c>
      <c r="N55" s="18">
        <f>SUM(M55/M60)</f>
        <v>0.37784353615683375</v>
      </c>
      <c r="O55" s="15">
        <v>2</v>
      </c>
    </row>
    <row r="56" spans="1:16" s="2" customFormat="1" ht="17.45" customHeight="1" thickBot="1">
      <c r="A56" s="37" t="s">
        <v>496</v>
      </c>
      <c r="B56" s="38" t="s">
        <v>6</v>
      </c>
      <c r="C56" s="9">
        <v>1201</v>
      </c>
      <c r="D56" s="9">
        <v>1208</v>
      </c>
      <c r="E56" s="9">
        <v>1227</v>
      </c>
      <c r="F56" s="9">
        <v>1271</v>
      </c>
      <c r="G56" s="9">
        <v>1400</v>
      </c>
      <c r="H56" s="9">
        <v>1498</v>
      </c>
      <c r="I56" s="8">
        <v>1566</v>
      </c>
      <c r="J56" s="9"/>
      <c r="K56" s="8" t="s">
        <v>11</v>
      </c>
      <c r="L56" s="49" t="s">
        <v>3</v>
      </c>
      <c r="M56" s="17">
        <f>SUM(C54+C58+C66)</f>
        <v>3296</v>
      </c>
      <c r="N56" s="18">
        <f>SUM(M56/M60)</f>
        <v>0.30479008692435733</v>
      </c>
      <c r="O56" s="15">
        <v>2</v>
      </c>
    </row>
    <row r="57" spans="1:16" s="2" customFormat="1" ht="17.45" customHeight="1" thickBot="1">
      <c r="A57" s="37" t="s">
        <v>34</v>
      </c>
      <c r="B57" s="38" t="s">
        <v>6</v>
      </c>
      <c r="C57" s="9">
        <v>1095</v>
      </c>
      <c r="D57" s="9">
        <v>1124</v>
      </c>
      <c r="E57" s="9">
        <v>1144</v>
      </c>
      <c r="F57" s="9">
        <v>1146</v>
      </c>
      <c r="G57" s="9">
        <v>1162</v>
      </c>
      <c r="H57" s="9">
        <v>1216</v>
      </c>
      <c r="I57" s="9">
        <v>1219</v>
      </c>
      <c r="J57" s="8">
        <v>1554</v>
      </c>
      <c r="K57" s="8" t="s">
        <v>12</v>
      </c>
      <c r="L57" s="53" t="s">
        <v>20</v>
      </c>
      <c r="M57" s="23">
        <f>SUM(C59+C63)</f>
        <v>1311</v>
      </c>
      <c r="N57" s="13">
        <f>SUM(M57/M60)</f>
        <v>0.12123173663769188</v>
      </c>
      <c r="O57" s="2">
        <v>1</v>
      </c>
    </row>
    <row r="58" spans="1:16" s="2" customFormat="1" ht="17.45" customHeight="1" thickBot="1">
      <c r="A58" s="37" t="s">
        <v>256</v>
      </c>
      <c r="B58" s="39" t="s">
        <v>3</v>
      </c>
      <c r="C58" s="9">
        <v>1027</v>
      </c>
      <c r="D58" s="9">
        <v>1215</v>
      </c>
      <c r="E58" s="9">
        <v>1242</v>
      </c>
      <c r="F58" s="9">
        <v>1342</v>
      </c>
      <c r="G58" s="9">
        <v>1392</v>
      </c>
      <c r="H58" s="9">
        <v>1444</v>
      </c>
      <c r="I58" s="9">
        <v>1492</v>
      </c>
      <c r="J58" s="8">
        <v>1546</v>
      </c>
      <c r="K58" s="8" t="s">
        <v>15</v>
      </c>
      <c r="L58" s="83" t="s">
        <v>17</v>
      </c>
      <c r="M58" s="23">
        <v>300</v>
      </c>
      <c r="N58" s="13">
        <f>SUM(M58/M60)</f>
        <v>2.7741816164231551E-2</v>
      </c>
    </row>
    <row r="59" spans="1:16" s="2" customFormat="1" ht="17.45" customHeight="1" thickBot="1">
      <c r="A59" s="37" t="s">
        <v>158</v>
      </c>
      <c r="B59" s="51" t="s">
        <v>20</v>
      </c>
      <c r="C59" s="9">
        <v>858</v>
      </c>
      <c r="D59" s="9">
        <v>881</v>
      </c>
      <c r="E59" s="9">
        <v>912</v>
      </c>
      <c r="F59" s="9">
        <v>918</v>
      </c>
      <c r="G59" s="9">
        <v>949</v>
      </c>
      <c r="H59" s="9">
        <v>973</v>
      </c>
      <c r="I59" s="9">
        <v>1342</v>
      </c>
      <c r="J59" s="8">
        <v>1440</v>
      </c>
      <c r="K59" s="8" t="s">
        <v>14</v>
      </c>
      <c r="L59" s="25" t="s">
        <v>13</v>
      </c>
      <c r="M59" s="23">
        <f>SUM(C64+C55)</f>
        <v>1821</v>
      </c>
      <c r="N59" s="13">
        <f>SUM(M59/M60)</f>
        <v>0.16839282411688553</v>
      </c>
      <c r="O59" s="2">
        <v>1</v>
      </c>
    </row>
    <row r="60" spans="1:16" s="2" customFormat="1" ht="17.45" customHeight="1" thickBot="1">
      <c r="A60" s="40" t="s">
        <v>159</v>
      </c>
      <c r="B60" s="41" t="s">
        <v>6</v>
      </c>
      <c r="C60" s="9">
        <v>753</v>
      </c>
      <c r="D60" s="9">
        <v>852</v>
      </c>
      <c r="E60" s="9">
        <v>862</v>
      </c>
      <c r="F60" s="9">
        <v>868</v>
      </c>
      <c r="G60" s="9">
        <v>890</v>
      </c>
      <c r="H60" s="9">
        <v>1072</v>
      </c>
      <c r="I60" s="9">
        <v>1082</v>
      </c>
      <c r="J60" s="9">
        <v>1226</v>
      </c>
      <c r="K60" s="9"/>
      <c r="L60" s="25"/>
      <c r="M60" s="25">
        <v>10814</v>
      </c>
      <c r="N60" s="13"/>
      <c r="O60" s="13"/>
    </row>
    <row r="61" spans="1:16" s="2" customFormat="1" ht="17.45" customHeight="1" thickBot="1">
      <c r="A61" s="40" t="s">
        <v>49</v>
      </c>
      <c r="B61" s="41" t="s">
        <v>6</v>
      </c>
      <c r="C61" s="9">
        <v>571</v>
      </c>
      <c r="D61" s="9">
        <v>584</v>
      </c>
      <c r="E61" s="9">
        <v>595</v>
      </c>
      <c r="F61" s="9">
        <v>603</v>
      </c>
      <c r="G61" s="9">
        <v>627</v>
      </c>
      <c r="H61" s="9">
        <v>682</v>
      </c>
      <c r="I61" s="9">
        <v>704</v>
      </c>
      <c r="J61" s="9" t="s">
        <v>30</v>
      </c>
      <c r="K61" s="23"/>
      <c r="L61" s="17"/>
    </row>
    <row r="62" spans="1:16" s="2" customFormat="1" ht="17.45" customHeight="1" thickBot="1">
      <c r="A62" s="40" t="s">
        <v>195</v>
      </c>
      <c r="B62" s="41" t="s">
        <v>6</v>
      </c>
      <c r="C62" s="44">
        <v>466</v>
      </c>
      <c r="D62" s="9">
        <v>481</v>
      </c>
      <c r="E62" s="9">
        <v>490</v>
      </c>
      <c r="F62" s="9">
        <v>494</v>
      </c>
      <c r="G62" s="9">
        <v>519</v>
      </c>
      <c r="H62" s="9" t="s">
        <v>30</v>
      </c>
      <c r="K62" s="23"/>
      <c r="L62" s="48"/>
      <c r="M62" s="17"/>
      <c r="N62" s="18"/>
      <c r="O62" s="15"/>
    </row>
    <row r="63" spans="1:16" s="2" customFormat="1" ht="17.45" customHeight="1" thickBot="1">
      <c r="A63" s="40" t="s">
        <v>160</v>
      </c>
      <c r="B63" s="58" t="s">
        <v>20</v>
      </c>
      <c r="C63" s="9">
        <v>453</v>
      </c>
      <c r="D63" s="9">
        <v>458</v>
      </c>
      <c r="E63" s="9">
        <v>488</v>
      </c>
      <c r="F63" s="9">
        <v>532</v>
      </c>
      <c r="G63" s="9">
        <v>588</v>
      </c>
      <c r="H63" s="9">
        <v>601</v>
      </c>
      <c r="I63" s="9" t="s">
        <v>30</v>
      </c>
      <c r="J63" s="17"/>
      <c r="K63" s="18"/>
      <c r="L63" s="15"/>
    </row>
    <row r="64" spans="1:16" s="2" customFormat="1" ht="17.45" customHeight="1" thickBot="1">
      <c r="A64" s="40" t="s">
        <v>161</v>
      </c>
      <c r="B64" s="44" t="s">
        <v>28</v>
      </c>
      <c r="C64" s="9">
        <v>390</v>
      </c>
      <c r="D64" s="9">
        <v>396</v>
      </c>
      <c r="E64" s="9">
        <v>427</v>
      </c>
      <c r="F64" s="9">
        <v>477</v>
      </c>
      <c r="G64" s="9" t="s">
        <v>30</v>
      </c>
      <c r="H64" s="23"/>
      <c r="I64" s="53"/>
      <c r="J64" s="23"/>
      <c r="K64" s="13"/>
    </row>
    <row r="65" spans="1:17" s="2" customFormat="1" ht="17.45" customHeight="1" thickBot="1">
      <c r="A65" s="40" t="s">
        <v>162</v>
      </c>
      <c r="B65" s="50" t="s">
        <v>17</v>
      </c>
      <c r="C65" s="9">
        <v>300</v>
      </c>
      <c r="D65" s="9">
        <v>305</v>
      </c>
      <c r="E65" s="9" t="s">
        <v>30</v>
      </c>
      <c r="G65" s="23"/>
      <c r="H65" s="23"/>
      <c r="I65" s="25"/>
      <c r="J65" s="23"/>
      <c r="K65" s="13"/>
    </row>
    <row r="66" spans="1:17" s="2" customFormat="1" ht="17.45" customHeight="1" thickBot="1">
      <c r="A66" s="40" t="s">
        <v>163</v>
      </c>
      <c r="B66" s="42" t="s">
        <v>3</v>
      </c>
      <c r="C66" s="9">
        <v>298</v>
      </c>
      <c r="D66" s="9">
        <v>329</v>
      </c>
      <c r="E66" s="9">
        <v>349</v>
      </c>
      <c r="F66" s="9" t="s">
        <v>30</v>
      </c>
      <c r="H66" s="23"/>
      <c r="I66" s="23"/>
      <c r="J66" s="23"/>
      <c r="K66" s="25"/>
    </row>
    <row r="67" spans="1:17">
      <c r="C67" s="63"/>
      <c r="D67" s="63"/>
      <c r="E67" s="63"/>
      <c r="F67" s="63"/>
      <c r="G67" s="63"/>
      <c r="H67" s="63"/>
      <c r="I67" s="63"/>
      <c r="J67" s="63"/>
    </row>
    <row r="68" spans="1:17" s="2" customFormat="1" ht="17.45" customHeight="1">
      <c r="A68" s="31" t="s">
        <v>308</v>
      </c>
      <c r="B68" s="23"/>
      <c r="C68" s="23"/>
      <c r="D68" s="23"/>
      <c r="E68" s="23"/>
      <c r="F68" s="23"/>
      <c r="G68" s="23"/>
      <c r="H68" s="23"/>
      <c r="I68" s="23"/>
      <c r="J68" s="23"/>
    </row>
    <row r="69" spans="1:17" s="2" customFormat="1" ht="10.5" customHeight="1" thickBot="1">
      <c r="A69" s="31"/>
      <c r="B69" s="23"/>
      <c r="C69" s="23"/>
      <c r="D69" s="23"/>
      <c r="E69" s="23"/>
      <c r="F69" s="23"/>
      <c r="G69" s="23"/>
      <c r="H69" s="23"/>
      <c r="I69" s="23"/>
      <c r="J69" s="23"/>
    </row>
    <row r="70" spans="1:17" s="2" customFormat="1" ht="16.5" customHeight="1" thickBot="1">
      <c r="A70" s="35" t="s">
        <v>0</v>
      </c>
      <c r="B70" s="36" t="s">
        <v>1</v>
      </c>
      <c r="C70" s="36" t="s">
        <v>2</v>
      </c>
      <c r="D70" s="36">
        <v>2</v>
      </c>
      <c r="E70" s="36">
        <v>3</v>
      </c>
      <c r="F70" s="36">
        <v>4</v>
      </c>
      <c r="G70" s="36">
        <v>5</v>
      </c>
      <c r="H70" s="36">
        <v>6</v>
      </c>
      <c r="I70" s="36">
        <v>7</v>
      </c>
      <c r="J70" s="36">
        <v>8</v>
      </c>
      <c r="K70" s="36">
        <v>9</v>
      </c>
      <c r="L70" s="36">
        <v>10</v>
      </c>
      <c r="M70" s="45"/>
      <c r="N70" s="12" t="s">
        <v>5</v>
      </c>
      <c r="O70" s="13">
        <f>SUM(8840/14706)</f>
        <v>0.60111519107847133</v>
      </c>
    </row>
    <row r="71" spans="1:17" s="2" customFormat="1" ht="16.5" customHeight="1" thickBot="1">
      <c r="A71" s="37" t="s">
        <v>497</v>
      </c>
      <c r="B71" s="38" t="s">
        <v>6</v>
      </c>
      <c r="C71" s="8">
        <v>1766</v>
      </c>
      <c r="D71" s="9"/>
      <c r="E71" s="9"/>
      <c r="F71" s="9"/>
      <c r="G71" s="9"/>
      <c r="H71" s="9"/>
      <c r="I71" s="9"/>
      <c r="J71" s="9"/>
      <c r="K71" s="9"/>
      <c r="L71" s="9"/>
      <c r="M71" s="8" t="s">
        <v>4</v>
      </c>
      <c r="N71" s="15"/>
      <c r="O71" s="12" t="s">
        <v>8</v>
      </c>
      <c r="P71" s="12" t="s">
        <v>9</v>
      </c>
      <c r="Q71" s="12" t="s">
        <v>10</v>
      </c>
    </row>
    <row r="72" spans="1:17" s="2" customFormat="1" ht="16.5" customHeight="1" thickBot="1">
      <c r="A72" s="37" t="s">
        <v>171</v>
      </c>
      <c r="B72" s="39" t="s">
        <v>3</v>
      </c>
      <c r="C72" s="9">
        <v>1189</v>
      </c>
      <c r="D72" s="9">
        <v>1211</v>
      </c>
      <c r="E72" s="9">
        <v>1215</v>
      </c>
      <c r="F72" s="9">
        <v>1253</v>
      </c>
      <c r="G72" s="9">
        <v>1333</v>
      </c>
      <c r="H72" s="9">
        <v>1410</v>
      </c>
      <c r="I72" s="8">
        <v>1500</v>
      </c>
      <c r="J72" s="9"/>
      <c r="K72" s="9"/>
      <c r="L72" s="9"/>
      <c r="M72" s="8" t="s">
        <v>7</v>
      </c>
      <c r="N72" s="16" t="s">
        <v>6</v>
      </c>
      <c r="O72" s="17">
        <f>SUM(C71+C73+C76+C80)</f>
        <v>3729</v>
      </c>
      <c r="P72" s="18">
        <f>SUM(O72/O76)</f>
        <v>0.42183257918552036</v>
      </c>
      <c r="Q72" s="15">
        <v>2</v>
      </c>
    </row>
    <row r="73" spans="1:17" s="2" customFormat="1" ht="16.5" customHeight="1" thickBot="1">
      <c r="A73" s="37" t="s">
        <v>164</v>
      </c>
      <c r="B73" s="38" t="s">
        <v>6</v>
      </c>
      <c r="C73" s="9">
        <v>890</v>
      </c>
      <c r="D73" s="9">
        <v>948</v>
      </c>
      <c r="E73" s="9">
        <v>952</v>
      </c>
      <c r="F73" s="9">
        <v>955</v>
      </c>
      <c r="G73" s="9">
        <v>958</v>
      </c>
      <c r="H73" s="9">
        <v>1042</v>
      </c>
      <c r="I73" s="9">
        <v>1057</v>
      </c>
      <c r="J73" s="9">
        <v>1057</v>
      </c>
      <c r="K73" s="9">
        <v>1136</v>
      </c>
      <c r="L73" s="8">
        <v>1284</v>
      </c>
      <c r="M73" s="8" t="s">
        <v>15</v>
      </c>
      <c r="N73" s="19" t="s">
        <v>3</v>
      </c>
      <c r="O73" s="17">
        <f>SUM(C72+C77)</f>
        <v>1877</v>
      </c>
      <c r="P73" s="18">
        <f>SUM(O73/O76)</f>
        <v>0.21233031674208144</v>
      </c>
      <c r="Q73" s="15">
        <v>1</v>
      </c>
    </row>
    <row r="74" spans="1:17" s="2" customFormat="1" ht="16.5" customHeight="1" thickBot="1">
      <c r="A74" s="40" t="s">
        <v>491</v>
      </c>
      <c r="B74" s="44" t="s">
        <v>28</v>
      </c>
      <c r="C74" s="9">
        <v>776</v>
      </c>
      <c r="D74" s="9">
        <v>801</v>
      </c>
      <c r="E74" s="9">
        <v>804</v>
      </c>
      <c r="F74" s="9">
        <v>833</v>
      </c>
      <c r="G74" s="9">
        <v>844</v>
      </c>
      <c r="H74" s="9">
        <v>852</v>
      </c>
      <c r="I74" s="9">
        <v>860</v>
      </c>
      <c r="J74" s="9">
        <v>860</v>
      </c>
      <c r="K74" s="9">
        <v>982</v>
      </c>
      <c r="L74" s="9" t="s">
        <v>30</v>
      </c>
      <c r="N74" s="30" t="s">
        <v>20</v>
      </c>
      <c r="O74" s="17">
        <f>SUM(C78+C79)</f>
        <v>1221</v>
      </c>
      <c r="P74" s="18">
        <f>SUM(O74/O76)</f>
        <v>0.13812217194570137</v>
      </c>
      <c r="Q74" s="2">
        <v>1</v>
      </c>
    </row>
    <row r="75" spans="1:17" s="2" customFormat="1" ht="16.5" customHeight="1" thickBot="1">
      <c r="A75" s="37" t="s">
        <v>498</v>
      </c>
      <c r="B75" s="52" t="s">
        <v>28</v>
      </c>
      <c r="C75" s="9">
        <v>708</v>
      </c>
      <c r="D75" s="9">
        <v>718</v>
      </c>
      <c r="E75" s="9">
        <v>722</v>
      </c>
      <c r="F75" s="9">
        <v>752</v>
      </c>
      <c r="G75" s="9">
        <v>769</v>
      </c>
      <c r="H75" s="9">
        <v>769</v>
      </c>
      <c r="I75" s="9">
        <v>782</v>
      </c>
      <c r="J75" s="9">
        <v>784</v>
      </c>
      <c r="K75" s="9">
        <v>1011</v>
      </c>
      <c r="L75" s="8">
        <v>1461</v>
      </c>
      <c r="M75" s="8" t="s">
        <v>11</v>
      </c>
      <c r="N75" s="22" t="s">
        <v>13</v>
      </c>
      <c r="O75" s="17">
        <f>SUM(C74+C75+C81+C82+C83)</f>
        <v>2013</v>
      </c>
      <c r="P75" s="18">
        <f>SUM(O75/O76)</f>
        <v>0.22771493212669683</v>
      </c>
      <c r="Q75" s="2">
        <v>1</v>
      </c>
    </row>
    <row r="76" spans="1:17" s="2" customFormat="1" ht="16.5" customHeight="1" thickBot="1">
      <c r="A76" s="40" t="s">
        <v>257</v>
      </c>
      <c r="B76" s="41" t="s">
        <v>6</v>
      </c>
      <c r="C76" s="9">
        <v>689</v>
      </c>
      <c r="D76" s="9">
        <v>781</v>
      </c>
      <c r="E76" s="9">
        <v>783</v>
      </c>
      <c r="F76" s="9">
        <v>794</v>
      </c>
      <c r="G76" s="9">
        <v>815</v>
      </c>
      <c r="H76" s="9">
        <v>961</v>
      </c>
      <c r="I76" s="9">
        <v>1040</v>
      </c>
      <c r="J76" s="9">
        <v>1043</v>
      </c>
      <c r="K76" s="9">
        <v>1070</v>
      </c>
      <c r="L76" s="9">
        <v>1117</v>
      </c>
      <c r="M76" s="8"/>
      <c r="N76" s="12"/>
      <c r="O76" s="25">
        <v>8840</v>
      </c>
      <c r="P76" s="13"/>
      <c r="Q76" s="15"/>
    </row>
    <row r="77" spans="1:17" s="2" customFormat="1" ht="16.5" customHeight="1" thickBot="1">
      <c r="A77" s="40" t="s">
        <v>499</v>
      </c>
      <c r="B77" s="42" t="s">
        <v>3</v>
      </c>
      <c r="C77" s="9">
        <v>688</v>
      </c>
      <c r="D77" s="9">
        <v>703</v>
      </c>
      <c r="E77" s="9">
        <v>708</v>
      </c>
      <c r="F77" s="9">
        <v>717</v>
      </c>
      <c r="G77" s="9">
        <v>729</v>
      </c>
      <c r="H77" s="9">
        <v>737</v>
      </c>
      <c r="I77" s="9">
        <v>756</v>
      </c>
      <c r="J77" s="9">
        <v>765</v>
      </c>
      <c r="K77" s="9" t="s">
        <v>30</v>
      </c>
    </row>
    <row r="78" spans="1:17" s="2" customFormat="1" ht="16.5" customHeight="1" thickBot="1">
      <c r="A78" s="37" t="s">
        <v>165</v>
      </c>
      <c r="B78" s="51" t="s">
        <v>20</v>
      </c>
      <c r="C78" s="9">
        <v>647</v>
      </c>
      <c r="D78" s="9">
        <v>656</v>
      </c>
      <c r="E78" s="9">
        <v>658</v>
      </c>
      <c r="F78" s="9">
        <v>696</v>
      </c>
      <c r="G78" s="9">
        <v>765</v>
      </c>
      <c r="H78" s="9">
        <v>836</v>
      </c>
      <c r="I78" s="9">
        <v>1179</v>
      </c>
      <c r="J78" s="9">
        <v>1191</v>
      </c>
      <c r="K78" s="9">
        <v>1258</v>
      </c>
      <c r="L78" s="8">
        <v>1307</v>
      </c>
      <c r="M78" s="8" t="s">
        <v>12</v>
      </c>
    </row>
    <row r="79" spans="1:17" s="2" customFormat="1" ht="16.5" customHeight="1" thickBot="1">
      <c r="A79" s="40" t="s">
        <v>166</v>
      </c>
      <c r="B79" s="58" t="s">
        <v>20</v>
      </c>
      <c r="C79" s="9">
        <v>574</v>
      </c>
      <c r="D79" s="9">
        <v>585</v>
      </c>
      <c r="E79" s="9">
        <v>587</v>
      </c>
      <c r="F79" s="9">
        <v>589</v>
      </c>
      <c r="G79" s="9">
        <v>597</v>
      </c>
      <c r="H79" s="9">
        <v>601</v>
      </c>
      <c r="I79" s="9" t="s">
        <v>30</v>
      </c>
    </row>
    <row r="80" spans="1:17" s="2" customFormat="1" ht="16.5" customHeight="1" thickBot="1">
      <c r="A80" s="40" t="s">
        <v>167</v>
      </c>
      <c r="B80" s="41" t="s">
        <v>6</v>
      </c>
      <c r="C80" s="9">
        <v>384</v>
      </c>
      <c r="D80" s="9">
        <v>417</v>
      </c>
      <c r="E80" s="9">
        <v>419</v>
      </c>
      <c r="F80" s="9">
        <v>439</v>
      </c>
      <c r="G80" s="9">
        <v>469</v>
      </c>
      <c r="H80" s="9" t="s">
        <v>30</v>
      </c>
      <c r="J80" s="23"/>
      <c r="K80" s="23"/>
      <c r="L80" s="23"/>
      <c r="M80" s="23"/>
    </row>
    <row r="81" spans="1:21" s="2" customFormat="1" ht="16.5" customHeight="1" thickBot="1">
      <c r="A81" s="40" t="s">
        <v>309</v>
      </c>
      <c r="B81" s="44" t="s">
        <v>28</v>
      </c>
      <c r="C81" s="9">
        <v>266</v>
      </c>
      <c r="D81" s="9">
        <v>270</v>
      </c>
      <c r="E81" s="9">
        <v>271</v>
      </c>
      <c r="F81" s="9">
        <v>309</v>
      </c>
      <c r="G81" s="9" t="s">
        <v>30</v>
      </c>
      <c r="K81" s="23"/>
      <c r="L81" s="23"/>
      <c r="M81" s="23"/>
    </row>
    <row r="82" spans="1:21" s="2" customFormat="1" ht="16.5" customHeight="1" thickBot="1">
      <c r="A82" s="40" t="s">
        <v>168</v>
      </c>
      <c r="B82" s="44" t="s">
        <v>28</v>
      </c>
      <c r="C82" s="9">
        <v>228</v>
      </c>
      <c r="D82" s="9">
        <v>235</v>
      </c>
      <c r="E82" s="9">
        <v>240</v>
      </c>
      <c r="F82" s="9" t="s">
        <v>30</v>
      </c>
      <c r="H82" s="23"/>
      <c r="I82" s="23"/>
      <c r="J82" s="23"/>
    </row>
    <row r="83" spans="1:21" s="2" customFormat="1" ht="16.5" customHeight="1" thickBot="1">
      <c r="A83" s="40" t="s">
        <v>169</v>
      </c>
      <c r="B83" s="44" t="s">
        <v>28</v>
      </c>
      <c r="C83" s="9">
        <v>35</v>
      </c>
      <c r="D83" s="9">
        <v>41</v>
      </c>
      <c r="E83" s="9" t="s">
        <v>30</v>
      </c>
      <c r="H83" s="23"/>
      <c r="I83" s="23"/>
      <c r="J83" s="23"/>
      <c r="K83" s="23"/>
      <c r="L83" s="23"/>
      <c r="M83" s="23"/>
      <c r="N83" s="46"/>
      <c r="O83" s="17"/>
      <c r="P83" s="18"/>
    </row>
    <row r="84" spans="1:21">
      <c r="C84" s="63"/>
      <c r="D84" s="63"/>
      <c r="E84" s="63"/>
      <c r="F84" s="63"/>
      <c r="G84" s="63"/>
      <c r="H84" s="63"/>
      <c r="I84" s="63"/>
      <c r="J84" s="63"/>
      <c r="K84" s="63"/>
      <c r="L84" s="63"/>
    </row>
    <row r="85" spans="1:21" s="2" customFormat="1" ht="15">
      <c r="A85" s="99"/>
      <c r="B85" s="64" t="s">
        <v>18</v>
      </c>
      <c r="C85" s="66" t="s">
        <v>6</v>
      </c>
      <c r="D85" s="67" t="s">
        <v>3</v>
      </c>
      <c r="E85" s="68" t="s">
        <v>17</v>
      </c>
      <c r="F85" s="69" t="s">
        <v>19</v>
      </c>
      <c r="G85" s="100" t="s">
        <v>20</v>
      </c>
      <c r="H85" s="70" t="s">
        <v>135</v>
      </c>
      <c r="I85" s="101" t="s">
        <v>74</v>
      </c>
      <c r="J85" s="64" t="s">
        <v>13</v>
      </c>
      <c r="L85" s="64" t="s">
        <v>461</v>
      </c>
      <c r="R85" s="22"/>
      <c r="S85" s="17"/>
      <c r="T85" s="18"/>
      <c r="U85" s="15"/>
    </row>
    <row r="86" spans="1:21" s="2" customFormat="1" ht="15">
      <c r="A86" s="99" t="s">
        <v>8</v>
      </c>
      <c r="B86" s="110">
        <f>SUM(K8+O21+M60+S39+O76)</f>
        <v>57093</v>
      </c>
      <c r="C86" s="108">
        <f>SUM(O72+S33+M55+O16+K5)</f>
        <v>25630</v>
      </c>
      <c r="D86" s="108">
        <f>SUM(O73+S34+M56+O17+K6)</f>
        <v>15976</v>
      </c>
      <c r="E86" s="108">
        <v>300</v>
      </c>
      <c r="F86" s="108">
        <v>232</v>
      </c>
      <c r="G86" s="108">
        <f>SUM(S35+M57+O19+O74)</f>
        <v>6177</v>
      </c>
      <c r="H86" s="108">
        <f>SUM(S37)</f>
        <v>338</v>
      </c>
      <c r="I86" s="108">
        <v>810</v>
      </c>
      <c r="J86" s="108">
        <f>SUM(O75+M59+S38+O20+K7)</f>
        <v>7630</v>
      </c>
      <c r="L86" s="108">
        <f>SUM(14706+18636+22731+19649+15564)</f>
        <v>91286</v>
      </c>
      <c r="R86" s="12"/>
      <c r="S86" s="25"/>
      <c r="T86" s="18"/>
      <c r="U86" s="15"/>
    </row>
    <row r="87" spans="1:21" s="2" customFormat="1" ht="14.25">
      <c r="A87" s="99" t="s">
        <v>9</v>
      </c>
      <c r="B87" s="102">
        <v>1</v>
      </c>
      <c r="C87" s="103">
        <f t="shared" ref="C87:J87" si="0">SUM(C86/$B$86)</f>
        <v>0.44891667980312822</v>
      </c>
      <c r="D87" s="103">
        <f t="shared" si="0"/>
        <v>0.27982414656788046</v>
      </c>
      <c r="E87" s="103">
        <f t="shared" si="0"/>
        <v>5.2545846250853867E-3</v>
      </c>
      <c r="F87" s="103">
        <f t="shared" si="0"/>
        <v>4.0635454433993658E-3</v>
      </c>
      <c r="G87" s="103">
        <f t="shared" si="0"/>
        <v>0.10819189743050812</v>
      </c>
      <c r="H87" s="103">
        <f t="shared" si="0"/>
        <v>5.9201653442628697E-3</v>
      </c>
      <c r="I87" s="103">
        <f t="shared" si="0"/>
        <v>1.4187378487730546E-2</v>
      </c>
      <c r="J87" s="103">
        <f t="shared" si="0"/>
        <v>0.13364160229800501</v>
      </c>
      <c r="L87" s="64" t="s">
        <v>5</v>
      </c>
      <c r="R87" s="15"/>
      <c r="S87" s="15"/>
      <c r="T87" s="15"/>
      <c r="U87" s="15"/>
    </row>
    <row r="88" spans="1:21" s="2" customFormat="1" ht="14.25">
      <c r="A88" s="99" t="s">
        <v>10</v>
      </c>
      <c r="B88" s="110">
        <v>30</v>
      </c>
      <c r="C88" s="108">
        <v>14</v>
      </c>
      <c r="D88" s="108">
        <v>10</v>
      </c>
      <c r="E88" s="108">
        <v>0</v>
      </c>
      <c r="F88" s="108">
        <v>0</v>
      </c>
      <c r="G88" s="108">
        <v>4</v>
      </c>
      <c r="H88" s="108">
        <v>0</v>
      </c>
      <c r="I88" s="108">
        <v>0</v>
      </c>
      <c r="J88" s="108">
        <v>2</v>
      </c>
      <c r="L88" s="103">
        <f>SUM(B86/L86)</f>
        <v>0.62542996735534473</v>
      </c>
    </row>
    <row r="89" spans="1:21" s="2" customFormat="1" ht="16.5" customHeight="1">
      <c r="A89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83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8.7109375" customWidth="1"/>
    <col min="3" max="3" width="9.7109375" customWidth="1"/>
    <col min="4" max="18" width="8.7109375" customWidth="1"/>
  </cols>
  <sheetData>
    <row r="1" spans="1:17" s="2" customFormat="1" ht="16.5" customHeight="1">
      <c r="A1" s="31" t="s">
        <v>484</v>
      </c>
      <c r="B1" s="23"/>
      <c r="C1" s="23"/>
      <c r="D1" s="23"/>
      <c r="E1" s="23"/>
      <c r="F1" s="23"/>
      <c r="G1" s="23"/>
      <c r="H1" s="23"/>
      <c r="I1" s="23"/>
      <c r="J1" s="23"/>
    </row>
    <row r="2" spans="1:17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7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5"/>
      <c r="H3" s="12" t="s">
        <v>5</v>
      </c>
      <c r="I3" s="13">
        <f>SUM(10098/16521)</f>
        <v>0.6112220809878337</v>
      </c>
    </row>
    <row r="4" spans="1:17" s="2" customFormat="1" ht="16.5" customHeight="1" thickBot="1">
      <c r="A4" s="37" t="s">
        <v>21</v>
      </c>
      <c r="B4" s="38" t="s">
        <v>6</v>
      </c>
      <c r="C4" s="8">
        <v>3006</v>
      </c>
      <c r="D4" s="9"/>
      <c r="E4" s="8"/>
      <c r="F4" s="9"/>
      <c r="G4" s="11" t="s">
        <v>4</v>
      </c>
      <c r="H4" s="15"/>
      <c r="I4" s="12" t="s">
        <v>8</v>
      </c>
      <c r="J4" s="12" t="s">
        <v>9</v>
      </c>
      <c r="K4" s="12" t="s">
        <v>10</v>
      </c>
    </row>
    <row r="5" spans="1:17" s="2" customFormat="1" ht="16.5" customHeight="1" thickBot="1">
      <c r="A5" s="37" t="s">
        <v>22</v>
      </c>
      <c r="B5" s="39" t="s">
        <v>3</v>
      </c>
      <c r="C5" s="9">
        <v>1474</v>
      </c>
      <c r="D5" s="8">
        <v>1669</v>
      </c>
      <c r="E5" s="8"/>
      <c r="F5" s="9"/>
      <c r="G5" s="11" t="s">
        <v>7</v>
      </c>
      <c r="H5" s="16" t="s">
        <v>6</v>
      </c>
      <c r="I5" s="17">
        <f>SUM(C4+C6+C7+C8)</f>
        <v>6435</v>
      </c>
      <c r="J5" s="18">
        <f>SUM(I5/I9)</f>
        <v>0.64947517157852241</v>
      </c>
      <c r="K5" s="15">
        <v>4</v>
      </c>
    </row>
    <row r="6" spans="1:17" s="2" customFormat="1" ht="16.5" customHeight="1" thickBot="1">
      <c r="A6" s="37" t="s">
        <v>23</v>
      </c>
      <c r="B6" s="38" t="s">
        <v>6</v>
      </c>
      <c r="C6" s="9">
        <v>1292</v>
      </c>
      <c r="D6" s="9">
        <v>1540</v>
      </c>
      <c r="E6" s="9">
        <v>1607</v>
      </c>
      <c r="F6" s="8">
        <v>1714</v>
      </c>
      <c r="G6" s="11" t="s">
        <v>12</v>
      </c>
      <c r="H6" s="19" t="s">
        <v>3</v>
      </c>
      <c r="I6" s="17">
        <f>SUM(C5+C9)</f>
        <v>2316</v>
      </c>
      <c r="J6" s="18">
        <f>SUM(I6/I9)</f>
        <v>0.23375050464271296</v>
      </c>
      <c r="K6" s="15">
        <v>1</v>
      </c>
    </row>
    <row r="7" spans="1:17" s="2" customFormat="1" ht="16.5" customHeight="1" thickBot="1">
      <c r="A7" s="37" t="s">
        <v>24</v>
      </c>
      <c r="B7" s="38" t="s">
        <v>6</v>
      </c>
      <c r="C7" s="9">
        <v>1191</v>
      </c>
      <c r="D7" s="9">
        <v>1528</v>
      </c>
      <c r="E7" s="9">
        <v>1574</v>
      </c>
      <c r="F7" s="8">
        <v>1659</v>
      </c>
      <c r="G7" s="11" t="s">
        <v>15</v>
      </c>
      <c r="H7" s="33" t="s">
        <v>19</v>
      </c>
      <c r="I7" s="15">
        <v>384</v>
      </c>
      <c r="J7" s="18">
        <f>SUM(I7/I9)</f>
        <v>3.875656035526847E-2</v>
      </c>
    </row>
    <row r="8" spans="1:17" s="2" customFormat="1" ht="16.5" customHeight="1" thickBot="1">
      <c r="A8" s="37" t="s">
        <v>25</v>
      </c>
      <c r="B8" s="38" t="s">
        <v>6</v>
      </c>
      <c r="C8" s="9">
        <v>946</v>
      </c>
      <c r="D8" s="9">
        <v>1277</v>
      </c>
      <c r="E8" s="9">
        <v>1376</v>
      </c>
      <c r="F8" s="8">
        <v>1737</v>
      </c>
      <c r="G8" s="11" t="s">
        <v>11</v>
      </c>
      <c r="H8" s="12" t="s">
        <v>13</v>
      </c>
      <c r="I8" s="2">
        <v>773</v>
      </c>
      <c r="J8" s="13">
        <f>SUM(I8/I9)</f>
        <v>7.8017763423496159E-2</v>
      </c>
      <c r="K8" s="15"/>
    </row>
    <row r="9" spans="1:17" s="2" customFormat="1" ht="16.5" customHeight="1" thickBot="1">
      <c r="A9" s="40" t="s">
        <v>26</v>
      </c>
      <c r="B9" s="42" t="s">
        <v>3</v>
      </c>
      <c r="C9" s="9">
        <v>842</v>
      </c>
      <c r="D9" s="9">
        <v>926</v>
      </c>
      <c r="E9" s="9">
        <v>1002</v>
      </c>
      <c r="F9" s="9">
        <v>1176</v>
      </c>
      <c r="G9" s="11"/>
      <c r="I9" s="25">
        <v>9908</v>
      </c>
    </row>
    <row r="10" spans="1:17" s="2" customFormat="1" ht="16.5" customHeight="1" thickBot="1">
      <c r="A10" s="40" t="s">
        <v>27</v>
      </c>
      <c r="B10" s="44" t="s">
        <v>28</v>
      </c>
      <c r="C10" s="9">
        <v>773</v>
      </c>
      <c r="D10" s="9">
        <v>850</v>
      </c>
      <c r="E10" s="9">
        <v>938</v>
      </c>
      <c r="F10" s="9" t="s">
        <v>30</v>
      </c>
      <c r="G10" s="11"/>
    </row>
    <row r="11" spans="1:17" s="2" customFormat="1" ht="16.5" customHeight="1" thickBot="1">
      <c r="A11" s="40" t="s">
        <v>29</v>
      </c>
      <c r="B11" s="43" t="s">
        <v>19</v>
      </c>
      <c r="C11" s="9">
        <v>384</v>
      </c>
      <c r="D11" s="9">
        <v>466</v>
      </c>
      <c r="E11" s="9" t="s">
        <v>30</v>
      </c>
    </row>
    <row r="12" spans="1:17" s="2" customFormat="1" ht="10.5" customHeight="1">
      <c r="A12" s="31"/>
      <c r="B12" s="23"/>
      <c r="C12" s="23"/>
      <c r="D12" s="23"/>
      <c r="E12" s="23"/>
      <c r="F12" s="23"/>
      <c r="G12" s="23"/>
      <c r="H12" s="23"/>
      <c r="I12" s="23"/>
      <c r="J12" s="23"/>
    </row>
    <row r="13" spans="1:17" s="2" customFormat="1" ht="17.45" customHeight="1">
      <c r="A13" s="31" t="s">
        <v>31</v>
      </c>
      <c r="B13" s="23"/>
      <c r="C13" s="23"/>
      <c r="D13" s="23"/>
      <c r="E13" s="23"/>
      <c r="F13" s="23"/>
      <c r="G13" s="23"/>
      <c r="H13" s="23"/>
      <c r="I13" s="23"/>
      <c r="J13" s="23"/>
    </row>
    <row r="14" spans="1:17" s="2" customFormat="1" ht="10.5" customHeight="1" thickBot="1">
      <c r="A14" s="31"/>
      <c r="B14" s="23"/>
      <c r="C14" s="23"/>
      <c r="D14" s="23"/>
      <c r="E14" s="23"/>
      <c r="F14" s="23"/>
      <c r="G14" s="23"/>
      <c r="H14" s="23"/>
      <c r="I14" s="23"/>
      <c r="J14" s="23"/>
    </row>
    <row r="15" spans="1:17" s="2" customFormat="1" ht="16.5" customHeight="1" thickBot="1">
      <c r="A15" s="35" t="s">
        <v>0</v>
      </c>
      <c r="B15" s="36" t="s">
        <v>1</v>
      </c>
      <c r="C15" s="36" t="s">
        <v>2</v>
      </c>
      <c r="D15" s="36">
        <v>2</v>
      </c>
      <c r="E15" s="36">
        <v>3</v>
      </c>
      <c r="F15" s="36">
        <v>4</v>
      </c>
      <c r="G15" s="36">
        <v>5</v>
      </c>
      <c r="H15" s="36">
        <v>6</v>
      </c>
      <c r="I15" s="36">
        <v>7</v>
      </c>
      <c r="J15" s="36">
        <v>8</v>
      </c>
      <c r="K15" s="36">
        <v>9</v>
      </c>
      <c r="L15" s="36">
        <v>10</v>
      </c>
      <c r="M15" s="45"/>
      <c r="N15" s="12" t="s">
        <v>5</v>
      </c>
      <c r="O15" s="13">
        <f>SUM(15377/25351)</f>
        <v>0.60656384363535953</v>
      </c>
    </row>
    <row r="16" spans="1:17" s="2" customFormat="1" ht="16.5" customHeight="1" thickBot="1">
      <c r="A16" s="37" t="s">
        <v>32</v>
      </c>
      <c r="B16" s="39" t="s">
        <v>3</v>
      </c>
      <c r="C16" s="9">
        <v>1745</v>
      </c>
      <c r="D16" s="9">
        <v>1774</v>
      </c>
      <c r="E16" s="9">
        <v>1885</v>
      </c>
      <c r="F16" s="8">
        <v>2155</v>
      </c>
      <c r="G16" s="9"/>
      <c r="H16" s="8"/>
      <c r="I16" s="8"/>
      <c r="J16" s="9"/>
      <c r="K16" s="8"/>
      <c r="L16" s="8"/>
      <c r="M16" s="8" t="s">
        <v>4</v>
      </c>
      <c r="N16" s="15"/>
      <c r="O16" s="12" t="s">
        <v>8</v>
      </c>
      <c r="P16" s="12" t="s">
        <v>9</v>
      </c>
      <c r="Q16" s="12" t="s">
        <v>10</v>
      </c>
    </row>
    <row r="17" spans="1:17" s="2" customFormat="1" ht="16.5" customHeight="1" thickBot="1">
      <c r="A17" s="37" t="s">
        <v>33</v>
      </c>
      <c r="B17" s="38" t="s">
        <v>6</v>
      </c>
      <c r="C17" s="9">
        <v>1433</v>
      </c>
      <c r="D17" s="9">
        <v>1438</v>
      </c>
      <c r="E17" s="9">
        <v>1486</v>
      </c>
      <c r="F17" s="9">
        <v>1546</v>
      </c>
      <c r="G17" s="9">
        <v>1560</v>
      </c>
      <c r="H17" s="9">
        <v>1595</v>
      </c>
      <c r="I17" s="9">
        <v>1641</v>
      </c>
      <c r="J17" s="8">
        <v>2048</v>
      </c>
      <c r="K17" s="8"/>
      <c r="L17" s="8"/>
      <c r="M17" s="8" t="s">
        <v>7</v>
      </c>
      <c r="N17" s="16" t="s">
        <v>6</v>
      </c>
      <c r="O17" s="17">
        <f>SUM(C17+C18+C22+C23+C24)</f>
        <v>6005</v>
      </c>
      <c r="P17" s="18">
        <f>SUM(O17/O22)</f>
        <v>0.39755047997351872</v>
      </c>
      <c r="Q17" s="15">
        <v>3</v>
      </c>
    </row>
    <row r="18" spans="1:17" s="2" customFormat="1" ht="16.5" customHeight="1" thickBot="1">
      <c r="A18" s="37" t="s">
        <v>34</v>
      </c>
      <c r="B18" s="38" t="s">
        <v>6</v>
      </c>
      <c r="C18" s="9">
        <v>1358</v>
      </c>
      <c r="D18" s="9">
        <v>1396</v>
      </c>
      <c r="E18" s="9">
        <v>1448</v>
      </c>
      <c r="F18" s="9">
        <v>1461</v>
      </c>
      <c r="G18" s="9">
        <v>1469</v>
      </c>
      <c r="H18" s="9">
        <v>1585</v>
      </c>
      <c r="I18" s="9">
        <v>1709</v>
      </c>
      <c r="J18" s="8">
        <v>1913</v>
      </c>
      <c r="K18" s="8"/>
      <c r="L18" s="9"/>
      <c r="M18" s="8" t="s">
        <v>12</v>
      </c>
      <c r="N18" s="19" t="s">
        <v>3</v>
      </c>
      <c r="O18" s="17">
        <f>SUM(C16+C19+C20+C27)</f>
        <v>5002</v>
      </c>
      <c r="P18" s="18">
        <f>SUM(O18/O22)</f>
        <v>0.33114862628268787</v>
      </c>
      <c r="Q18" s="15">
        <v>3</v>
      </c>
    </row>
    <row r="19" spans="1:17" s="2" customFormat="1" ht="16.5" customHeight="1" thickBot="1">
      <c r="A19" s="37" t="s">
        <v>35</v>
      </c>
      <c r="B19" s="39" t="s">
        <v>3</v>
      </c>
      <c r="C19" s="9">
        <v>1256</v>
      </c>
      <c r="D19" s="9">
        <v>1285</v>
      </c>
      <c r="E19" s="9">
        <v>1375</v>
      </c>
      <c r="F19" s="9">
        <v>1449</v>
      </c>
      <c r="G19" s="9">
        <v>1504</v>
      </c>
      <c r="H19" s="9">
        <v>1699</v>
      </c>
      <c r="I19" s="9">
        <v>1840</v>
      </c>
      <c r="J19" s="8">
        <v>1919</v>
      </c>
      <c r="K19" s="8"/>
      <c r="L19" s="9"/>
      <c r="M19" s="8" t="s">
        <v>11</v>
      </c>
      <c r="N19" s="29" t="s">
        <v>17</v>
      </c>
      <c r="O19" s="17">
        <v>837</v>
      </c>
      <c r="P19" s="18">
        <f>SUM(O19/O22)</f>
        <v>5.5412115193644487E-2</v>
      </c>
      <c r="Q19" s="2">
        <v>1</v>
      </c>
    </row>
    <row r="20" spans="1:17" s="2" customFormat="1" ht="16.5" customHeight="1" thickBot="1">
      <c r="A20" s="37" t="s">
        <v>36</v>
      </c>
      <c r="B20" s="39" t="s">
        <v>3</v>
      </c>
      <c r="C20" s="9">
        <v>1205</v>
      </c>
      <c r="D20" s="9">
        <v>1208</v>
      </c>
      <c r="E20" s="9">
        <v>1222</v>
      </c>
      <c r="F20" s="9">
        <v>1308</v>
      </c>
      <c r="G20" s="9">
        <v>1379</v>
      </c>
      <c r="H20" s="9">
        <v>1421</v>
      </c>
      <c r="I20" s="9">
        <v>1476</v>
      </c>
      <c r="J20" s="9">
        <v>1596</v>
      </c>
      <c r="K20" s="9">
        <v>1634</v>
      </c>
      <c r="L20" s="8">
        <v>1642</v>
      </c>
      <c r="M20" s="8" t="s">
        <v>16</v>
      </c>
      <c r="N20" s="30" t="s">
        <v>20</v>
      </c>
      <c r="O20" s="17">
        <v>1165</v>
      </c>
      <c r="P20" s="18">
        <f>SUM(O20/O22)</f>
        <v>7.712677921218139E-2</v>
      </c>
    </row>
    <row r="21" spans="1:17" s="2" customFormat="1" ht="16.5" customHeight="1" thickBot="1">
      <c r="A21" s="37" t="s">
        <v>37</v>
      </c>
      <c r="B21" s="51" t="s">
        <v>20</v>
      </c>
      <c r="C21" s="9">
        <v>1165</v>
      </c>
      <c r="D21" s="9">
        <v>1201</v>
      </c>
      <c r="E21" s="9">
        <v>1293</v>
      </c>
      <c r="F21" s="9">
        <v>1321</v>
      </c>
      <c r="G21" s="9">
        <v>1335</v>
      </c>
      <c r="H21" s="9">
        <v>1496</v>
      </c>
      <c r="I21" s="9">
        <v>1589</v>
      </c>
      <c r="J21" s="9">
        <v>1656</v>
      </c>
      <c r="K21" s="9">
        <v>1662</v>
      </c>
      <c r="L21" s="8">
        <v>1669</v>
      </c>
      <c r="M21" s="8" t="s">
        <v>14</v>
      </c>
      <c r="N21" s="22" t="s">
        <v>13</v>
      </c>
      <c r="O21" s="17">
        <f>SUM(C25+C28+C29+C30)</f>
        <v>2096</v>
      </c>
      <c r="P21" s="18">
        <f>SUM(O21/O22)</f>
        <v>0.13876199933796757</v>
      </c>
    </row>
    <row r="22" spans="1:17" s="2" customFormat="1" ht="16.5" customHeight="1" thickBot="1">
      <c r="A22" s="37" t="s">
        <v>38</v>
      </c>
      <c r="B22" s="38" t="s">
        <v>6</v>
      </c>
      <c r="C22" s="9">
        <v>1103</v>
      </c>
      <c r="D22" s="9">
        <v>1120</v>
      </c>
      <c r="E22" s="9">
        <v>1155</v>
      </c>
      <c r="F22" s="9">
        <v>1231</v>
      </c>
      <c r="G22" s="9">
        <v>1255</v>
      </c>
      <c r="H22" s="9">
        <v>1277</v>
      </c>
      <c r="I22" s="9">
        <v>1504</v>
      </c>
      <c r="J22" s="9">
        <v>1673</v>
      </c>
      <c r="K22" s="9">
        <v>1739</v>
      </c>
      <c r="L22" s="8">
        <v>1744</v>
      </c>
      <c r="M22" s="8" t="s">
        <v>15</v>
      </c>
      <c r="N22" s="12"/>
      <c r="O22" s="25">
        <v>15105</v>
      </c>
      <c r="P22" s="13"/>
      <c r="Q22" s="15"/>
    </row>
    <row r="23" spans="1:17" s="2" customFormat="1" ht="16.5" customHeight="1" thickBot="1">
      <c r="A23" s="40" t="s">
        <v>181</v>
      </c>
      <c r="B23" s="41" t="s">
        <v>6</v>
      </c>
      <c r="C23" s="9">
        <v>1075</v>
      </c>
      <c r="D23" s="9">
        <v>1088</v>
      </c>
      <c r="E23" s="9">
        <v>1161</v>
      </c>
      <c r="F23" s="9">
        <v>1218</v>
      </c>
      <c r="G23" s="9">
        <v>1234</v>
      </c>
      <c r="H23" s="9">
        <v>1306</v>
      </c>
      <c r="I23" s="9">
        <v>1390</v>
      </c>
      <c r="J23" s="9" t="s">
        <v>30</v>
      </c>
      <c r="L23" s="23"/>
      <c r="M23" s="23"/>
    </row>
    <row r="24" spans="1:17" s="2" customFormat="1" ht="16.5" customHeight="1" thickBot="1">
      <c r="A24" s="40" t="s">
        <v>39</v>
      </c>
      <c r="B24" s="41" t="s">
        <v>6</v>
      </c>
      <c r="C24" s="9">
        <v>1036</v>
      </c>
      <c r="D24" s="9">
        <v>1082</v>
      </c>
      <c r="E24" s="9">
        <v>1130</v>
      </c>
      <c r="F24" s="9">
        <v>1141</v>
      </c>
      <c r="G24" s="9">
        <v>1142</v>
      </c>
      <c r="H24" s="9">
        <v>1297</v>
      </c>
      <c r="I24" s="9">
        <v>1437</v>
      </c>
      <c r="J24" s="9">
        <v>1551</v>
      </c>
      <c r="K24" s="9">
        <v>1600</v>
      </c>
      <c r="L24" s="9">
        <v>1610</v>
      </c>
      <c r="M24" s="9"/>
    </row>
    <row r="25" spans="1:17" s="2" customFormat="1" ht="16.5" customHeight="1" thickBot="1">
      <c r="A25" s="40" t="s">
        <v>40</v>
      </c>
      <c r="B25" s="44" t="s">
        <v>28</v>
      </c>
      <c r="C25" s="9">
        <v>992</v>
      </c>
      <c r="D25" s="9">
        <v>1052</v>
      </c>
      <c r="E25" s="9">
        <v>1082</v>
      </c>
      <c r="F25" s="9">
        <v>1150</v>
      </c>
      <c r="G25" s="9">
        <v>1167</v>
      </c>
      <c r="H25" s="9">
        <v>1233</v>
      </c>
      <c r="I25" s="9" t="s">
        <v>30</v>
      </c>
      <c r="J25" s="23"/>
      <c r="K25" s="23"/>
      <c r="L25" s="23"/>
      <c r="M25" s="23"/>
    </row>
    <row r="26" spans="1:17" s="2" customFormat="1" ht="16.5" customHeight="1" thickBot="1">
      <c r="A26" s="40" t="s">
        <v>41</v>
      </c>
      <c r="B26" s="50" t="s">
        <v>17</v>
      </c>
      <c r="C26" s="9">
        <v>837</v>
      </c>
      <c r="D26" s="9">
        <v>891</v>
      </c>
      <c r="E26" s="9">
        <v>977</v>
      </c>
      <c r="F26" s="9">
        <v>1013</v>
      </c>
      <c r="G26" s="9">
        <v>1028</v>
      </c>
      <c r="H26" s="9" t="s">
        <v>30</v>
      </c>
      <c r="I26" s="23"/>
      <c r="J26" s="23"/>
      <c r="K26" s="23"/>
      <c r="L26" s="23"/>
      <c r="M26" s="23"/>
    </row>
    <row r="27" spans="1:17" s="2" customFormat="1" ht="16.5" customHeight="1" thickBot="1">
      <c r="A27" s="40" t="s">
        <v>42</v>
      </c>
      <c r="B27" s="42" t="s">
        <v>3</v>
      </c>
      <c r="C27" s="9">
        <v>796</v>
      </c>
      <c r="D27" s="9">
        <v>808</v>
      </c>
      <c r="E27" s="9">
        <v>816</v>
      </c>
      <c r="F27" s="9" t="s">
        <v>30</v>
      </c>
      <c r="H27" s="23"/>
      <c r="I27" s="23"/>
      <c r="J27" s="23"/>
    </row>
    <row r="28" spans="1:17" s="2" customFormat="1" ht="16.5" customHeight="1" thickBot="1">
      <c r="A28" s="40" t="s">
        <v>43</v>
      </c>
      <c r="B28" s="44" t="s">
        <v>28</v>
      </c>
      <c r="C28" s="9">
        <v>724</v>
      </c>
      <c r="D28" s="9">
        <v>738</v>
      </c>
      <c r="E28" s="9" t="s">
        <v>30</v>
      </c>
      <c r="G28" s="23"/>
      <c r="H28" s="23"/>
      <c r="I28" s="23"/>
      <c r="J28" s="23"/>
      <c r="K28" s="23"/>
      <c r="L28" s="23"/>
      <c r="M28" s="23"/>
      <c r="N28" s="46"/>
      <c r="O28" s="17"/>
      <c r="P28" s="18"/>
    </row>
    <row r="29" spans="1:17" s="2" customFormat="1" ht="16.5" customHeight="1" thickBot="1">
      <c r="A29" s="40" t="s">
        <v>44</v>
      </c>
      <c r="B29" s="44" t="s">
        <v>28</v>
      </c>
      <c r="C29" s="9">
        <v>233</v>
      </c>
      <c r="D29" s="9" t="s">
        <v>30</v>
      </c>
      <c r="F29" s="23"/>
      <c r="G29" s="23"/>
      <c r="H29" s="23"/>
      <c r="I29" s="23"/>
      <c r="J29" s="23"/>
      <c r="K29" s="23"/>
      <c r="L29" s="23"/>
      <c r="M29" s="23"/>
      <c r="N29" s="12"/>
      <c r="O29" s="25"/>
      <c r="P29" s="13"/>
      <c r="Q29" s="15"/>
    </row>
    <row r="30" spans="1:17" s="2" customFormat="1" ht="16.5" customHeight="1" thickBot="1">
      <c r="A30" s="40" t="s">
        <v>45</v>
      </c>
      <c r="B30" s="44" t="s">
        <v>28</v>
      </c>
      <c r="C30" s="9">
        <v>147</v>
      </c>
      <c r="D30" s="9" t="s">
        <v>30</v>
      </c>
      <c r="F30" s="23"/>
      <c r="G30" s="23"/>
      <c r="H30" s="23"/>
      <c r="I30" s="23"/>
      <c r="J30" s="23"/>
    </row>
    <row r="31" spans="1:17" s="2" customFormat="1" ht="11.25" customHeight="1">
      <c r="A31" s="28"/>
      <c r="B31" s="47"/>
      <c r="C31" s="28"/>
      <c r="D31" s="28"/>
      <c r="E31" s="28"/>
      <c r="F31" s="23"/>
      <c r="G31" s="23"/>
      <c r="H31" s="23"/>
      <c r="I31" s="23"/>
      <c r="J31" s="23"/>
      <c r="N31" s="18"/>
    </row>
    <row r="32" spans="1:17" s="2" customFormat="1" ht="17.45" customHeight="1">
      <c r="A32" s="1" t="s">
        <v>53</v>
      </c>
    </row>
    <row r="33" spans="1:14" s="2" customFormat="1" ht="10.5" customHeight="1" thickBot="1">
      <c r="A33" s="1"/>
    </row>
    <row r="34" spans="1:14" s="2" customFormat="1" ht="16.5" customHeight="1" thickBot="1">
      <c r="A34" s="3" t="s">
        <v>0</v>
      </c>
      <c r="B34" s="4" t="s">
        <v>1</v>
      </c>
      <c r="C34" s="4" t="s">
        <v>2</v>
      </c>
      <c r="D34" s="4">
        <v>2</v>
      </c>
      <c r="E34" s="4">
        <v>3</v>
      </c>
      <c r="F34" s="4">
        <v>4</v>
      </c>
      <c r="G34" s="4">
        <v>5</v>
      </c>
      <c r="H34" s="4">
        <v>6</v>
      </c>
      <c r="I34" s="4">
        <v>7</v>
      </c>
      <c r="J34" s="5"/>
      <c r="K34" s="12" t="s">
        <v>5</v>
      </c>
      <c r="L34" s="13">
        <f>SUM(14627/23845)</f>
        <v>0.61342000419375131</v>
      </c>
    </row>
    <row r="35" spans="1:14" s="2" customFormat="1" ht="16.5" customHeight="1" thickBot="1">
      <c r="A35" s="6" t="s">
        <v>54</v>
      </c>
      <c r="B35" s="14" t="s">
        <v>6</v>
      </c>
      <c r="C35" s="8">
        <v>2068</v>
      </c>
      <c r="D35" s="9"/>
      <c r="E35" s="8"/>
      <c r="F35" s="9"/>
      <c r="G35" s="9"/>
      <c r="H35" s="9"/>
      <c r="I35" s="9"/>
      <c r="J35" s="11" t="s">
        <v>4</v>
      </c>
      <c r="K35" s="15"/>
      <c r="L35" s="12" t="s">
        <v>8</v>
      </c>
      <c r="M35" s="12" t="s">
        <v>9</v>
      </c>
      <c r="N35" s="12" t="s">
        <v>10</v>
      </c>
    </row>
    <row r="36" spans="1:14" s="2" customFormat="1" ht="16.5" customHeight="1" thickBot="1">
      <c r="A36" s="6" t="s">
        <v>55</v>
      </c>
      <c r="B36" s="7" t="s">
        <v>3</v>
      </c>
      <c r="C36" s="8">
        <v>1863</v>
      </c>
      <c r="D36" s="9"/>
      <c r="E36" s="9"/>
      <c r="F36" s="8"/>
      <c r="G36" s="8"/>
      <c r="H36" s="8"/>
      <c r="I36" s="8"/>
      <c r="J36" s="11" t="s">
        <v>7</v>
      </c>
      <c r="K36" s="16" t="s">
        <v>6</v>
      </c>
      <c r="L36" s="17">
        <f>SUM(C35+C39+C40+C41+C45)</f>
        <v>6621</v>
      </c>
      <c r="M36" s="18">
        <f>SUM(L36/L40)</f>
        <v>0.46139372822299651</v>
      </c>
      <c r="N36" s="15">
        <v>4</v>
      </c>
    </row>
    <row r="37" spans="1:14" s="2" customFormat="1" ht="16.5" customHeight="1" thickBot="1">
      <c r="A37" s="6" t="s">
        <v>60</v>
      </c>
      <c r="B37" s="24" t="s">
        <v>28</v>
      </c>
      <c r="C37" s="9">
        <v>1429</v>
      </c>
      <c r="D37" s="9">
        <v>1442</v>
      </c>
      <c r="E37" s="9">
        <v>1467</v>
      </c>
      <c r="F37" s="9">
        <v>1490</v>
      </c>
      <c r="G37" s="9">
        <v>1534</v>
      </c>
      <c r="H37" s="9">
        <v>1662</v>
      </c>
      <c r="I37" s="8">
        <v>1712</v>
      </c>
      <c r="J37" s="8" t="s">
        <v>14</v>
      </c>
      <c r="K37" s="19" t="s">
        <v>3</v>
      </c>
      <c r="L37" s="17">
        <f>SUM(C36+C38+C43+C44)</f>
        <v>5076</v>
      </c>
      <c r="M37" s="18">
        <f>SUM(L37/L40)</f>
        <v>0.35372822299651568</v>
      </c>
      <c r="N37" s="15">
        <v>2</v>
      </c>
    </row>
    <row r="38" spans="1:14" s="2" customFormat="1" ht="16.5" customHeight="1" thickBot="1">
      <c r="A38" s="6" t="s">
        <v>56</v>
      </c>
      <c r="B38" s="7" t="s">
        <v>3</v>
      </c>
      <c r="C38" s="9">
        <v>1396</v>
      </c>
      <c r="D38" s="9">
        <v>1398</v>
      </c>
      <c r="E38" s="9">
        <v>1403</v>
      </c>
      <c r="F38" s="9">
        <v>1466</v>
      </c>
      <c r="G38" s="9">
        <v>1611</v>
      </c>
      <c r="H38" s="8">
        <v>2143</v>
      </c>
      <c r="I38" s="8"/>
      <c r="J38" s="11" t="s">
        <v>11</v>
      </c>
      <c r="K38" s="30" t="s">
        <v>20</v>
      </c>
      <c r="L38" s="23">
        <v>1045</v>
      </c>
      <c r="M38" s="13">
        <f>SUM(L38/L40)</f>
        <v>7.2822299651567945E-2</v>
      </c>
    </row>
    <row r="39" spans="1:14" s="2" customFormat="1" ht="16.5" customHeight="1" thickBot="1">
      <c r="A39" s="6" t="s">
        <v>57</v>
      </c>
      <c r="B39" s="14" t="s">
        <v>6</v>
      </c>
      <c r="C39" s="9">
        <v>1377</v>
      </c>
      <c r="D39" s="9">
        <v>1500</v>
      </c>
      <c r="E39" s="9">
        <v>1574</v>
      </c>
      <c r="F39" s="9">
        <v>1620</v>
      </c>
      <c r="G39" s="9">
        <v>1699</v>
      </c>
      <c r="H39" s="9">
        <v>1756</v>
      </c>
      <c r="I39" s="8">
        <v>1769</v>
      </c>
      <c r="J39" s="11" t="s">
        <v>15</v>
      </c>
      <c r="K39" s="12" t="s">
        <v>13</v>
      </c>
      <c r="L39" s="23">
        <f>SUM(C37+C46+C47)</f>
        <v>1608</v>
      </c>
      <c r="M39" s="13">
        <f>SUM(L39/L40)</f>
        <v>0.11205574912891986</v>
      </c>
      <c r="N39" s="2">
        <v>1</v>
      </c>
    </row>
    <row r="40" spans="1:14" s="2" customFormat="1" ht="16.5" customHeight="1" thickBot="1">
      <c r="A40" s="6" t="s">
        <v>58</v>
      </c>
      <c r="B40" s="14" t="s">
        <v>6</v>
      </c>
      <c r="C40" s="9">
        <v>1351</v>
      </c>
      <c r="D40" s="9">
        <v>1381</v>
      </c>
      <c r="E40" s="9">
        <v>1394</v>
      </c>
      <c r="F40" s="9">
        <v>1543</v>
      </c>
      <c r="G40" s="9">
        <v>1584</v>
      </c>
      <c r="H40" s="9">
        <v>1763</v>
      </c>
      <c r="I40" s="8">
        <v>1913</v>
      </c>
      <c r="J40" s="11" t="s">
        <v>12</v>
      </c>
      <c r="K40" s="15"/>
      <c r="L40" s="25">
        <v>14350</v>
      </c>
      <c r="N40" s="15"/>
    </row>
    <row r="41" spans="1:14" s="2" customFormat="1" ht="16.5" customHeight="1" thickBot="1">
      <c r="A41" s="6" t="s">
        <v>59</v>
      </c>
      <c r="B41" s="14" t="s">
        <v>6</v>
      </c>
      <c r="C41" s="9">
        <v>1277</v>
      </c>
      <c r="D41" s="9">
        <v>1329</v>
      </c>
      <c r="E41" s="9">
        <v>1344</v>
      </c>
      <c r="F41" s="9">
        <v>1433</v>
      </c>
      <c r="G41" s="9">
        <v>1564</v>
      </c>
      <c r="H41" s="9">
        <v>1643</v>
      </c>
      <c r="I41" s="8">
        <v>1683</v>
      </c>
      <c r="J41" s="11" t="s">
        <v>16</v>
      </c>
    </row>
    <row r="42" spans="1:14" s="2" customFormat="1" ht="16.5" customHeight="1" thickBot="1">
      <c r="A42" s="20" t="s">
        <v>61</v>
      </c>
      <c r="B42" s="34" t="s">
        <v>20</v>
      </c>
      <c r="C42" s="9">
        <v>1045</v>
      </c>
      <c r="D42" s="9">
        <v>1051</v>
      </c>
      <c r="E42" s="9">
        <v>1062</v>
      </c>
      <c r="F42" s="9">
        <v>1210</v>
      </c>
      <c r="G42" s="9">
        <v>1240</v>
      </c>
      <c r="H42" s="9" t="s">
        <v>30</v>
      </c>
      <c r="I42" s="23"/>
    </row>
    <row r="43" spans="1:14" s="2" customFormat="1" ht="16.5" customHeight="1" thickBot="1">
      <c r="A43" s="20" t="s">
        <v>62</v>
      </c>
      <c r="B43" s="27" t="s">
        <v>3</v>
      </c>
      <c r="C43" s="9">
        <v>1013</v>
      </c>
      <c r="D43" s="9">
        <v>1020</v>
      </c>
      <c r="E43" s="9">
        <v>1025</v>
      </c>
      <c r="F43" s="9">
        <v>1030</v>
      </c>
      <c r="G43" s="9">
        <v>1320</v>
      </c>
      <c r="H43" s="9">
        <v>1360</v>
      </c>
      <c r="I43" s="9">
        <v>1398</v>
      </c>
      <c r="J43" s="11"/>
    </row>
    <row r="44" spans="1:14" s="2" customFormat="1" ht="16.5" customHeight="1" thickBot="1">
      <c r="A44" s="20" t="s">
        <v>63</v>
      </c>
      <c r="B44" s="27" t="s">
        <v>3</v>
      </c>
      <c r="C44" s="9">
        <v>804</v>
      </c>
      <c r="D44" s="9">
        <v>820</v>
      </c>
      <c r="E44" s="9">
        <v>830</v>
      </c>
      <c r="F44" s="9">
        <v>835</v>
      </c>
      <c r="G44" s="9" t="s">
        <v>30</v>
      </c>
    </row>
    <row r="45" spans="1:14" s="2" customFormat="1" ht="16.5" customHeight="1" thickBot="1">
      <c r="A45" s="20" t="s">
        <v>64</v>
      </c>
      <c r="B45" s="21" t="s">
        <v>6</v>
      </c>
      <c r="C45" s="9">
        <v>548</v>
      </c>
      <c r="D45" s="9">
        <v>560</v>
      </c>
      <c r="E45" s="9">
        <v>565</v>
      </c>
      <c r="F45" s="9" t="s">
        <v>30</v>
      </c>
      <c r="K45"/>
    </row>
    <row r="46" spans="1:14" s="2" customFormat="1" ht="16.5" customHeight="1" thickBot="1">
      <c r="A46" s="20" t="s">
        <v>65</v>
      </c>
      <c r="B46" s="26" t="s">
        <v>28</v>
      </c>
      <c r="C46" s="10">
        <v>142</v>
      </c>
      <c r="D46" s="10">
        <v>153</v>
      </c>
      <c r="E46" s="9" t="s">
        <v>30</v>
      </c>
      <c r="G46" s="23"/>
      <c r="H46"/>
      <c r="I46"/>
      <c r="J46"/>
    </row>
    <row r="47" spans="1:14" s="2" customFormat="1" ht="16.5" customHeight="1" thickBot="1">
      <c r="A47" s="20" t="s">
        <v>66</v>
      </c>
      <c r="B47" s="26" t="s">
        <v>28</v>
      </c>
      <c r="C47" s="10">
        <v>37</v>
      </c>
      <c r="D47" s="10">
        <v>39</v>
      </c>
      <c r="E47" s="10" t="s">
        <v>30</v>
      </c>
      <c r="G47" s="23"/>
      <c r="H47"/>
      <c r="I47"/>
      <c r="J47"/>
    </row>
    <row r="49" spans="1:17" s="2" customFormat="1" ht="17.45" customHeight="1">
      <c r="A49" s="31" t="s">
        <v>46</v>
      </c>
      <c r="B49" s="23"/>
      <c r="C49" s="23"/>
      <c r="D49" s="23"/>
      <c r="E49" s="23"/>
      <c r="F49" s="23"/>
      <c r="G49" s="23"/>
      <c r="H49" s="23"/>
      <c r="I49" s="23"/>
      <c r="J49" s="23"/>
    </row>
    <row r="50" spans="1:17" s="2" customFormat="1" ht="8.25" customHeight="1" thickBot="1">
      <c r="A50" s="31"/>
      <c r="B50" s="23"/>
      <c r="C50" s="23"/>
      <c r="D50" s="23"/>
      <c r="E50" s="23"/>
      <c r="F50" s="23"/>
      <c r="G50" s="23"/>
      <c r="H50" s="23"/>
      <c r="I50" s="23"/>
      <c r="J50" s="23"/>
    </row>
    <row r="51" spans="1:17" s="2" customFormat="1" ht="17.45" customHeight="1" thickBot="1">
      <c r="A51" s="35" t="s">
        <v>0</v>
      </c>
      <c r="B51" s="36" t="s">
        <v>1</v>
      </c>
      <c r="C51" s="36" t="s">
        <v>2</v>
      </c>
      <c r="D51" s="36">
        <v>2</v>
      </c>
      <c r="E51" s="36">
        <v>3</v>
      </c>
      <c r="F51" s="36">
        <v>4</v>
      </c>
      <c r="G51" s="36">
        <v>5</v>
      </c>
      <c r="H51" s="36"/>
      <c r="I51" s="25" t="s">
        <v>5</v>
      </c>
      <c r="J51" s="13">
        <f>SUM(8406/15503)</f>
        <v>0.54221763529639422</v>
      </c>
      <c r="L51" s="13"/>
    </row>
    <row r="52" spans="1:17" s="2" customFormat="1" ht="17.45" customHeight="1" thickBot="1">
      <c r="A52" s="37" t="s">
        <v>47</v>
      </c>
      <c r="B52" s="39" t="s">
        <v>3</v>
      </c>
      <c r="C52" s="8">
        <v>1924</v>
      </c>
      <c r="D52" s="9"/>
      <c r="E52" s="8"/>
      <c r="F52" s="9"/>
      <c r="G52" s="9"/>
      <c r="H52" s="8" t="s">
        <v>4</v>
      </c>
      <c r="I52" s="17"/>
      <c r="J52" s="12" t="s">
        <v>8</v>
      </c>
      <c r="K52" s="12" t="s">
        <v>9</v>
      </c>
      <c r="L52" s="12" t="s">
        <v>10</v>
      </c>
    </row>
    <row r="53" spans="1:17" s="2" customFormat="1" ht="17.45" customHeight="1" thickBot="1">
      <c r="A53" s="37" t="s">
        <v>48</v>
      </c>
      <c r="B53" s="51" t="s">
        <v>20</v>
      </c>
      <c r="C53" s="44">
        <v>1357</v>
      </c>
      <c r="D53" s="9">
        <v>1444</v>
      </c>
      <c r="E53" s="9">
        <v>1517</v>
      </c>
      <c r="F53" s="8">
        <v>1779</v>
      </c>
      <c r="G53" s="9"/>
      <c r="H53" s="8" t="s">
        <v>11</v>
      </c>
      <c r="I53" s="48" t="s">
        <v>6</v>
      </c>
      <c r="J53" s="17">
        <f>SUM(C54+C55+C58)</f>
        <v>2923</v>
      </c>
      <c r="K53" s="18">
        <f>SUM(J53/J57)</f>
        <v>0.35081613058089295</v>
      </c>
      <c r="L53" s="15">
        <v>2</v>
      </c>
    </row>
    <row r="54" spans="1:17" s="2" customFormat="1" ht="17.45" customHeight="1" thickBot="1">
      <c r="A54" s="37" t="s">
        <v>49</v>
      </c>
      <c r="B54" s="38" t="s">
        <v>6</v>
      </c>
      <c r="C54" s="9">
        <v>1314</v>
      </c>
      <c r="D54" s="9">
        <v>1340</v>
      </c>
      <c r="E54" s="9">
        <v>1415</v>
      </c>
      <c r="F54" s="9">
        <v>1495</v>
      </c>
      <c r="G54" s="8">
        <v>1600</v>
      </c>
      <c r="H54" s="8" t="s">
        <v>12</v>
      </c>
      <c r="I54" s="49" t="s">
        <v>3</v>
      </c>
      <c r="J54" s="17">
        <f>SUM(C52+C56)</f>
        <v>3032</v>
      </c>
      <c r="K54" s="18">
        <f>SUM(J54/J57)</f>
        <v>0.3638982237157945</v>
      </c>
      <c r="L54" s="15">
        <v>1</v>
      </c>
    </row>
    <row r="55" spans="1:17" s="2" customFormat="1" ht="17.45" customHeight="1" thickBot="1">
      <c r="A55" s="37" t="s">
        <v>50</v>
      </c>
      <c r="B55" s="38" t="s">
        <v>6</v>
      </c>
      <c r="C55" s="9">
        <v>1247</v>
      </c>
      <c r="D55" s="9">
        <v>1284</v>
      </c>
      <c r="E55" s="9">
        <v>1433</v>
      </c>
      <c r="F55" s="8">
        <v>1848</v>
      </c>
      <c r="G55" s="9"/>
      <c r="H55" s="8" t="s">
        <v>7</v>
      </c>
      <c r="I55" s="53" t="s">
        <v>20</v>
      </c>
      <c r="J55" s="23">
        <v>1357</v>
      </c>
      <c r="K55" s="13">
        <f>SUM(J55/J57)</f>
        <v>0.16286605856937109</v>
      </c>
      <c r="L55" s="2">
        <v>1</v>
      </c>
    </row>
    <row r="56" spans="1:17" s="2" customFormat="1" ht="17.45" customHeight="1" thickBot="1">
      <c r="A56" s="40" t="s">
        <v>51</v>
      </c>
      <c r="B56" s="42" t="s">
        <v>3</v>
      </c>
      <c r="C56" s="9">
        <v>1108</v>
      </c>
      <c r="D56" s="9">
        <v>1176</v>
      </c>
      <c r="E56" s="9">
        <v>1195</v>
      </c>
      <c r="F56" s="9">
        <v>1385</v>
      </c>
      <c r="G56" s="9">
        <v>1461</v>
      </c>
      <c r="H56" s="9"/>
      <c r="I56" s="25" t="s">
        <v>13</v>
      </c>
      <c r="J56" s="23">
        <v>1020</v>
      </c>
      <c r="K56" s="13">
        <f>SUM(J56/J57)</f>
        <v>0.12241958713394142</v>
      </c>
    </row>
    <row r="57" spans="1:17" s="2" customFormat="1" ht="17.45" customHeight="1" thickBot="1">
      <c r="A57" s="40" t="s">
        <v>52</v>
      </c>
      <c r="B57" s="44" t="s">
        <v>28</v>
      </c>
      <c r="C57" s="9">
        <v>1020</v>
      </c>
      <c r="D57" s="9">
        <v>1046</v>
      </c>
      <c r="E57" s="9">
        <v>1081</v>
      </c>
      <c r="F57" s="9" t="s">
        <v>30</v>
      </c>
      <c r="G57" s="23"/>
      <c r="H57" s="23"/>
      <c r="I57" s="23"/>
      <c r="J57" s="25">
        <v>8332</v>
      </c>
    </row>
    <row r="58" spans="1:17" s="2" customFormat="1" ht="17.45" customHeight="1" thickBot="1">
      <c r="A58" s="40" t="s">
        <v>27</v>
      </c>
      <c r="B58" s="41" t="s">
        <v>6</v>
      </c>
      <c r="C58" s="9">
        <v>362</v>
      </c>
      <c r="D58" s="9">
        <v>375</v>
      </c>
      <c r="E58" s="9" t="s">
        <v>30</v>
      </c>
      <c r="F58" s="23"/>
      <c r="G58" s="23"/>
      <c r="H58" s="23"/>
      <c r="I58" s="23"/>
    </row>
    <row r="60" spans="1:17" s="2" customFormat="1" ht="17.45" customHeight="1">
      <c r="A60" s="31" t="s">
        <v>67</v>
      </c>
      <c r="B60" s="23"/>
      <c r="C60" s="23"/>
      <c r="D60" s="23"/>
      <c r="E60" s="23"/>
      <c r="F60" s="23"/>
      <c r="G60" s="23"/>
      <c r="H60" s="23"/>
      <c r="I60" s="23"/>
      <c r="J60" s="23"/>
    </row>
    <row r="61" spans="1:17" s="2" customFormat="1" ht="10.5" customHeight="1" thickBot="1">
      <c r="A61" s="31"/>
      <c r="B61" s="23"/>
      <c r="C61" s="23"/>
      <c r="D61" s="23"/>
      <c r="E61" s="23"/>
      <c r="F61" s="23"/>
      <c r="G61" s="23"/>
      <c r="H61" s="23"/>
      <c r="I61" s="23"/>
      <c r="J61" s="23"/>
    </row>
    <row r="62" spans="1:17" s="2" customFormat="1" ht="16.5" customHeight="1" thickBot="1">
      <c r="A62" s="35" t="s">
        <v>0</v>
      </c>
      <c r="B62" s="36" t="s">
        <v>1</v>
      </c>
      <c r="C62" s="36" t="s">
        <v>2</v>
      </c>
      <c r="D62" s="36">
        <v>2</v>
      </c>
      <c r="E62" s="36">
        <v>3</v>
      </c>
      <c r="F62" s="36">
        <v>4</v>
      </c>
      <c r="G62" s="36">
        <v>5</v>
      </c>
      <c r="H62" s="36">
        <v>6</v>
      </c>
      <c r="I62" s="36">
        <v>7</v>
      </c>
      <c r="J62" s="36">
        <v>8</v>
      </c>
      <c r="K62" s="36">
        <v>9</v>
      </c>
      <c r="L62" s="36">
        <v>10</v>
      </c>
      <c r="M62" s="45"/>
      <c r="N62" s="12" t="s">
        <v>5</v>
      </c>
      <c r="O62" s="13">
        <f>SUM(12862/25628)</f>
        <v>0.5018729514593413</v>
      </c>
    </row>
    <row r="63" spans="1:17" s="2" customFormat="1" ht="16.5" customHeight="1" thickBot="1">
      <c r="A63" s="37" t="s">
        <v>68</v>
      </c>
      <c r="B63" s="39" t="s">
        <v>3</v>
      </c>
      <c r="C63" s="9">
        <v>1570</v>
      </c>
      <c r="D63" s="8">
        <v>1611</v>
      </c>
      <c r="E63" s="9"/>
      <c r="F63" s="8"/>
      <c r="G63" s="9"/>
      <c r="H63" s="8"/>
      <c r="I63" s="8"/>
      <c r="J63" s="9"/>
      <c r="K63" s="9"/>
      <c r="L63" s="9"/>
      <c r="M63" s="8" t="s">
        <v>4</v>
      </c>
      <c r="N63" s="15"/>
      <c r="O63" s="12" t="s">
        <v>8</v>
      </c>
      <c r="P63" s="12" t="s">
        <v>9</v>
      </c>
      <c r="Q63" s="12" t="s">
        <v>10</v>
      </c>
    </row>
    <row r="64" spans="1:17" s="2" customFormat="1" ht="16.5" customHeight="1" thickBot="1">
      <c r="A64" s="37" t="s">
        <v>494</v>
      </c>
      <c r="B64" s="39" t="s">
        <v>3</v>
      </c>
      <c r="C64" s="9">
        <v>1438</v>
      </c>
      <c r="D64" s="9">
        <v>1453</v>
      </c>
      <c r="E64" s="9">
        <v>1464</v>
      </c>
      <c r="F64" s="9">
        <v>1490</v>
      </c>
      <c r="G64" s="8">
        <v>1638</v>
      </c>
      <c r="H64" s="9"/>
      <c r="I64" s="9"/>
      <c r="J64" s="8"/>
      <c r="K64" s="8"/>
      <c r="L64" s="8"/>
      <c r="M64" s="8" t="s">
        <v>7</v>
      </c>
      <c r="N64" s="16" t="s">
        <v>6</v>
      </c>
      <c r="O64" s="17">
        <f>SUM(C66+C67+C71+C73+C68)</f>
        <v>4719</v>
      </c>
      <c r="P64" s="18">
        <f>SUM(O64/O68)</f>
        <v>0.37491062207039011</v>
      </c>
      <c r="Q64" s="15">
        <v>3</v>
      </c>
    </row>
    <row r="65" spans="1:20" s="2" customFormat="1" ht="16.5" customHeight="1" thickBot="1">
      <c r="A65" s="37" t="s">
        <v>69</v>
      </c>
      <c r="B65" s="52" t="s">
        <v>28</v>
      </c>
      <c r="C65" s="9">
        <v>1410</v>
      </c>
      <c r="D65" s="9">
        <v>1434</v>
      </c>
      <c r="E65" s="9">
        <v>1437</v>
      </c>
      <c r="F65" s="9">
        <v>1456</v>
      </c>
      <c r="G65" s="9">
        <v>1463</v>
      </c>
      <c r="H65" s="9">
        <v>1474</v>
      </c>
      <c r="I65" s="9">
        <v>1561</v>
      </c>
      <c r="J65" s="8">
        <v>1583</v>
      </c>
      <c r="K65" s="8"/>
      <c r="L65" s="9"/>
      <c r="M65" s="8" t="s">
        <v>11</v>
      </c>
      <c r="N65" s="19" t="s">
        <v>3</v>
      </c>
      <c r="O65" s="17">
        <f>SUM(C63+C64+C75+C76)</f>
        <v>3621</v>
      </c>
      <c r="P65" s="18">
        <f>SUM(O65/O68)</f>
        <v>0.28767776277111307</v>
      </c>
      <c r="Q65" s="15">
        <v>2</v>
      </c>
    </row>
    <row r="66" spans="1:20" s="2" customFormat="1" ht="16.5" customHeight="1" thickBot="1">
      <c r="A66" s="37" t="s">
        <v>70</v>
      </c>
      <c r="B66" s="38" t="s">
        <v>6</v>
      </c>
      <c r="C66" s="9">
        <v>1196</v>
      </c>
      <c r="D66" s="9">
        <v>1196</v>
      </c>
      <c r="E66" s="9">
        <v>1197</v>
      </c>
      <c r="F66" s="9">
        <v>1344</v>
      </c>
      <c r="G66" s="9">
        <v>1391</v>
      </c>
      <c r="H66" s="9">
        <v>1400</v>
      </c>
      <c r="I66" s="9">
        <v>1433</v>
      </c>
      <c r="J66" s="9">
        <v>1539</v>
      </c>
      <c r="K66" s="8">
        <v>1667</v>
      </c>
      <c r="L66" s="9"/>
      <c r="M66" s="8" t="s">
        <v>12</v>
      </c>
      <c r="N66" s="54" t="s">
        <v>74</v>
      </c>
      <c r="O66" s="17">
        <v>584</v>
      </c>
      <c r="P66" s="18">
        <f>SUM(O66/O68)</f>
        <v>4.6397076348613647E-2</v>
      </c>
    </row>
    <row r="67" spans="1:20" s="2" customFormat="1" ht="16.5" customHeight="1" thickBot="1">
      <c r="A67" s="37" t="s">
        <v>495</v>
      </c>
      <c r="B67" s="38" t="s">
        <v>6</v>
      </c>
      <c r="C67" s="9">
        <v>1089</v>
      </c>
      <c r="D67" s="9">
        <v>1090</v>
      </c>
      <c r="E67" s="9">
        <v>1090</v>
      </c>
      <c r="F67" s="9">
        <v>1096</v>
      </c>
      <c r="G67" s="9">
        <v>1109</v>
      </c>
      <c r="H67" s="9">
        <v>1112</v>
      </c>
      <c r="I67" s="9">
        <v>1258</v>
      </c>
      <c r="J67" s="9">
        <v>1384</v>
      </c>
      <c r="K67" s="8">
        <v>1583</v>
      </c>
      <c r="L67" s="8"/>
      <c r="M67" s="8" t="s">
        <v>15</v>
      </c>
      <c r="N67" s="22" t="s">
        <v>13</v>
      </c>
      <c r="O67" s="17">
        <f>SUM(C65+C69+C70+C74)</f>
        <v>3663</v>
      </c>
      <c r="P67" s="18">
        <f>SUM(O67/O68)</f>
        <v>0.29101453880988321</v>
      </c>
      <c r="Q67" s="2">
        <v>2</v>
      </c>
    </row>
    <row r="68" spans="1:20" s="2" customFormat="1" ht="16.5" customHeight="1" thickBot="1">
      <c r="A68" s="37" t="s">
        <v>130</v>
      </c>
      <c r="B68" s="38" t="s">
        <v>6</v>
      </c>
      <c r="C68" s="9">
        <v>1055</v>
      </c>
      <c r="D68" s="9">
        <v>1055</v>
      </c>
      <c r="E68" s="9">
        <v>1055</v>
      </c>
      <c r="F68" s="9">
        <v>1063</v>
      </c>
      <c r="G68" s="9">
        <v>1097</v>
      </c>
      <c r="H68" s="9">
        <v>1103</v>
      </c>
      <c r="I68" s="9">
        <v>1157</v>
      </c>
      <c r="J68" s="9">
        <v>1365</v>
      </c>
      <c r="K68" s="9">
        <v>1500</v>
      </c>
      <c r="L68" s="8">
        <v>1546</v>
      </c>
      <c r="M68" s="8" t="s">
        <v>14</v>
      </c>
      <c r="N68" s="12"/>
      <c r="O68" s="25">
        <v>12587</v>
      </c>
      <c r="P68" s="13"/>
      <c r="Q68" s="15"/>
    </row>
    <row r="69" spans="1:20" s="2" customFormat="1" ht="16.5" customHeight="1" thickBot="1">
      <c r="A69" s="37" t="s">
        <v>71</v>
      </c>
      <c r="B69" s="52" t="s">
        <v>28</v>
      </c>
      <c r="C69" s="9">
        <v>928</v>
      </c>
      <c r="D69" s="9">
        <v>971</v>
      </c>
      <c r="E69" s="9">
        <v>975</v>
      </c>
      <c r="F69" s="9">
        <v>991</v>
      </c>
      <c r="G69" s="9">
        <v>1011</v>
      </c>
      <c r="H69" s="9">
        <v>1019</v>
      </c>
      <c r="I69" s="9">
        <v>1085</v>
      </c>
      <c r="J69" s="9">
        <v>1099</v>
      </c>
      <c r="K69" s="9">
        <v>1313</v>
      </c>
      <c r="L69" s="8">
        <v>1326</v>
      </c>
      <c r="M69" s="8" t="s">
        <v>16</v>
      </c>
    </row>
    <row r="70" spans="1:20" s="2" customFormat="1" ht="16.5" customHeight="1" thickBot="1">
      <c r="A70" s="40" t="s">
        <v>72</v>
      </c>
      <c r="B70" s="44" t="s">
        <v>28</v>
      </c>
      <c r="C70" s="9">
        <v>897</v>
      </c>
      <c r="D70" s="9">
        <v>928</v>
      </c>
      <c r="E70" s="9">
        <v>931</v>
      </c>
      <c r="F70" s="9">
        <v>985</v>
      </c>
      <c r="G70" s="9">
        <v>1005</v>
      </c>
      <c r="H70" s="9">
        <v>1017</v>
      </c>
      <c r="I70" s="9">
        <v>1059</v>
      </c>
      <c r="J70" s="9">
        <v>1081</v>
      </c>
      <c r="K70" s="9">
        <v>1269</v>
      </c>
      <c r="L70" s="9">
        <v>1281</v>
      </c>
      <c r="M70" s="9"/>
    </row>
    <row r="71" spans="1:20" s="2" customFormat="1" ht="16.5" customHeight="1" thickBot="1">
      <c r="A71" s="40" t="s">
        <v>73</v>
      </c>
      <c r="B71" s="41" t="s">
        <v>6</v>
      </c>
      <c r="C71" s="9">
        <v>838</v>
      </c>
      <c r="D71" s="9">
        <v>856</v>
      </c>
      <c r="E71" s="9">
        <v>858</v>
      </c>
      <c r="F71" s="9">
        <v>878</v>
      </c>
      <c r="G71" s="9">
        <v>889</v>
      </c>
      <c r="H71" s="9">
        <v>891</v>
      </c>
      <c r="I71" s="9">
        <v>911</v>
      </c>
      <c r="J71" s="9">
        <v>980</v>
      </c>
      <c r="K71" s="9" t="s">
        <v>30</v>
      </c>
    </row>
    <row r="72" spans="1:20" s="2" customFormat="1" ht="16.5" customHeight="1" thickBot="1">
      <c r="A72" s="40" t="s">
        <v>486</v>
      </c>
      <c r="B72" s="55" t="s">
        <v>74</v>
      </c>
      <c r="C72" s="9">
        <v>584</v>
      </c>
      <c r="D72" s="9">
        <v>587</v>
      </c>
      <c r="E72" s="9">
        <v>587</v>
      </c>
      <c r="F72" s="9">
        <v>590</v>
      </c>
      <c r="G72" s="9">
        <v>608</v>
      </c>
      <c r="H72" s="9">
        <v>614</v>
      </c>
      <c r="I72" s="9" t="s">
        <v>30</v>
      </c>
      <c r="J72" s="23"/>
      <c r="K72" s="23"/>
      <c r="L72" s="23"/>
      <c r="M72" s="23"/>
    </row>
    <row r="73" spans="1:20" s="2" customFormat="1" ht="16.5" customHeight="1" thickBot="1">
      <c r="A73" s="40" t="s">
        <v>75</v>
      </c>
      <c r="B73" s="41" t="s">
        <v>6</v>
      </c>
      <c r="C73" s="9">
        <v>541</v>
      </c>
      <c r="D73" s="9">
        <v>542</v>
      </c>
      <c r="E73" s="9">
        <v>542</v>
      </c>
      <c r="F73" s="9">
        <v>549</v>
      </c>
      <c r="G73" s="9">
        <v>613</v>
      </c>
      <c r="H73" s="9">
        <v>619</v>
      </c>
      <c r="I73" s="9">
        <v>654</v>
      </c>
      <c r="J73" s="9" t="s">
        <v>30</v>
      </c>
      <c r="K73" s="23"/>
      <c r="L73" s="23"/>
      <c r="M73" s="23"/>
    </row>
    <row r="74" spans="1:20" s="2" customFormat="1" ht="16.5" customHeight="1" thickBot="1">
      <c r="A74" s="40" t="s">
        <v>76</v>
      </c>
      <c r="B74" s="44" t="s">
        <v>28</v>
      </c>
      <c r="C74" s="9">
        <v>428</v>
      </c>
      <c r="D74" s="9">
        <v>429</v>
      </c>
      <c r="E74" s="9">
        <v>430</v>
      </c>
      <c r="F74" s="9" t="s">
        <v>30</v>
      </c>
      <c r="H74" s="23"/>
      <c r="I74" s="23"/>
      <c r="J74" s="23"/>
    </row>
    <row r="75" spans="1:20" s="2" customFormat="1" ht="16.5" customHeight="1" thickBot="1">
      <c r="A75" s="40" t="s">
        <v>77</v>
      </c>
      <c r="B75" s="42" t="s">
        <v>3</v>
      </c>
      <c r="C75" s="9">
        <v>389</v>
      </c>
      <c r="D75" s="9">
        <v>420</v>
      </c>
      <c r="E75" s="9">
        <v>432</v>
      </c>
      <c r="F75" s="9">
        <v>485</v>
      </c>
      <c r="G75" s="9" t="s">
        <v>30</v>
      </c>
      <c r="H75" s="23"/>
      <c r="I75" s="23"/>
      <c r="J75" s="23"/>
      <c r="K75" s="23"/>
      <c r="L75" s="23"/>
      <c r="M75" s="23"/>
      <c r="N75" s="46"/>
      <c r="O75" s="17"/>
      <c r="P75" s="18"/>
    </row>
    <row r="76" spans="1:20" s="2" customFormat="1" ht="16.5" customHeight="1" thickBot="1">
      <c r="A76" s="40" t="s">
        <v>78</v>
      </c>
      <c r="B76" s="42" t="s">
        <v>3</v>
      </c>
      <c r="C76" s="9">
        <v>224</v>
      </c>
      <c r="D76" s="9" t="s">
        <v>30</v>
      </c>
      <c r="F76" s="23"/>
      <c r="G76" s="23"/>
      <c r="H76" s="23"/>
      <c r="I76" s="23"/>
      <c r="J76" s="23"/>
      <c r="K76" s="23"/>
      <c r="L76" s="23"/>
      <c r="M76" s="23"/>
      <c r="N76" s="12"/>
      <c r="O76" s="25"/>
      <c r="P76" s="13"/>
      <c r="Q76" s="15"/>
    </row>
    <row r="78" spans="1:20" s="99" customFormat="1" ht="15" customHeight="1">
      <c r="B78" s="64" t="s">
        <v>18</v>
      </c>
      <c r="C78" s="66" t="s">
        <v>6</v>
      </c>
      <c r="D78" s="67" t="s">
        <v>3</v>
      </c>
      <c r="E78" s="68" t="s">
        <v>17</v>
      </c>
      <c r="F78" s="69" t="s">
        <v>19</v>
      </c>
      <c r="G78" s="100" t="s">
        <v>20</v>
      </c>
      <c r="H78" s="101" t="s">
        <v>74</v>
      </c>
      <c r="I78" s="64" t="s">
        <v>13</v>
      </c>
      <c r="K78" s="64" t="s">
        <v>461</v>
      </c>
      <c r="R78" s="107"/>
      <c r="S78" s="98"/>
      <c r="T78" s="103"/>
    </row>
    <row r="79" spans="1:20" s="99" customFormat="1" ht="15" customHeight="1">
      <c r="A79" s="99" t="s">
        <v>8</v>
      </c>
      <c r="B79" s="110">
        <f>SUM(I9+O22+J57+L40+O68)</f>
        <v>60282</v>
      </c>
      <c r="C79" s="108">
        <f>SUM(O64+L36+J53+O17+I5)</f>
        <v>26703</v>
      </c>
      <c r="D79" s="108">
        <f>SUM(O65+L37+J54+O18+I6)</f>
        <v>19047</v>
      </c>
      <c r="E79" s="108">
        <v>837</v>
      </c>
      <c r="F79" s="108">
        <v>384</v>
      </c>
      <c r="G79" s="108">
        <f>SUM(L38+J55+O20)</f>
        <v>3567</v>
      </c>
      <c r="H79" s="108">
        <v>584</v>
      </c>
      <c r="I79" s="108">
        <f>SUM(O67+L39+J56+O21+I8)</f>
        <v>9160</v>
      </c>
      <c r="K79" s="108">
        <f>SUM(25628+15503+23845+25351+16521)</f>
        <v>106848</v>
      </c>
      <c r="R79" s="64"/>
      <c r="S79" s="77"/>
      <c r="T79" s="103"/>
    </row>
    <row r="80" spans="1:20" s="99" customFormat="1" ht="15" customHeight="1">
      <c r="A80" s="99" t="s">
        <v>9</v>
      </c>
      <c r="B80" s="102">
        <v>1</v>
      </c>
      <c r="C80" s="103">
        <f t="shared" ref="C80:I80" si="0">SUM(C79/$B$79)</f>
        <v>0.44296805016422813</v>
      </c>
      <c r="D80" s="103">
        <f t="shared" si="0"/>
        <v>0.31596496466606949</v>
      </c>
      <c r="E80" s="103">
        <f t="shared" si="0"/>
        <v>1.3884741713944462E-2</v>
      </c>
      <c r="F80" s="103">
        <f t="shared" si="0"/>
        <v>6.3700607146411868E-3</v>
      </c>
      <c r="G80" s="103">
        <f t="shared" si="0"/>
        <v>5.9171892107096648E-2</v>
      </c>
      <c r="H80" s="103">
        <f t="shared" si="0"/>
        <v>9.6878006701834711E-3</v>
      </c>
      <c r="I80" s="103">
        <f t="shared" si="0"/>
        <v>0.15195248996383665</v>
      </c>
      <c r="K80" s="64" t="s">
        <v>5</v>
      </c>
    </row>
    <row r="81" spans="1:11" s="99" customFormat="1" ht="15" customHeight="1">
      <c r="A81" s="99" t="s">
        <v>10</v>
      </c>
      <c r="B81" s="110">
        <v>30</v>
      </c>
      <c r="C81" s="108">
        <v>16</v>
      </c>
      <c r="D81" s="108">
        <v>9</v>
      </c>
      <c r="E81" s="108">
        <v>0</v>
      </c>
      <c r="F81" s="108">
        <v>0</v>
      </c>
      <c r="G81" s="108">
        <v>2</v>
      </c>
      <c r="H81" s="108">
        <v>0</v>
      </c>
      <c r="I81" s="108">
        <v>3</v>
      </c>
      <c r="K81" s="103">
        <f>SUM(B79/K79)</f>
        <v>0.56418463611859837</v>
      </c>
    </row>
    <row r="82" spans="1:11" s="99" customFormat="1" ht="15" customHeight="1"/>
    <row r="83" spans="1:11" ht="15" customHeight="1"/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W98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7109375" customWidth="1"/>
    <col min="3" max="3" width="9.7109375" customWidth="1"/>
    <col min="4" max="18" width="8.85546875" customWidth="1"/>
  </cols>
  <sheetData>
    <row r="1" spans="1:14" s="2" customFormat="1" ht="16.5" customHeight="1">
      <c r="A1" s="31" t="s">
        <v>79</v>
      </c>
      <c r="B1" s="23"/>
      <c r="C1" s="23"/>
      <c r="D1" s="23"/>
      <c r="E1" s="23"/>
      <c r="F1" s="23"/>
      <c r="G1" s="23"/>
      <c r="H1" s="23"/>
      <c r="I1" s="23"/>
      <c r="J1" s="23"/>
    </row>
    <row r="2" spans="1:14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4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36">
        <v>6</v>
      </c>
      <c r="I3" s="36">
        <v>7</v>
      </c>
      <c r="J3" s="5"/>
      <c r="K3" s="12" t="s">
        <v>5</v>
      </c>
      <c r="L3" s="13">
        <f>SUM(11622/18346)</f>
        <v>0.63348958901122865</v>
      </c>
    </row>
    <row r="4" spans="1:14" s="2" customFormat="1" ht="16.5" customHeight="1" thickBot="1">
      <c r="A4" s="37" t="s">
        <v>22</v>
      </c>
      <c r="B4" s="39" t="s">
        <v>3</v>
      </c>
      <c r="C4" s="9">
        <v>1725</v>
      </c>
      <c r="D4" s="9">
        <v>1772</v>
      </c>
      <c r="E4" s="8">
        <v>1914</v>
      </c>
      <c r="F4" s="9"/>
      <c r="G4" s="9"/>
      <c r="H4" s="8"/>
      <c r="I4" s="9"/>
      <c r="J4" s="11" t="s">
        <v>4</v>
      </c>
      <c r="K4" s="15"/>
      <c r="L4" s="12" t="s">
        <v>8</v>
      </c>
      <c r="M4" s="12" t="s">
        <v>9</v>
      </c>
      <c r="N4" s="12" t="s">
        <v>10</v>
      </c>
    </row>
    <row r="5" spans="1:14" s="2" customFormat="1" ht="16.5" customHeight="1" thickBot="1">
      <c r="A5" s="37" t="s">
        <v>80</v>
      </c>
      <c r="B5" s="38" t="s">
        <v>6</v>
      </c>
      <c r="C5" s="9">
        <v>1431</v>
      </c>
      <c r="D5" s="9">
        <v>1520</v>
      </c>
      <c r="E5" s="9">
        <v>1536</v>
      </c>
      <c r="F5" s="9">
        <v>1682</v>
      </c>
      <c r="G5" s="9">
        <v>1868</v>
      </c>
      <c r="H5" s="8">
        <v>2298</v>
      </c>
      <c r="I5" s="9"/>
      <c r="J5" s="11" t="s">
        <v>7</v>
      </c>
      <c r="K5" s="16" t="s">
        <v>6</v>
      </c>
      <c r="L5" s="17">
        <f>SUM(C5+C6+C10+C11+C14)</f>
        <v>4802</v>
      </c>
      <c r="M5" s="18">
        <f>SUM(L5/L9)</f>
        <v>0.42049036777583187</v>
      </c>
      <c r="N5" s="15">
        <v>2</v>
      </c>
    </row>
    <row r="6" spans="1:14" s="2" customFormat="1" ht="16.5" customHeight="1" thickBot="1">
      <c r="A6" s="37" t="s">
        <v>81</v>
      </c>
      <c r="B6" s="38" t="s">
        <v>6</v>
      </c>
      <c r="C6" s="9">
        <v>1219</v>
      </c>
      <c r="D6" s="9">
        <v>1244</v>
      </c>
      <c r="E6" s="9">
        <v>1274</v>
      </c>
      <c r="F6" s="9">
        <v>1299</v>
      </c>
      <c r="G6" s="9">
        <v>1496</v>
      </c>
      <c r="H6" s="9">
        <v>1782</v>
      </c>
      <c r="I6" s="8">
        <v>1915</v>
      </c>
      <c r="J6" s="11" t="s">
        <v>11</v>
      </c>
      <c r="K6" s="19" t="s">
        <v>3</v>
      </c>
      <c r="L6" s="17">
        <f>SUM(C4+C9+C12)</f>
        <v>3602</v>
      </c>
      <c r="M6" s="18">
        <f>SUM(L6/L9)</f>
        <v>0.31541155866900172</v>
      </c>
      <c r="N6" s="15">
        <v>2</v>
      </c>
    </row>
    <row r="7" spans="1:14" s="2" customFormat="1" ht="16.5" customHeight="1" thickBot="1">
      <c r="A7" s="37" t="s">
        <v>29</v>
      </c>
      <c r="B7" s="56" t="s">
        <v>19</v>
      </c>
      <c r="C7" s="9">
        <v>1105</v>
      </c>
      <c r="D7" s="9">
        <v>1164</v>
      </c>
      <c r="E7" s="9">
        <v>1288</v>
      </c>
      <c r="F7" s="9">
        <v>1327</v>
      </c>
      <c r="G7" s="9">
        <v>1491</v>
      </c>
      <c r="H7" s="9">
        <v>1658</v>
      </c>
      <c r="I7" s="8">
        <v>1693</v>
      </c>
      <c r="J7" s="11" t="s">
        <v>12</v>
      </c>
      <c r="K7" s="33" t="s">
        <v>19</v>
      </c>
      <c r="L7" s="17">
        <v>1105</v>
      </c>
      <c r="M7" s="18">
        <f>SUM(L7/L9)</f>
        <v>9.6760070052539407E-2</v>
      </c>
      <c r="N7" s="2">
        <v>1</v>
      </c>
    </row>
    <row r="8" spans="1:14" s="2" customFormat="1" ht="16.5" customHeight="1" thickBot="1">
      <c r="A8" s="40" t="s">
        <v>83</v>
      </c>
      <c r="B8" s="44" t="s">
        <v>28</v>
      </c>
      <c r="C8" s="9">
        <v>1083</v>
      </c>
      <c r="D8" s="9">
        <v>1169</v>
      </c>
      <c r="E8" s="9">
        <v>1204</v>
      </c>
      <c r="F8" s="9">
        <v>1350</v>
      </c>
      <c r="G8" s="9">
        <v>1405</v>
      </c>
      <c r="H8" s="9">
        <v>1524</v>
      </c>
      <c r="I8" s="9">
        <v>1591</v>
      </c>
      <c r="J8" s="11"/>
      <c r="K8" s="12" t="s">
        <v>13</v>
      </c>
      <c r="L8" s="23">
        <f>SUM(C8+C13+C15)</f>
        <v>1911</v>
      </c>
      <c r="M8" s="13">
        <f>SUM(L8/L9)</f>
        <v>0.16733800350262698</v>
      </c>
      <c r="N8" s="15"/>
    </row>
    <row r="9" spans="1:14" s="2" customFormat="1" ht="16.5" customHeight="1" thickBot="1">
      <c r="A9" s="37" t="s">
        <v>82</v>
      </c>
      <c r="B9" s="39" t="s">
        <v>3</v>
      </c>
      <c r="C9" s="9">
        <v>1036</v>
      </c>
      <c r="D9" s="9">
        <v>1059</v>
      </c>
      <c r="E9" s="9">
        <v>1099</v>
      </c>
      <c r="F9" s="9">
        <v>1380</v>
      </c>
      <c r="G9" s="9">
        <v>1530</v>
      </c>
      <c r="H9" s="9">
        <v>1651</v>
      </c>
      <c r="I9" s="8">
        <v>1680</v>
      </c>
      <c r="J9" s="11" t="s">
        <v>15</v>
      </c>
      <c r="L9" s="25">
        <v>11420</v>
      </c>
    </row>
    <row r="10" spans="1:14" s="2" customFormat="1" ht="16.5" customHeight="1" thickBot="1">
      <c r="A10" s="40" t="s">
        <v>84</v>
      </c>
      <c r="B10" s="41" t="s">
        <v>6</v>
      </c>
      <c r="C10" s="9">
        <v>991</v>
      </c>
      <c r="D10" s="9">
        <v>1055</v>
      </c>
      <c r="E10" s="9">
        <v>1075</v>
      </c>
      <c r="F10" s="9">
        <v>1190</v>
      </c>
      <c r="G10" s="9">
        <v>1387</v>
      </c>
      <c r="H10" s="9" t="s">
        <v>30</v>
      </c>
    </row>
    <row r="11" spans="1:14" s="2" customFormat="1" ht="16.5" customHeight="1" thickBot="1">
      <c r="A11" s="40" t="s">
        <v>25</v>
      </c>
      <c r="B11" s="41" t="s">
        <v>6</v>
      </c>
      <c r="C11" s="9">
        <v>889</v>
      </c>
      <c r="D11" s="9">
        <v>921</v>
      </c>
      <c r="E11" s="9">
        <v>1061</v>
      </c>
      <c r="F11" s="9">
        <v>1096</v>
      </c>
      <c r="G11" s="9" t="s">
        <v>30</v>
      </c>
    </row>
    <row r="12" spans="1:14" s="2" customFormat="1" ht="16.5" customHeight="1" thickBot="1">
      <c r="A12" s="40" t="s">
        <v>85</v>
      </c>
      <c r="B12" s="42" t="s">
        <v>3</v>
      </c>
      <c r="C12" s="9">
        <v>841</v>
      </c>
      <c r="D12" s="9">
        <v>873</v>
      </c>
      <c r="E12" s="9">
        <v>881</v>
      </c>
      <c r="F12" s="9" t="s">
        <v>30</v>
      </c>
      <c r="K12" s="12"/>
      <c r="M12" s="13"/>
      <c r="N12" s="15"/>
    </row>
    <row r="13" spans="1:14" s="2" customFormat="1" ht="16.5" customHeight="1" thickBot="1">
      <c r="A13" s="40" t="s">
        <v>86</v>
      </c>
      <c r="B13" s="44" t="s">
        <v>28</v>
      </c>
      <c r="C13" s="9">
        <v>590</v>
      </c>
      <c r="D13" s="9">
        <v>613</v>
      </c>
      <c r="E13" s="9" t="s">
        <v>30</v>
      </c>
      <c r="L13" s="25"/>
    </row>
    <row r="14" spans="1:14" s="2" customFormat="1" ht="16.5" customHeight="1" thickBot="1">
      <c r="A14" s="40" t="s">
        <v>87</v>
      </c>
      <c r="B14" s="41" t="s">
        <v>6</v>
      </c>
      <c r="C14" s="9">
        <v>272</v>
      </c>
      <c r="D14" s="9" t="s">
        <v>30</v>
      </c>
    </row>
    <row r="15" spans="1:14" s="2" customFormat="1" ht="16.5" customHeight="1" thickBot="1">
      <c r="A15" s="40" t="s">
        <v>88</v>
      </c>
      <c r="B15" s="44" t="s">
        <v>28</v>
      </c>
      <c r="C15" s="9">
        <v>238</v>
      </c>
      <c r="D15" s="9" t="s">
        <v>30</v>
      </c>
    </row>
    <row r="16" spans="1:14" s="2" customFormat="1" ht="10.5" customHeight="1">
      <c r="A16" s="31"/>
      <c r="B16" s="23"/>
      <c r="C16" s="23"/>
      <c r="D16" s="23"/>
      <c r="E16" s="23"/>
      <c r="F16" s="23"/>
      <c r="G16" s="23"/>
      <c r="H16" s="23"/>
      <c r="I16" s="23"/>
      <c r="J16" s="23"/>
    </row>
    <row r="17" spans="1:16" s="2" customFormat="1" ht="17.45" customHeight="1">
      <c r="A17" s="31" t="s">
        <v>89</v>
      </c>
      <c r="B17" s="23"/>
      <c r="C17" s="23"/>
      <c r="D17" s="23"/>
      <c r="E17" s="23"/>
      <c r="F17" s="23"/>
      <c r="G17" s="23"/>
      <c r="H17" s="23"/>
      <c r="I17" s="23"/>
      <c r="J17" s="23"/>
    </row>
    <row r="18" spans="1:16" s="2" customFormat="1" ht="10.5" customHeight="1" thickBot="1">
      <c r="A18" s="31"/>
      <c r="B18" s="23"/>
      <c r="C18" s="23"/>
      <c r="D18" s="23"/>
      <c r="E18" s="23"/>
      <c r="F18" s="23"/>
      <c r="G18" s="23"/>
      <c r="H18" s="23"/>
      <c r="I18" s="23"/>
      <c r="J18" s="23"/>
    </row>
    <row r="19" spans="1:16" s="2" customFormat="1" ht="16.5" customHeight="1" thickBot="1">
      <c r="A19" s="35" t="s">
        <v>0</v>
      </c>
      <c r="B19" s="36" t="s">
        <v>1</v>
      </c>
      <c r="C19" s="36" t="s">
        <v>2</v>
      </c>
      <c r="D19" s="36">
        <v>2</v>
      </c>
      <c r="E19" s="36">
        <v>3</v>
      </c>
      <c r="F19" s="36">
        <v>4</v>
      </c>
      <c r="G19" s="36">
        <v>5</v>
      </c>
      <c r="H19" s="36">
        <v>6</v>
      </c>
      <c r="I19" s="36">
        <v>7</v>
      </c>
      <c r="J19" s="36">
        <v>8</v>
      </c>
      <c r="K19" s="36">
        <v>9</v>
      </c>
      <c r="L19" s="45"/>
      <c r="M19" s="12" t="s">
        <v>5</v>
      </c>
      <c r="N19" s="13">
        <f>SUM(18397/28853)</f>
        <v>0.6376113402419159</v>
      </c>
    </row>
    <row r="20" spans="1:16" s="2" customFormat="1" ht="16.5" customHeight="1" thickBot="1">
      <c r="A20" s="37" t="s">
        <v>90</v>
      </c>
      <c r="B20" s="39" t="s">
        <v>3</v>
      </c>
      <c r="C20" s="9">
        <v>2030</v>
      </c>
      <c r="D20" s="9">
        <v>2103</v>
      </c>
      <c r="E20" s="8">
        <v>2404</v>
      </c>
      <c r="F20" s="8"/>
      <c r="G20" s="9"/>
      <c r="H20" s="8"/>
      <c r="I20" s="8"/>
      <c r="J20" s="9"/>
      <c r="K20" s="8"/>
      <c r="L20" s="8" t="s">
        <v>4</v>
      </c>
      <c r="M20" s="15"/>
      <c r="N20" s="12" t="s">
        <v>8</v>
      </c>
      <c r="O20" s="12" t="s">
        <v>9</v>
      </c>
      <c r="P20" s="12" t="s">
        <v>10</v>
      </c>
    </row>
    <row r="21" spans="1:16" s="2" customFormat="1" ht="16.5" customHeight="1" thickBot="1">
      <c r="A21" s="37" t="s">
        <v>41</v>
      </c>
      <c r="B21" s="59" t="s">
        <v>17</v>
      </c>
      <c r="C21" s="9">
        <v>1923</v>
      </c>
      <c r="D21" s="9">
        <v>2042</v>
      </c>
      <c r="E21" s="9">
        <v>2057</v>
      </c>
      <c r="F21" s="9">
        <v>2061</v>
      </c>
      <c r="G21" s="9">
        <v>2115</v>
      </c>
      <c r="H21" s="9">
        <v>2171</v>
      </c>
      <c r="I21" s="8">
        <v>2382</v>
      </c>
      <c r="J21" s="8"/>
      <c r="K21" s="8"/>
      <c r="L21" s="8" t="s">
        <v>7</v>
      </c>
      <c r="M21" s="16" t="s">
        <v>6</v>
      </c>
      <c r="N21" s="17">
        <f>SUM(C24+C27+C28+C30)</f>
        <v>4603</v>
      </c>
      <c r="O21" s="18">
        <f>SUM(N21/N28)</f>
        <v>0.25411284089654412</v>
      </c>
      <c r="P21" s="15">
        <v>2</v>
      </c>
    </row>
    <row r="22" spans="1:16" s="2" customFormat="1" ht="16.5" customHeight="1" thickBot="1">
      <c r="A22" s="37" t="s">
        <v>36</v>
      </c>
      <c r="B22" s="39" t="s">
        <v>3</v>
      </c>
      <c r="C22" s="9">
        <v>1818</v>
      </c>
      <c r="D22" s="9">
        <v>1835</v>
      </c>
      <c r="E22" s="9">
        <v>1880</v>
      </c>
      <c r="F22" s="9">
        <v>1893</v>
      </c>
      <c r="G22" s="9">
        <v>1977</v>
      </c>
      <c r="H22" s="9">
        <v>1990</v>
      </c>
      <c r="I22" s="9">
        <v>2065</v>
      </c>
      <c r="J22" s="9">
        <v>2068</v>
      </c>
      <c r="K22" s="8">
        <v>2440</v>
      </c>
      <c r="L22" s="8" t="s">
        <v>12</v>
      </c>
      <c r="M22" s="19" t="s">
        <v>3</v>
      </c>
      <c r="N22" s="17">
        <f>SUM(C20+C22+C23)</f>
        <v>5405</v>
      </c>
      <c r="O22" s="18">
        <f>SUM(N22/N28)</f>
        <v>0.29838798719222703</v>
      </c>
      <c r="P22" s="15">
        <v>3</v>
      </c>
    </row>
    <row r="23" spans="1:16" s="2" customFormat="1" ht="16.5" customHeight="1" thickBot="1">
      <c r="A23" s="37" t="s">
        <v>91</v>
      </c>
      <c r="B23" s="39" t="s">
        <v>3</v>
      </c>
      <c r="C23" s="9">
        <v>1557</v>
      </c>
      <c r="D23" s="9">
        <v>1583</v>
      </c>
      <c r="E23" s="9">
        <v>1600</v>
      </c>
      <c r="F23" s="9">
        <v>1615</v>
      </c>
      <c r="G23" s="9">
        <v>1668</v>
      </c>
      <c r="H23" s="9">
        <v>1742</v>
      </c>
      <c r="I23" s="9">
        <v>1963</v>
      </c>
      <c r="J23" s="9">
        <v>2000</v>
      </c>
      <c r="K23" s="8">
        <v>2073</v>
      </c>
      <c r="L23" s="8" t="s">
        <v>14</v>
      </c>
      <c r="M23" s="29" t="s">
        <v>17</v>
      </c>
      <c r="N23" s="17">
        <v>1923</v>
      </c>
      <c r="O23" s="18">
        <f>SUM(N23/N28)</f>
        <v>0.10616098045710499</v>
      </c>
      <c r="P23" s="2">
        <v>1</v>
      </c>
    </row>
    <row r="24" spans="1:16" s="2" customFormat="1" ht="16.5" customHeight="1" thickBot="1">
      <c r="A24" s="37" t="s">
        <v>92</v>
      </c>
      <c r="B24" s="38" t="s">
        <v>6</v>
      </c>
      <c r="C24" s="9">
        <v>1528</v>
      </c>
      <c r="D24" s="9">
        <v>1569</v>
      </c>
      <c r="E24" s="9">
        <v>1657</v>
      </c>
      <c r="F24" s="9">
        <v>1681</v>
      </c>
      <c r="G24" s="9">
        <v>2089</v>
      </c>
      <c r="H24" s="9">
        <v>2198</v>
      </c>
      <c r="I24" s="9">
        <v>2264</v>
      </c>
      <c r="J24" s="8">
        <v>2271</v>
      </c>
      <c r="K24" s="9"/>
      <c r="L24" s="8" t="s">
        <v>11</v>
      </c>
      <c r="M24" s="30" t="s">
        <v>20</v>
      </c>
      <c r="N24" s="17">
        <f>SUM(C29+C31)</f>
        <v>1865</v>
      </c>
      <c r="O24" s="18">
        <f>SUM(N24/N28)</f>
        <v>0.10295903720878878</v>
      </c>
    </row>
    <row r="25" spans="1:16" s="2" customFormat="1" ht="16.5" customHeight="1" thickBot="1">
      <c r="A25" s="37" t="s">
        <v>93</v>
      </c>
      <c r="B25" s="52" t="s">
        <v>28</v>
      </c>
      <c r="C25" s="9">
        <v>1483</v>
      </c>
      <c r="D25" s="9">
        <v>1542</v>
      </c>
      <c r="E25" s="9">
        <v>1565</v>
      </c>
      <c r="F25" s="9">
        <v>1568</v>
      </c>
      <c r="G25" s="9">
        <v>1644</v>
      </c>
      <c r="H25" s="9">
        <v>1886</v>
      </c>
      <c r="I25" s="9">
        <v>2008</v>
      </c>
      <c r="J25" s="9">
        <v>2031</v>
      </c>
      <c r="K25" s="8">
        <v>2113</v>
      </c>
      <c r="L25" s="8" t="s">
        <v>15</v>
      </c>
      <c r="M25" s="33" t="s">
        <v>19</v>
      </c>
      <c r="N25" s="17">
        <v>352</v>
      </c>
      <c r="O25" s="18">
        <f>SUM(N25/N28)</f>
        <v>1.9432483162194987E-2</v>
      </c>
    </row>
    <row r="26" spans="1:16" s="2" customFormat="1" ht="16.5" customHeight="1" thickBot="1">
      <c r="A26" s="40" t="s">
        <v>40</v>
      </c>
      <c r="B26" s="44" t="s">
        <v>28</v>
      </c>
      <c r="C26" s="9">
        <v>1284</v>
      </c>
      <c r="D26" s="9">
        <v>1377</v>
      </c>
      <c r="E26" s="9">
        <v>1399</v>
      </c>
      <c r="F26" s="9">
        <v>1403</v>
      </c>
      <c r="G26" s="9">
        <v>1485</v>
      </c>
      <c r="H26" s="9">
        <v>1524</v>
      </c>
      <c r="I26" s="9">
        <v>1607</v>
      </c>
      <c r="J26" s="9">
        <v>1622</v>
      </c>
      <c r="K26" s="9">
        <v>1677</v>
      </c>
      <c r="L26" s="9"/>
      <c r="M26" s="46" t="s">
        <v>100</v>
      </c>
      <c r="N26" s="17">
        <v>161</v>
      </c>
      <c r="O26" s="18">
        <f>SUM(N26/N28)</f>
        <v>8.8881528099812295E-3</v>
      </c>
    </row>
    <row r="27" spans="1:16" s="2" customFormat="1" ht="16.5" customHeight="1" thickBot="1">
      <c r="A27" s="37" t="s">
        <v>39</v>
      </c>
      <c r="B27" s="38" t="s">
        <v>6</v>
      </c>
      <c r="C27" s="9">
        <v>1104</v>
      </c>
      <c r="D27" s="9">
        <v>1135</v>
      </c>
      <c r="E27" s="9">
        <v>1141</v>
      </c>
      <c r="F27" s="9">
        <v>1142</v>
      </c>
      <c r="G27" s="9">
        <v>1159</v>
      </c>
      <c r="H27" s="9">
        <v>1325</v>
      </c>
      <c r="I27" s="9">
        <v>1489</v>
      </c>
      <c r="J27" s="9">
        <v>1519</v>
      </c>
      <c r="K27" s="8">
        <v>1862</v>
      </c>
      <c r="L27" s="8" t="s">
        <v>16</v>
      </c>
      <c r="M27" s="22" t="s">
        <v>13</v>
      </c>
      <c r="N27" s="17">
        <f>SUM(C25+C26+C32+C34)</f>
        <v>3805</v>
      </c>
      <c r="O27" s="18">
        <f>SUM(N27/N28)</f>
        <v>0.21005851827315888</v>
      </c>
      <c r="P27" s="2">
        <v>1</v>
      </c>
    </row>
    <row r="28" spans="1:16" s="2" customFormat="1" ht="16.5" customHeight="1" thickBot="1">
      <c r="A28" s="40" t="s">
        <v>94</v>
      </c>
      <c r="B28" s="41" t="s">
        <v>6</v>
      </c>
      <c r="C28" s="9">
        <v>1014</v>
      </c>
      <c r="D28" s="9">
        <v>1029</v>
      </c>
      <c r="E28" s="9">
        <v>1039</v>
      </c>
      <c r="F28" s="9">
        <v>1042</v>
      </c>
      <c r="G28" s="9">
        <v>1057</v>
      </c>
      <c r="H28" s="9" t="s">
        <v>30</v>
      </c>
      <c r="M28" s="12"/>
      <c r="N28" s="25">
        <v>18114</v>
      </c>
      <c r="O28" s="13"/>
      <c r="P28" s="15"/>
    </row>
    <row r="29" spans="1:16" s="2" customFormat="1" ht="16.5" customHeight="1" thickBot="1">
      <c r="A29" s="40" t="s">
        <v>95</v>
      </c>
      <c r="B29" s="58" t="s">
        <v>20</v>
      </c>
      <c r="C29" s="9">
        <v>974</v>
      </c>
      <c r="D29" s="9">
        <v>999</v>
      </c>
      <c r="E29" s="9">
        <v>1096</v>
      </c>
      <c r="F29" s="9">
        <v>1107</v>
      </c>
      <c r="G29" s="9">
        <v>1133</v>
      </c>
      <c r="H29" s="9">
        <v>1207</v>
      </c>
      <c r="I29" s="9" t="s">
        <v>30</v>
      </c>
      <c r="J29" s="23"/>
      <c r="K29" s="23"/>
      <c r="L29" s="23"/>
    </row>
    <row r="30" spans="1:16" s="2" customFormat="1" ht="16.5" customHeight="1" thickBot="1">
      <c r="A30" s="40" t="s">
        <v>33</v>
      </c>
      <c r="B30" s="41" t="s">
        <v>6</v>
      </c>
      <c r="C30" s="9">
        <v>957</v>
      </c>
      <c r="D30" s="9">
        <v>967</v>
      </c>
      <c r="E30" s="9">
        <v>1100</v>
      </c>
      <c r="F30" s="9">
        <v>1143</v>
      </c>
      <c r="G30" s="9">
        <v>1220</v>
      </c>
      <c r="H30" s="9">
        <v>1376</v>
      </c>
      <c r="I30" s="9">
        <v>1437</v>
      </c>
      <c r="J30" s="9">
        <v>1439</v>
      </c>
      <c r="K30" s="9" t="s">
        <v>30</v>
      </c>
      <c r="L30" s="23"/>
    </row>
    <row r="31" spans="1:16" s="2" customFormat="1" ht="16.5" customHeight="1" thickBot="1">
      <c r="A31" s="40" t="s">
        <v>96</v>
      </c>
      <c r="B31" s="58" t="s">
        <v>20</v>
      </c>
      <c r="C31" s="9">
        <v>891</v>
      </c>
      <c r="D31" s="9">
        <v>901</v>
      </c>
      <c r="E31" s="9" t="s">
        <v>30</v>
      </c>
      <c r="H31" s="23"/>
      <c r="I31" s="23"/>
      <c r="J31" s="23"/>
    </row>
    <row r="32" spans="1:16" s="2" customFormat="1" ht="16.5" customHeight="1" thickBot="1">
      <c r="A32" s="40" t="s">
        <v>97</v>
      </c>
      <c r="B32" s="44" t="s">
        <v>28</v>
      </c>
      <c r="C32" s="9">
        <v>858</v>
      </c>
      <c r="D32" s="9">
        <v>914</v>
      </c>
      <c r="E32" s="9">
        <v>973</v>
      </c>
      <c r="F32" s="9">
        <v>991</v>
      </c>
      <c r="G32" s="9" t="s">
        <v>30</v>
      </c>
      <c r="H32" s="23"/>
      <c r="I32" s="23"/>
      <c r="J32" s="23"/>
      <c r="K32" s="23"/>
      <c r="L32" s="23"/>
    </row>
    <row r="33" spans="1:17" s="2" customFormat="1" ht="16.5" customHeight="1" thickBot="1">
      <c r="A33" s="40" t="s">
        <v>98</v>
      </c>
      <c r="B33" s="43" t="s">
        <v>19</v>
      </c>
      <c r="C33" s="9">
        <v>352</v>
      </c>
      <c r="D33" s="9" t="s">
        <v>30</v>
      </c>
      <c r="F33" s="23"/>
      <c r="G33" s="23"/>
      <c r="H33" s="23"/>
      <c r="I33" s="23"/>
      <c r="J33" s="23"/>
      <c r="K33" s="23"/>
      <c r="L33" s="23"/>
      <c r="Q33" s="15"/>
    </row>
    <row r="34" spans="1:17" s="2" customFormat="1" ht="16.5" customHeight="1" thickBot="1">
      <c r="A34" s="40" t="s">
        <v>45</v>
      </c>
      <c r="B34" s="44" t="s">
        <v>28</v>
      </c>
      <c r="C34" s="9">
        <v>180</v>
      </c>
      <c r="D34" s="9" t="s">
        <v>30</v>
      </c>
      <c r="F34" s="23"/>
      <c r="G34" s="23"/>
      <c r="H34" s="23"/>
      <c r="I34" s="23"/>
      <c r="J34" s="23"/>
    </row>
    <row r="35" spans="1:17" s="2" customFormat="1" ht="16.5" customHeight="1" thickBot="1">
      <c r="A35" s="40" t="s">
        <v>99</v>
      </c>
      <c r="B35" s="57" t="s">
        <v>100</v>
      </c>
      <c r="C35" s="9">
        <v>161</v>
      </c>
      <c r="D35" s="9" t="s">
        <v>30</v>
      </c>
      <c r="F35" s="23"/>
      <c r="G35" s="23"/>
      <c r="H35" s="23"/>
      <c r="I35" s="23"/>
      <c r="J35" s="23"/>
    </row>
    <row r="36" spans="1:17" s="2" customFormat="1" ht="11.25" customHeight="1">
      <c r="A36" s="28"/>
      <c r="B36" s="47"/>
      <c r="C36" s="28"/>
      <c r="D36" s="28"/>
      <c r="E36" s="28"/>
      <c r="F36" s="23"/>
      <c r="G36" s="23"/>
      <c r="H36" s="23"/>
      <c r="I36" s="23"/>
      <c r="J36" s="23"/>
      <c r="N36" s="18"/>
    </row>
    <row r="37" spans="1:17" s="2" customFormat="1" ht="17.45" customHeight="1">
      <c r="A37" s="1" t="s">
        <v>109</v>
      </c>
    </row>
    <row r="38" spans="1:17" s="2" customFormat="1" ht="10.5" customHeight="1" thickBot="1">
      <c r="A38" s="1"/>
    </row>
    <row r="39" spans="1:17" s="2" customFormat="1" ht="16.5" customHeight="1" thickBot="1">
      <c r="A39" s="3" t="s">
        <v>0</v>
      </c>
      <c r="B39" s="4" t="s">
        <v>1</v>
      </c>
      <c r="C39" s="4" t="s">
        <v>2</v>
      </c>
      <c r="D39" s="4">
        <v>2</v>
      </c>
      <c r="E39" s="4">
        <v>3</v>
      </c>
      <c r="F39" s="4">
        <v>4</v>
      </c>
      <c r="G39" s="4">
        <v>5</v>
      </c>
      <c r="H39" s="4">
        <v>6</v>
      </c>
      <c r="I39" s="4">
        <v>7</v>
      </c>
      <c r="J39" s="4">
        <v>8</v>
      </c>
      <c r="K39" s="4">
        <v>9</v>
      </c>
      <c r="L39" s="5"/>
      <c r="M39" s="12" t="s">
        <v>5</v>
      </c>
      <c r="N39" s="13">
        <f>SUM(17572/28098)</f>
        <v>0.62538258950815007</v>
      </c>
    </row>
    <row r="40" spans="1:17" s="2" customFormat="1" ht="16.5" customHeight="1" thickBot="1">
      <c r="A40" s="6" t="s">
        <v>54</v>
      </c>
      <c r="B40" s="14" t="s">
        <v>6</v>
      </c>
      <c r="C40" s="9">
        <v>2004</v>
      </c>
      <c r="D40" s="9">
        <v>2041</v>
      </c>
      <c r="E40" s="9">
        <v>2127</v>
      </c>
      <c r="F40" s="8">
        <v>2170</v>
      </c>
      <c r="G40" s="9"/>
      <c r="H40" s="9"/>
      <c r="I40" s="9"/>
      <c r="J40" s="9"/>
      <c r="K40" s="9"/>
      <c r="L40" s="11" t="s">
        <v>7</v>
      </c>
      <c r="M40" s="15"/>
      <c r="N40" s="12" t="s">
        <v>8</v>
      </c>
      <c r="O40" s="12" t="s">
        <v>9</v>
      </c>
      <c r="P40" s="12" t="s">
        <v>10</v>
      </c>
    </row>
    <row r="41" spans="1:17" s="2" customFormat="1" ht="16.5" customHeight="1" thickBot="1">
      <c r="A41" s="6" t="s">
        <v>110</v>
      </c>
      <c r="B41" s="24" t="s">
        <v>28</v>
      </c>
      <c r="C41" s="9">
        <v>1894</v>
      </c>
      <c r="D41" s="9">
        <v>2030</v>
      </c>
      <c r="E41" s="9">
        <v>2114</v>
      </c>
      <c r="F41" s="8">
        <v>2283</v>
      </c>
      <c r="G41" s="8"/>
      <c r="H41" s="8"/>
      <c r="I41" s="8"/>
      <c r="J41" s="8"/>
      <c r="K41" s="8"/>
      <c r="L41" s="11" t="s">
        <v>4</v>
      </c>
      <c r="M41" s="16" t="s">
        <v>6</v>
      </c>
      <c r="N41" s="17">
        <f>SUM(C40+C47+C48+C49+C50+C51)</f>
        <v>6741</v>
      </c>
      <c r="O41" s="18">
        <f>SUM(N41/N46)</f>
        <v>0.38978836590725108</v>
      </c>
      <c r="P41" s="15">
        <v>2</v>
      </c>
    </row>
    <row r="42" spans="1:17" s="2" customFormat="1" ht="16.5" customHeight="1" thickBot="1">
      <c r="A42" s="6" t="s">
        <v>111</v>
      </c>
      <c r="B42" s="7" t="s">
        <v>3</v>
      </c>
      <c r="C42" s="9">
        <v>1735</v>
      </c>
      <c r="D42" s="9">
        <v>1792</v>
      </c>
      <c r="E42" s="9">
        <v>1935</v>
      </c>
      <c r="F42" s="9">
        <v>1971</v>
      </c>
      <c r="G42" s="9">
        <v>2001</v>
      </c>
      <c r="H42" s="9">
        <v>2022</v>
      </c>
      <c r="I42" s="9">
        <v>2102</v>
      </c>
      <c r="J42" s="8">
        <v>2402</v>
      </c>
      <c r="K42" s="8"/>
      <c r="L42" s="8" t="s">
        <v>11</v>
      </c>
      <c r="M42" s="19" t="s">
        <v>3</v>
      </c>
      <c r="N42" s="17">
        <f>SUM(C42+C44+C46)</f>
        <v>4443</v>
      </c>
      <c r="O42" s="18">
        <f>SUM(N42/N46)</f>
        <v>0.25690991095177518</v>
      </c>
      <c r="P42" s="15">
        <v>2</v>
      </c>
    </row>
    <row r="43" spans="1:17" s="2" customFormat="1" ht="16.5" customHeight="1" thickBot="1">
      <c r="A43" s="6" t="s">
        <v>112</v>
      </c>
      <c r="B43" s="24" t="s">
        <v>28</v>
      </c>
      <c r="C43" s="9">
        <v>1692</v>
      </c>
      <c r="D43" s="9">
        <v>1719</v>
      </c>
      <c r="E43" s="9">
        <v>1782</v>
      </c>
      <c r="F43" s="9">
        <v>1830</v>
      </c>
      <c r="G43" s="9">
        <v>2060</v>
      </c>
      <c r="H43" s="9">
        <v>2067</v>
      </c>
      <c r="I43" s="9">
        <v>2100</v>
      </c>
      <c r="J43" s="8">
        <v>2165</v>
      </c>
      <c r="K43" s="8"/>
      <c r="L43" s="11" t="s">
        <v>15</v>
      </c>
      <c r="M43" s="30" t="s">
        <v>20</v>
      </c>
      <c r="N43" s="23">
        <v>1307</v>
      </c>
      <c r="O43" s="13">
        <f>SUM(N43/N46)</f>
        <v>7.5575344049959525E-2</v>
      </c>
      <c r="P43" s="2">
        <v>1</v>
      </c>
    </row>
    <row r="44" spans="1:17" s="2" customFormat="1" ht="16.5" customHeight="1" thickBot="1">
      <c r="A44" s="6" t="s">
        <v>113</v>
      </c>
      <c r="B44" s="7" t="s">
        <v>3</v>
      </c>
      <c r="C44" s="9">
        <v>1428</v>
      </c>
      <c r="D44" s="9">
        <v>1449</v>
      </c>
      <c r="E44" s="9">
        <v>1491</v>
      </c>
      <c r="F44" s="9">
        <v>1498</v>
      </c>
      <c r="G44" s="9">
        <v>1508</v>
      </c>
      <c r="H44" s="9">
        <v>1508</v>
      </c>
      <c r="I44" s="9">
        <v>1807</v>
      </c>
      <c r="J44" s="9">
        <v>1854</v>
      </c>
      <c r="K44" s="8">
        <v>1878</v>
      </c>
      <c r="L44" s="11" t="s">
        <v>14</v>
      </c>
      <c r="M44" s="33" t="s">
        <v>19</v>
      </c>
      <c r="N44" s="23">
        <v>570</v>
      </c>
      <c r="O44" s="13">
        <f>SUM(N44/N46)</f>
        <v>3.2959407887128485E-2</v>
      </c>
    </row>
    <row r="45" spans="1:17" s="2" customFormat="1" ht="16.5" customHeight="1" thickBot="1">
      <c r="A45" s="6" t="s">
        <v>114</v>
      </c>
      <c r="B45" s="61" t="s">
        <v>20</v>
      </c>
      <c r="C45" s="9">
        <v>1307</v>
      </c>
      <c r="D45" s="9">
        <v>1353</v>
      </c>
      <c r="E45" s="9">
        <v>1384</v>
      </c>
      <c r="F45" s="9">
        <v>1477</v>
      </c>
      <c r="G45" s="9">
        <v>1523</v>
      </c>
      <c r="H45" s="9">
        <v>1548</v>
      </c>
      <c r="I45" s="9">
        <v>1744</v>
      </c>
      <c r="J45" s="9">
        <v>1837</v>
      </c>
      <c r="K45" s="8">
        <v>1874</v>
      </c>
      <c r="L45" s="11" t="s">
        <v>16</v>
      </c>
      <c r="M45" s="12" t="s">
        <v>13</v>
      </c>
      <c r="N45" s="23">
        <f>SUM(C41+C43+C52)</f>
        <v>4233</v>
      </c>
      <c r="O45" s="13">
        <f>SUM(N45/N46)</f>
        <v>0.24476697120388574</v>
      </c>
      <c r="P45" s="2">
        <v>2</v>
      </c>
    </row>
    <row r="46" spans="1:17" s="2" customFormat="1" ht="16.5" customHeight="1" thickBot="1">
      <c r="A46" s="20" t="s">
        <v>56</v>
      </c>
      <c r="B46" s="27" t="s">
        <v>3</v>
      </c>
      <c r="C46" s="9">
        <v>1280</v>
      </c>
      <c r="D46" s="9">
        <v>1297</v>
      </c>
      <c r="E46" s="9">
        <v>1303</v>
      </c>
      <c r="F46" s="9">
        <v>1326</v>
      </c>
      <c r="G46" s="9">
        <v>1503</v>
      </c>
      <c r="H46" s="9">
        <v>1514</v>
      </c>
      <c r="I46" s="9">
        <v>1533</v>
      </c>
      <c r="J46" s="9">
        <v>1548</v>
      </c>
      <c r="K46" s="9">
        <v>1577</v>
      </c>
      <c r="L46" s="11"/>
      <c r="N46" s="25">
        <v>17294</v>
      </c>
    </row>
    <row r="47" spans="1:17" s="2" customFormat="1" ht="16.5" customHeight="1" thickBot="1">
      <c r="A47" s="6" t="s">
        <v>58</v>
      </c>
      <c r="B47" s="14" t="s">
        <v>6</v>
      </c>
      <c r="C47" s="9">
        <v>1129</v>
      </c>
      <c r="D47" s="9">
        <v>1154</v>
      </c>
      <c r="E47" s="9">
        <v>1165</v>
      </c>
      <c r="F47" s="9">
        <v>1304</v>
      </c>
      <c r="G47" s="9">
        <v>1535</v>
      </c>
      <c r="H47" s="9">
        <v>1582</v>
      </c>
      <c r="I47" s="9">
        <v>1764</v>
      </c>
      <c r="J47" s="8">
        <v>2207</v>
      </c>
      <c r="K47" s="9"/>
      <c r="L47" s="11" t="s">
        <v>12</v>
      </c>
      <c r="N47" s="23"/>
    </row>
    <row r="48" spans="1:17" s="2" customFormat="1" ht="16.5" customHeight="1" thickBot="1">
      <c r="A48" s="20" t="s">
        <v>57</v>
      </c>
      <c r="B48" s="21" t="s">
        <v>6</v>
      </c>
      <c r="C48" s="9">
        <v>1076</v>
      </c>
      <c r="D48" s="9">
        <v>1095</v>
      </c>
      <c r="E48" s="9">
        <v>1180</v>
      </c>
      <c r="F48" s="9">
        <v>1195</v>
      </c>
      <c r="G48" s="9">
        <v>1235</v>
      </c>
      <c r="H48" s="9">
        <v>1237</v>
      </c>
      <c r="I48" s="9">
        <v>1440</v>
      </c>
      <c r="J48" s="9" t="s">
        <v>30</v>
      </c>
      <c r="K48" s="23"/>
    </row>
    <row r="49" spans="1:11" s="2" customFormat="1" ht="16.5" customHeight="1" thickBot="1">
      <c r="A49" s="20" t="s">
        <v>115</v>
      </c>
      <c r="B49" s="21" t="s">
        <v>6</v>
      </c>
      <c r="C49" s="9">
        <v>978</v>
      </c>
      <c r="D49" s="9">
        <v>999</v>
      </c>
      <c r="E49" s="9">
        <v>1034</v>
      </c>
      <c r="F49" s="9">
        <v>1111</v>
      </c>
      <c r="G49" s="9">
        <v>1166</v>
      </c>
      <c r="H49" s="9">
        <v>1174</v>
      </c>
      <c r="I49" s="9" t="s">
        <v>30</v>
      </c>
      <c r="J49" s="23"/>
      <c r="K49" s="23"/>
    </row>
    <row r="50" spans="1:11" s="2" customFormat="1" ht="16.5" customHeight="1" thickBot="1">
      <c r="A50" s="20" t="s">
        <v>116</v>
      </c>
      <c r="B50" s="21" t="s">
        <v>6</v>
      </c>
      <c r="C50" s="9">
        <v>813</v>
      </c>
      <c r="D50" s="9">
        <v>821</v>
      </c>
      <c r="E50" s="9">
        <v>830</v>
      </c>
      <c r="F50" s="9">
        <v>909</v>
      </c>
      <c r="G50" s="9" t="s">
        <v>30</v>
      </c>
      <c r="H50" s="23"/>
      <c r="I50" s="23"/>
      <c r="J50" s="23"/>
      <c r="K50" s="63"/>
    </row>
    <row r="51" spans="1:11" s="2" customFormat="1" ht="16.5" customHeight="1" thickBot="1">
      <c r="A51" s="20" t="s">
        <v>117</v>
      </c>
      <c r="B51" s="21" t="s">
        <v>6</v>
      </c>
      <c r="C51" s="10">
        <v>741</v>
      </c>
      <c r="D51" s="9">
        <v>772</v>
      </c>
      <c r="E51" s="9">
        <v>779</v>
      </c>
      <c r="F51" s="9" t="s">
        <v>30</v>
      </c>
      <c r="G51" s="23"/>
      <c r="H51" s="63"/>
      <c r="I51" s="63"/>
      <c r="J51" s="63"/>
      <c r="K51" s="23"/>
    </row>
    <row r="52" spans="1:11" s="2" customFormat="1" ht="16.5" customHeight="1" thickBot="1">
      <c r="A52" s="20" t="s">
        <v>118</v>
      </c>
      <c r="B52" s="26" t="s">
        <v>28</v>
      </c>
      <c r="C52" s="10">
        <v>647</v>
      </c>
      <c r="D52" s="9">
        <v>695</v>
      </c>
      <c r="E52" s="9" t="s">
        <v>30</v>
      </c>
      <c r="F52" s="23"/>
      <c r="G52" s="23"/>
      <c r="H52" s="63"/>
      <c r="I52" s="63"/>
      <c r="J52" s="63"/>
      <c r="K52" s="23"/>
    </row>
    <row r="53" spans="1:11" s="2" customFormat="1" ht="16.5" customHeight="1" thickBot="1">
      <c r="A53" s="20" t="s">
        <v>119</v>
      </c>
      <c r="B53" s="62" t="s">
        <v>19</v>
      </c>
      <c r="C53" s="10">
        <v>570</v>
      </c>
      <c r="D53" s="9" t="s">
        <v>30</v>
      </c>
      <c r="E53" s="23"/>
      <c r="F53" s="23"/>
      <c r="G53" s="23"/>
      <c r="H53" s="63"/>
      <c r="I53" s="63"/>
      <c r="J53" s="63"/>
      <c r="K53" s="23"/>
    </row>
    <row r="55" spans="1:11" s="2" customFormat="1" ht="17.45" customHeight="1">
      <c r="A55" s="31" t="s">
        <v>101</v>
      </c>
      <c r="B55" s="23"/>
      <c r="C55" s="23"/>
      <c r="D55" s="23"/>
      <c r="E55" s="23"/>
      <c r="F55" s="23"/>
      <c r="G55" s="23"/>
      <c r="H55" s="23"/>
      <c r="I55" s="23"/>
      <c r="J55" s="23"/>
    </row>
    <row r="56" spans="1:11" s="2" customFormat="1" ht="8.25" customHeight="1" thickBot="1">
      <c r="A56" s="31"/>
      <c r="B56" s="23"/>
      <c r="C56" s="23"/>
      <c r="D56" s="23"/>
      <c r="E56" s="23"/>
      <c r="F56" s="23"/>
      <c r="G56" s="23"/>
      <c r="H56" s="23"/>
      <c r="I56" s="23"/>
      <c r="J56" s="23"/>
    </row>
    <row r="57" spans="1:11" s="2" customFormat="1" ht="17.45" customHeight="1" thickBot="1">
      <c r="A57" s="35" t="s">
        <v>0</v>
      </c>
      <c r="B57" s="36" t="s">
        <v>1</v>
      </c>
      <c r="C57" s="36" t="s">
        <v>2</v>
      </c>
      <c r="D57" s="36">
        <v>2</v>
      </c>
      <c r="E57" s="36">
        <v>3</v>
      </c>
      <c r="F57" s="36">
        <v>4</v>
      </c>
      <c r="G57" s="36"/>
      <c r="H57" s="25" t="s">
        <v>5</v>
      </c>
      <c r="I57" s="13">
        <f>SUM(11982/19286)</f>
        <v>0.62127968474541118</v>
      </c>
      <c r="K57" s="13"/>
    </row>
    <row r="58" spans="1:11" s="2" customFormat="1" ht="17.45" customHeight="1" thickBot="1">
      <c r="A58" s="37" t="s">
        <v>102</v>
      </c>
      <c r="B58" s="38" t="s">
        <v>6</v>
      </c>
      <c r="C58" s="8">
        <v>2567</v>
      </c>
      <c r="D58" s="9"/>
      <c r="E58" s="8"/>
      <c r="F58" s="9"/>
      <c r="G58" s="8" t="s">
        <v>4</v>
      </c>
      <c r="H58" s="17"/>
      <c r="I58" s="12" t="s">
        <v>8</v>
      </c>
      <c r="J58" s="12" t="s">
        <v>9</v>
      </c>
      <c r="K58" s="12" t="s">
        <v>10</v>
      </c>
    </row>
    <row r="59" spans="1:11" s="2" customFormat="1" ht="17.45" customHeight="1" thickBot="1">
      <c r="A59" s="37" t="s">
        <v>47</v>
      </c>
      <c r="B59" s="39" t="s">
        <v>3</v>
      </c>
      <c r="C59" s="44">
        <v>2006</v>
      </c>
      <c r="D59" s="9">
        <v>2027</v>
      </c>
      <c r="E59" s="9">
        <v>2202</v>
      </c>
      <c r="F59" s="8">
        <v>2496</v>
      </c>
      <c r="G59" s="8" t="s">
        <v>7</v>
      </c>
      <c r="H59" s="48" t="s">
        <v>6</v>
      </c>
      <c r="I59" s="17">
        <f>SUM(C58+C62)</f>
        <v>4173</v>
      </c>
      <c r="J59" s="18">
        <f>SUM(I59/I64)</f>
        <v>0.35295610251205278</v>
      </c>
      <c r="K59" s="15">
        <v>1</v>
      </c>
    </row>
    <row r="60" spans="1:11" s="2" customFormat="1" ht="17.45" customHeight="1" thickBot="1">
      <c r="A60" s="37" t="s">
        <v>103</v>
      </c>
      <c r="B60" s="51" t="s">
        <v>20</v>
      </c>
      <c r="C60" s="9">
        <v>1941</v>
      </c>
      <c r="D60" s="9">
        <v>1959</v>
      </c>
      <c r="E60" s="9">
        <v>2081</v>
      </c>
      <c r="F60" s="8">
        <v>2203</v>
      </c>
      <c r="G60" s="8" t="s">
        <v>12</v>
      </c>
      <c r="H60" s="49" t="s">
        <v>3</v>
      </c>
      <c r="I60" s="17">
        <f>SUM(C59+C61+C63)</f>
        <v>4897</v>
      </c>
      <c r="J60" s="18">
        <f>SUM(I60/I64)</f>
        <v>0.41419267529391862</v>
      </c>
      <c r="K60" s="15">
        <v>2</v>
      </c>
    </row>
    <row r="61" spans="1:11" s="2" customFormat="1" ht="17.45" customHeight="1" thickBot="1">
      <c r="A61" s="37" t="s">
        <v>105</v>
      </c>
      <c r="B61" s="39" t="s">
        <v>3</v>
      </c>
      <c r="C61" s="9">
        <v>1632</v>
      </c>
      <c r="D61" s="9">
        <v>1644</v>
      </c>
      <c r="E61" s="9">
        <v>1782</v>
      </c>
      <c r="F61" s="8">
        <v>2288</v>
      </c>
      <c r="G61" s="8" t="s">
        <v>11</v>
      </c>
      <c r="H61" s="53" t="s">
        <v>20</v>
      </c>
      <c r="I61" s="23">
        <v>1941</v>
      </c>
      <c r="J61" s="13">
        <f>SUM(I61/I64)</f>
        <v>0.16417153006851054</v>
      </c>
      <c r="K61" s="2">
        <v>1</v>
      </c>
    </row>
    <row r="62" spans="1:11" s="2" customFormat="1" ht="17.45" customHeight="1" thickBot="1">
      <c r="A62" s="40" t="s">
        <v>104</v>
      </c>
      <c r="B62" s="41" t="s">
        <v>6</v>
      </c>
      <c r="C62" s="9">
        <v>1606</v>
      </c>
      <c r="D62" s="9">
        <v>1678</v>
      </c>
      <c r="E62" s="9">
        <v>1810</v>
      </c>
      <c r="F62" s="9">
        <v>1950</v>
      </c>
      <c r="G62" s="9"/>
      <c r="H62" s="60" t="s">
        <v>19</v>
      </c>
      <c r="I62" s="23">
        <v>403</v>
      </c>
      <c r="J62" s="13">
        <f>SUM(I62/I64)</f>
        <v>3.4086103357861795E-2</v>
      </c>
    </row>
    <row r="63" spans="1:11" s="2" customFormat="1" ht="17.45" customHeight="1" thickBot="1">
      <c r="A63" s="40" t="s">
        <v>106</v>
      </c>
      <c r="B63" s="42" t="s">
        <v>3</v>
      </c>
      <c r="C63" s="9">
        <v>1259</v>
      </c>
      <c r="D63" s="9">
        <v>1327</v>
      </c>
      <c r="E63" s="9">
        <v>1388</v>
      </c>
      <c r="F63" s="9" t="s">
        <v>30</v>
      </c>
      <c r="G63" s="23"/>
      <c r="H63" s="25" t="s">
        <v>13</v>
      </c>
      <c r="I63" s="23">
        <v>409</v>
      </c>
      <c r="J63" s="13">
        <f>SUM(I63/I64)</f>
        <v>3.4593588767656266E-2</v>
      </c>
    </row>
    <row r="64" spans="1:11" s="2" customFormat="1" ht="17.45" customHeight="1" thickBot="1">
      <c r="A64" s="40" t="s">
        <v>107</v>
      </c>
      <c r="B64" s="44" t="s">
        <v>28</v>
      </c>
      <c r="C64" s="9">
        <v>409</v>
      </c>
      <c r="D64" s="9">
        <v>414</v>
      </c>
      <c r="E64" s="9" t="s">
        <v>30</v>
      </c>
      <c r="F64" s="23"/>
      <c r="G64" s="23"/>
      <c r="H64" s="23"/>
      <c r="I64" s="25">
        <v>11823</v>
      </c>
    </row>
    <row r="65" spans="1:23" s="2" customFormat="1" ht="17.45" customHeight="1" thickBot="1">
      <c r="A65" s="40" t="s">
        <v>108</v>
      </c>
      <c r="B65" s="43" t="s">
        <v>19</v>
      </c>
      <c r="C65" s="9">
        <v>403</v>
      </c>
      <c r="D65" s="9">
        <v>409</v>
      </c>
      <c r="E65" s="9" t="s">
        <v>30</v>
      </c>
      <c r="F65" s="23"/>
      <c r="G65" s="23"/>
      <c r="H65" s="23"/>
      <c r="I65" s="23"/>
      <c r="J65" s="25"/>
      <c r="L65" s="13"/>
      <c r="M65" s="13"/>
    </row>
    <row r="67" spans="1:23" s="2" customFormat="1" ht="17.45" customHeight="1">
      <c r="A67" s="31" t="s">
        <v>120</v>
      </c>
      <c r="B67" s="23"/>
      <c r="C67" s="23"/>
      <c r="D67" s="23"/>
      <c r="E67" s="23"/>
      <c r="F67" s="23"/>
      <c r="G67" s="23"/>
      <c r="H67" s="23"/>
      <c r="I67" s="23"/>
      <c r="J67" s="23"/>
    </row>
    <row r="68" spans="1:23" s="2" customFormat="1" ht="10.5" customHeight="1" thickBot="1">
      <c r="A68" s="31"/>
      <c r="B68" s="23"/>
      <c r="C68" s="23"/>
      <c r="D68" s="23"/>
      <c r="E68" s="23"/>
      <c r="F68" s="23"/>
      <c r="G68" s="23"/>
      <c r="H68" s="23"/>
      <c r="I68" s="23"/>
      <c r="J68" s="23"/>
    </row>
    <row r="69" spans="1:23" s="2" customFormat="1" ht="16.5" customHeight="1" thickBot="1">
      <c r="A69" s="35" t="s">
        <v>0</v>
      </c>
      <c r="B69" s="36" t="s">
        <v>1</v>
      </c>
      <c r="C69" s="36" t="s">
        <v>2</v>
      </c>
      <c r="D69" s="36">
        <v>2</v>
      </c>
      <c r="E69" s="36">
        <v>3</v>
      </c>
      <c r="F69" s="36">
        <v>4</v>
      </c>
      <c r="G69" s="36">
        <v>5</v>
      </c>
      <c r="H69" s="36">
        <v>6</v>
      </c>
      <c r="I69" s="36">
        <v>7</v>
      </c>
      <c r="J69" s="36">
        <v>8</v>
      </c>
      <c r="K69" s="36">
        <v>9</v>
      </c>
      <c r="L69" s="36">
        <v>10</v>
      </c>
      <c r="M69" s="36">
        <v>11</v>
      </c>
      <c r="N69" s="36">
        <v>12</v>
      </c>
      <c r="O69" s="36">
        <v>13</v>
      </c>
      <c r="P69" s="36">
        <v>14</v>
      </c>
      <c r="Q69" s="36">
        <v>15</v>
      </c>
      <c r="R69" s="36">
        <v>16</v>
      </c>
      <c r="S69" s="45"/>
      <c r="T69" s="12" t="s">
        <v>5</v>
      </c>
      <c r="U69" s="13">
        <f>SUM(17005/28882)</f>
        <v>0.58877501558063849</v>
      </c>
    </row>
    <row r="70" spans="1:23" s="2" customFormat="1" ht="16.5" customHeight="1" thickBot="1">
      <c r="A70" s="37" t="s">
        <v>131</v>
      </c>
      <c r="B70" s="52" t="s">
        <v>28</v>
      </c>
      <c r="C70" s="9">
        <v>1511</v>
      </c>
      <c r="D70" s="9">
        <v>1517</v>
      </c>
      <c r="E70" s="9">
        <v>1528</v>
      </c>
      <c r="F70" s="9">
        <v>1533</v>
      </c>
      <c r="G70" s="9">
        <v>1561</v>
      </c>
      <c r="H70" s="9">
        <v>1607</v>
      </c>
      <c r="I70" s="9">
        <v>1702</v>
      </c>
      <c r="J70" s="9">
        <v>1766</v>
      </c>
      <c r="K70" s="9">
        <v>1814</v>
      </c>
      <c r="L70" s="9">
        <v>1985</v>
      </c>
      <c r="M70" s="8">
        <v>2109</v>
      </c>
      <c r="N70" s="8"/>
      <c r="O70" s="8"/>
      <c r="P70" s="9"/>
      <c r="Q70" s="9"/>
      <c r="R70" s="9"/>
      <c r="S70" s="8" t="s">
        <v>4</v>
      </c>
      <c r="T70" s="15"/>
      <c r="U70" s="12" t="s">
        <v>8</v>
      </c>
      <c r="V70" s="12" t="s">
        <v>9</v>
      </c>
      <c r="W70" s="12" t="s">
        <v>10</v>
      </c>
    </row>
    <row r="71" spans="1:23" s="2" customFormat="1" ht="16.5" customHeight="1" thickBot="1">
      <c r="A71" s="37" t="s">
        <v>490</v>
      </c>
      <c r="B71" s="38" t="s">
        <v>6</v>
      </c>
      <c r="C71" s="9">
        <v>1377</v>
      </c>
      <c r="D71" s="9">
        <v>1378</v>
      </c>
      <c r="E71" s="9">
        <v>1409</v>
      </c>
      <c r="F71" s="9">
        <v>1412</v>
      </c>
      <c r="G71" s="9">
        <v>1416</v>
      </c>
      <c r="H71" s="9">
        <v>1441</v>
      </c>
      <c r="I71" s="9">
        <v>1518</v>
      </c>
      <c r="J71" s="9">
        <v>1783</v>
      </c>
      <c r="K71" s="9">
        <v>1811</v>
      </c>
      <c r="L71" s="9">
        <v>1837</v>
      </c>
      <c r="M71" s="9">
        <v>1891</v>
      </c>
      <c r="N71" s="9">
        <v>2080</v>
      </c>
      <c r="O71" s="9">
        <v>2080</v>
      </c>
      <c r="P71" s="8">
        <v>2248</v>
      </c>
      <c r="Q71" s="8"/>
      <c r="R71" s="8"/>
      <c r="S71" s="8" t="s">
        <v>11</v>
      </c>
      <c r="T71" s="16" t="s">
        <v>6</v>
      </c>
      <c r="U71" s="17">
        <f>SUM(C71+C73+C74+C78+C81+C88)</f>
        <v>5698</v>
      </c>
      <c r="V71" s="18">
        <f t="shared" ref="V71:V78" si="0">SUM(U71/$U$79)</f>
        <v>0.34183214349991004</v>
      </c>
      <c r="W71" s="15">
        <v>3</v>
      </c>
    </row>
    <row r="72" spans="1:23" s="2" customFormat="1" ht="16.5" customHeight="1" thickBot="1">
      <c r="A72" s="37" t="s">
        <v>491</v>
      </c>
      <c r="B72" s="52" t="s">
        <v>28</v>
      </c>
      <c r="C72" s="9">
        <v>1328</v>
      </c>
      <c r="D72" s="9">
        <v>1331</v>
      </c>
      <c r="E72" s="9">
        <v>1404</v>
      </c>
      <c r="F72" s="9">
        <v>1409</v>
      </c>
      <c r="G72" s="9">
        <v>1428</v>
      </c>
      <c r="H72" s="9">
        <v>1518</v>
      </c>
      <c r="I72" s="9">
        <v>1619</v>
      </c>
      <c r="J72" s="9">
        <v>1623</v>
      </c>
      <c r="K72" s="9">
        <v>1693</v>
      </c>
      <c r="L72" s="9">
        <v>1720</v>
      </c>
      <c r="M72" s="9">
        <v>1962</v>
      </c>
      <c r="N72" s="9">
        <v>1974</v>
      </c>
      <c r="O72" s="9">
        <v>1983</v>
      </c>
      <c r="P72" s="8">
        <v>2253</v>
      </c>
      <c r="Q72" s="8"/>
      <c r="R72" s="9"/>
      <c r="S72" s="8" t="s">
        <v>7</v>
      </c>
      <c r="T72" s="19" t="s">
        <v>3</v>
      </c>
      <c r="U72" s="17">
        <f>SUM(C76+C79+C85+C87)</f>
        <v>2786</v>
      </c>
      <c r="V72" s="18">
        <f t="shared" si="0"/>
        <v>0.16713660087587737</v>
      </c>
      <c r="W72" s="15">
        <v>1</v>
      </c>
    </row>
    <row r="73" spans="1:23" s="2" customFormat="1" ht="16.5" customHeight="1" thickBot="1">
      <c r="A73" s="37" t="s">
        <v>130</v>
      </c>
      <c r="B73" s="38" t="s">
        <v>6</v>
      </c>
      <c r="C73" s="9">
        <v>1250</v>
      </c>
      <c r="D73" s="9">
        <v>1252</v>
      </c>
      <c r="E73" s="9">
        <v>1294</v>
      </c>
      <c r="F73" s="9">
        <v>1299</v>
      </c>
      <c r="G73" s="9">
        <v>1320</v>
      </c>
      <c r="H73" s="9">
        <v>1360</v>
      </c>
      <c r="I73" s="9">
        <v>1460</v>
      </c>
      <c r="J73" s="9">
        <v>1495</v>
      </c>
      <c r="K73" s="9">
        <v>1515</v>
      </c>
      <c r="L73" s="9">
        <v>1551</v>
      </c>
      <c r="M73" s="9">
        <v>1627</v>
      </c>
      <c r="N73" s="9">
        <v>1785</v>
      </c>
      <c r="O73" s="9">
        <v>1788</v>
      </c>
      <c r="P73" s="9">
        <v>1993</v>
      </c>
      <c r="Q73" s="9">
        <v>2038</v>
      </c>
      <c r="R73" s="8">
        <v>2082</v>
      </c>
      <c r="S73" s="8" t="s">
        <v>12</v>
      </c>
      <c r="T73" s="54" t="s">
        <v>74</v>
      </c>
      <c r="U73" s="17">
        <v>1076</v>
      </c>
      <c r="V73" s="18">
        <f t="shared" si="0"/>
        <v>6.4550962865198874E-2</v>
      </c>
    </row>
    <row r="74" spans="1:23" s="2" customFormat="1" ht="16.5" customHeight="1" thickBot="1">
      <c r="A74" s="37" t="s">
        <v>70</v>
      </c>
      <c r="B74" s="38" t="s">
        <v>6</v>
      </c>
      <c r="C74" s="9">
        <v>1216</v>
      </c>
      <c r="D74" s="9">
        <v>1269</v>
      </c>
      <c r="E74" s="9">
        <v>1283</v>
      </c>
      <c r="F74" s="9">
        <v>1323</v>
      </c>
      <c r="G74" s="9">
        <v>1329</v>
      </c>
      <c r="H74" s="9">
        <v>1333</v>
      </c>
      <c r="I74" s="9">
        <v>1338</v>
      </c>
      <c r="J74" s="9">
        <v>1390</v>
      </c>
      <c r="K74" s="9">
        <v>1503</v>
      </c>
      <c r="L74" s="9">
        <v>1517</v>
      </c>
      <c r="M74" s="9">
        <v>1527</v>
      </c>
      <c r="N74" s="9">
        <v>1618</v>
      </c>
      <c r="O74" s="9">
        <v>1618</v>
      </c>
      <c r="P74" s="9">
        <v>1652</v>
      </c>
      <c r="Q74" s="9">
        <v>1661</v>
      </c>
      <c r="R74" s="8">
        <v>1673</v>
      </c>
      <c r="S74" s="8" t="s">
        <v>16</v>
      </c>
      <c r="T74" s="30" t="s">
        <v>20</v>
      </c>
      <c r="U74" s="17">
        <f>SUM(C75+C84)</f>
        <v>1687</v>
      </c>
      <c r="V74" s="18">
        <f t="shared" si="0"/>
        <v>0.10120583118363428</v>
      </c>
      <c r="W74" s="2">
        <v>1</v>
      </c>
    </row>
    <row r="75" spans="1:23" s="2" customFormat="1" ht="16.5" customHeight="1" thickBot="1">
      <c r="A75" s="37" t="s">
        <v>72</v>
      </c>
      <c r="B75" s="51" t="s">
        <v>20</v>
      </c>
      <c r="C75" s="9">
        <v>1110</v>
      </c>
      <c r="D75" s="9">
        <v>1114</v>
      </c>
      <c r="E75" s="9">
        <v>1121</v>
      </c>
      <c r="F75" s="9">
        <v>1130</v>
      </c>
      <c r="G75" s="9">
        <v>1149</v>
      </c>
      <c r="H75" s="9">
        <v>1156</v>
      </c>
      <c r="I75" s="9">
        <v>1256</v>
      </c>
      <c r="J75" s="9">
        <v>1310</v>
      </c>
      <c r="K75" s="9">
        <v>1337</v>
      </c>
      <c r="L75" s="9">
        <v>1441</v>
      </c>
      <c r="M75" s="9">
        <v>1488</v>
      </c>
      <c r="N75" s="9">
        <v>1809</v>
      </c>
      <c r="O75" s="9">
        <v>1814</v>
      </c>
      <c r="P75" s="9">
        <v>1915</v>
      </c>
      <c r="Q75" s="9">
        <v>1932</v>
      </c>
      <c r="R75" s="8">
        <v>1941</v>
      </c>
      <c r="S75" s="8" t="s">
        <v>15</v>
      </c>
      <c r="T75" s="29" t="s">
        <v>17</v>
      </c>
      <c r="U75" s="17">
        <v>619</v>
      </c>
      <c r="V75" s="18">
        <f t="shared" si="0"/>
        <v>3.71348011278421E-2</v>
      </c>
      <c r="W75" s="15"/>
    </row>
    <row r="76" spans="1:23" s="2" customFormat="1" ht="16.5" customHeight="1" thickBot="1">
      <c r="A76" s="40" t="s">
        <v>129</v>
      </c>
      <c r="B76" s="42" t="s">
        <v>3</v>
      </c>
      <c r="C76" s="9">
        <v>1104</v>
      </c>
      <c r="D76" s="9">
        <v>1141</v>
      </c>
      <c r="E76" s="9">
        <v>1146</v>
      </c>
      <c r="F76" s="9">
        <v>1267</v>
      </c>
      <c r="G76" s="9">
        <v>1282</v>
      </c>
      <c r="H76" s="9">
        <v>1328</v>
      </c>
      <c r="I76" s="9">
        <v>1338</v>
      </c>
      <c r="J76" s="9">
        <v>1372</v>
      </c>
      <c r="K76" s="9">
        <v>1476</v>
      </c>
      <c r="L76" s="9">
        <v>1488</v>
      </c>
      <c r="M76" s="9">
        <v>1539</v>
      </c>
      <c r="N76" s="9">
        <v>1572</v>
      </c>
      <c r="O76" s="9">
        <v>1575</v>
      </c>
      <c r="P76" s="9">
        <v>1611</v>
      </c>
      <c r="Q76" s="9">
        <v>1623</v>
      </c>
      <c r="R76" s="9">
        <v>1625</v>
      </c>
      <c r="S76" s="8"/>
      <c r="T76" s="33" t="s">
        <v>19</v>
      </c>
      <c r="U76" s="17">
        <v>610</v>
      </c>
      <c r="V76" s="18">
        <f t="shared" si="0"/>
        <v>3.6594876717259583E-2</v>
      </c>
      <c r="W76" s="15"/>
    </row>
    <row r="77" spans="1:23" s="2" customFormat="1" ht="16.5" customHeight="1" thickBot="1">
      <c r="A77" s="40" t="s">
        <v>486</v>
      </c>
      <c r="B77" s="55" t="s">
        <v>74</v>
      </c>
      <c r="C77" s="9">
        <v>1076</v>
      </c>
      <c r="D77" s="9">
        <v>1077</v>
      </c>
      <c r="E77" s="9">
        <v>1084</v>
      </c>
      <c r="F77" s="9">
        <v>1084</v>
      </c>
      <c r="G77" s="9">
        <v>1100</v>
      </c>
      <c r="H77" s="9">
        <v>1122</v>
      </c>
      <c r="I77" s="9">
        <v>1145</v>
      </c>
      <c r="J77" s="9">
        <v>1150</v>
      </c>
      <c r="K77" s="9">
        <v>1203</v>
      </c>
      <c r="L77" s="9">
        <v>1228</v>
      </c>
      <c r="M77" s="9">
        <v>1284</v>
      </c>
      <c r="N77" s="9">
        <v>1343</v>
      </c>
      <c r="O77" s="9">
        <v>1345</v>
      </c>
      <c r="P77" s="9" t="s">
        <v>30</v>
      </c>
      <c r="T77" s="46" t="s">
        <v>100</v>
      </c>
      <c r="U77" s="17">
        <v>387</v>
      </c>
      <c r="V77" s="18">
        <f t="shared" si="0"/>
        <v>2.3216749655048292E-2</v>
      </c>
    </row>
    <row r="78" spans="1:23" s="2" customFormat="1" ht="16.5" customHeight="1" thickBot="1">
      <c r="A78" s="40" t="s">
        <v>128</v>
      </c>
      <c r="B78" s="41" t="s">
        <v>6</v>
      </c>
      <c r="C78" s="9">
        <v>927</v>
      </c>
      <c r="D78" s="9">
        <v>930</v>
      </c>
      <c r="E78" s="9">
        <v>943</v>
      </c>
      <c r="F78" s="9">
        <v>951</v>
      </c>
      <c r="G78" s="9">
        <v>962</v>
      </c>
      <c r="H78" s="9">
        <v>964</v>
      </c>
      <c r="I78" s="9">
        <v>971</v>
      </c>
      <c r="J78" s="9">
        <v>1047</v>
      </c>
      <c r="K78" s="9">
        <v>1068</v>
      </c>
      <c r="L78" s="9">
        <v>1178</v>
      </c>
      <c r="M78" s="9">
        <v>1191</v>
      </c>
      <c r="N78" s="9" t="s">
        <v>30</v>
      </c>
      <c r="T78" s="22" t="s">
        <v>13</v>
      </c>
      <c r="U78" s="17">
        <f>SUM(C70+C72+C80+C89)</f>
        <v>3806</v>
      </c>
      <c r="V78" s="18">
        <f t="shared" si="0"/>
        <v>0.22832803407522947</v>
      </c>
      <c r="W78" s="2">
        <v>2</v>
      </c>
    </row>
    <row r="79" spans="1:23" s="2" customFormat="1" ht="16.5" customHeight="1" thickBot="1">
      <c r="A79" s="37" t="s">
        <v>127</v>
      </c>
      <c r="B79" s="39" t="s">
        <v>3</v>
      </c>
      <c r="C79" s="9">
        <v>864</v>
      </c>
      <c r="D79" s="9">
        <v>866</v>
      </c>
      <c r="E79" s="9">
        <v>869</v>
      </c>
      <c r="F79" s="9">
        <v>918</v>
      </c>
      <c r="G79" s="9">
        <v>945</v>
      </c>
      <c r="H79" s="9">
        <v>1004</v>
      </c>
      <c r="I79" s="9">
        <v>1014</v>
      </c>
      <c r="J79" s="9">
        <v>1024</v>
      </c>
      <c r="K79" s="9">
        <v>1042</v>
      </c>
      <c r="L79" s="9">
        <v>1307</v>
      </c>
      <c r="M79" s="9">
        <v>1386</v>
      </c>
      <c r="N79" s="9">
        <v>1530</v>
      </c>
      <c r="O79" s="9">
        <v>1533</v>
      </c>
      <c r="P79" s="9">
        <v>1673</v>
      </c>
      <c r="Q79" s="9">
        <v>1688</v>
      </c>
      <c r="R79" s="8">
        <v>1700</v>
      </c>
      <c r="S79" s="8" t="s">
        <v>14</v>
      </c>
      <c r="T79" s="12"/>
      <c r="U79" s="25">
        <v>16669</v>
      </c>
      <c r="V79" s="13"/>
      <c r="W79" s="15"/>
    </row>
    <row r="80" spans="1:23" s="2" customFormat="1" ht="16.5" customHeight="1" thickBot="1">
      <c r="A80" s="40" t="s">
        <v>69</v>
      </c>
      <c r="B80" s="44" t="s">
        <v>28</v>
      </c>
      <c r="C80" s="9">
        <v>804</v>
      </c>
      <c r="D80" s="9">
        <v>808</v>
      </c>
      <c r="E80" s="9">
        <v>811</v>
      </c>
      <c r="F80" s="9">
        <v>811</v>
      </c>
      <c r="G80" s="9">
        <v>847</v>
      </c>
      <c r="H80" s="9">
        <v>849</v>
      </c>
      <c r="I80" s="9">
        <v>854</v>
      </c>
      <c r="J80" s="9">
        <v>859</v>
      </c>
      <c r="K80" s="9">
        <v>885</v>
      </c>
      <c r="L80" s="9" t="s">
        <v>30</v>
      </c>
      <c r="Q80" s="23"/>
      <c r="R80" s="23"/>
      <c r="S80" s="23"/>
    </row>
    <row r="81" spans="1:21" s="2" customFormat="1" ht="16.5" customHeight="1" thickBot="1">
      <c r="A81" s="40" t="s">
        <v>126</v>
      </c>
      <c r="B81" s="41" t="s">
        <v>6</v>
      </c>
      <c r="C81" s="9">
        <v>657</v>
      </c>
      <c r="D81" s="9">
        <v>658</v>
      </c>
      <c r="E81" s="9">
        <v>665</v>
      </c>
      <c r="F81" s="9">
        <v>678</v>
      </c>
      <c r="G81" s="9">
        <v>682</v>
      </c>
      <c r="H81" s="9">
        <v>683</v>
      </c>
      <c r="I81" s="9">
        <v>684</v>
      </c>
      <c r="J81" s="9" t="s">
        <v>30</v>
      </c>
      <c r="N81" s="23"/>
      <c r="O81" s="23"/>
      <c r="P81" s="23"/>
    </row>
    <row r="82" spans="1:21" s="2" customFormat="1" ht="16.5" customHeight="1" thickBot="1">
      <c r="A82" s="40" t="s">
        <v>489</v>
      </c>
      <c r="B82" s="50" t="s">
        <v>17</v>
      </c>
      <c r="C82" s="9">
        <v>619</v>
      </c>
      <c r="D82" s="9">
        <v>621</v>
      </c>
      <c r="E82" s="9">
        <v>638</v>
      </c>
      <c r="F82" s="9">
        <v>644</v>
      </c>
      <c r="G82" s="9">
        <v>749</v>
      </c>
      <c r="H82" s="9">
        <v>798</v>
      </c>
      <c r="I82" s="9">
        <v>854</v>
      </c>
      <c r="J82" s="9">
        <v>858</v>
      </c>
      <c r="K82" s="9">
        <v>931</v>
      </c>
      <c r="L82" s="9">
        <v>962</v>
      </c>
      <c r="M82" s="9" t="s">
        <v>30</v>
      </c>
      <c r="N82" s="23"/>
      <c r="O82" s="23"/>
      <c r="P82" s="23"/>
      <c r="Q82" s="23"/>
      <c r="R82" s="23"/>
      <c r="S82" s="23"/>
    </row>
    <row r="83" spans="1:21" s="2" customFormat="1" ht="16.5" customHeight="1" thickBot="1">
      <c r="A83" s="40" t="s">
        <v>125</v>
      </c>
      <c r="B83" s="43" t="s">
        <v>19</v>
      </c>
      <c r="C83" s="9">
        <v>610</v>
      </c>
      <c r="D83" s="9">
        <v>629</v>
      </c>
      <c r="E83" s="9">
        <v>632</v>
      </c>
      <c r="F83" s="9">
        <v>695</v>
      </c>
      <c r="G83" s="9">
        <v>722</v>
      </c>
      <c r="H83" s="9">
        <v>727</v>
      </c>
      <c r="I83" s="9">
        <v>738</v>
      </c>
      <c r="J83" s="9">
        <v>752</v>
      </c>
      <c r="K83" s="9" t="s">
        <v>30</v>
      </c>
      <c r="L83" s="23"/>
      <c r="M83" s="23"/>
      <c r="N83" s="23"/>
      <c r="O83" s="23"/>
      <c r="P83" s="23"/>
      <c r="Q83" s="23"/>
      <c r="R83" s="23"/>
      <c r="S83" s="23"/>
    </row>
    <row r="84" spans="1:21" s="2" customFormat="1" ht="16.5" customHeight="1" thickBot="1">
      <c r="A84" s="40" t="s">
        <v>492</v>
      </c>
      <c r="B84" s="58" t="s">
        <v>20</v>
      </c>
      <c r="C84" s="9">
        <v>577</v>
      </c>
      <c r="D84" s="9">
        <v>578</v>
      </c>
      <c r="E84" s="9">
        <v>587</v>
      </c>
      <c r="F84" s="9">
        <v>590</v>
      </c>
      <c r="G84" s="9">
        <v>608</v>
      </c>
      <c r="H84" s="9">
        <v>652</v>
      </c>
      <c r="I84" s="9" t="s">
        <v>30</v>
      </c>
      <c r="U84" s="23"/>
    </row>
    <row r="85" spans="1:21" s="2" customFormat="1" ht="16.5" customHeight="1" thickBot="1">
      <c r="A85" s="40" t="s">
        <v>124</v>
      </c>
      <c r="B85" s="42" t="s">
        <v>3</v>
      </c>
      <c r="C85" s="9">
        <v>454</v>
      </c>
      <c r="D85" s="9">
        <v>454</v>
      </c>
      <c r="E85" s="9">
        <v>456</v>
      </c>
      <c r="F85" s="9">
        <v>463</v>
      </c>
      <c r="G85" s="9">
        <v>472</v>
      </c>
      <c r="H85" s="9" t="s">
        <v>30</v>
      </c>
      <c r="J85" s="23"/>
      <c r="K85" s="23"/>
      <c r="L85" s="23"/>
      <c r="M85" s="23"/>
    </row>
    <row r="86" spans="1:21" s="2" customFormat="1" ht="16.5" customHeight="1" thickBot="1">
      <c r="A86" s="40" t="s">
        <v>123</v>
      </c>
      <c r="B86" s="57" t="s">
        <v>100</v>
      </c>
      <c r="C86" s="9">
        <v>387</v>
      </c>
      <c r="D86" s="9">
        <v>389</v>
      </c>
      <c r="E86" s="9">
        <v>392</v>
      </c>
      <c r="F86" s="9">
        <v>399</v>
      </c>
      <c r="G86" s="9" t="s">
        <v>30</v>
      </c>
      <c r="K86" s="23"/>
      <c r="L86" s="23"/>
      <c r="M86" s="23"/>
      <c r="N86" s="46"/>
      <c r="O86" s="17"/>
      <c r="P86" s="18"/>
    </row>
    <row r="87" spans="1:21" s="2" customFormat="1" ht="16.5" customHeight="1" thickBot="1">
      <c r="A87" s="40" t="s">
        <v>122</v>
      </c>
      <c r="B87" s="42" t="s">
        <v>3</v>
      </c>
      <c r="C87" s="9">
        <v>364</v>
      </c>
      <c r="D87" s="9">
        <v>369</v>
      </c>
      <c r="E87" s="9">
        <v>370</v>
      </c>
      <c r="F87" s="9" t="s">
        <v>30</v>
      </c>
      <c r="H87" s="23"/>
      <c r="I87" s="23"/>
      <c r="J87" s="23"/>
      <c r="N87" s="12"/>
      <c r="O87" s="25"/>
      <c r="P87" s="13"/>
      <c r="Q87" s="15"/>
    </row>
    <row r="88" spans="1:21" s="2" customFormat="1" ht="16.5" customHeight="1" thickBot="1">
      <c r="A88" s="40" t="s">
        <v>493</v>
      </c>
      <c r="B88" s="41" t="s">
        <v>6</v>
      </c>
      <c r="C88" s="9">
        <v>271</v>
      </c>
      <c r="D88" s="9">
        <v>274</v>
      </c>
      <c r="E88" s="9" t="s">
        <v>30</v>
      </c>
      <c r="H88" s="23"/>
      <c r="I88" s="23"/>
      <c r="J88" s="23"/>
      <c r="K88" s="23"/>
      <c r="L88" s="23"/>
      <c r="M88" s="23"/>
      <c r="N88" s="22"/>
      <c r="O88" s="17"/>
      <c r="P88" s="18"/>
    </row>
    <row r="89" spans="1:21" s="2" customFormat="1" ht="16.5" customHeight="1" thickBot="1">
      <c r="A89" s="40" t="s">
        <v>121</v>
      </c>
      <c r="B89" s="44" t="s">
        <v>28</v>
      </c>
      <c r="C89" s="9">
        <v>163</v>
      </c>
      <c r="D89" s="9" t="s">
        <v>30</v>
      </c>
      <c r="F89" s="23"/>
      <c r="G89" s="23"/>
      <c r="H89" s="23"/>
      <c r="I89" s="23"/>
      <c r="J89" s="23"/>
      <c r="K89" s="23"/>
      <c r="L89" s="23"/>
      <c r="M89" s="23"/>
      <c r="N89" s="12"/>
      <c r="O89" s="25"/>
      <c r="P89" s="13"/>
      <c r="Q89" s="15"/>
    </row>
    <row r="90" spans="1:21" ht="14.25">
      <c r="N90" s="2"/>
      <c r="O90" s="2"/>
      <c r="P90" s="2"/>
      <c r="Q90" s="2"/>
    </row>
    <row r="91" spans="1:21" s="99" customFormat="1" ht="15" customHeight="1">
      <c r="B91" s="64" t="s">
        <v>18</v>
      </c>
      <c r="C91" s="66" t="s">
        <v>6</v>
      </c>
      <c r="D91" s="67" t="s">
        <v>3</v>
      </c>
      <c r="E91" s="68" t="s">
        <v>17</v>
      </c>
      <c r="F91" s="69" t="s">
        <v>19</v>
      </c>
      <c r="G91" s="100" t="s">
        <v>20</v>
      </c>
      <c r="H91" s="101" t="s">
        <v>74</v>
      </c>
      <c r="I91" s="78" t="s">
        <v>100</v>
      </c>
      <c r="J91" s="64" t="s">
        <v>13</v>
      </c>
      <c r="L91" s="64" t="s">
        <v>461</v>
      </c>
      <c r="R91" s="107"/>
      <c r="S91" s="98"/>
      <c r="T91" s="103"/>
    </row>
    <row r="92" spans="1:21" s="99" customFormat="1" ht="15" customHeight="1">
      <c r="A92" s="99" t="s">
        <v>8</v>
      </c>
      <c r="B92" s="110">
        <f>SUM(L9+N28+I64+N46+U79)</f>
        <v>75320</v>
      </c>
      <c r="C92" s="108">
        <f>SUM(U71+N41+I59+N21+L5)</f>
        <v>26017</v>
      </c>
      <c r="D92" s="108">
        <f>SUM(U72+N42+I60+N22+L6)</f>
        <v>21133</v>
      </c>
      <c r="E92" s="108">
        <f>SUM(U75+N23)</f>
        <v>2542</v>
      </c>
      <c r="F92" s="108">
        <f>SUM(U76+N44+I62+N25+L7)</f>
        <v>3040</v>
      </c>
      <c r="G92" s="108">
        <f>SUM(U74+N43+I61+N24)</f>
        <v>6800</v>
      </c>
      <c r="H92" s="108">
        <v>1076</v>
      </c>
      <c r="I92" s="108">
        <f>SUM(U77+N26)</f>
        <v>548</v>
      </c>
      <c r="J92" s="108">
        <f>SUM(U78+N45+I63+N27+L8)</f>
        <v>14164</v>
      </c>
      <c r="L92" s="105">
        <f>SUM(28882+19286+28098+28853+18346)</f>
        <v>123465</v>
      </c>
      <c r="N92" s="78"/>
      <c r="O92" s="98"/>
      <c r="P92" s="103"/>
      <c r="R92" s="64"/>
      <c r="S92" s="77"/>
      <c r="T92" s="103"/>
    </row>
    <row r="93" spans="1:21" s="99" customFormat="1" ht="15" customHeight="1">
      <c r="A93" s="99" t="s">
        <v>9</v>
      </c>
      <c r="B93" s="102">
        <v>1</v>
      </c>
      <c r="C93" s="103">
        <f t="shared" ref="C93:J93" si="1">SUM(C92/$B$92)</f>
        <v>0.34541954328199681</v>
      </c>
      <c r="D93" s="103">
        <f t="shared" si="1"/>
        <v>0.28057620817843865</v>
      </c>
      <c r="E93" s="103">
        <f t="shared" si="1"/>
        <v>3.374933616569304E-2</v>
      </c>
      <c r="F93" s="103">
        <f t="shared" si="1"/>
        <v>4.0361125862984598E-2</v>
      </c>
      <c r="G93" s="103">
        <f t="shared" si="1"/>
        <v>9.0281465746149758E-2</v>
      </c>
      <c r="H93" s="103">
        <f t="shared" si="1"/>
        <v>1.4285714285714285E-2</v>
      </c>
      <c r="I93" s="103">
        <f t="shared" si="1"/>
        <v>7.2756240042485395E-3</v>
      </c>
      <c r="J93" s="103">
        <f t="shared" si="1"/>
        <v>0.18805098247477431</v>
      </c>
      <c r="K93" s="109"/>
      <c r="L93" s="64" t="s">
        <v>5</v>
      </c>
      <c r="N93" s="64"/>
      <c r="O93" s="77"/>
      <c r="P93" s="103"/>
    </row>
    <row r="94" spans="1:21" s="99" customFormat="1" ht="15" customHeight="1">
      <c r="A94" s="99" t="s">
        <v>10</v>
      </c>
      <c r="B94" s="110">
        <v>30</v>
      </c>
      <c r="C94" s="108">
        <v>10</v>
      </c>
      <c r="D94" s="108">
        <v>10</v>
      </c>
      <c r="E94" s="108">
        <v>1</v>
      </c>
      <c r="F94" s="108">
        <v>1</v>
      </c>
      <c r="G94" s="108">
        <v>3</v>
      </c>
      <c r="H94" s="108">
        <v>0</v>
      </c>
      <c r="I94" s="108">
        <v>0</v>
      </c>
      <c r="J94" s="108">
        <v>5</v>
      </c>
      <c r="L94" s="106">
        <f>SUM(B92/L92)</f>
        <v>0.61005143157979991</v>
      </c>
    </row>
    <row r="95" spans="1:21" ht="15" customHeight="1">
      <c r="N95" s="2"/>
      <c r="O95" s="2"/>
      <c r="P95" s="2"/>
      <c r="Q95" s="2"/>
    </row>
    <row r="96" spans="1:21" ht="14.25">
      <c r="N96" s="2"/>
      <c r="O96" s="2"/>
      <c r="P96" s="2"/>
      <c r="Q96" s="2"/>
    </row>
    <row r="97" spans="14:17" ht="14.25">
      <c r="N97" s="2"/>
      <c r="O97" s="2"/>
      <c r="P97" s="2"/>
      <c r="Q97" s="2"/>
    </row>
    <row r="98" spans="14:17" ht="14.25">
      <c r="N98" s="2"/>
      <c r="O98" s="2"/>
      <c r="P98" s="2"/>
      <c r="Q98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T88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8.7109375" customWidth="1"/>
    <col min="3" max="3" width="9.7109375" customWidth="1"/>
    <col min="4" max="18" width="8.7109375" customWidth="1"/>
  </cols>
  <sheetData>
    <row r="1" spans="1:14" s="2" customFormat="1" ht="16.5" customHeight="1">
      <c r="A1" s="31" t="s">
        <v>426</v>
      </c>
      <c r="B1" s="23"/>
      <c r="C1" s="23"/>
      <c r="D1" s="23"/>
      <c r="E1" s="23"/>
      <c r="F1" s="23"/>
      <c r="G1" s="23"/>
      <c r="H1" s="23"/>
      <c r="I1" s="23"/>
      <c r="J1" s="23"/>
    </row>
    <row r="2" spans="1:14" s="2" customFormat="1" ht="9.75" customHeight="1" thickBot="1">
      <c r="A2" s="32"/>
      <c r="B2" s="23"/>
      <c r="C2" s="23"/>
      <c r="D2" s="23"/>
      <c r="E2" s="23"/>
      <c r="F2" s="23"/>
      <c r="G2" s="23"/>
      <c r="H2" s="23"/>
      <c r="I2" s="23"/>
      <c r="J2" s="23"/>
    </row>
    <row r="3" spans="1:14" s="2" customFormat="1" ht="16.5" customHeight="1" thickBot="1">
      <c r="A3" s="35" t="s">
        <v>0</v>
      </c>
      <c r="B3" s="36" t="s">
        <v>1</v>
      </c>
      <c r="C3" s="36" t="s">
        <v>2</v>
      </c>
      <c r="D3" s="36">
        <v>2</v>
      </c>
      <c r="E3" s="36">
        <v>3</v>
      </c>
      <c r="F3" s="36">
        <v>4</v>
      </c>
      <c r="G3" s="36">
        <v>5</v>
      </c>
      <c r="H3" s="5"/>
      <c r="I3" s="12" t="s">
        <v>5</v>
      </c>
      <c r="J3" s="13">
        <f>SUM(13828/22702)</f>
        <v>0.60910932957448682</v>
      </c>
    </row>
    <row r="4" spans="1:14" s="2" customFormat="1" ht="16.5" customHeight="1" thickBot="1">
      <c r="A4" s="37" t="s">
        <v>240</v>
      </c>
      <c r="B4" s="39" t="s">
        <v>3</v>
      </c>
      <c r="C4" s="8">
        <v>2563</v>
      </c>
      <c r="D4" s="9"/>
      <c r="E4" s="8"/>
      <c r="F4" s="9"/>
      <c r="G4" s="9"/>
      <c r="H4" s="11" t="s">
        <v>4</v>
      </c>
      <c r="I4" s="15"/>
      <c r="J4" s="12" t="s">
        <v>8</v>
      </c>
      <c r="K4" s="12" t="s">
        <v>9</v>
      </c>
      <c r="L4" s="12" t="s">
        <v>10</v>
      </c>
    </row>
    <row r="5" spans="1:14" s="2" customFormat="1" ht="16.5" customHeight="1" thickBot="1">
      <c r="A5" s="37" t="s">
        <v>80</v>
      </c>
      <c r="B5" s="38" t="s">
        <v>6</v>
      </c>
      <c r="C5" s="9">
        <v>2015</v>
      </c>
      <c r="D5" s="9">
        <v>2074</v>
      </c>
      <c r="E5" s="9">
        <v>2091</v>
      </c>
      <c r="F5" s="9">
        <v>2159</v>
      </c>
      <c r="G5" s="8">
        <v>2196</v>
      </c>
      <c r="H5" s="11" t="s">
        <v>12</v>
      </c>
      <c r="I5" s="16" t="s">
        <v>6</v>
      </c>
      <c r="J5" s="17">
        <f>SUM(C5+C9)</f>
        <v>3498</v>
      </c>
      <c r="K5" s="18">
        <f>SUM(J5/J9)</f>
        <v>0.25658329054500112</v>
      </c>
      <c r="L5" s="15">
        <v>1</v>
      </c>
    </row>
    <row r="6" spans="1:14" s="2" customFormat="1" ht="16.5" customHeight="1" thickBot="1">
      <c r="A6" s="37" t="s">
        <v>427</v>
      </c>
      <c r="B6" s="52" t="s">
        <v>28</v>
      </c>
      <c r="C6" s="9">
        <v>1979</v>
      </c>
      <c r="D6" s="9">
        <v>2013</v>
      </c>
      <c r="E6" s="9">
        <v>2115</v>
      </c>
      <c r="F6" s="9">
        <v>2252</v>
      </c>
      <c r="G6" s="8">
        <v>2437</v>
      </c>
      <c r="H6" s="11" t="s">
        <v>11</v>
      </c>
      <c r="I6" s="19" t="s">
        <v>3</v>
      </c>
      <c r="J6" s="17">
        <f>SUM(C4+C7+C10+C11)</f>
        <v>6358</v>
      </c>
      <c r="K6" s="18">
        <f>SUM(J6/J9)</f>
        <v>0.46636837086481331</v>
      </c>
      <c r="L6" s="15">
        <v>2</v>
      </c>
    </row>
    <row r="7" spans="1:14" s="2" customFormat="1" ht="16.5" customHeight="1" thickBot="1">
      <c r="A7" s="37" t="s">
        <v>22</v>
      </c>
      <c r="B7" s="39" t="s">
        <v>3</v>
      </c>
      <c r="C7" s="9">
        <v>1899</v>
      </c>
      <c r="D7" s="9">
        <v>1978</v>
      </c>
      <c r="E7" s="9">
        <v>2239</v>
      </c>
      <c r="F7" s="8">
        <v>2604</v>
      </c>
      <c r="G7" s="9"/>
      <c r="H7" s="11" t="s">
        <v>7</v>
      </c>
      <c r="I7" s="33" t="s">
        <v>19</v>
      </c>
      <c r="J7" s="17">
        <v>1738</v>
      </c>
      <c r="K7" s="18">
        <f>SUM(J7/J9)</f>
        <v>0.12748477957896281</v>
      </c>
      <c r="L7" s="2">
        <v>1</v>
      </c>
    </row>
    <row r="8" spans="1:14" s="2" customFormat="1" ht="16.5" customHeight="1" thickBot="1">
      <c r="A8" s="37" t="s">
        <v>431</v>
      </c>
      <c r="B8" s="56" t="s">
        <v>19</v>
      </c>
      <c r="C8" s="9">
        <v>1738</v>
      </c>
      <c r="D8" s="9">
        <v>1757</v>
      </c>
      <c r="E8" s="9">
        <v>1850</v>
      </c>
      <c r="F8" s="9">
        <v>2047</v>
      </c>
      <c r="G8" s="8">
        <v>2160</v>
      </c>
      <c r="H8" s="11" t="s">
        <v>15</v>
      </c>
      <c r="I8" s="12" t="s">
        <v>13</v>
      </c>
      <c r="J8" s="23">
        <f>SUM(C6+C12)</f>
        <v>2039</v>
      </c>
      <c r="K8" s="13">
        <f>SUM(J8/J9)</f>
        <v>0.14956355901122276</v>
      </c>
      <c r="L8" s="15">
        <v>1</v>
      </c>
    </row>
    <row r="9" spans="1:14" s="2" customFormat="1" ht="16.5" customHeight="1" thickBot="1">
      <c r="A9" s="40" t="s">
        <v>81</v>
      </c>
      <c r="B9" s="41" t="s">
        <v>6</v>
      </c>
      <c r="C9" s="9">
        <v>1483</v>
      </c>
      <c r="D9" s="9">
        <v>1499</v>
      </c>
      <c r="E9" s="9">
        <v>1699</v>
      </c>
      <c r="F9" s="9">
        <v>1788</v>
      </c>
      <c r="G9" s="9">
        <v>1847</v>
      </c>
      <c r="H9" s="11"/>
      <c r="J9" s="25">
        <v>13633</v>
      </c>
    </row>
    <row r="10" spans="1:14" s="2" customFormat="1" ht="16.5" customHeight="1" thickBot="1">
      <c r="A10" s="40" t="s">
        <v>26</v>
      </c>
      <c r="B10" s="42" t="s">
        <v>3</v>
      </c>
      <c r="C10" s="9">
        <v>1104</v>
      </c>
      <c r="D10" s="9">
        <v>1169</v>
      </c>
      <c r="E10" s="9">
        <v>1308</v>
      </c>
      <c r="F10" s="9" t="s">
        <v>30</v>
      </c>
    </row>
    <row r="11" spans="1:14" s="2" customFormat="1" ht="16.5" customHeight="1" thickBot="1">
      <c r="A11" s="40" t="s">
        <v>428</v>
      </c>
      <c r="B11" s="42" t="s">
        <v>3</v>
      </c>
      <c r="C11" s="9">
        <v>792</v>
      </c>
      <c r="D11" s="9">
        <v>817</v>
      </c>
      <c r="E11" s="9" t="s">
        <v>30</v>
      </c>
    </row>
    <row r="12" spans="1:14" s="2" customFormat="1" ht="16.5" customHeight="1" thickBot="1">
      <c r="A12" s="40" t="s">
        <v>429</v>
      </c>
      <c r="B12" s="44" t="s">
        <v>430</v>
      </c>
      <c r="C12" s="9">
        <v>60</v>
      </c>
      <c r="D12" s="9">
        <v>63</v>
      </c>
      <c r="E12" s="9" t="s">
        <v>30</v>
      </c>
    </row>
    <row r="13" spans="1:14" s="2" customFormat="1" ht="10.5" customHeight="1">
      <c r="A13" s="31"/>
      <c r="B13" s="23"/>
      <c r="C13" s="23"/>
      <c r="D13" s="23"/>
      <c r="E13" s="23"/>
      <c r="F13" s="23"/>
      <c r="G13" s="23"/>
      <c r="H13" s="23"/>
      <c r="I13" s="23"/>
      <c r="J13" s="23"/>
    </row>
    <row r="14" spans="1:14" s="2" customFormat="1" ht="17.45" customHeight="1">
      <c r="A14" s="31" t="s">
        <v>455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4" s="2" customFormat="1" ht="10.5" customHeight="1" thickBot="1">
      <c r="A15" s="31"/>
      <c r="B15" s="23"/>
      <c r="C15" s="23"/>
      <c r="D15" s="23"/>
      <c r="E15" s="23"/>
      <c r="F15" s="23"/>
      <c r="G15" s="23"/>
      <c r="H15" s="23"/>
      <c r="I15" s="23"/>
      <c r="J15" s="23"/>
    </row>
    <row r="16" spans="1:14" s="2" customFormat="1" ht="16.5" customHeight="1" thickBot="1">
      <c r="A16" s="35" t="s">
        <v>0</v>
      </c>
      <c r="B16" s="36" t="s">
        <v>1</v>
      </c>
      <c r="C16" s="36" t="s">
        <v>2</v>
      </c>
      <c r="D16" s="36">
        <v>2</v>
      </c>
      <c r="E16" s="36">
        <v>3</v>
      </c>
      <c r="F16" s="36">
        <v>4</v>
      </c>
      <c r="G16" s="36">
        <v>5</v>
      </c>
      <c r="H16" s="36">
        <v>6</v>
      </c>
      <c r="I16" s="36">
        <v>7</v>
      </c>
      <c r="J16" s="36">
        <v>8</v>
      </c>
      <c r="K16" s="36">
        <v>9</v>
      </c>
      <c r="L16" s="45"/>
      <c r="M16" s="12" t="s">
        <v>5</v>
      </c>
      <c r="N16" s="13">
        <f>SUM(18952/31011)</f>
        <v>0.61113798329624969</v>
      </c>
    </row>
    <row r="17" spans="1:16" s="2" customFormat="1" ht="16.5" customHeight="1" thickBot="1">
      <c r="A17" s="37" t="s">
        <v>456</v>
      </c>
      <c r="B17" s="52" t="s">
        <v>28</v>
      </c>
      <c r="C17" s="8">
        <v>3273</v>
      </c>
      <c r="D17" s="9"/>
      <c r="E17" s="8"/>
      <c r="F17" s="8"/>
      <c r="G17" s="9"/>
      <c r="H17" s="8"/>
      <c r="I17" s="8"/>
      <c r="J17" s="9"/>
      <c r="K17" s="8"/>
      <c r="L17" s="8" t="s">
        <v>4</v>
      </c>
      <c r="M17" s="15"/>
      <c r="N17" s="12" t="s">
        <v>8</v>
      </c>
      <c r="O17" s="12" t="s">
        <v>9</v>
      </c>
      <c r="P17" s="12" t="s">
        <v>10</v>
      </c>
    </row>
    <row r="18" spans="1:16" s="2" customFormat="1" ht="16.5" customHeight="1" thickBot="1">
      <c r="A18" s="37" t="s">
        <v>91</v>
      </c>
      <c r="B18" s="39" t="s">
        <v>3</v>
      </c>
      <c r="C18" s="8">
        <v>2845</v>
      </c>
      <c r="D18" s="9"/>
      <c r="E18" s="9"/>
      <c r="F18" s="9"/>
      <c r="G18" s="9"/>
      <c r="H18" s="9"/>
      <c r="I18" s="8"/>
      <c r="J18" s="8"/>
      <c r="K18" s="8"/>
      <c r="L18" s="8" t="s">
        <v>7</v>
      </c>
      <c r="M18" s="16" t="s">
        <v>6</v>
      </c>
      <c r="N18" s="17">
        <f>SUM(C21+C23+C24)</f>
        <v>4843</v>
      </c>
      <c r="O18" s="18">
        <f>SUM(N18/N23)</f>
        <v>0.25797688169179139</v>
      </c>
      <c r="P18" s="15">
        <v>2</v>
      </c>
    </row>
    <row r="19" spans="1:16" s="2" customFormat="1" ht="16.5" customHeight="1" thickBot="1">
      <c r="A19" s="37" t="s">
        <v>457</v>
      </c>
      <c r="B19" s="59" t="s">
        <v>17</v>
      </c>
      <c r="C19" s="8">
        <v>2519</v>
      </c>
      <c r="D19" s="9"/>
      <c r="E19" s="9"/>
      <c r="F19" s="9"/>
      <c r="G19" s="9"/>
      <c r="H19" s="9"/>
      <c r="I19" s="9"/>
      <c r="J19" s="9"/>
      <c r="K19" s="8"/>
      <c r="L19" s="8" t="s">
        <v>11</v>
      </c>
      <c r="M19" s="19" t="s">
        <v>3</v>
      </c>
      <c r="N19" s="17">
        <f>SUM(C18+C20+C22+C25)</f>
        <v>7660</v>
      </c>
      <c r="O19" s="18">
        <f>SUM(N19/N23)</f>
        <v>0.40803281308261863</v>
      </c>
      <c r="P19" s="15">
        <v>3</v>
      </c>
    </row>
    <row r="20" spans="1:16" s="2" customFormat="1" ht="16.5" customHeight="1" thickBot="1">
      <c r="A20" s="37" t="s">
        <v>36</v>
      </c>
      <c r="B20" s="39" t="s">
        <v>3</v>
      </c>
      <c r="C20" s="9">
        <v>1980</v>
      </c>
      <c r="D20" s="9">
        <v>2023</v>
      </c>
      <c r="E20" s="9">
        <v>2153</v>
      </c>
      <c r="F20" s="9">
        <v>2166</v>
      </c>
      <c r="G20" s="9">
        <v>2203</v>
      </c>
      <c r="H20" s="9">
        <v>2343</v>
      </c>
      <c r="I20" s="8">
        <v>2594</v>
      </c>
      <c r="J20" s="9"/>
      <c r="K20" s="8"/>
      <c r="L20" s="8" t="s">
        <v>14</v>
      </c>
      <c r="M20" s="29" t="s">
        <v>17</v>
      </c>
      <c r="N20" s="17">
        <v>2519</v>
      </c>
      <c r="O20" s="18">
        <f>SUM(N20/N23)</f>
        <v>0.13418206999414053</v>
      </c>
      <c r="P20" s="2">
        <v>1</v>
      </c>
    </row>
    <row r="21" spans="1:16" s="2" customFormat="1" ht="16.5" customHeight="1" thickBot="1">
      <c r="A21" s="37" t="s">
        <v>102</v>
      </c>
      <c r="B21" s="38" t="s">
        <v>6</v>
      </c>
      <c r="C21" s="9">
        <v>1864</v>
      </c>
      <c r="D21" s="9">
        <v>2033</v>
      </c>
      <c r="E21" s="9">
        <v>2053</v>
      </c>
      <c r="F21" s="9">
        <v>2064</v>
      </c>
      <c r="G21" s="9">
        <v>2097</v>
      </c>
      <c r="H21" s="8">
        <v>2605</v>
      </c>
      <c r="I21" s="9"/>
      <c r="J21" s="8"/>
      <c r="K21" s="9"/>
      <c r="L21" s="8" t="s">
        <v>15</v>
      </c>
      <c r="M21" s="33" t="s">
        <v>19</v>
      </c>
      <c r="N21" s="17">
        <v>283</v>
      </c>
      <c r="O21" s="18">
        <f>SUM(N21/N23)</f>
        <v>1.507484152772599E-2</v>
      </c>
    </row>
    <row r="22" spans="1:16" s="2" customFormat="1" ht="16.5" customHeight="1" thickBot="1">
      <c r="A22" s="37" t="s">
        <v>40</v>
      </c>
      <c r="B22" s="39" t="s">
        <v>3</v>
      </c>
      <c r="C22" s="9">
        <v>1722</v>
      </c>
      <c r="D22" s="9">
        <v>1921</v>
      </c>
      <c r="E22" s="9">
        <v>2057</v>
      </c>
      <c r="F22" s="9">
        <v>2092</v>
      </c>
      <c r="G22" s="9">
        <v>2212</v>
      </c>
      <c r="H22" s="8">
        <v>2606</v>
      </c>
      <c r="I22" s="9"/>
      <c r="J22" s="9"/>
      <c r="K22" s="8"/>
      <c r="L22" s="8" t="s">
        <v>12</v>
      </c>
      <c r="M22" s="22" t="s">
        <v>13</v>
      </c>
      <c r="N22" s="17">
        <f>SUM(C17+C27)</f>
        <v>3468</v>
      </c>
      <c r="O22" s="18">
        <f>SUM(N22/N23)</f>
        <v>0.18473339370372344</v>
      </c>
      <c r="P22" s="2">
        <v>1</v>
      </c>
    </row>
    <row r="23" spans="1:16" s="2" customFormat="1" ht="16.5" customHeight="1" thickBot="1">
      <c r="A23" s="37" t="s">
        <v>92</v>
      </c>
      <c r="B23" s="38" t="s">
        <v>6</v>
      </c>
      <c r="C23" s="9">
        <v>1668</v>
      </c>
      <c r="D23" s="9">
        <v>1777</v>
      </c>
      <c r="E23" s="9">
        <v>1824</v>
      </c>
      <c r="F23" s="9">
        <v>1836</v>
      </c>
      <c r="G23" s="9">
        <v>1889</v>
      </c>
      <c r="H23" s="9">
        <v>1917</v>
      </c>
      <c r="I23" s="9">
        <v>1919</v>
      </c>
      <c r="J23" s="9">
        <v>1985</v>
      </c>
      <c r="K23" s="8">
        <v>2013</v>
      </c>
      <c r="L23" s="8" t="s">
        <v>16</v>
      </c>
      <c r="M23" s="12"/>
      <c r="N23" s="25">
        <v>18773</v>
      </c>
      <c r="O23" s="13"/>
      <c r="P23" s="15"/>
    </row>
    <row r="24" spans="1:16" s="2" customFormat="1" ht="16.5" customHeight="1" thickBot="1">
      <c r="A24" s="40" t="s">
        <v>458</v>
      </c>
      <c r="B24" s="41" t="s">
        <v>6</v>
      </c>
      <c r="C24" s="9">
        <v>1311</v>
      </c>
      <c r="D24" s="9">
        <v>1511</v>
      </c>
      <c r="E24" s="9">
        <v>1601</v>
      </c>
      <c r="F24" s="9">
        <v>1652</v>
      </c>
      <c r="G24" s="9">
        <v>1702</v>
      </c>
      <c r="H24" s="9">
        <v>1727</v>
      </c>
      <c r="I24" s="9">
        <v>1733</v>
      </c>
      <c r="J24" s="9">
        <v>1812</v>
      </c>
      <c r="K24" s="9">
        <v>1836</v>
      </c>
      <c r="L24" s="8"/>
    </row>
    <row r="25" spans="1:16" s="2" customFormat="1" ht="16.5" customHeight="1" thickBot="1">
      <c r="A25" s="40" t="s">
        <v>459</v>
      </c>
      <c r="B25" s="42" t="s">
        <v>3</v>
      </c>
      <c r="C25" s="9">
        <v>1113</v>
      </c>
      <c r="D25" s="9">
        <v>1223</v>
      </c>
      <c r="E25" s="9">
        <v>1275</v>
      </c>
      <c r="F25" s="9">
        <v>1290</v>
      </c>
      <c r="G25" s="9">
        <v>1334</v>
      </c>
      <c r="H25" s="9" t="s">
        <v>30</v>
      </c>
    </row>
    <row r="26" spans="1:16" s="2" customFormat="1" ht="16.5" customHeight="1" thickBot="1">
      <c r="A26" s="40" t="s">
        <v>460</v>
      </c>
      <c r="B26" s="43" t="s">
        <v>19</v>
      </c>
      <c r="C26" s="9">
        <v>283</v>
      </c>
      <c r="D26" s="9">
        <v>321</v>
      </c>
      <c r="E26" s="9">
        <v>335</v>
      </c>
      <c r="F26" s="9">
        <v>356</v>
      </c>
      <c r="G26" s="9" t="s">
        <v>30</v>
      </c>
      <c r="J26" s="23"/>
      <c r="K26" s="23"/>
      <c r="L26" s="23"/>
    </row>
    <row r="27" spans="1:16" s="2" customFormat="1" ht="16.5" customHeight="1" thickBot="1">
      <c r="A27" s="40" t="s">
        <v>45</v>
      </c>
      <c r="B27" s="44" t="s">
        <v>28</v>
      </c>
      <c r="C27" s="9">
        <v>195</v>
      </c>
      <c r="D27" s="9">
        <v>253</v>
      </c>
      <c r="E27" s="9">
        <v>262</v>
      </c>
      <c r="F27" s="9">
        <v>276</v>
      </c>
      <c r="G27" s="9" t="s">
        <v>30</v>
      </c>
      <c r="H27" s="23"/>
      <c r="I27" s="23"/>
      <c r="J27" s="23"/>
    </row>
    <row r="28" spans="1:16" s="2" customFormat="1" ht="11.25" customHeight="1">
      <c r="A28" s="28"/>
      <c r="B28" s="47"/>
      <c r="C28" s="28"/>
      <c r="D28" s="28"/>
      <c r="E28" s="28"/>
      <c r="F28" s="23"/>
      <c r="G28" s="23"/>
      <c r="H28" s="23"/>
      <c r="I28" s="23"/>
      <c r="J28" s="23"/>
      <c r="N28" s="18"/>
    </row>
    <row r="29" spans="1:16" s="2" customFormat="1" ht="17.45" customHeight="1">
      <c r="A29" s="1" t="s">
        <v>439</v>
      </c>
    </row>
    <row r="30" spans="1:16" s="2" customFormat="1" ht="10.5" customHeight="1" thickBot="1">
      <c r="A30" s="1"/>
    </row>
    <row r="31" spans="1:16" s="2" customFormat="1" ht="16.5" customHeight="1" thickBot="1">
      <c r="A31" s="3" t="s">
        <v>0</v>
      </c>
      <c r="B31" s="4" t="s">
        <v>1</v>
      </c>
      <c r="C31" s="4" t="s">
        <v>2</v>
      </c>
      <c r="D31" s="4">
        <v>2</v>
      </c>
      <c r="E31" s="4">
        <v>3</v>
      </c>
      <c r="F31" s="4">
        <v>4</v>
      </c>
      <c r="G31" s="4">
        <v>5</v>
      </c>
      <c r="H31" s="4">
        <v>6</v>
      </c>
      <c r="I31" s="4">
        <v>7</v>
      </c>
      <c r="J31" s="4">
        <v>8</v>
      </c>
      <c r="K31" s="5"/>
      <c r="L31" s="12" t="s">
        <v>5</v>
      </c>
      <c r="M31" s="13">
        <f>SUM(18508/30971)</f>
        <v>0.59759129508249653</v>
      </c>
    </row>
    <row r="32" spans="1:16" s="2" customFormat="1" ht="16.5" customHeight="1" thickBot="1">
      <c r="A32" s="6" t="s">
        <v>54</v>
      </c>
      <c r="B32" s="24" t="s">
        <v>28</v>
      </c>
      <c r="C32" s="9">
        <v>2247</v>
      </c>
      <c r="D32" s="9">
        <v>2262</v>
      </c>
      <c r="E32" s="8">
        <v>2287</v>
      </c>
      <c r="F32" s="8"/>
      <c r="G32" s="9"/>
      <c r="H32" s="9"/>
      <c r="I32" s="9"/>
      <c r="J32" s="9"/>
      <c r="K32" s="11" t="s">
        <v>4</v>
      </c>
      <c r="L32" s="15"/>
      <c r="M32" s="12" t="s">
        <v>8</v>
      </c>
      <c r="N32" s="12" t="s">
        <v>9</v>
      </c>
      <c r="O32" s="12" t="s">
        <v>10</v>
      </c>
    </row>
    <row r="33" spans="1:15" s="2" customFormat="1" ht="16.5" customHeight="1" thickBot="1">
      <c r="A33" s="6" t="s">
        <v>110</v>
      </c>
      <c r="B33" s="24" t="s">
        <v>28</v>
      </c>
      <c r="C33" s="9">
        <v>1987</v>
      </c>
      <c r="D33" s="9">
        <v>2004</v>
      </c>
      <c r="E33" s="9">
        <v>2051</v>
      </c>
      <c r="F33" s="9">
        <v>2091</v>
      </c>
      <c r="G33" s="9">
        <v>2237</v>
      </c>
      <c r="H33" s="8">
        <v>2425</v>
      </c>
      <c r="I33" s="8"/>
      <c r="J33" s="8"/>
      <c r="K33" s="11" t="s">
        <v>7</v>
      </c>
      <c r="L33" s="16" t="s">
        <v>6</v>
      </c>
      <c r="M33" s="17">
        <f>SUM(C38+C40+C41)</f>
        <v>3409</v>
      </c>
      <c r="N33" s="18">
        <f>SUM(M33/M38)</f>
        <v>0.18636562431664117</v>
      </c>
      <c r="O33" s="15">
        <v>1</v>
      </c>
    </row>
    <row r="34" spans="1:15" s="2" customFormat="1" ht="16.5" customHeight="1" thickBot="1">
      <c r="A34" s="6" t="s">
        <v>319</v>
      </c>
      <c r="B34" s="7" t="s">
        <v>3</v>
      </c>
      <c r="C34" s="9">
        <v>1875</v>
      </c>
      <c r="D34" s="9">
        <v>1880</v>
      </c>
      <c r="E34" s="9">
        <v>1899</v>
      </c>
      <c r="F34" s="9">
        <v>1909</v>
      </c>
      <c r="G34" s="9">
        <v>1938</v>
      </c>
      <c r="H34" s="9">
        <v>1985</v>
      </c>
      <c r="I34" s="9">
        <v>1991</v>
      </c>
      <c r="J34" s="8">
        <v>2144</v>
      </c>
      <c r="K34" s="8" t="s">
        <v>14</v>
      </c>
      <c r="L34" s="19" t="s">
        <v>3</v>
      </c>
      <c r="M34" s="17">
        <f>SUM(C34:C37)</f>
        <v>7085</v>
      </c>
      <c r="N34" s="18">
        <f>SUM(M34/M38)</f>
        <v>0.38732779357095998</v>
      </c>
      <c r="O34" s="15">
        <v>4</v>
      </c>
    </row>
    <row r="35" spans="1:15" s="2" customFormat="1" ht="16.5" customHeight="1" thickBot="1">
      <c r="A35" s="6" t="s">
        <v>440</v>
      </c>
      <c r="B35" s="7" t="s">
        <v>3</v>
      </c>
      <c r="C35" s="9">
        <v>1791</v>
      </c>
      <c r="D35" s="9">
        <v>1826</v>
      </c>
      <c r="E35" s="9">
        <v>1930</v>
      </c>
      <c r="F35" s="9">
        <v>2063</v>
      </c>
      <c r="G35" s="9">
        <v>2104</v>
      </c>
      <c r="H35" s="9">
        <v>2250</v>
      </c>
      <c r="I35" s="9">
        <v>2272</v>
      </c>
      <c r="J35" s="8">
        <v>2354</v>
      </c>
      <c r="K35" s="11" t="s">
        <v>12</v>
      </c>
      <c r="L35" s="29" t="s">
        <v>17</v>
      </c>
      <c r="M35" s="23">
        <v>477</v>
      </c>
      <c r="N35" s="13">
        <f>SUM(M35/M38)</f>
        <v>2.6076973540345508E-2</v>
      </c>
    </row>
    <row r="36" spans="1:15" s="2" customFormat="1" ht="16.5" customHeight="1" thickBot="1">
      <c r="A36" s="6" t="s">
        <v>113</v>
      </c>
      <c r="B36" s="7" t="s">
        <v>3</v>
      </c>
      <c r="C36" s="9">
        <v>1784</v>
      </c>
      <c r="D36" s="9">
        <v>1856</v>
      </c>
      <c r="E36" s="9">
        <v>1900</v>
      </c>
      <c r="F36" s="9">
        <v>1940</v>
      </c>
      <c r="G36" s="9">
        <v>1967</v>
      </c>
      <c r="H36" s="9">
        <v>2159</v>
      </c>
      <c r="I36" s="9">
        <v>2170</v>
      </c>
      <c r="J36" s="8">
        <v>2218</v>
      </c>
      <c r="K36" s="11" t="s">
        <v>15</v>
      </c>
      <c r="L36" s="46" t="s">
        <v>100</v>
      </c>
      <c r="M36" s="17">
        <v>382</v>
      </c>
      <c r="N36" s="18">
        <f>SUM(M36/M38)</f>
        <v>2.0883446315329107E-2</v>
      </c>
    </row>
    <row r="37" spans="1:15" s="2" customFormat="1" ht="16.5" customHeight="1" thickBot="1">
      <c r="A37" s="6" t="s">
        <v>483</v>
      </c>
      <c r="B37" s="7" t="s">
        <v>3</v>
      </c>
      <c r="C37" s="9">
        <v>1635</v>
      </c>
      <c r="D37" s="9">
        <v>1655</v>
      </c>
      <c r="E37" s="9">
        <v>1697</v>
      </c>
      <c r="F37" s="9">
        <v>1712</v>
      </c>
      <c r="G37" s="9">
        <v>1795</v>
      </c>
      <c r="H37" s="9">
        <v>1909</v>
      </c>
      <c r="I37" s="9">
        <v>1924</v>
      </c>
      <c r="J37" s="8">
        <v>2039</v>
      </c>
      <c r="K37" s="11" t="s">
        <v>16</v>
      </c>
      <c r="L37" s="12" t="s">
        <v>13</v>
      </c>
      <c r="M37" s="23">
        <f>SUM(C32+C33+C39+C42+C43+C46)</f>
        <v>6939</v>
      </c>
      <c r="N37" s="13">
        <f>SUM(M37/M38)</f>
        <v>0.37934616225672424</v>
      </c>
      <c r="O37" s="2">
        <v>2</v>
      </c>
    </row>
    <row r="38" spans="1:15" s="2" customFormat="1" ht="16.5" customHeight="1" thickBot="1">
      <c r="A38" s="6" t="s">
        <v>441</v>
      </c>
      <c r="B38" s="14" t="s">
        <v>6</v>
      </c>
      <c r="C38" s="9">
        <v>1480</v>
      </c>
      <c r="D38" s="9">
        <v>1483</v>
      </c>
      <c r="E38" s="9">
        <v>1488</v>
      </c>
      <c r="F38" s="9">
        <v>1598</v>
      </c>
      <c r="G38" s="9">
        <v>1780</v>
      </c>
      <c r="H38" s="9">
        <v>1824</v>
      </c>
      <c r="I38" s="9">
        <v>1829</v>
      </c>
      <c r="J38" s="8">
        <v>2399</v>
      </c>
      <c r="K38" s="11" t="s">
        <v>11</v>
      </c>
      <c r="M38" s="25">
        <v>18292</v>
      </c>
    </row>
    <row r="39" spans="1:15" s="2" customFormat="1" ht="16.5" customHeight="1" thickBot="1">
      <c r="A39" s="20" t="s">
        <v>61</v>
      </c>
      <c r="B39" s="26" t="s">
        <v>28</v>
      </c>
      <c r="C39" s="9">
        <v>1265</v>
      </c>
      <c r="D39" s="9">
        <v>1276</v>
      </c>
      <c r="E39" s="9">
        <v>1304</v>
      </c>
      <c r="F39" s="9">
        <v>1335</v>
      </c>
      <c r="G39" s="9">
        <v>1368</v>
      </c>
      <c r="H39" s="9">
        <v>1455</v>
      </c>
      <c r="I39" s="9">
        <v>1507</v>
      </c>
      <c r="J39" s="9">
        <v>1630</v>
      </c>
      <c r="K39" s="11"/>
    </row>
    <row r="40" spans="1:15" s="2" customFormat="1" ht="16.5" customHeight="1" thickBot="1">
      <c r="A40" s="20" t="s">
        <v>58</v>
      </c>
      <c r="B40" s="21" t="s">
        <v>6</v>
      </c>
      <c r="C40" s="9">
        <v>1116</v>
      </c>
      <c r="D40" s="9">
        <v>1123</v>
      </c>
      <c r="E40" s="9">
        <v>1133</v>
      </c>
      <c r="F40" s="9">
        <v>1137</v>
      </c>
      <c r="G40" s="9">
        <v>1328</v>
      </c>
      <c r="H40" s="9">
        <v>1388</v>
      </c>
      <c r="I40" s="9">
        <v>1392</v>
      </c>
      <c r="J40" s="9" t="s">
        <v>30</v>
      </c>
      <c r="K40" s="23"/>
    </row>
    <row r="41" spans="1:15" s="2" customFormat="1" ht="16.5" customHeight="1" thickBot="1">
      <c r="A41" s="20" t="s">
        <v>117</v>
      </c>
      <c r="B41" s="21" t="s">
        <v>6</v>
      </c>
      <c r="C41" s="9">
        <v>813</v>
      </c>
      <c r="D41" s="9">
        <v>821</v>
      </c>
      <c r="E41" s="9">
        <v>828</v>
      </c>
      <c r="F41" s="9">
        <v>830</v>
      </c>
      <c r="G41" s="9" t="s">
        <v>30</v>
      </c>
      <c r="J41" s="23"/>
      <c r="K41" s="23"/>
    </row>
    <row r="42" spans="1:15" s="2" customFormat="1" ht="16.5" customHeight="1" thickBot="1">
      <c r="A42" s="20" t="s">
        <v>442</v>
      </c>
      <c r="B42" s="26" t="s">
        <v>28</v>
      </c>
      <c r="C42" s="9">
        <v>809</v>
      </c>
      <c r="D42" s="9">
        <v>890</v>
      </c>
      <c r="E42" s="9">
        <v>987</v>
      </c>
      <c r="F42" s="9">
        <v>1143</v>
      </c>
      <c r="G42" s="9">
        <v>1187</v>
      </c>
      <c r="H42" s="9" t="s">
        <v>30</v>
      </c>
      <c r="I42" s="23"/>
      <c r="J42" s="23"/>
      <c r="K42" s="63"/>
    </row>
    <row r="43" spans="1:15" s="2" customFormat="1" ht="16.5" customHeight="1" thickBot="1">
      <c r="A43" s="20" t="s">
        <v>118</v>
      </c>
      <c r="B43" s="26" t="s">
        <v>28</v>
      </c>
      <c r="C43" s="10">
        <v>543</v>
      </c>
      <c r="D43" s="9">
        <v>587</v>
      </c>
      <c r="E43" s="9">
        <v>649</v>
      </c>
      <c r="F43" s="9" t="s">
        <v>30</v>
      </c>
      <c r="G43" s="23"/>
      <c r="H43" s="63"/>
      <c r="I43" s="63"/>
      <c r="J43" s="63"/>
      <c r="K43" s="23"/>
    </row>
    <row r="44" spans="1:15" s="2" customFormat="1" ht="16.5" customHeight="1" thickBot="1">
      <c r="A44" s="20" t="s">
        <v>443</v>
      </c>
      <c r="B44" s="50" t="s">
        <v>17</v>
      </c>
      <c r="C44" s="10">
        <v>477</v>
      </c>
      <c r="D44" s="9">
        <v>584</v>
      </c>
      <c r="E44" s="9" t="s">
        <v>30</v>
      </c>
      <c r="G44" s="23"/>
      <c r="H44" s="63"/>
      <c r="I44" s="63"/>
      <c r="J44" s="63"/>
      <c r="K44" s="23"/>
    </row>
    <row r="45" spans="1:15" s="2" customFormat="1" ht="16.5" customHeight="1" thickBot="1">
      <c r="A45" s="20" t="s">
        <v>444</v>
      </c>
      <c r="B45" s="57" t="s">
        <v>100</v>
      </c>
      <c r="C45" s="10">
        <v>382</v>
      </c>
      <c r="D45" s="9" t="s">
        <v>30</v>
      </c>
      <c r="F45" s="23"/>
      <c r="G45" s="23"/>
      <c r="H45" s="63"/>
      <c r="I45" s="63"/>
      <c r="J45" s="63"/>
      <c r="K45" s="23"/>
    </row>
    <row r="46" spans="1:15" s="2" customFormat="1" ht="16.5" customHeight="1" thickBot="1">
      <c r="A46" s="20" t="s">
        <v>445</v>
      </c>
      <c r="B46" s="26" t="s">
        <v>28</v>
      </c>
      <c r="C46" s="10">
        <v>88</v>
      </c>
      <c r="D46" s="9" t="s">
        <v>30</v>
      </c>
      <c r="E46" s="23"/>
      <c r="F46" s="23"/>
      <c r="G46" s="23"/>
      <c r="H46" s="63"/>
      <c r="I46" s="63"/>
      <c r="J46" s="63"/>
      <c r="K46" s="23"/>
    </row>
    <row r="48" spans="1:15" s="2" customFormat="1" ht="17.45" customHeight="1">
      <c r="A48" s="31" t="s">
        <v>446</v>
      </c>
      <c r="B48" s="23"/>
      <c r="C48" s="23"/>
      <c r="D48" s="23"/>
      <c r="E48" s="23"/>
      <c r="F48" s="23"/>
      <c r="G48" s="23"/>
      <c r="H48" s="23"/>
      <c r="I48" s="23"/>
      <c r="J48" s="23"/>
    </row>
    <row r="49" spans="1:16" s="2" customFormat="1" ht="8.25" customHeight="1" thickBot="1">
      <c r="A49" s="31"/>
      <c r="B49" s="23"/>
      <c r="C49" s="23"/>
      <c r="D49" s="23"/>
      <c r="E49" s="23"/>
      <c r="F49" s="23"/>
      <c r="G49" s="23"/>
      <c r="H49" s="23"/>
      <c r="I49" s="23"/>
      <c r="J49" s="23"/>
    </row>
    <row r="50" spans="1:16" s="2" customFormat="1" ht="17.45" customHeight="1" thickBot="1">
      <c r="A50" s="35" t="s">
        <v>0</v>
      </c>
      <c r="B50" s="36" t="s">
        <v>1</v>
      </c>
      <c r="C50" s="36" t="s">
        <v>2</v>
      </c>
      <c r="D50" s="36">
        <v>2</v>
      </c>
      <c r="E50" s="36">
        <v>3</v>
      </c>
      <c r="F50" s="36">
        <v>4</v>
      </c>
      <c r="G50" s="36">
        <v>5</v>
      </c>
      <c r="H50" s="36">
        <v>6</v>
      </c>
      <c r="I50" s="36">
        <v>7</v>
      </c>
      <c r="J50" s="36">
        <v>8</v>
      </c>
      <c r="K50" s="36">
        <v>9</v>
      </c>
      <c r="L50" s="36"/>
      <c r="M50" s="25" t="s">
        <v>5</v>
      </c>
      <c r="N50" s="13">
        <f>SUM(9348/17575)</f>
        <v>0.5318918918918919</v>
      </c>
      <c r="P50" s="13"/>
    </row>
    <row r="51" spans="1:16" s="2" customFormat="1" ht="17.45" customHeight="1" thickBot="1">
      <c r="A51" s="37" t="s">
        <v>103</v>
      </c>
      <c r="B51" s="52" t="s">
        <v>28</v>
      </c>
      <c r="C51" s="9">
        <v>1614</v>
      </c>
      <c r="D51" s="9">
        <v>1654</v>
      </c>
      <c r="E51" s="9">
        <v>1751</v>
      </c>
      <c r="F51" s="8">
        <v>1859</v>
      </c>
      <c r="G51" s="9"/>
      <c r="H51" s="8"/>
      <c r="I51" s="9"/>
      <c r="J51" s="8"/>
      <c r="K51" s="9"/>
      <c r="L51" s="8" t="s">
        <v>4</v>
      </c>
      <c r="M51" s="17"/>
      <c r="N51" s="12" t="s">
        <v>8</v>
      </c>
      <c r="O51" s="12" t="s">
        <v>9</v>
      </c>
      <c r="P51" s="12" t="s">
        <v>10</v>
      </c>
    </row>
    <row r="52" spans="1:16" s="2" customFormat="1" ht="17.45" customHeight="1" thickBot="1">
      <c r="A52" s="37" t="s">
        <v>47</v>
      </c>
      <c r="B52" s="39" t="s">
        <v>3</v>
      </c>
      <c r="C52" s="44">
        <v>1333</v>
      </c>
      <c r="D52" s="9">
        <v>1339</v>
      </c>
      <c r="E52" s="9">
        <v>1541</v>
      </c>
      <c r="F52" s="9">
        <v>1573</v>
      </c>
      <c r="G52" s="9">
        <v>1755</v>
      </c>
      <c r="H52" s="8">
        <v>1948</v>
      </c>
      <c r="I52" s="8"/>
      <c r="J52" s="9"/>
      <c r="K52" s="8"/>
      <c r="L52" s="8" t="s">
        <v>7</v>
      </c>
      <c r="M52" s="48" t="s">
        <v>6</v>
      </c>
      <c r="N52" s="17">
        <f>SUM(C53+C58)</f>
        <v>1976</v>
      </c>
      <c r="O52" s="18">
        <f>SUM(N52/N57)</f>
        <v>0.21359852988866068</v>
      </c>
      <c r="P52" s="15">
        <v>1</v>
      </c>
    </row>
    <row r="53" spans="1:16" s="2" customFormat="1" ht="17.45" customHeight="1" thickBot="1">
      <c r="A53" s="37" t="s">
        <v>447</v>
      </c>
      <c r="B53" s="38" t="s">
        <v>6</v>
      </c>
      <c r="C53" s="9">
        <v>1196</v>
      </c>
      <c r="D53" s="9">
        <v>1204</v>
      </c>
      <c r="E53" s="9">
        <v>1274</v>
      </c>
      <c r="F53" s="9">
        <v>1626</v>
      </c>
      <c r="G53" s="9">
        <v>1840</v>
      </c>
      <c r="H53" s="8">
        <v>1920</v>
      </c>
      <c r="I53" s="8"/>
      <c r="J53" s="9"/>
      <c r="K53" s="8"/>
      <c r="L53" s="8" t="s">
        <v>11</v>
      </c>
      <c r="M53" s="49" t="s">
        <v>3</v>
      </c>
      <c r="N53" s="17">
        <f>SUM(C52+C54+C57+C59)</f>
        <v>3742</v>
      </c>
      <c r="O53" s="18">
        <f>SUM(N53/N57)</f>
        <v>0.40449681115555075</v>
      </c>
      <c r="P53" s="15">
        <v>2</v>
      </c>
    </row>
    <row r="54" spans="1:16" s="2" customFormat="1" ht="17.45" customHeight="1" thickBot="1">
      <c r="A54" s="37" t="s">
        <v>448</v>
      </c>
      <c r="B54" s="39" t="s">
        <v>3</v>
      </c>
      <c r="C54" s="9">
        <v>885</v>
      </c>
      <c r="D54" s="9">
        <v>898</v>
      </c>
      <c r="E54" s="9">
        <v>989</v>
      </c>
      <c r="F54" s="9">
        <v>1063</v>
      </c>
      <c r="G54" s="9">
        <v>1135</v>
      </c>
      <c r="H54" s="9">
        <v>1526</v>
      </c>
      <c r="I54" s="9">
        <v>1590</v>
      </c>
      <c r="J54" s="9">
        <v>1609</v>
      </c>
      <c r="K54" s="8">
        <v>1613</v>
      </c>
      <c r="L54" s="8" t="s">
        <v>12</v>
      </c>
      <c r="M54" s="29" t="s">
        <v>17</v>
      </c>
      <c r="N54" s="23">
        <f>SUM(C55:C56)</f>
        <v>1697</v>
      </c>
      <c r="O54" s="13">
        <f>SUM(N54/N57)</f>
        <v>0.1834396281483083</v>
      </c>
    </row>
    <row r="55" spans="1:16" s="2" customFormat="1" ht="17.45" customHeight="1" thickBot="1">
      <c r="A55" s="40" t="s">
        <v>52</v>
      </c>
      <c r="B55" s="50" t="s">
        <v>17</v>
      </c>
      <c r="C55" s="9">
        <v>859</v>
      </c>
      <c r="D55" s="9">
        <v>901</v>
      </c>
      <c r="E55" s="9">
        <v>944</v>
      </c>
      <c r="F55" s="9">
        <v>1029</v>
      </c>
      <c r="G55" s="9">
        <v>1321</v>
      </c>
      <c r="H55" s="9">
        <v>1549</v>
      </c>
      <c r="I55" s="9">
        <v>1582</v>
      </c>
      <c r="J55" s="9">
        <v>1604</v>
      </c>
      <c r="K55" s="9">
        <v>1608</v>
      </c>
      <c r="L55" s="9"/>
      <c r="M55" s="60" t="s">
        <v>19</v>
      </c>
      <c r="N55" s="23">
        <v>178</v>
      </c>
      <c r="O55" s="13">
        <f>SUM(N55/N57)</f>
        <v>1.924116311750081E-2</v>
      </c>
    </row>
    <row r="56" spans="1:16" s="2" customFormat="1" ht="17.45" customHeight="1" thickBot="1">
      <c r="A56" s="40" t="s">
        <v>449</v>
      </c>
      <c r="B56" s="50" t="s">
        <v>17</v>
      </c>
      <c r="C56" s="9">
        <v>838</v>
      </c>
      <c r="D56" s="9">
        <v>869</v>
      </c>
      <c r="E56" s="9">
        <v>935</v>
      </c>
      <c r="F56" s="9">
        <v>972</v>
      </c>
      <c r="G56" s="9" t="s">
        <v>30</v>
      </c>
      <c r="L56" s="23"/>
      <c r="M56" s="25" t="s">
        <v>13</v>
      </c>
      <c r="N56" s="23">
        <f>SUM(C61+C51)</f>
        <v>1658</v>
      </c>
      <c r="O56" s="13">
        <f>SUM(N56/N57)</f>
        <v>0.17922386768997947</v>
      </c>
      <c r="P56" s="2">
        <v>1</v>
      </c>
    </row>
    <row r="57" spans="1:16" s="2" customFormat="1" ht="17.45" customHeight="1" thickBot="1">
      <c r="A57" s="40" t="s">
        <v>450</v>
      </c>
      <c r="B57" s="42" t="s">
        <v>3</v>
      </c>
      <c r="C57" s="9">
        <v>833</v>
      </c>
      <c r="D57" s="9">
        <v>848</v>
      </c>
      <c r="E57" s="9">
        <v>934</v>
      </c>
      <c r="F57" s="9">
        <v>993</v>
      </c>
      <c r="G57" s="9">
        <v>1058</v>
      </c>
      <c r="H57" s="9" t="s">
        <v>30</v>
      </c>
      <c r="L57" s="23"/>
      <c r="M57" s="23"/>
      <c r="N57" s="25">
        <v>9251</v>
      </c>
    </row>
    <row r="58" spans="1:16" s="2" customFormat="1" ht="17.45" customHeight="1" thickBot="1">
      <c r="A58" s="40" t="s">
        <v>451</v>
      </c>
      <c r="B58" s="41" t="s">
        <v>6</v>
      </c>
      <c r="C58" s="9">
        <v>780</v>
      </c>
      <c r="D58" s="9">
        <v>786</v>
      </c>
      <c r="E58" s="9">
        <v>802</v>
      </c>
      <c r="F58" s="9" t="s">
        <v>30</v>
      </c>
      <c r="I58" s="23"/>
      <c r="J58" s="23"/>
      <c r="K58" s="23"/>
      <c r="L58" s="23"/>
      <c r="M58" s="25"/>
      <c r="O58" s="13"/>
      <c r="P58" s="13"/>
    </row>
    <row r="59" spans="1:16" s="2" customFormat="1" ht="17.45" customHeight="1" thickBot="1">
      <c r="A59" s="40" t="s">
        <v>452</v>
      </c>
      <c r="B59" s="42" t="s">
        <v>3</v>
      </c>
      <c r="C59" s="9">
        <v>691</v>
      </c>
      <c r="D59" s="9">
        <v>697</v>
      </c>
      <c r="E59" s="9" t="s">
        <v>30</v>
      </c>
      <c r="J59" s="23"/>
      <c r="K59" s="23"/>
      <c r="L59" s="23"/>
      <c r="M59" s="25"/>
    </row>
    <row r="60" spans="1:16" s="2" customFormat="1" ht="17.45" customHeight="1" thickBot="1">
      <c r="A60" s="40" t="s">
        <v>453</v>
      </c>
      <c r="B60" s="43" t="s">
        <v>19</v>
      </c>
      <c r="C60" s="9">
        <v>178</v>
      </c>
      <c r="D60" s="9" t="s">
        <v>30</v>
      </c>
      <c r="F60" s="23"/>
      <c r="G60" s="23"/>
      <c r="H60" s="23"/>
      <c r="I60" s="25"/>
      <c r="K60" s="13"/>
      <c r="L60" s="13"/>
    </row>
    <row r="61" spans="1:16" s="2" customFormat="1" ht="17.45" customHeight="1" thickBot="1">
      <c r="A61" s="40" t="s">
        <v>454</v>
      </c>
      <c r="B61" s="44" t="s">
        <v>28</v>
      </c>
      <c r="C61" s="9">
        <v>44</v>
      </c>
      <c r="D61" s="9" t="s">
        <v>30</v>
      </c>
      <c r="F61" s="23"/>
      <c r="G61" s="23"/>
      <c r="H61" s="23"/>
      <c r="I61" s="23"/>
      <c r="J61" s="25"/>
      <c r="L61" s="13"/>
      <c r="M61" s="13"/>
    </row>
    <row r="63" spans="1:16" s="2" customFormat="1" ht="17.45" customHeight="1">
      <c r="A63" s="31" t="s">
        <v>432</v>
      </c>
      <c r="B63" s="23"/>
      <c r="C63" s="23"/>
      <c r="D63" s="23"/>
      <c r="E63" s="23"/>
      <c r="F63" s="23"/>
      <c r="G63" s="23"/>
      <c r="H63" s="23"/>
      <c r="I63" s="23"/>
      <c r="J63" s="23"/>
    </row>
    <row r="64" spans="1:16" s="2" customFormat="1" ht="10.5" customHeight="1" thickBot="1">
      <c r="A64" s="31"/>
      <c r="B64" s="23"/>
      <c r="C64" s="23"/>
      <c r="D64" s="23"/>
      <c r="E64" s="23"/>
      <c r="F64" s="23"/>
      <c r="G64" s="23"/>
      <c r="H64" s="23"/>
      <c r="I64" s="23"/>
      <c r="J64" s="23"/>
    </row>
    <row r="65" spans="1:19" s="2" customFormat="1" ht="16.5" customHeight="1" thickBot="1">
      <c r="A65" s="35" t="s">
        <v>0</v>
      </c>
      <c r="B65" s="36" t="s">
        <v>1</v>
      </c>
      <c r="C65" s="36" t="s">
        <v>2</v>
      </c>
      <c r="D65" s="36">
        <v>2</v>
      </c>
      <c r="E65" s="36">
        <v>3</v>
      </c>
      <c r="F65" s="36">
        <v>4</v>
      </c>
      <c r="G65" s="36">
        <v>5</v>
      </c>
      <c r="H65" s="36">
        <v>6</v>
      </c>
      <c r="I65" s="36">
        <v>7</v>
      </c>
      <c r="J65" s="36">
        <v>8</v>
      </c>
      <c r="K65" s="45"/>
      <c r="L65" s="12" t="s">
        <v>5</v>
      </c>
      <c r="M65" s="13">
        <f>SUM(16760/30414)</f>
        <v>0.55106201091602547</v>
      </c>
    </row>
    <row r="66" spans="1:19" s="2" customFormat="1" ht="16.5" customHeight="1" thickBot="1">
      <c r="A66" s="37" t="s">
        <v>434</v>
      </c>
      <c r="B66" s="52" t="s">
        <v>28</v>
      </c>
      <c r="C66" s="8">
        <v>2584</v>
      </c>
      <c r="D66" s="9"/>
      <c r="E66" s="9"/>
      <c r="F66" s="9"/>
      <c r="G66" s="9"/>
      <c r="H66" s="9"/>
      <c r="I66" s="9"/>
      <c r="J66" s="9"/>
      <c r="K66" s="8" t="s">
        <v>4</v>
      </c>
      <c r="L66" s="15"/>
      <c r="M66" s="12" t="s">
        <v>8</v>
      </c>
      <c r="N66" s="12" t="s">
        <v>9</v>
      </c>
      <c r="O66" s="12" t="s">
        <v>10</v>
      </c>
    </row>
    <row r="67" spans="1:19" s="2" customFormat="1" ht="16.5" customHeight="1" thickBot="1">
      <c r="A67" s="37" t="s">
        <v>433</v>
      </c>
      <c r="B67" s="39" t="s">
        <v>3</v>
      </c>
      <c r="C67" s="9">
        <v>1927</v>
      </c>
      <c r="D67" s="8">
        <v>2061</v>
      </c>
      <c r="E67" s="9"/>
      <c r="F67" s="9"/>
      <c r="G67" s="9"/>
      <c r="H67" s="9"/>
      <c r="I67" s="9"/>
      <c r="J67" s="9"/>
      <c r="K67" s="8" t="s">
        <v>7</v>
      </c>
      <c r="L67" s="16" t="s">
        <v>6</v>
      </c>
      <c r="M67" s="17">
        <f>SUM(C69+C71+C74+C76)</f>
        <v>4545</v>
      </c>
      <c r="N67" s="18">
        <f>SUM(M67/$M$72)</f>
        <v>0.27706656912948063</v>
      </c>
      <c r="O67" s="15">
        <v>2</v>
      </c>
    </row>
    <row r="68" spans="1:19" s="2" customFormat="1" ht="16.5" customHeight="1" thickBot="1">
      <c r="A68" s="37" t="s">
        <v>435</v>
      </c>
      <c r="B68" s="39" t="s">
        <v>3</v>
      </c>
      <c r="C68" s="9">
        <v>1501</v>
      </c>
      <c r="D68" s="9">
        <v>1565</v>
      </c>
      <c r="E68" s="9">
        <v>1588</v>
      </c>
      <c r="F68" s="9">
        <v>1749</v>
      </c>
      <c r="G68" s="9">
        <v>1771</v>
      </c>
      <c r="H68" s="9">
        <v>1843</v>
      </c>
      <c r="I68" s="8">
        <v>2263</v>
      </c>
      <c r="J68" s="9"/>
      <c r="K68" s="8" t="s">
        <v>11</v>
      </c>
      <c r="L68" s="19" t="s">
        <v>3</v>
      </c>
      <c r="M68" s="17">
        <f>SUM(C67+C68+C72+C78)</f>
        <v>5136</v>
      </c>
      <c r="N68" s="18">
        <f>SUM(M68/$M$72)</f>
        <v>0.3130943672275055</v>
      </c>
      <c r="O68" s="15">
        <v>2</v>
      </c>
    </row>
    <row r="69" spans="1:19" s="2" customFormat="1" ht="16.5" customHeight="1" thickBot="1">
      <c r="A69" s="37" t="s">
        <v>485</v>
      </c>
      <c r="B69" s="38" t="s">
        <v>6</v>
      </c>
      <c r="C69" s="9">
        <v>1467</v>
      </c>
      <c r="D69" s="9">
        <v>1491</v>
      </c>
      <c r="E69" s="9">
        <v>1571</v>
      </c>
      <c r="F69" s="9">
        <v>1581</v>
      </c>
      <c r="G69" s="9">
        <v>1884</v>
      </c>
      <c r="H69" s="9">
        <v>1982</v>
      </c>
      <c r="I69" s="8">
        <v>2115</v>
      </c>
      <c r="J69" s="9"/>
      <c r="K69" s="8" t="s">
        <v>12</v>
      </c>
      <c r="L69" s="54" t="s">
        <v>74</v>
      </c>
      <c r="M69" s="17">
        <v>1387</v>
      </c>
      <c r="N69" s="18">
        <f>SUM(M69/$M$72)</f>
        <v>8.4552548158985608E-2</v>
      </c>
      <c r="O69" s="2">
        <v>1</v>
      </c>
    </row>
    <row r="70" spans="1:19" s="2" customFormat="1" ht="16.5" customHeight="1" thickBot="1">
      <c r="A70" s="37" t="s">
        <v>486</v>
      </c>
      <c r="B70" s="104" t="s">
        <v>74</v>
      </c>
      <c r="C70" s="9">
        <v>1387</v>
      </c>
      <c r="D70" s="9">
        <v>1416</v>
      </c>
      <c r="E70" s="9">
        <v>1501</v>
      </c>
      <c r="F70" s="9">
        <v>1522</v>
      </c>
      <c r="G70" s="9">
        <v>1576</v>
      </c>
      <c r="H70" s="9">
        <v>1754</v>
      </c>
      <c r="I70" s="9">
        <v>1976</v>
      </c>
      <c r="J70" s="8">
        <v>2050</v>
      </c>
      <c r="K70" s="8" t="s">
        <v>14</v>
      </c>
      <c r="L70" s="33" t="s">
        <v>19</v>
      </c>
      <c r="M70" s="17">
        <f>SUM(C75+C77)</f>
        <v>1599</v>
      </c>
      <c r="N70" s="18">
        <f>SUM(M70/$M$72)</f>
        <v>9.7476225310899778E-2</v>
      </c>
      <c r="O70" s="15"/>
    </row>
    <row r="71" spans="1:19" s="2" customFormat="1" ht="16.5" customHeight="1" thickBot="1">
      <c r="A71" s="40" t="s">
        <v>70</v>
      </c>
      <c r="B71" s="41" t="s">
        <v>6</v>
      </c>
      <c r="C71" s="9">
        <v>1189</v>
      </c>
      <c r="D71" s="9">
        <v>1217</v>
      </c>
      <c r="E71" s="9">
        <v>1247</v>
      </c>
      <c r="F71" s="9">
        <v>1373</v>
      </c>
      <c r="G71" s="9">
        <v>1435</v>
      </c>
      <c r="H71" s="9">
        <v>1488</v>
      </c>
      <c r="I71" s="9">
        <v>1506</v>
      </c>
      <c r="J71" s="9">
        <v>1515</v>
      </c>
      <c r="K71" s="8"/>
      <c r="L71" s="22" t="s">
        <v>13</v>
      </c>
      <c r="M71" s="17">
        <f>SUM(C66+C73+C79)</f>
        <v>3797</v>
      </c>
      <c r="N71" s="18">
        <f>SUM(M71/$M$72)</f>
        <v>0.23146793465008533</v>
      </c>
      <c r="O71" s="2">
        <v>2</v>
      </c>
    </row>
    <row r="72" spans="1:19" s="2" customFormat="1" ht="16.5" customHeight="1" thickBot="1">
      <c r="A72" s="40" t="s">
        <v>487</v>
      </c>
      <c r="B72" s="42" t="s">
        <v>3</v>
      </c>
      <c r="C72" s="9">
        <v>1178</v>
      </c>
      <c r="D72" s="9">
        <v>1189</v>
      </c>
      <c r="E72" s="9">
        <v>1212</v>
      </c>
      <c r="F72" s="9">
        <v>1220</v>
      </c>
      <c r="G72" s="9">
        <v>1297</v>
      </c>
      <c r="H72" s="9">
        <v>1390</v>
      </c>
      <c r="I72" s="9" t="s">
        <v>30</v>
      </c>
      <c r="L72" s="23"/>
      <c r="M72" s="25">
        <v>16404</v>
      </c>
      <c r="N72" s="23"/>
      <c r="O72" s="12"/>
    </row>
    <row r="73" spans="1:19" s="2" customFormat="1" ht="16.5" customHeight="1" thickBot="1">
      <c r="A73" s="37" t="s">
        <v>488</v>
      </c>
      <c r="B73" s="52" t="s">
        <v>28</v>
      </c>
      <c r="C73" s="9">
        <v>1140</v>
      </c>
      <c r="D73" s="9">
        <v>1160</v>
      </c>
      <c r="E73" s="9">
        <v>1195</v>
      </c>
      <c r="F73" s="9">
        <v>1221</v>
      </c>
      <c r="G73" s="9">
        <v>1320</v>
      </c>
      <c r="H73" s="9">
        <v>1702</v>
      </c>
      <c r="I73" s="9">
        <v>1974</v>
      </c>
      <c r="J73" s="8">
        <v>2067</v>
      </c>
      <c r="K73" s="8" t="s">
        <v>15</v>
      </c>
      <c r="L73" s="46"/>
      <c r="M73" s="17"/>
      <c r="N73" s="18"/>
    </row>
    <row r="74" spans="1:19" s="2" customFormat="1" ht="16.5" customHeight="1" thickBot="1">
      <c r="A74" s="37" t="s">
        <v>131</v>
      </c>
      <c r="B74" s="38" t="s">
        <v>6</v>
      </c>
      <c r="C74" s="9">
        <v>1083</v>
      </c>
      <c r="D74" s="9">
        <v>1194</v>
      </c>
      <c r="E74" s="9">
        <v>1381</v>
      </c>
      <c r="F74" s="9">
        <v>1410</v>
      </c>
      <c r="G74" s="9">
        <v>1554</v>
      </c>
      <c r="H74" s="9">
        <v>1617</v>
      </c>
      <c r="I74" s="9">
        <v>1717</v>
      </c>
      <c r="J74" s="8">
        <v>1738</v>
      </c>
      <c r="K74" s="8" t="s">
        <v>16</v>
      </c>
    </row>
    <row r="75" spans="1:19" s="2" customFormat="1" ht="16.5" customHeight="1" thickBot="1">
      <c r="A75" s="40" t="s">
        <v>489</v>
      </c>
      <c r="B75" s="43" t="s">
        <v>19</v>
      </c>
      <c r="C75" s="9">
        <v>893</v>
      </c>
      <c r="D75" s="9">
        <v>906</v>
      </c>
      <c r="E75" s="9">
        <v>915</v>
      </c>
      <c r="F75" s="9">
        <v>1193</v>
      </c>
      <c r="G75" s="9">
        <v>1267</v>
      </c>
      <c r="H75" s="9" t="s">
        <v>30</v>
      </c>
    </row>
    <row r="76" spans="1:19" s="2" customFormat="1" ht="16.5" customHeight="1" thickBot="1">
      <c r="A76" s="40" t="s">
        <v>130</v>
      </c>
      <c r="B76" s="41" t="s">
        <v>6</v>
      </c>
      <c r="C76" s="9">
        <v>806</v>
      </c>
      <c r="D76" s="9">
        <v>817</v>
      </c>
      <c r="E76" s="9">
        <v>896</v>
      </c>
      <c r="F76" s="9">
        <v>906</v>
      </c>
      <c r="G76" s="9" t="s">
        <v>30</v>
      </c>
      <c r="K76" s="23"/>
    </row>
    <row r="77" spans="1:19" s="2" customFormat="1" ht="16.5" customHeight="1" thickBot="1">
      <c r="A77" s="40" t="s">
        <v>436</v>
      </c>
      <c r="B77" s="43" t="s">
        <v>19</v>
      </c>
      <c r="C77" s="9">
        <v>706</v>
      </c>
      <c r="D77" s="9">
        <v>748</v>
      </c>
      <c r="E77" s="9">
        <v>764</v>
      </c>
      <c r="F77" s="9" t="s">
        <v>30</v>
      </c>
      <c r="K77" s="23"/>
    </row>
    <row r="78" spans="1:19" s="2" customFormat="1" ht="16.5" customHeight="1" thickBot="1">
      <c r="A78" s="40" t="s">
        <v>437</v>
      </c>
      <c r="B78" s="42" t="s">
        <v>3</v>
      </c>
      <c r="C78" s="9">
        <v>530</v>
      </c>
      <c r="D78" s="9">
        <v>556</v>
      </c>
      <c r="E78" s="9" t="s">
        <v>30</v>
      </c>
      <c r="L78" s="23"/>
    </row>
    <row r="79" spans="1:19" s="2" customFormat="1" ht="16.5" customHeight="1" thickBot="1">
      <c r="A79" s="40" t="s">
        <v>438</v>
      </c>
      <c r="B79" s="44" t="s">
        <v>28</v>
      </c>
      <c r="C79" s="9">
        <v>73</v>
      </c>
      <c r="D79" s="9">
        <v>85</v>
      </c>
      <c r="E79" s="9" t="s">
        <v>30</v>
      </c>
      <c r="L79" s="23"/>
      <c r="R79" s="13"/>
      <c r="S79" s="15"/>
    </row>
    <row r="80" spans="1:19" ht="14.25">
      <c r="N80" s="2"/>
      <c r="O80" s="2"/>
      <c r="P80" s="2"/>
      <c r="Q80" s="2"/>
    </row>
    <row r="81" spans="1:20" s="2" customFormat="1" ht="15">
      <c r="A81" s="99"/>
      <c r="B81" s="64" t="s">
        <v>18</v>
      </c>
      <c r="C81" s="66" t="s">
        <v>6</v>
      </c>
      <c r="D81" s="67" t="s">
        <v>3</v>
      </c>
      <c r="E81" s="68" t="s">
        <v>17</v>
      </c>
      <c r="F81" s="69" t="s">
        <v>19</v>
      </c>
      <c r="G81" s="101" t="s">
        <v>74</v>
      </c>
      <c r="H81" s="78" t="s">
        <v>100</v>
      </c>
      <c r="I81" s="64" t="s">
        <v>13</v>
      </c>
      <c r="K81" s="64" t="s">
        <v>461</v>
      </c>
      <c r="Q81" s="22"/>
      <c r="R81" s="17"/>
      <c r="S81" s="18"/>
      <c r="T81" s="15"/>
    </row>
    <row r="82" spans="1:20" s="2" customFormat="1" ht="15">
      <c r="A82" s="99" t="s">
        <v>8</v>
      </c>
      <c r="B82" s="110">
        <f>SUM(J9+N23+N57+M38+M72)</f>
        <v>76353</v>
      </c>
      <c r="C82" s="108">
        <f>SUM(M67+M33+N52+N18+J5)</f>
        <v>18271</v>
      </c>
      <c r="D82" s="108">
        <f>SUM(M68+M34+N53+N19+J6)</f>
        <v>29981</v>
      </c>
      <c r="E82" s="108">
        <f>SUM(N54+M35+N20)</f>
        <v>4693</v>
      </c>
      <c r="F82" s="108">
        <f>SUM(M70+N55+N21+J7)</f>
        <v>3798</v>
      </c>
      <c r="G82" s="108">
        <v>1387</v>
      </c>
      <c r="H82" s="108">
        <f>SUM(M36)</f>
        <v>382</v>
      </c>
      <c r="I82" s="108">
        <f>SUM(M71+M37+N56+N22+J8)</f>
        <v>17901</v>
      </c>
      <c r="K82" s="105">
        <f>SUM(30414+17575+30971+31011+22702)</f>
        <v>132673</v>
      </c>
      <c r="M82" s="46"/>
      <c r="N82" s="17"/>
      <c r="O82" s="18"/>
      <c r="Q82" s="12"/>
      <c r="R82" s="25"/>
      <c r="S82" s="18"/>
      <c r="T82" s="15"/>
    </row>
    <row r="83" spans="1:20" s="2" customFormat="1" ht="15">
      <c r="A83" s="99" t="s">
        <v>9</v>
      </c>
      <c r="B83" s="102">
        <v>1</v>
      </c>
      <c r="C83" s="103">
        <f t="shared" ref="C83:I83" si="0">SUM(C82/$B$82)</f>
        <v>0.23929642581169044</v>
      </c>
      <c r="D83" s="103">
        <f t="shared" si="0"/>
        <v>0.39266302568333922</v>
      </c>
      <c r="E83" s="103">
        <f t="shared" si="0"/>
        <v>6.1464513509619789E-2</v>
      </c>
      <c r="F83" s="103">
        <f t="shared" si="0"/>
        <v>4.9742642725236728E-2</v>
      </c>
      <c r="G83" s="103">
        <f t="shared" si="0"/>
        <v>1.8165625450211519E-2</v>
      </c>
      <c r="H83" s="103">
        <f t="shared" si="0"/>
        <v>5.0030778096472961E-3</v>
      </c>
      <c r="I83" s="103">
        <f t="shared" si="0"/>
        <v>0.23445051274999018</v>
      </c>
      <c r="J83" s="82"/>
      <c r="K83" s="64" t="s">
        <v>5</v>
      </c>
      <c r="M83" s="12"/>
      <c r="N83" s="25"/>
      <c r="O83" s="13"/>
      <c r="P83" s="15"/>
      <c r="Q83" s="15"/>
      <c r="R83" s="15"/>
      <c r="S83" s="15"/>
      <c r="T83" s="15"/>
    </row>
    <row r="84" spans="1:20" s="2" customFormat="1" ht="14.25">
      <c r="A84" s="99" t="s">
        <v>10</v>
      </c>
      <c r="B84" s="110">
        <v>30</v>
      </c>
      <c r="C84" s="108">
        <v>7</v>
      </c>
      <c r="D84" s="108">
        <v>13</v>
      </c>
      <c r="E84" s="108">
        <v>1</v>
      </c>
      <c r="F84" s="108">
        <v>1</v>
      </c>
      <c r="G84" s="108">
        <v>1</v>
      </c>
      <c r="H84" s="108">
        <v>0</v>
      </c>
      <c r="I84" s="108">
        <v>7</v>
      </c>
      <c r="K84" s="106">
        <f>SUM(B82/K82)</f>
        <v>0.57549765212213488</v>
      </c>
      <c r="M84"/>
      <c r="N84"/>
      <c r="O84"/>
      <c r="P84"/>
    </row>
    <row r="85" spans="1:20" ht="14.25">
      <c r="N85" s="2"/>
      <c r="O85" s="2"/>
      <c r="P85" s="2"/>
      <c r="Q85" s="2"/>
    </row>
    <row r="86" spans="1:20" ht="14.25">
      <c r="N86" s="2"/>
      <c r="O86" s="2"/>
      <c r="P86" s="2"/>
      <c r="Q86" s="2"/>
    </row>
    <row r="87" spans="1:20" ht="14.25">
      <c r="N87" s="2"/>
      <c r="O87" s="2"/>
      <c r="P87" s="2"/>
      <c r="Q87" s="2"/>
    </row>
    <row r="88" spans="1:20" ht="14.25">
      <c r="N88" s="2"/>
      <c r="O88" s="2"/>
      <c r="P88" s="2"/>
      <c r="Q88" s="2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>
      <selection activeCell="A20" sqref="A20"/>
    </sheetView>
  </sheetViews>
  <sheetFormatPr defaultRowHeight="12.75"/>
  <cols>
    <col min="1" max="1" width="14.85546875" style="65" customWidth="1"/>
    <col min="2" max="2" width="7.85546875" customWidth="1"/>
    <col min="3" max="3" width="9.28515625" bestFit="1" customWidth="1"/>
    <col min="7" max="7" width="9.28515625" bestFit="1" customWidth="1"/>
    <col min="13" max="13" width="9.140625" style="74"/>
  </cols>
  <sheetData>
    <row r="1" spans="1:13" s="65" customFormat="1">
      <c r="A1" s="65" t="s">
        <v>132</v>
      </c>
      <c r="B1" s="65" t="s">
        <v>10</v>
      </c>
      <c r="C1" s="66" t="s">
        <v>6</v>
      </c>
      <c r="D1" s="67" t="s">
        <v>3</v>
      </c>
      <c r="E1" s="68" t="s">
        <v>17</v>
      </c>
      <c r="F1" s="69" t="s">
        <v>19</v>
      </c>
      <c r="G1" s="65" t="s">
        <v>13</v>
      </c>
      <c r="H1" s="78" t="s">
        <v>100</v>
      </c>
      <c r="I1" s="81" t="s">
        <v>74</v>
      </c>
      <c r="J1" s="72" t="s">
        <v>20</v>
      </c>
      <c r="K1" s="70" t="s">
        <v>133</v>
      </c>
      <c r="L1" s="71" t="s">
        <v>134</v>
      </c>
      <c r="M1" s="73" t="s">
        <v>135</v>
      </c>
    </row>
    <row r="2" spans="1:13">
      <c r="I2" s="74"/>
    </row>
    <row r="3" spans="1:13">
      <c r="A3" s="65">
        <v>1925</v>
      </c>
      <c r="B3">
        <v>40</v>
      </c>
      <c r="C3" s="112">
        <v>0.26050000000000001</v>
      </c>
      <c r="D3" s="112">
        <v>0.3085</v>
      </c>
      <c r="E3" s="112">
        <v>3.61E-2</v>
      </c>
      <c r="F3" s="112" t="s">
        <v>30</v>
      </c>
      <c r="G3" s="112">
        <v>0.1641</v>
      </c>
      <c r="H3" s="112" t="s">
        <v>30</v>
      </c>
      <c r="I3" s="112" t="s">
        <v>30</v>
      </c>
      <c r="J3" s="112" t="s">
        <v>30</v>
      </c>
      <c r="K3" s="112">
        <v>0.23089999999999999</v>
      </c>
      <c r="L3" s="112" t="s">
        <v>30</v>
      </c>
      <c r="M3" s="112" t="s">
        <v>30</v>
      </c>
    </row>
    <row r="4" spans="1:13">
      <c r="A4" s="65">
        <v>1928</v>
      </c>
      <c r="B4">
        <v>40</v>
      </c>
      <c r="C4" s="112">
        <v>0.2545</v>
      </c>
      <c r="D4" s="112">
        <v>0.2944</v>
      </c>
      <c r="E4" s="112">
        <v>3.3700000000000001E-2</v>
      </c>
      <c r="F4" s="112" t="s">
        <v>30</v>
      </c>
      <c r="G4" s="112">
        <v>0.3196</v>
      </c>
      <c r="H4" s="112" t="s">
        <v>30</v>
      </c>
      <c r="I4" s="112" t="s">
        <v>30</v>
      </c>
      <c r="J4" s="112" t="s">
        <v>30</v>
      </c>
      <c r="K4" s="112">
        <v>9.7799999999999998E-2</v>
      </c>
      <c r="L4" s="112" t="s">
        <v>30</v>
      </c>
      <c r="M4" s="112" t="s">
        <v>30</v>
      </c>
    </row>
    <row r="5" spans="1:13">
      <c r="A5" s="65">
        <v>1934</v>
      </c>
      <c r="B5">
        <v>40</v>
      </c>
      <c r="C5" s="112">
        <v>0.40239999999999998</v>
      </c>
      <c r="D5" s="112">
        <v>0.37990000000000002</v>
      </c>
      <c r="E5" s="112">
        <v>3.6799999999999999E-2</v>
      </c>
      <c r="F5" s="112" t="s">
        <v>30</v>
      </c>
      <c r="G5" s="112">
        <v>0.1164</v>
      </c>
      <c r="H5" s="112" t="s">
        <v>30</v>
      </c>
      <c r="I5" s="112" t="s">
        <v>30</v>
      </c>
      <c r="J5" s="112" t="s">
        <v>30</v>
      </c>
      <c r="K5" s="112" t="s">
        <v>30</v>
      </c>
      <c r="L5" s="112" t="s">
        <v>30</v>
      </c>
      <c r="M5" s="112" t="s">
        <v>30</v>
      </c>
    </row>
    <row r="6" spans="1:13">
      <c r="A6" s="65">
        <v>1942</v>
      </c>
      <c r="B6">
        <v>31</v>
      </c>
      <c r="C6" s="112">
        <v>0.34129999999999999</v>
      </c>
      <c r="D6" s="112">
        <v>4.1700000000000001E-2</v>
      </c>
      <c r="E6" s="112">
        <v>5.1799999999999999E-2</v>
      </c>
      <c r="F6" s="112" t="s">
        <v>30</v>
      </c>
      <c r="G6" s="112">
        <v>0.3362</v>
      </c>
      <c r="H6" s="112" t="s">
        <v>30</v>
      </c>
      <c r="I6" s="112" t="s">
        <v>30</v>
      </c>
      <c r="J6" s="112" t="s">
        <v>30</v>
      </c>
      <c r="K6" s="112">
        <v>0.2291</v>
      </c>
      <c r="L6" s="112" t="s">
        <v>30</v>
      </c>
      <c r="M6" s="112" t="s">
        <v>30</v>
      </c>
    </row>
    <row r="7" spans="1:13">
      <c r="A7" s="65">
        <v>1945</v>
      </c>
      <c r="B7">
        <v>31</v>
      </c>
      <c r="C7" s="112">
        <v>0.47120000000000001</v>
      </c>
      <c r="D7" s="112" t="s">
        <v>30</v>
      </c>
      <c r="E7" s="112">
        <v>3.6700000000000003E-2</v>
      </c>
      <c r="F7" s="112" t="s">
        <v>30</v>
      </c>
      <c r="G7" s="112">
        <v>0.24010000000000001</v>
      </c>
      <c r="H7" s="112" t="s">
        <v>30</v>
      </c>
      <c r="I7" s="112" t="s">
        <v>30</v>
      </c>
      <c r="J7" s="112" t="s">
        <v>30</v>
      </c>
      <c r="K7" s="112">
        <v>0.252</v>
      </c>
      <c r="L7" s="112" t="s">
        <v>30</v>
      </c>
      <c r="M7" s="112" t="s">
        <v>30</v>
      </c>
    </row>
    <row r="8" spans="1:13">
      <c r="A8" s="65">
        <v>1950</v>
      </c>
      <c r="B8">
        <v>31</v>
      </c>
      <c r="C8" s="112">
        <v>0.45779999999999998</v>
      </c>
      <c r="D8" s="112">
        <v>0.15939999999999999</v>
      </c>
      <c r="E8" s="112">
        <v>2.0799999999999999E-2</v>
      </c>
      <c r="F8" s="112" t="s">
        <v>30</v>
      </c>
      <c r="G8" s="112">
        <v>0.12559999999999999</v>
      </c>
      <c r="H8" s="112" t="s">
        <v>30</v>
      </c>
      <c r="I8" s="112" t="s">
        <v>30</v>
      </c>
      <c r="J8" s="112" t="s">
        <v>30</v>
      </c>
      <c r="K8" s="112">
        <v>0.1346</v>
      </c>
      <c r="L8" s="112">
        <v>0.1019</v>
      </c>
      <c r="M8" s="112" t="s">
        <v>30</v>
      </c>
    </row>
    <row r="9" spans="1:13">
      <c r="A9" s="65">
        <v>1955</v>
      </c>
      <c r="B9">
        <v>31</v>
      </c>
      <c r="C9" s="112">
        <v>0.48449999999999999</v>
      </c>
      <c r="D9" s="112">
        <v>0.22339999999999999</v>
      </c>
      <c r="E9" s="112">
        <v>1.6299999999999999E-2</v>
      </c>
      <c r="F9" s="112">
        <v>1.52E-2</v>
      </c>
      <c r="G9" s="112">
        <v>6.1600000000000002E-2</v>
      </c>
      <c r="H9" s="112" t="s">
        <v>30</v>
      </c>
      <c r="I9" s="112" t="s">
        <v>30</v>
      </c>
      <c r="J9" s="112" t="s">
        <v>30</v>
      </c>
      <c r="K9" s="112">
        <v>0.1406</v>
      </c>
      <c r="L9" s="112">
        <v>4.8399999999999999E-2</v>
      </c>
      <c r="M9" s="112" t="s">
        <v>30</v>
      </c>
    </row>
    <row r="10" spans="1:13">
      <c r="A10" s="65">
        <v>1960</v>
      </c>
      <c r="B10">
        <v>31</v>
      </c>
      <c r="C10" s="112">
        <v>0.49109999999999998</v>
      </c>
      <c r="D10" s="112">
        <v>0.23300000000000001</v>
      </c>
      <c r="E10" s="112">
        <v>1.9099999999999999E-2</v>
      </c>
      <c r="F10" s="112">
        <v>6.8699999999999997E-2</v>
      </c>
      <c r="G10" s="112">
        <v>9.8699999999999996E-2</v>
      </c>
      <c r="H10" s="112" t="s">
        <v>30</v>
      </c>
      <c r="I10" s="112" t="s">
        <v>30</v>
      </c>
      <c r="J10" s="112" t="s">
        <v>30</v>
      </c>
      <c r="K10" s="112">
        <v>7.7299999999999994E-2</v>
      </c>
      <c r="L10" s="112">
        <v>3.15E-2</v>
      </c>
      <c r="M10" s="112" t="s">
        <v>30</v>
      </c>
    </row>
    <row r="11" spans="1:13">
      <c r="A11" s="65">
        <v>1967</v>
      </c>
      <c r="B11">
        <v>31</v>
      </c>
      <c r="C11" s="75">
        <v>0.47939999999999999</v>
      </c>
      <c r="D11" s="75">
        <v>0.36840000000000001</v>
      </c>
      <c r="E11" s="75">
        <v>1.9599999999999999E-2</v>
      </c>
      <c r="F11" s="75">
        <v>4.2599999999999999E-2</v>
      </c>
      <c r="G11" s="75">
        <v>8.9800000000000005E-2</v>
      </c>
      <c r="H11" s="76" t="s">
        <v>30</v>
      </c>
      <c r="I11" s="74" t="s">
        <v>30</v>
      </c>
      <c r="J11" s="76" t="s">
        <v>30</v>
      </c>
      <c r="K11" s="76" t="s">
        <v>30</v>
      </c>
      <c r="L11" s="76" t="s">
        <v>30</v>
      </c>
      <c r="M11" s="76" t="s">
        <v>30</v>
      </c>
    </row>
    <row r="12" spans="1:13">
      <c r="A12" s="65">
        <v>1974</v>
      </c>
      <c r="B12">
        <v>31</v>
      </c>
      <c r="C12" s="75">
        <v>0.49299999999999999</v>
      </c>
      <c r="D12" s="75">
        <v>0.3145</v>
      </c>
      <c r="E12" s="75">
        <v>5.5800000000000002E-2</v>
      </c>
      <c r="F12" s="75">
        <v>5.6099999999999997E-2</v>
      </c>
      <c r="G12" s="75">
        <v>8.0600000000000005E-2</v>
      </c>
      <c r="H12" s="76" t="s">
        <v>30</v>
      </c>
      <c r="I12" s="74" t="s">
        <v>30</v>
      </c>
      <c r="J12" s="76" t="s">
        <v>30</v>
      </c>
      <c r="K12" s="76" t="s">
        <v>30</v>
      </c>
      <c r="L12" s="76" t="s">
        <v>30</v>
      </c>
      <c r="M12" s="76" t="s">
        <v>30</v>
      </c>
    </row>
    <row r="13" spans="1:13">
      <c r="A13" s="65">
        <v>1979</v>
      </c>
      <c r="B13">
        <v>31</v>
      </c>
      <c r="C13" s="75">
        <v>0.46760000000000002</v>
      </c>
      <c r="D13" s="75">
        <v>0.32019999999999998</v>
      </c>
      <c r="E13" s="75">
        <v>6.3200000000000006E-2</v>
      </c>
      <c r="F13" s="75">
        <v>5.3199999999999997E-2</v>
      </c>
      <c r="G13" s="75">
        <v>8.3699999999999997E-2</v>
      </c>
      <c r="H13" s="76" t="s">
        <v>30</v>
      </c>
      <c r="I13" s="74" t="s">
        <v>30</v>
      </c>
      <c r="J13" s="76" t="s">
        <v>30</v>
      </c>
      <c r="K13" s="76" t="s">
        <v>30</v>
      </c>
      <c r="L13" s="76" t="s">
        <v>30</v>
      </c>
      <c r="M13" s="74">
        <v>1.2200000000000001E-2</v>
      </c>
    </row>
    <row r="14" spans="1:13">
      <c r="A14" s="65">
        <v>1985</v>
      </c>
      <c r="B14">
        <v>30</v>
      </c>
      <c r="C14" s="75">
        <v>0.54469999999999996</v>
      </c>
      <c r="D14" s="75">
        <v>0.2802</v>
      </c>
      <c r="E14" s="75">
        <v>2.0999999999999999E-3</v>
      </c>
      <c r="F14" s="75">
        <v>4.4699999999999997E-2</v>
      </c>
      <c r="G14" s="75">
        <v>0.1197</v>
      </c>
      <c r="H14" s="76" t="s">
        <v>30</v>
      </c>
      <c r="I14" s="74" t="s">
        <v>30</v>
      </c>
      <c r="J14" s="76" t="s">
        <v>30</v>
      </c>
      <c r="K14" s="76" t="s">
        <v>30</v>
      </c>
      <c r="L14" s="76" t="s">
        <v>30</v>
      </c>
      <c r="M14" s="76">
        <v>8.6E-3</v>
      </c>
    </row>
    <row r="15" spans="1:13">
      <c r="A15" s="65">
        <v>1991</v>
      </c>
      <c r="B15">
        <v>30</v>
      </c>
      <c r="C15" s="75">
        <v>0.44890000000000002</v>
      </c>
      <c r="D15" s="75">
        <v>0.27979999999999999</v>
      </c>
      <c r="E15" s="75">
        <v>5.3E-3</v>
      </c>
      <c r="F15" s="75">
        <v>4.1000000000000003E-3</v>
      </c>
      <c r="G15" s="75">
        <v>0.1336</v>
      </c>
      <c r="H15" s="76" t="s">
        <v>30</v>
      </c>
      <c r="I15" s="74">
        <v>1.4200000000000001E-2</v>
      </c>
      <c r="J15" s="75">
        <v>0.1082</v>
      </c>
      <c r="K15" s="76" t="s">
        <v>30</v>
      </c>
      <c r="L15" s="76" t="s">
        <v>30</v>
      </c>
      <c r="M15" s="76">
        <v>5.8999999999999999E-3</v>
      </c>
    </row>
    <row r="16" spans="1:13">
      <c r="A16" s="65">
        <v>1999</v>
      </c>
      <c r="B16">
        <v>30</v>
      </c>
      <c r="C16" s="76">
        <v>0.42549999999999999</v>
      </c>
      <c r="D16" s="75">
        <v>0.33350000000000002</v>
      </c>
      <c r="E16" s="75">
        <v>1.3899999999999999E-2</v>
      </c>
      <c r="F16" s="75">
        <v>6.4000000000000003E-3</v>
      </c>
      <c r="G16" s="75">
        <v>0.152</v>
      </c>
      <c r="H16" s="76" t="s">
        <v>30</v>
      </c>
      <c r="I16" s="74">
        <v>9.7000000000000003E-3</v>
      </c>
      <c r="J16" s="75">
        <v>5.9200000000000003E-2</v>
      </c>
      <c r="K16" s="76" t="s">
        <v>30</v>
      </c>
      <c r="L16" s="76" t="s">
        <v>30</v>
      </c>
      <c r="M16" s="76" t="s">
        <v>30</v>
      </c>
    </row>
    <row r="17" spans="1:13">
      <c r="A17" s="65">
        <v>2004</v>
      </c>
      <c r="B17">
        <v>30</v>
      </c>
      <c r="C17" s="75">
        <v>0.34539999999999998</v>
      </c>
      <c r="D17" s="75">
        <v>0.28060000000000002</v>
      </c>
      <c r="E17" s="75">
        <v>3.3700000000000001E-2</v>
      </c>
      <c r="F17" s="75">
        <v>4.0399999999999998E-2</v>
      </c>
      <c r="G17" s="75">
        <v>0.18809999999999999</v>
      </c>
      <c r="H17" s="75">
        <v>7.3000000000000001E-3</v>
      </c>
      <c r="I17" s="74">
        <v>1.43E-2</v>
      </c>
      <c r="J17" s="75">
        <v>9.0300000000000005E-2</v>
      </c>
      <c r="K17" s="76" t="s">
        <v>30</v>
      </c>
      <c r="L17" s="76" t="s">
        <v>30</v>
      </c>
      <c r="M17" s="76" t="s">
        <v>30</v>
      </c>
    </row>
    <row r="18" spans="1:13">
      <c r="A18" s="65">
        <v>2009</v>
      </c>
      <c r="B18">
        <v>30</v>
      </c>
      <c r="C18" s="75">
        <v>0.23930000000000001</v>
      </c>
      <c r="D18" s="75">
        <v>0.39269999999999999</v>
      </c>
      <c r="E18" s="75">
        <v>6.1499999999999999E-2</v>
      </c>
      <c r="F18" s="75">
        <v>4.9700000000000001E-2</v>
      </c>
      <c r="G18" s="75">
        <v>0.23449999999999999</v>
      </c>
      <c r="H18" s="75">
        <v>5.0000000000000001E-3</v>
      </c>
      <c r="I18" s="74">
        <v>1.8200000000000001E-2</v>
      </c>
      <c r="J18" s="103" t="s">
        <v>30</v>
      </c>
      <c r="K18" s="76" t="s">
        <v>30</v>
      </c>
      <c r="L18" s="76" t="s">
        <v>30</v>
      </c>
      <c r="M18" s="76" t="s">
        <v>30</v>
      </c>
    </row>
  </sheetData>
  <phoneticPr fontId="31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1925</vt:lpstr>
      <vt:lpstr>1928</vt:lpstr>
      <vt:lpstr>1934</vt:lpstr>
      <vt:lpstr>1942</vt:lpstr>
      <vt:lpstr>1945</vt:lpstr>
      <vt:lpstr>1950</vt:lpstr>
      <vt:lpstr>1955</vt:lpstr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2006-01-05T17:34:07Z</dcterms:created>
  <dcterms:modified xsi:type="dcterms:W3CDTF">2011-08-23T14:12:11Z</dcterms:modified>
</cp:coreProperties>
</file>