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690" windowWidth="18615" windowHeight="7875"/>
  </bookViews>
  <sheets>
    <sheet name="1967" sheetId="21" r:id="rId1"/>
    <sheet name="1974" sheetId="20" r:id="rId2"/>
    <sheet name="1979" sheetId="19" r:id="rId3"/>
    <sheet name="1985Fing" sheetId="16" r:id="rId4"/>
    <sheet name="1985Sth" sheetId="17" r:id="rId5"/>
    <sheet name="1985DLR" sheetId="18" r:id="rId6"/>
    <sheet name="1991Fing" sheetId="13" r:id="rId7"/>
    <sheet name="1991Sth" sheetId="14" r:id="rId8"/>
    <sheet name="1991DLR" sheetId="15" r:id="rId9"/>
    <sheet name="1999Fing" sheetId="10" r:id="rId10"/>
    <sheet name="1999Sth" sheetId="11" r:id="rId11"/>
    <sheet name="1999DLR" sheetId="12" r:id="rId12"/>
    <sheet name="2004Fing" sheetId="7" r:id="rId13"/>
    <sheet name="2004Sth" sheetId="8" r:id="rId14"/>
    <sheet name="2004DLR" sheetId="9" r:id="rId15"/>
    <sheet name="2009Fing" sheetId="6" r:id="rId16"/>
    <sheet name="2009Sth" sheetId="5" r:id="rId17"/>
    <sheet name="2009DLR" sheetId="1" r:id="rId18"/>
    <sheet name="Party%" sheetId="4" r:id="rId19"/>
    <sheet name="HighVotes" sheetId="3" r:id="rId20"/>
  </sheets>
  <calcPr calcId="125725"/>
</workbook>
</file>

<file path=xl/calcChain.xml><?xml version="1.0" encoding="utf-8"?>
<calcChain xmlns="http://schemas.openxmlformats.org/spreadsheetml/2006/main">
  <c r="Q87" i="17"/>
  <c r="L7"/>
  <c r="E98" i="21"/>
  <c r="G98"/>
  <c r="F99"/>
  <c r="P69"/>
  <c r="P70"/>
  <c r="P71"/>
  <c r="P72"/>
  <c r="P67"/>
  <c r="O52"/>
  <c r="N37"/>
  <c r="N38"/>
  <c r="N39"/>
  <c r="N35"/>
  <c r="M23"/>
  <c r="M24"/>
  <c r="M25"/>
  <c r="M21"/>
  <c r="O54"/>
  <c r="O55"/>
  <c r="O56"/>
  <c r="C64"/>
  <c r="P5"/>
  <c r="P6"/>
  <c r="P7"/>
  <c r="P3"/>
  <c r="I89"/>
  <c r="I90"/>
  <c r="I91"/>
  <c r="I87"/>
  <c r="B98"/>
  <c r="J91"/>
  <c r="J90"/>
  <c r="J89"/>
  <c r="Q72"/>
  <c r="Q70"/>
  <c r="Q69"/>
  <c r="P56"/>
  <c r="P55"/>
  <c r="P54"/>
  <c r="O40"/>
  <c r="O39"/>
  <c r="O38"/>
  <c r="O37"/>
  <c r="N26"/>
  <c r="N25"/>
  <c r="Q8"/>
  <c r="Q7"/>
  <c r="Q6"/>
  <c r="Q5"/>
  <c r="G104" i="20"/>
  <c r="P5"/>
  <c r="P6"/>
  <c r="P7"/>
  <c r="P8"/>
  <c r="P3"/>
  <c r="W41"/>
  <c r="W42"/>
  <c r="W43"/>
  <c r="W44"/>
  <c r="W39"/>
  <c r="O65"/>
  <c r="O66"/>
  <c r="O68"/>
  <c r="O67"/>
  <c r="Q23"/>
  <c r="O63"/>
  <c r="Q24"/>
  <c r="Q25"/>
  <c r="Q27"/>
  <c r="Q21"/>
  <c r="I98"/>
  <c r="I99"/>
  <c r="I96"/>
  <c r="P80"/>
  <c r="P81"/>
  <c r="P82"/>
  <c r="P78"/>
  <c r="C98" i="21"/>
  <c r="C99"/>
  <c r="D98"/>
  <c r="D99"/>
  <c r="G99"/>
  <c r="E99"/>
  <c r="N23"/>
  <c r="N24"/>
  <c r="P57"/>
  <c r="Q71"/>
  <c r="B104" i="20"/>
  <c r="J100"/>
  <c r="J99"/>
  <c r="J98"/>
  <c r="Q83"/>
  <c r="Q81"/>
  <c r="Q80"/>
  <c r="P67"/>
  <c r="P66"/>
  <c r="P65"/>
  <c r="X44"/>
  <c r="X43"/>
  <c r="X42"/>
  <c r="X41"/>
  <c r="R27"/>
  <c r="R26"/>
  <c r="R25"/>
  <c r="R24"/>
  <c r="R23"/>
  <c r="Q8"/>
  <c r="Q7"/>
  <c r="Q6"/>
  <c r="Q5"/>
  <c r="B145" i="19"/>
  <c r="E145"/>
  <c r="G145"/>
  <c r="F145"/>
  <c r="J137"/>
  <c r="J138"/>
  <c r="J135"/>
  <c r="E104" i="20"/>
  <c r="C104"/>
  <c r="D104"/>
  <c r="F105"/>
  <c r="G105"/>
  <c r="C105"/>
  <c r="D105"/>
  <c r="E105"/>
  <c r="P68"/>
  <c r="Q82"/>
  <c r="K109" i="19"/>
  <c r="K110"/>
  <c r="K111"/>
  <c r="K107"/>
  <c r="P79"/>
  <c r="P80"/>
  <c r="P81"/>
  <c r="P82"/>
  <c r="P61"/>
  <c r="P62"/>
  <c r="P63"/>
  <c r="P64"/>
  <c r="P59"/>
  <c r="O5"/>
  <c r="O6"/>
  <c r="O7"/>
  <c r="O3"/>
  <c r="R20"/>
  <c r="R21"/>
  <c r="R22"/>
  <c r="R24"/>
  <c r="R18"/>
  <c r="O43"/>
  <c r="O42"/>
  <c r="O44"/>
  <c r="O46"/>
  <c r="O40"/>
  <c r="K96"/>
  <c r="K97"/>
  <c r="L123"/>
  <c r="L124"/>
  <c r="L125"/>
  <c r="F114" i="18"/>
  <c r="G114"/>
  <c r="H114"/>
  <c r="K81"/>
  <c r="K82"/>
  <c r="K85"/>
  <c r="K79"/>
  <c r="M67"/>
  <c r="M68"/>
  <c r="M69"/>
  <c r="M65"/>
  <c r="T95"/>
  <c r="T96"/>
  <c r="T97"/>
  <c r="T101"/>
  <c r="T93"/>
  <c r="M52"/>
  <c r="M53"/>
  <c r="N58"/>
  <c r="N57"/>
  <c r="M50"/>
  <c r="L39"/>
  <c r="L40"/>
  <c r="L41"/>
  <c r="L37"/>
  <c r="K25"/>
  <c r="K26"/>
  <c r="K27"/>
  <c r="K23"/>
  <c r="R5"/>
  <c r="R6"/>
  <c r="R7"/>
  <c r="R11"/>
  <c r="I114"/>
  <c r="R3"/>
  <c r="S11"/>
  <c r="F110" i="17"/>
  <c r="G110"/>
  <c r="H110"/>
  <c r="P35"/>
  <c r="P36"/>
  <c r="P37"/>
  <c r="P40"/>
  <c r="P33"/>
  <c r="N98"/>
  <c r="N99"/>
  <c r="N100"/>
  <c r="N96"/>
  <c r="Q81"/>
  <c r="Q82"/>
  <c r="Q83"/>
  <c r="Q79"/>
  <c r="M53"/>
  <c r="M54"/>
  <c r="M51"/>
  <c r="L66"/>
  <c r="L67"/>
  <c r="L72"/>
  <c r="I110"/>
  <c r="L64"/>
  <c r="L5"/>
  <c r="L6"/>
  <c r="L3"/>
  <c r="N20"/>
  <c r="N21"/>
  <c r="N22"/>
  <c r="E110"/>
  <c r="N18"/>
  <c r="K140" i="19"/>
  <c r="K139"/>
  <c r="K138"/>
  <c r="K137"/>
  <c r="M126"/>
  <c r="M125"/>
  <c r="M124"/>
  <c r="M123"/>
  <c r="L111"/>
  <c r="L99"/>
  <c r="L97"/>
  <c r="L96"/>
  <c r="Q82"/>
  <c r="Q81"/>
  <c r="Q80"/>
  <c r="Q79"/>
  <c r="P77"/>
  <c r="Q64"/>
  <c r="Q63"/>
  <c r="Q62"/>
  <c r="Q61"/>
  <c r="P46"/>
  <c r="P45"/>
  <c r="P44"/>
  <c r="P43"/>
  <c r="P42"/>
  <c r="S23"/>
  <c r="S22"/>
  <c r="S21"/>
  <c r="S20"/>
  <c r="P8"/>
  <c r="P7"/>
  <c r="P6"/>
  <c r="P5"/>
  <c r="H86" i="16"/>
  <c r="G86"/>
  <c r="N74"/>
  <c r="N75"/>
  <c r="N78"/>
  <c r="N72"/>
  <c r="L60"/>
  <c r="L61"/>
  <c r="L64"/>
  <c r="L58"/>
  <c r="C145" i="19"/>
  <c r="C146"/>
  <c r="D145"/>
  <c r="D146"/>
  <c r="E146"/>
  <c r="G146"/>
  <c r="F146"/>
  <c r="S24"/>
  <c r="L98"/>
  <c r="L109"/>
  <c r="L110"/>
  <c r="I32" i="16"/>
  <c r="I33"/>
  <c r="I30"/>
  <c r="L20"/>
  <c r="L21"/>
  <c r="L18"/>
  <c r="N5"/>
  <c r="N6"/>
  <c r="N7"/>
  <c r="N3"/>
  <c r="N43"/>
  <c r="N44"/>
  <c r="N45"/>
  <c r="N48"/>
  <c r="I86"/>
  <c r="O47"/>
  <c r="N41"/>
  <c r="E114" i="18"/>
  <c r="B114"/>
  <c r="H115"/>
  <c r="I115"/>
  <c r="U100"/>
  <c r="U99"/>
  <c r="U97"/>
  <c r="L84"/>
  <c r="L83"/>
  <c r="L82"/>
  <c r="L81"/>
  <c r="N71"/>
  <c r="N70"/>
  <c r="N69"/>
  <c r="N68"/>
  <c r="N67"/>
  <c r="N56"/>
  <c r="N55"/>
  <c r="N54"/>
  <c r="N53"/>
  <c r="N52"/>
  <c r="M43"/>
  <c r="M42"/>
  <c r="M41"/>
  <c r="M40"/>
  <c r="M39"/>
  <c r="L29"/>
  <c r="L28"/>
  <c r="L27"/>
  <c r="L26"/>
  <c r="L25"/>
  <c r="F115"/>
  <c r="S9"/>
  <c r="S8"/>
  <c r="S7"/>
  <c r="S6"/>
  <c r="S5"/>
  <c r="B110" i="17"/>
  <c r="O104"/>
  <c r="O102"/>
  <c r="O101"/>
  <c r="O100"/>
  <c r="R87"/>
  <c r="R86"/>
  <c r="R85"/>
  <c r="R84"/>
  <c r="R82"/>
  <c r="R81"/>
  <c r="M72"/>
  <c r="M71"/>
  <c r="M70"/>
  <c r="M69"/>
  <c r="M68"/>
  <c r="M67"/>
  <c r="M66"/>
  <c r="N57"/>
  <c r="N56"/>
  <c r="N55"/>
  <c r="N54"/>
  <c r="N53"/>
  <c r="Q40"/>
  <c r="Q39"/>
  <c r="Q38"/>
  <c r="Q37"/>
  <c r="Q36"/>
  <c r="Q35"/>
  <c r="O24"/>
  <c r="O23"/>
  <c r="O22"/>
  <c r="O21"/>
  <c r="O20"/>
  <c r="M10"/>
  <c r="M9"/>
  <c r="M8"/>
  <c r="M7"/>
  <c r="M6"/>
  <c r="M5"/>
  <c r="B86" i="16"/>
  <c r="F87"/>
  <c r="O77"/>
  <c r="O76"/>
  <c r="M64"/>
  <c r="M63"/>
  <c r="M62"/>
  <c r="M61"/>
  <c r="M60"/>
  <c r="O46"/>
  <c r="O44"/>
  <c r="O43"/>
  <c r="J35"/>
  <c r="J34"/>
  <c r="J33"/>
  <c r="J32"/>
  <c r="M24"/>
  <c r="M23"/>
  <c r="M22"/>
  <c r="M21"/>
  <c r="M20"/>
  <c r="O10"/>
  <c r="O9"/>
  <c r="O8"/>
  <c r="O7"/>
  <c r="O6"/>
  <c r="O5"/>
  <c r="E102" i="15"/>
  <c r="F102"/>
  <c r="J102"/>
  <c r="M74"/>
  <c r="M75"/>
  <c r="M77"/>
  <c r="M72"/>
  <c r="M61"/>
  <c r="M62"/>
  <c r="N66"/>
  <c r="M59"/>
  <c r="N87"/>
  <c r="N88"/>
  <c r="N91"/>
  <c r="N94"/>
  <c r="O94"/>
  <c r="O93"/>
  <c r="O92"/>
  <c r="N85"/>
  <c r="K49"/>
  <c r="K50"/>
  <c r="K47"/>
  <c r="J37"/>
  <c r="J38"/>
  <c r="K41"/>
  <c r="J35"/>
  <c r="N22"/>
  <c r="N23"/>
  <c r="N27"/>
  <c r="N20"/>
  <c r="O26"/>
  <c r="O5"/>
  <c r="O6"/>
  <c r="O9"/>
  <c r="H102"/>
  <c r="O10"/>
  <c r="G102"/>
  <c r="O3"/>
  <c r="C110" i="14"/>
  <c r="D110"/>
  <c r="E110"/>
  <c r="F110"/>
  <c r="G110"/>
  <c r="J110"/>
  <c r="I110"/>
  <c r="H110"/>
  <c r="B110"/>
  <c r="M37"/>
  <c r="M38"/>
  <c r="M39"/>
  <c r="M35"/>
  <c r="N103"/>
  <c r="N99"/>
  <c r="N98"/>
  <c r="N96"/>
  <c r="O82"/>
  <c r="O83"/>
  <c r="O84"/>
  <c r="P88"/>
  <c r="O80"/>
  <c r="L53"/>
  <c r="L54"/>
  <c r="L55"/>
  <c r="L51"/>
  <c r="P11"/>
  <c r="P5"/>
  <c r="P6"/>
  <c r="P7"/>
  <c r="Q10"/>
  <c r="P3"/>
  <c r="N67"/>
  <c r="N68"/>
  <c r="N69"/>
  <c r="O72"/>
  <c r="N65"/>
  <c r="L20"/>
  <c r="L22"/>
  <c r="L29"/>
  <c r="F98" i="13"/>
  <c r="H98"/>
  <c r="I98"/>
  <c r="J98"/>
  <c r="N37"/>
  <c r="N38"/>
  <c r="N39"/>
  <c r="N42"/>
  <c r="O41"/>
  <c r="N35"/>
  <c r="M21"/>
  <c r="M22"/>
  <c r="M27"/>
  <c r="M19"/>
  <c r="M71"/>
  <c r="M72"/>
  <c r="M75"/>
  <c r="N75"/>
  <c r="M69"/>
  <c r="N86"/>
  <c r="N87"/>
  <c r="N90"/>
  <c r="N84"/>
  <c r="O91"/>
  <c r="O90"/>
  <c r="P5"/>
  <c r="P6"/>
  <c r="P7"/>
  <c r="P3"/>
  <c r="Q10"/>
  <c r="Q55"/>
  <c r="Q56"/>
  <c r="P58"/>
  <c r="P52"/>
  <c r="P53"/>
  <c r="P54"/>
  <c r="Q57"/>
  <c r="P50"/>
  <c r="E115" i="18"/>
  <c r="F111" i="17"/>
  <c r="G111"/>
  <c r="H111"/>
  <c r="G87" i="16"/>
  <c r="H87"/>
  <c r="C114" i="18"/>
  <c r="C115"/>
  <c r="D114"/>
  <c r="D115"/>
  <c r="G115"/>
  <c r="I111" i="17"/>
  <c r="E111"/>
  <c r="C110"/>
  <c r="C111"/>
  <c r="D110"/>
  <c r="D111"/>
  <c r="I87" i="16"/>
  <c r="E86"/>
  <c r="E87"/>
  <c r="C86"/>
  <c r="C87"/>
  <c r="D86"/>
  <c r="D87"/>
  <c r="O45"/>
  <c r="O48"/>
  <c r="O74"/>
  <c r="O75"/>
  <c r="O78"/>
  <c r="O25" i="17"/>
  <c r="R83"/>
  <c r="O98"/>
  <c r="O99"/>
  <c r="O103"/>
  <c r="S10" i="18"/>
  <c r="L85"/>
  <c r="U95"/>
  <c r="U96"/>
  <c r="U98"/>
  <c r="U101"/>
  <c r="B102" i="15"/>
  <c r="K42"/>
  <c r="K40"/>
  <c r="K39"/>
  <c r="K38"/>
  <c r="K37"/>
  <c r="O73" i="14"/>
  <c r="O71"/>
  <c r="O70"/>
  <c r="O69"/>
  <c r="O68"/>
  <c r="O67"/>
  <c r="M58"/>
  <c r="M57"/>
  <c r="M56"/>
  <c r="M55"/>
  <c r="M54"/>
  <c r="M53"/>
  <c r="I103" i="15"/>
  <c r="O91"/>
  <c r="O90"/>
  <c r="N78"/>
  <c r="N77"/>
  <c r="N76"/>
  <c r="N75"/>
  <c r="N74"/>
  <c r="N65"/>
  <c r="N64"/>
  <c r="N63"/>
  <c r="N62"/>
  <c r="N61"/>
  <c r="L53"/>
  <c r="L52"/>
  <c r="L51"/>
  <c r="L50"/>
  <c r="L49"/>
  <c r="O28"/>
  <c r="O27"/>
  <c r="O25"/>
  <c r="O24"/>
  <c r="O23"/>
  <c r="O22"/>
  <c r="P10"/>
  <c r="P9"/>
  <c r="P8"/>
  <c r="P7"/>
  <c r="P6"/>
  <c r="P5"/>
  <c r="G111" i="14"/>
  <c r="F111"/>
  <c r="I111"/>
  <c r="H111"/>
  <c r="O104"/>
  <c r="O103"/>
  <c r="O102"/>
  <c r="O101"/>
  <c r="P87"/>
  <c r="P86"/>
  <c r="P85"/>
  <c r="P84"/>
  <c r="P83"/>
  <c r="P82"/>
  <c r="N43"/>
  <c r="N42"/>
  <c r="N41"/>
  <c r="N40"/>
  <c r="N39"/>
  <c r="N38"/>
  <c r="N37"/>
  <c r="M29"/>
  <c r="M28"/>
  <c r="M27"/>
  <c r="M26"/>
  <c r="M25"/>
  <c r="M24"/>
  <c r="M23"/>
  <c r="M22"/>
  <c r="Q11"/>
  <c r="Q9"/>
  <c r="Q8"/>
  <c r="Q7"/>
  <c r="Q6"/>
  <c r="Q5"/>
  <c r="B98" i="13"/>
  <c r="G99"/>
  <c r="O89"/>
  <c r="O88"/>
  <c r="N76"/>
  <c r="N74"/>
  <c r="N73"/>
  <c r="N72"/>
  <c r="N71"/>
  <c r="Q58"/>
  <c r="Q53"/>
  <c r="Q52"/>
  <c r="O40"/>
  <c r="O39"/>
  <c r="O38"/>
  <c r="O37"/>
  <c r="N27"/>
  <c r="N26"/>
  <c r="N25"/>
  <c r="N24"/>
  <c r="N23"/>
  <c r="N22"/>
  <c r="N21"/>
  <c r="Q11"/>
  <c r="Q9"/>
  <c r="I99"/>
  <c r="Q8"/>
  <c r="Q7"/>
  <c r="Q6"/>
  <c r="Q5"/>
  <c r="G87" i="12"/>
  <c r="I87"/>
  <c r="H87"/>
  <c r="L68"/>
  <c r="L63"/>
  <c r="L64"/>
  <c r="L61"/>
  <c r="J52"/>
  <c r="J53"/>
  <c r="J50"/>
  <c r="M76"/>
  <c r="M77"/>
  <c r="M78"/>
  <c r="M74"/>
  <c r="N80"/>
  <c r="O36"/>
  <c r="O37"/>
  <c r="O41"/>
  <c r="O34"/>
  <c r="M22"/>
  <c r="M23"/>
  <c r="M24"/>
  <c r="M20"/>
  <c r="N27"/>
  <c r="M5"/>
  <c r="M6"/>
  <c r="M7"/>
  <c r="M11"/>
  <c r="M3"/>
  <c r="J85" i="11"/>
  <c r="H85"/>
  <c r="I85"/>
  <c r="G85"/>
  <c r="Q34"/>
  <c r="Q35"/>
  <c r="Q36"/>
  <c r="Q40"/>
  <c r="Q32"/>
  <c r="N72"/>
  <c r="N73"/>
  <c r="N74"/>
  <c r="O77"/>
  <c r="O61"/>
  <c r="O55"/>
  <c r="O56"/>
  <c r="O57"/>
  <c r="O53"/>
  <c r="L5"/>
  <c r="L11"/>
  <c r="L3"/>
  <c r="M18"/>
  <c r="M25"/>
  <c r="N24"/>
  <c r="M16"/>
  <c r="D102" i="15"/>
  <c r="C102"/>
  <c r="G103"/>
  <c r="H103"/>
  <c r="F103"/>
  <c r="J103"/>
  <c r="C103"/>
  <c r="D103"/>
  <c r="E103"/>
  <c r="D111" i="14"/>
  <c r="E111"/>
  <c r="J111"/>
  <c r="C111"/>
  <c r="E98" i="13"/>
  <c r="E99"/>
  <c r="H99"/>
  <c r="F99"/>
  <c r="D98"/>
  <c r="D99"/>
  <c r="J99"/>
  <c r="C98"/>
  <c r="C99"/>
  <c r="O42"/>
  <c r="Q54"/>
  <c r="O86"/>
  <c r="O87"/>
  <c r="P89" i="14"/>
  <c r="O98"/>
  <c r="O99"/>
  <c r="O100"/>
  <c r="O87" i="15"/>
  <c r="O88"/>
  <c r="O89"/>
  <c r="I84" i="10"/>
  <c r="H84"/>
  <c r="G84"/>
  <c r="M36"/>
  <c r="M37"/>
  <c r="M38"/>
  <c r="M40"/>
  <c r="M34"/>
  <c r="O25"/>
  <c r="O19"/>
  <c r="O17"/>
  <c r="J65"/>
  <c r="J66"/>
  <c r="J69"/>
  <c r="J63"/>
  <c r="K69"/>
  <c r="I77"/>
  <c r="I78"/>
  <c r="I75"/>
  <c r="L5"/>
  <c r="L10"/>
  <c r="L3"/>
  <c r="L51"/>
  <c r="L52"/>
  <c r="L53"/>
  <c r="L49"/>
  <c r="B87" i="12"/>
  <c r="N79"/>
  <c r="M68"/>
  <c r="M67"/>
  <c r="M66"/>
  <c r="M65"/>
  <c r="M64"/>
  <c r="M63"/>
  <c r="K55"/>
  <c r="K56"/>
  <c r="K54"/>
  <c r="K53"/>
  <c r="K52"/>
  <c r="I88"/>
  <c r="P40"/>
  <c r="P39"/>
  <c r="P38"/>
  <c r="P37"/>
  <c r="P36"/>
  <c r="N26"/>
  <c r="N25"/>
  <c r="N24"/>
  <c r="N23"/>
  <c r="N22"/>
  <c r="N11"/>
  <c r="N10"/>
  <c r="N9"/>
  <c r="N8"/>
  <c r="N7"/>
  <c r="N6"/>
  <c r="N5"/>
  <c r="B85" i="11"/>
  <c r="I86"/>
  <c r="O78"/>
  <c r="G86"/>
  <c r="O73"/>
  <c r="N70"/>
  <c r="P61"/>
  <c r="P60"/>
  <c r="P59"/>
  <c r="P58"/>
  <c r="P57"/>
  <c r="P56"/>
  <c r="P55"/>
  <c r="R40"/>
  <c r="R39"/>
  <c r="R38"/>
  <c r="R37"/>
  <c r="R36"/>
  <c r="R34"/>
  <c r="N23"/>
  <c r="N22"/>
  <c r="N21"/>
  <c r="N20"/>
  <c r="N19"/>
  <c r="N18"/>
  <c r="M11"/>
  <c r="M10"/>
  <c r="M9"/>
  <c r="M8"/>
  <c r="M7"/>
  <c r="M6"/>
  <c r="M5"/>
  <c r="B84" i="10"/>
  <c r="J80"/>
  <c r="J79"/>
  <c r="K68"/>
  <c r="K67"/>
  <c r="K66"/>
  <c r="K65"/>
  <c r="M54"/>
  <c r="M52"/>
  <c r="M51"/>
  <c r="N40"/>
  <c r="N39"/>
  <c r="N38"/>
  <c r="N37"/>
  <c r="N36"/>
  <c r="P25"/>
  <c r="P24"/>
  <c r="P23"/>
  <c r="P22"/>
  <c r="P21"/>
  <c r="P20"/>
  <c r="P19"/>
  <c r="M10"/>
  <c r="M9"/>
  <c r="M8"/>
  <c r="M7"/>
  <c r="M6"/>
  <c r="M5"/>
  <c r="H84" i="9"/>
  <c r="O31"/>
  <c r="O32"/>
  <c r="O37"/>
  <c r="I83"/>
  <c r="H83"/>
  <c r="G83"/>
  <c r="F83"/>
  <c r="O29"/>
  <c r="M70"/>
  <c r="M71"/>
  <c r="M72"/>
  <c r="M68"/>
  <c r="K58"/>
  <c r="K59"/>
  <c r="K56"/>
  <c r="J47"/>
  <c r="J45"/>
  <c r="I84" i="8"/>
  <c r="H84"/>
  <c r="G84"/>
  <c r="F84"/>
  <c r="C84"/>
  <c r="K19" i="9"/>
  <c r="K20"/>
  <c r="K21"/>
  <c r="K17"/>
  <c r="J3"/>
  <c r="J5"/>
  <c r="J6"/>
  <c r="J7"/>
  <c r="N37" i="8"/>
  <c r="N38"/>
  <c r="N39"/>
  <c r="N35"/>
  <c r="P34" i="9"/>
  <c r="N73"/>
  <c r="L22"/>
  <c r="K8"/>
  <c r="O71" i="8"/>
  <c r="O73"/>
  <c r="O74"/>
  <c r="O75"/>
  <c r="O69"/>
  <c r="N55"/>
  <c r="N57"/>
  <c r="N58"/>
  <c r="N53"/>
  <c r="O42"/>
  <c r="O60"/>
  <c r="M11"/>
  <c r="M5"/>
  <c r="M6"/>
  <c r="M3"/>
  <c r="N26"/>
  <c r="N20"/>
  <c r="N22"/>
  <c r="O24"/>
  <c r="N18"/>
  <c r="I96" i="7"/>
  <c r="H96"/>
  <c r="G96"/>
  <c r="F96"/>
  <c r="E96"/>
  <c r="D96"/>
  <c r="C96"/>
  <c r="B96"/>
  <c r="P41"/>
  <c r="P35"/>
  <c r="P36"/>
  <c r="P37"/>
  <c r="P33"/>
  <c r="Q40"/>
  <c r="M85"/>
  <c r="M86"/>
  <c r="M83"/>
  <c r="N90"/>
  <c r="J74"/>
  <c r="J75"/>
  <c r="J72"/>
  <c r="K78"/>
  <c r="K77"/>
  <c r="K76"/>
  <c r="K75"/>
  <c r="K74"/>
  <c r="N24"/>
  <c r="N18"/>
  <c r="N19"/>
  <c r="O22"/>
  <c r="O23"/>
  <c r="N16"/>
  <c r="K5"/>
  <c r="K11"/>
  <c r="K3"/>
  <c r="L10"/>
  <c r="Q54"/>
  <c r="Q55"/>
  <c r="Q59"/>
  <c r="Q56"/>
  <c r="R58"/>
  <c r="F88" i="12"/>
  <c r="G88"/>
  <c r="H88"/>
  <c r="H86" i="11"/>
  <c r="C87" i="12"/>
  <c r="C88"/>
  <c r="D87"/>
  <c r="D88"/>
  <c r="E87"/>
  <c r="E88"/>
  <c r="F85" i="11"/>
  <c r="F86"/>
  <c r="E85"/>
  <c r="E86"/>
  <c r="J86"/>
  <c r="D85"/>
  <c r="D86"/>
  <c r="C85"/>
  <c r="C86"/>
  <c r="F85" i="10"/>
  <c r="G85"/>
  <c r="H85"/>
  <c r="E84"/>
  <c r="E85"/>
  <c r="D84"/>
  <c r="D85"/>
  <c r="I85"/>
  <c r="C84"/>
  <c r="C85"/>
  <c r="M53"/>
  <c r="M55"/>
  <c r="J77"/>
  <c r="J78"/>
  <c r="N25" i="11"/>
  <c r="R35"/>
  <c r="O72"/>
  <c r="O74"/>
  <c r="O75"/>
  <c r="O76"/>
  <c r="P41" i="12"/>
  <c r="N76"/>
  <c r="N77"/>
  <c r="N78"/>
  <c r="Q52" i="7"/>
  <c r="B83" i="9"/>
  <c r="N74"/>
  <c r="L63"/>
  <c r="L62"/>
  <c r="L61"/>
  <c r="L60"/>
  <c r="L59"/>
  <c r="L58"/>
  <c r="K51"/>
  <c r="K50"/>
  <c r="K49"/>
  <c r="K48"/>
  <c r="K47"/>
  <c r="P37"/>
  <c r="P36"/>
  <c r="P35"/>
  <c r="P33"/>
  <c r="P32"/>
  <c r="P31"/>
  <c r="L23"/>
  <c r="L21"/>
  <c r="L20"/>
  <c r="L19"/>
  <c r="K11"/>
  <c r="K10"/>
  <c r="K9"/>
  <c r="K7"/>
  <c r="K6"/>
  <c r="K5"/>
  <c r="B84" i="8"/>
  <c r="P75"/>
  <c r="O61"/>
  <c r="O59"/>
  <c r="O58"/>
  <c r="O57"/>
  <c r="O56"/>
  <c r="O55"/>
  <c r="O43"/>
  <c r="O41"/>
  <c r="O40"/>
  <c r="O39"/>
  <c r="O38"/>
  <c r="O37"/>
  <c r="O26"/>
  <c r="O25"/>
  <c r="O23"/>
  <c r="O22"/>
  <c r="O21"/>
  <c r="O20"/>
  <c r="N11"/>
  <c r="N10"/>
  <c r="N9"/>
  <c r="N8"/>
  <c r="N7"/>
  <c r="N6"/>
  <c r="N5"/>
  <c r="G97" i="7"/>
  <c r="N88"/>
  <c r="R59"/>
  <c r="R57"/>
  <c r="R56"/>
  <c r="R55"/>
  <c r="R54"/>
  <c r="Q41"/>
  <c r="Q39"/>
  <c r="Q38"/>
  <c r="Q37"/>
  <c r="Q36"/>
  <c r="Q35"/>
  <c r="O24"/>
  <c r="O21"/>
  <c r="O20"/>
  <c r="O19"/>
  <c r="O18"/>
  <c r="L11"/>
  <c r="L9"/>
  <c r="L8"/>
  <c r="L7"/>
  <c r="L6"/>
  <c r="L5"/>
  <c r="H85" i="5"/>
  <c r="G85"/>
  <c r="F85"/>
  <c r="E85"/>
  <c r="D85"/>
  <c r="C85"/>
  <c r="B85"/>
  <c r="M70"/>
  <c r="M77"/>
  <c r="M72"/>
  <c r="M73"/>
  <c r="M74"/>
  <c r="M75"/>
  <c r="N55"/>
  <c r="N56"/>
  <c r="N57"/>
  <c r="N60"/>
  <c r="N53"/>
  <c r="K41"/>
  <c r="K42"/>
  <c r="K46"/>
  <c r="L45"/>
  <c r="K39"/>
  <c r="O27"/>
  <c r="O22"/>
  <c r="O23"/>
  <c r="O24"/>
  <c r="O25"/>
  <c r="O20"/>
  <c r="P11"/>
  <c r="P5"/>
  <c r="P6"/>
  <c r="P7"/>
  <c r="Q10"/>
  <c r="F84" i="9"/>
  <c r="G84"/>
  <c r="H85" i="8"/>
  <c r="G85"/>
  <c r="F97" i="7"/>
  <c r="I84" i="9"/>
  <c r="C83"/>
  <c r="C84"/>
  <c r="D83"/>
  <c r="D84"/>
  <c r="E83"/>
  <c r="E84"/>
  <c r="F85" i="8"/>
  <c r="C85"/>
  <c r="D84"/>
  <c r="D85"/>
  <c r="E84"/>
  <c r="E85"/>
  <c r="I85"/>
  <c r="D97" i="7"/>
  <c r="E97"/>
  <c r="C97"/>
  <c r="I97"/>
  <c r="N85"/>
  <c r="N86"/>
  <c r="N87"/>
  <c r="N89"/>
  <c r="H97"/>
  <c r="N91"/>
  <c r="P71" i="8"/>
  <c r="P72"/>
  <c r="P73"/>
  <c r="P74"/>
  <c r="P76"/>
  <c r="N70" i="9"/>
  <c r="N71"/>
  <c r="N72"/>
  <c r="N75"/>
  <c r="Q9" i="5"/>
  <c r="P3"/>
  <c r="H84" i="6"/>
  <c r="G84"/>
  <c r="F84"/>
  <c r="E84"/>
  <c r="D84"/>
  <c r="C84"/>
  <c r="B84"/>
  <c r="O73"/>
  <c r="O68"/>
  <c r="O69"/>
  <c r="O70"/>
  <c r="O72"/>
  <c r="O66"/>
  <c r="N56"/>
  <c r="N51"/>
  <c r="N52"/>
  <c r="N53"/>
  <c r="N49"/>
  <c r="O38"/>
  <c r="O33"/>
  <c r="O34"/>
  <c r="O35"/>
  <c r="O31"/>
  <c r="L17"/>
  <c r="L18"/>
  <c r="L19"/>
  <c r="L21"/>
  <c r="L15"/>
  <c r="K5"/>
  <c r="K10"/>
  <c r="K3"/>
  <c r="L9"/>
  <c r="G87" i="1"/>
  <c r="F87"/>
  <c r="H87"/>
  <c r="E87"/>
  <c r="D87"/>
  <c r="C87"/>
  <c r="B87"/>
  <c r="P71"/>
  <c r="P72"/>
  <c r="P73"/>
  <c r="P76"/>
  <c r="P69"/>
  <c r="L58"/>
  <c r="L59"/>
  <c r="L63"/>
  <c r="L56"/>
  <c r="K45"/>
  <c r="K46"/>
  <c r="K47"/>
  <c r="K43"/>
  <c r="M30"/>
  <c r="M31"/>
  <c r="M32"/>
  <c r="M35"/>
  <c r="N33"/>
  <c r="M28"/>
  <c r="K18"/>
  <c r="K19"/>
  <c r="K20"/>
  <c r="K16"/>
  <c r="J5"/>
  <c r="J6"/>
  <c r="J7"/>
  <c r="K8"/>
  <c r="J3"/>
  <c r="P73" i="6"/>
  <c r="P72"/>
  <c r="P71"/>
  <c r="P70"/>
  <c r="P69"/>
  <c r="P68"/>
  <c r="O56"/>
  <c r="O55"/>
  <c r="O54"/>
  <c r="O53"/>
  <c r="O52"/>
  <c r="O51"/>
  <c r="P38"/>
  <c r="P37"/>
  <c r="P36"/>
  <c r="P35"/>
  <c r="P34"/>
  <c r="P33"/>
  <c r="M21"/>
  <c r="M20"/>
  <c r="E85"/>
  <c r="M18"/>
  <c r="M17"/>
  <c r="L10"/>
  <c r="F85"/>
  <c r="L7"/>
  <c r="L6"/>
  <c r="L5"/>
  <c r="N77" i="5"/>
  <c r="N76"/>
  <c r="N75"/>
  <c r="N74"/>
  <c r="N73"/>
  <c r="N72"/>
  <c r="O60"/>
  <c r="O59"/>
  <c r="O58"/>
  <c r="O57"/>
  <c r="O56"/>
  <c r="O55"/>
  <c r="P27"/>
  <c r="P26"/>
  <c r="P25"/>
  <c r="P24"/>
  <c r="P23"/>
  <c r="P22"/>
  <c r="L46"/>
  <c r="L44"/>
  <c r="E86"/>
  <c r="L42"/>
  <c r="L41"/>
  <c r="Q11"/>
  <c r="F86"/>
  <c r="Q7"/>
  <c r="Q6"/>
  <c r="Q5"/>
  <c r="Q76" i="1"/>
  <c r="Q75"/>
  <c r="Q74"/>
  <c r="Q73"/>
  <c r="Q72"/>
  <c r="Q71"/>
  <c r="M63"/>
  <c r="M62"/>
  <c r="M61"/>
  <c r="M60"/>
  <c r="M59"/>
  <c r="M58"/>
  <c r="L22"/>
  <c r="L21"/>
  <c r="L20"/>
  <c r="L19"/>
  <c r="L18"/>
  <c r="L48"/>
  <c r="L49"/>
  <c r="E88"/>
  <c r="C88"/>
  <c r="D88"/>
  <c r="H88"/>
  <c r="F88"/>
  <c r="K9"/>
  <c r="G88"/>
  <c r="L50"/>
  <c r="L47"/>
  <c r="L46"/>
  <c r="L45"/>
  <c r="N35"/>
  <c r="N34"/>
  <c r="N32"/>
  <c r="N31"/>
  <c r="N30"/>
  <c r="K7"/>
  <c r="K5"/>
  <c r="K6"/>
  <c r="K10"/>
  <c r="C86" i="5"/>
  <c r="D86"/>
  <c r="H86"/>
  <c r="G86"/>
  <c r="C85" i="6"/>
  <c r="D85"/>
  <c r="H85"/>
  <c r="G85"/>
  <c r="L8"/>
  <c r="M19"/>
  <c r="Q8" i="5"/>
  <c r="L43"/>
</calcChain>
</file>

<file path=xl/sharedStrings.xml><?xml version="1.0" encoding="utf-8"?>
<sst xmlns="http://schemas.openxmlformats.org/spreadsheetml/2006/main" count="5411" uniqueCount="1144">
  <si>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</si>
  <si>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</si>
  <si>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</si>
  <si>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</si>
  <si>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</si>
  <si>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</si>
  <si>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</si>
  <si>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</si>
  <si>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</si>
  <si>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</si>
  <si>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</si>
  <si>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</si>
  <si>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</si>
  <si>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</si>
  <si>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</si>
  <si>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</si>
  <si>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</si>
  <si>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</si>
  <si>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</si>
  <si>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Total</t>
  </si>
  <si>
    <t>-</t>
  </si>
  <si>
    <t>GP</t>
  </si>
  <si>
    <t>Jim Daly*</t>
  </si>
  <si>
    <t>Vote</t>
  </si>
  <si>
    <t>Area</t>
  </si>
  <si>
    <t>Year</t>
  </si>
  <si>
    <t>Quota</t>
  </si>
  <si>
    <t>Quota level</t>
  </si>
  <si>
    <t>CnaT</t>
  </si>
  <si>
    <t>CnaP</t>
  </si>
  <si>
    <t>PD</t>
  </si>
  <si>
    <t>WP</t>
  </si>
  <si>
    <t>2009 (5 June) - Ballybrack (5 seats) Total Electorate: 25,994 Total Poll: 14,154 Valid Poll: 14,010 Quota: 2,336</t>
  </si>
  <si>
    <t>Gareth Crowe*</t>
  </si>
  <si>
    <t>Larry Lohan</t>
  </si>
  <si>
    <t>Maria Bailey*</t>
  </si>
  <si>
    <t>Donal Marren*</t>
  </si>
  <si>
    <t>Denis O'Callaghan*</t>
  </si>
  <si>
    <t>Tom Kivlehan*</t>
  </si>
  <si>
    <t>Hugh Lewis</t>
  </si>
  <si>
    <t>PBP</t>
  </si>
  <si>
    <t>Carrie Smyth*</t>
  </si>
  <si>
    <t>Eoin Ó Broin</t>
  </si>
  <si>
    <t>Blackrock (4 seats) Total Electorate: 21,619 Total Poll: 12,179 Valid Poll: 12,092 Quota: 2,419</t>
  </si>
  <si>
    <t>Marie Baker*</t>
  </si>
  <si>
    <t>Barry Ward</t>
  </si>
  <si>
    <t>Barry Conway*</t>
  </si>
  <si>
    <t>Niamh Bhreathnach*</t>
  </si>
  <si>
    <t>Fred Gilligan</t>
  </si>
  <si>
    <t>Victor Boyhan</t>
  </si>
  <si>
    <t>Ronan Farren</t>
  </si>
  <si>
    <t>Ruairi Holohan*</t>
  </si>
  <si>
    <t>Dundrum (5 seats) Total Electorate: 29,556 Total Poll: 17,635 Valid Poll: 17,408 Quota: 2,902</t>
  </si>
  <si>
    <t>Aoife Brennan</t>
  </si>
  <si>
    <t>Tony Kelly</t>
  </si>
  <si>
    <t>Pat Hand*</t>
  </si>
  <si>
    <t>Jim O'Leary*</t>
  </si>
  <si>
    <t>Seamas O'Neill</t>
  </si>
  <si>
    <t>Terence Corish*</t>
  </si>
  <si>
    <t>Tony Fox*</t>
  </si>
  <si>
    <t>Stephen O'Shea</t>
  </si>
  <si>
    <t>Veronica O'Doherty</t>
  </si>
  <si>
    <t>Aidan Culhane*</t>
  </si>
  <si>
    <t>Oonagh O'Reilly</t>
  </si>
  <si>
    <t>Glencullen-Sandyford (4 seats) Total Electorate: 20,556 Total Poll: 10,957 Valid Poll: 10,848 Quota: 2,170</t>
  </si>
  <si>
    <t>Tom Joyce*</t>
  </si>
  <si>
    <t>Raymond Whitehead</t>
  </si>
  <si>
    <t>Lettie McCarthy*</t>
  </si>
  <si>
    <t>Shaun Tracey</t>
  </si>
  <si>
    <t>Neale Richmond</t>
  </si>
  <si>
    <t>Aidan O'Sullivan</t>
  </si>
  <si>
    <t>Tom Murphy</t>
  </si>
  <si>
    <t>John Byrne*</t>
  </si>
  <si>
    <t>Adrianne Wyse</t>
  </si>
  <si>
    <t>Stillorgan (4 seats) Total Electorate: 19,760 Total Poll: 11,515 Valid Poll: 11,416 Quota: 2,284</t>
  </si>
  <si>
    <t>Gerry Horkan*</t>
  </si>
  <si>
    <t>Barry Saul</t>
  </si>
  <si>
    <t>Louise Cosgrave*</t>
  </si>
  <si>
    <t>Richard Humphreys</t>
  </si>
  <si>
    <t>Seamus MacFlionn</t>
  </si>
  <si>
    <t>Gearoid O'Keeffe</t>
  </si>
  <si>
    <t>Liam Dockery</t>
  </si>
  <si>
    <t>Meabh Cody</t>
  </si>
  <si>
    <t>Caitriona Lawlor</t>
  </si>
  <si>
    <t>Dun Laoghaire (6 seats) Total Electorate: 32,655 Total Poll: 18,130 Valid Poll: 17,934 Quota: 2,563</t>
  </si>
  <si>
    <t>Cormac Devlin*</t>
  </si>
  <si>
    <t>Peter O'Brien</t>
  </si>
  <si>
    <t>James Coyle</t>
  </si>
  <si>
    <t>Angela Timlin</t>
  </si>
  <si>
    <t>Jane Dillon-Byrne*</t>
  </si>
  <si>
    <t>John Bailey*</t>
  </si>
  <si>
    <t>Mary Mitchell-O'Connor*</t>
  </si>
  <si>
    <t>Tom O'Higgins*</t>
  </si>
  <si>
    <t>Shane O'Neill</t>
  </si>
  <si>
    <t>Gene Feighery*</t>
  </si>
  <si>
    <t>Richard Boyd-Barrett</t>
  </si>
  <si>
    <t>Trevor Patten</t>
  </si>
  <si>
    <t>Brigid Timmons</t>
  </si>
  <si>
    <t>Stephen Fitzpatrick</t>
  </si>
  <si>
    <t>Brian McNally</t>
  </si>
  <si>
    <t>2009 (5 June) - Castleknock (4 seats) Total Electorate: 29,622 Total Poll: 13,628 Valid Poll: 13,490 Quota: 2,699</t>
  </si>
  <si>
    <t>Eithne Loftus*</t>
  </si>
  <si>
    <t>Mags Murray*</t>
  </si>
  <si>
    <t>Peggy Hamill*</t>
  </si>
  <si>
    <t>Howard Mahony</t>
  </si>
  <si>
    <t>Roderic O'Gorman</t>
  </si>
  <si>
    <t>Joe Higgins</t>
  </si>
  <si>
    <t>Soc</t>
  </si>
  <si>
    <t>Charlie Maples</t>
  </si>
  <si>
    <t>Zahid Hussain</t>
  </si>
  <si>
    <t>Mulhuddart (5 seats) Total Electorate: 30,735 Total Poll: 13,427 Valid Poll: 13,255 Quota: 2,210</t>
  </si>
  <si>
    <t>David McGuinness</t>
  </si>
  <si>
    <t>Niamh Moran</t>
  </si>
  <si>
    <t>Idowu Sulyman-Olafimihan</t>
  </si>
  <si>
    <t>Kieran Dennison</t>
  </si>
  <si>
    <t>Adeola Ogunsina</t>
  </si>
  <si>
    <t>Ruth Coppinger*</t>
  </si>
  <si>
    <t>Denis Keane</t>
  </si>
  <si>
    <t>Maria McGrail</t>
  </si>
  <si>
    <t>Iggy Okafor</t>
  </si>
  <si>
    <t>Patrick Nulty</t>
  </si>
  <si>
    <t>Michael O'Donovan*</t>
  </si>
  <si>
    <t>Paul Donnelly*</t>
  </si>
  <si>
    <t>Swords (5 seats) Total Electorate: 35,652 Total Poll: 15,742 Valid Poll: 15,585 Quota: 2,598</t>
  </si>
  <si>
    <t>Darragh Butler*</t>
  </si>
  <si>
    <t>John Hennessy</t>
  </si>
  <si>
    <t>Pat Ward</t>
  </si>
  <si>
    <t>Anne Devitt*</t>
  </si>
  <si>
    <t>Bob Dowling</t>
  </si>
  <si>
    <t>James Lawless</t>
  </si>
  <si>
    <t>Ken Duffy</t>
  </si>
  <si>
    <t>Clare Daly*</t>
  </si>
  <si>
    <t>Carmel Diviney</t>
  </si>
  <si>
    <t>John McCamley</t>
  </si>
  <si>
    <t>Joe O'Neill</t>
  </si>
  <si>
    <t>Tom Kelleher*</t>
  </si>
  <si>
    <t>Gerry McGuire*</t>
  </si>
  <si>
    <t>Conor Kelly</t>
  </si>
  <si>
    <t>Balbriggan (5 seats) Total Electorate: 36,258 Total Poll: 17,949 Valid Poll: 17,701 Quota: 2,951</t>
  </si>
  <si>
    <t>Dermot Murray</t>
  </si>
  <si>
    <t>Stephen O'Connell</t>
  </si>
  <si>
    <t>Tom O'Leary</t>
  </si>
  <si>
    <t>Larry Dunne</t>
  </si>
  <si>
    <t>Joe Corr*</t>
  </si>
  <si>
    <t>May McKeon*</t>
  </si>
  <si>
    <t>David O'Connor*</t>
  </si>
  <si>
    <t>Sean Brown</t>
  </si>
  <si>
    <t>Ciaran Byrne*</t>
  </si>
  <si>
    <t>Ken Farrell</t>
  </si>
  <si>
    <t>Fergus Byrne</t>
  </si>
  <si>
    <t>Grainne Kilmurry</t>
  </si>
  <si>
    <t>Terry Kelleher</t>
  </si>
  <si>
    <t>Howth-Malahide (5 seats) Total Electorate: 41,843 Total Poll: 22,452 Valid Poll: 22,251 Quota: 3,709</t>
  </si>
  <si>
    <t>Eoghan O'Brien*</t>
  </si>
  <si>
    <t>Averil Power</t>
  </si>
  <si>
    <t>Alan Farrell*</t>
  </si>
  <si>
    <t>Joan Maher*</t>
  </si>
  <si>
    <t>Peter Coyle*</t>
  </si>
  <si>
    <t>David Healy*</t>
  </si>
  <si>
    <t>Robert Kelly*</t>
  </si>
  <si>
    <t>Cian O'Callaghan</t>
  </si>
  <si>
    <t>Colm Ó Murchadha</t>
  </si>
  <si>
    <t>Brian Greene</t>
  </si>
  <si>
    <t>Jimmy Guerin</t>
  </si>
  <si>
    <t>Pat Joyce</t>
  </si>
  <si>
    <t>Eamonn McKiernan</t>
  </si>
  <si>
    <t>John Seery</t>
  </si>
  <si>
    <t>John Wolfe</t>
  </si>
  <si>
    <t>SSPS</t>
  </si>
  <si>
    <t>2009 (5 June) - Lucan (5 seats) Total Electorate: 30,945 Total Poll: 15,603 Valid Poll: 15,425 Quota: 2,571</t>
  </si>
  <si>
    <t>Shaheen Ahmed</t>
  </si>
  <si>
    <t>Edno Cooley</t>
  </si>
  <si>
    <t>Derek Keating*</t>
  </si>
  <si>
    <t>William Lavelle</t>
  </si>
  <si>
    <t>Shane Moynihan</t>
  </si>
  <si>
    <t>Kevin Farrell</t>
  </si>
  <si>
    <t>Gus O'Connell*</t>
  </si>
  <si>
    <t>Tom Dowling</t>
  </si>
  <si>
    <t>Jim Doyle</t>
  </si>
  <si>
    <t>Caitriona Jones*</t>
  </si>
  <si>
    <t>Eamon Tuffy*</t>
  </si>
  <si>
    <t>Robert Ballesty</t>
  </si>
  <si>
    <t>Michael Finnegan</t>
  </si>
  <si>
    <t>Clondalkin (6 seats) Total Electorate: 36,859 Total Poll: 15,929 Valid Poll: 15,634 Quota: 2,234</t>
  </si>
  <si>
    <t>Trevor Gilligan*</t>
  </si>
  <si>
    <t>Thyes Kavanagh</t>
  </si>
  <si>
    <t>Tony Delaney*</t>
  </si>
  <si>
    <t>Therese Ridge*</t>
  </si>
  <si>
    <t>Dorothy Corrigan*</t>
  </si>
  <si>
    <t>Robert Dowds*</t>
  </si>
  <si>
    <t>Gino Kenny</t>
  </si>
  <si>
    <t>Margaret McCarthy</t>
  </si>
  <si>
    <t>Matthew McDonagh</t>
  </si>
  <si>
    <t>John McCann</t>
  </si>
  <si>
    <t>Jim McHale</t>
  </si>
  <si>
    <t>Gbemi Shogunle</t>
  </si>
  <si>
    <t>Mark Ward</t>
  </si>
  <si>
    <t>Shane O'Connor*</t>
  </si>
  <si>
    <t>Rathfarnham (4 seats) Total Electorate: 32,136 Total Poll: 17,514 Valid Poll: 17,324 Quota: 3,465</t>
  </si>
  <si>
    <t>John Lahart*</t>
  </si>
  <si>
    <t>John Phelan</t>
  </si>
  <si>
    <t>Emma Coburn</t>
  </si>
  <si>
    <t>Cait Keane*</t>
  </si>
  <si>
    <t>Elizabeth Davidson</t>
  </si>
  <si>
    <t>Gerard Dolan</t>
  </si>
  <si>
    <t>Vincent Kenny</t>
  </si>
  <si>
    <t>Frank O'Gorman</t>
  </si>
  <si>
    <t>Paddy Cosgrave*</t>
  </si>
  <si>
    <t>Sorcha Níc Cormaic</t>
  </si>
  <si>
    <t>Tallaght Central (6 seats) Total Electorate: 44,783 Total Poll: 24,026 Valid Poll: 23,768 Quota: 3,396</t>
  </si>
  <si>
    <t>Eamonn Walsh</t>
  </si>
  <si>
    <t>Joe Neville*</t>
  </si>
  <si>
    <t>Colm Brophy*</t>
  </si>
  <si>
    <t>Gay Kelly</t>
  </si>
  <si>
    <t>Mick Duff</t>
  </si>
  <si>
    <t>Pamela Kearns</t>
  </si>
  <si>
    <t>Arthur Doohan</t>
  </si>
  <si>
    <t>Dermot Looney</t>
  </si>
  <si>
    <t>Sean Crowe*</t>
  </si>
  <si>
    <t>Pat Dunne</t>
  </si>
  <si>
    <t>David Hutchinson Edgar</t>
  </si>
  <si>
    <t>Ray Kelly</t>
  </si>
  <si>
    <t>Mick Murphy*</t>
  </si>
  <si>
    <t>Tallaght South (5 seats) Total Electorate: 35,234 Total Poll: 15,437 Valid Poll: 15,220 Quota: 2,537</t>
  </si>
  <si>
    <t>John Hannon*</t>
  </si>
  <si>
    <t>Tara De Buitléar</t>
  </si>
  <si>
    <t>Dermot Flanagan</t>
  </si>
  <si>
    <t>Marie Corr*</t>
  </si>
  <si>
    <t>Brian Lawlor</t>
  </si>
  <si>
    <t>Karen Warren*</t>
  </si>
  <si>
    <t>Sinead Cooke</t>
  </si>
  <si>
    <t>Tendai Madondo</t>
  </si>
  <si>
    <t>Baby Pereppadan</t>
  </si>
  <si>
    <t>Eamonn Maloney*</t>
  </si>
  <si>
    <t>Cathal King*</t>
  </si>
  <si>
    <t>Fingal</t>
  </si>
  <si>
    <t>South Dublin</t>
  </si>
  <si>
    <t>Dun Laoghaire-Rathdown</t>
  </si>
  <si>
    <t xml:space="preserve"> </t>
  </si>
  <si>
    <t>Balbriggan (4 seats) Total Electorate: 26,010 Total Poll: 14,662 Valid Poll: 14,314 Quota: 2,863</t>
  </si>
  <si>
    <t>Tom O'Leary*</t>
  </si>
  <si>
    <t>Joe Corr</t>
  </si>
  <si>
    <t>May McKeon</t>
  </si>
  <si>
    <t>Kevin Thorp</t>
  </si>
  <si>
    <t>James Archer</t>
  </si>
  <si>
    <t>Dermot Murray*</t>
  </si>
  <si>
    <t>Tadhg Kenehan</t>
  </si>
  <si>
    <t>Stephanie Davis-O'Brien</t>
  </si>
  <si>
    <t>Liam Butterly</t>
  </si>
  <si>
    <t>Gerry Gaughan</t>
  </si>
  <si>
    <t>Monica Harford</t>
  </si>
  <si>
    <t>Paddy Boyle</t>
  </si>
  <si>
    <t>Tommy Ryan</t>
  </si>
  <si>
    <t>Mags Murray</t>
  </si>
  <si>
    <t>Brenda Clifford</t>
  </si>
  <si>
    <t>Susan Fitzgerald</t>
  </si>
  <si>
    <t>Leo Varadkar*</t>
  </si>
  <si>
    <t>Marian Quinlan</t>
  </si>
  <si>
    <t>Luke Stynes</t>
  </si>
  <si>
    <t>Fergal Molloy</t>
  </si>
  <si>
    <t>2004 (11 June) - Castleknock (4 seats) Total Electorate: 23,677 Total Poll: 13,060 Valid Poll: 12,811 Quota: 2,563</t>
  </si>
  <si>
    <t>Mulhuddart (4 seats) Total Electorate: 25,860 Total Poll: 12,925 Valid Poll: 12,552 Quota: 2,511</t>
  </si>
  <si>
    <t>Helen Redwood</t>
  </si>
  <si>
    <t>Jonathan Rainey*</t>
  </si>
  <si>
    <t>Martin Christie</t>
  </si>
  <si>
    <t>Margaret Richardson*</t>
  </si>
  <si>
    <t>Gary O'Connor</t>
  </si>
  <si>
    <t>Michael Smyth</t>
  </si>
  <si>
    <t>Ben Howe</t>
  </si>
  <si>
    <t>Robert Bonnie</t>
  </si>
  <si>
    <t>Paul Hand</t>
  </si>
  <si>
    <t>Gerry Lynam*</t>
  </si>
  <si>
    <t>Gerard Murray</t>
  </si>
  <si>
    <t>Malahide (4 seats) Total Electorate: 21,109 Total Poll: 12,095 Valid Poll: 11,777 Quota: 2,356</t>
  </si>
  <si>
    <t>Alan Farrell</t>
  </si>
  <si>
    <t>Paul Cuddy</t>
  </si>
  <si>
    <t>Darragh O'Brien*</t>
  </si>
  <si>
    <t>Barbara Foley</t>
  </si>
  <si>
    <t>Nicola Byrne</t>
  </si>
  <si>
    <t>Howth (3 seats) Total Electorate: 17,708 Total Poll: 10,343 Valid Poll: 10,131 Quota: 2,533</t>
  </si>
  <si>
    <t>Vivienne Kelly</t>
  </si>
  <si>
    <t>Michael J. Cosgrave*</t>
  </si>
  <si>
    <t>Liam Creaven*</t>
  </si>
  <si>
    <t>Noelle Ryan</t>
  </si>
  <si>
    <t>Brian Geoghegan</t>
  </si>
  <si>
    <t>Geraldine Wall</t>
  </si>
  <si>
    <t>David Healy</t>
  </si>
  <si>
    <t>Bernadette Quinn</t>
  </si>
  <si>
    <t>Swords (5 seats) Total Electorate: 30,694 Total Poll: 17,048 Valid Poll: 16,731 Quota: 2,789</t>
  </si>
  <si>
    <t>Michael Kennedy*</t>
  </si>
  <si>
    <t>Sean Dolphin*</t>
  </si>
  <si>
    <t>Martina Coombes</t>
  </si>
  <si>
    <t>Matt McCormack</t>
  </si>
  <si>
    <t>Michael O'Brien</t>
  </si>
  <si>
    <t>Mary O'Donnell</t>
  </si>
  <si>
    <t>Emer Kernan</t>
  </si>
  <si>
    <t>Clondalkin (5 seats) Total Electorate: 30,642 Total Poll: 14,527 Valid Poll: 14,183 Quota: 2,364</t>
  </si>
  <si>
    <t>Trevor Gilligan</t>
  </si>
  <si>
    <t>Shane O'Connor</t>
  </si>
  <si>
    <t>Sheila O'Brien*</t>
  </si>
  <si>
    <t>Marie Grogan</t>
  </si>
  <si>
    <t>Neil O'Neill</t>
  </si>
  <si>
    <t>Dorothy Corrigan</t>
  </si>
  <si>
    <t>Colm Tyndall*</t>
  </si>
  <si>
    <t>Noel Kelly</t>
  </si>
  <si>
    <t>Colm McGrath*</t>
  </si>
  <si>
    <t>Ray Verso</t>
  </si>
  <si>
    <t>2004 (11 June) - Lucan (4 seats) Total Electorate: 32,269 Total Poll: 17,232 Valid Poll: 16,921 Quota: 3,385</t>
  </si>
  <si>
    <t>Gus O'Connell</t>
  </si>
  <si>
    <t>Fintan McCarthy*</t>
  </si>
  <si>
    <t>Joe MacEnrí</t>
  </si>
  <si>
    <t>Peter Brady</t>
  </si>
  <si>
    <t>Edward O'Brien</t>
  </si>
  <si>
    <t>Deirdre Doherty-Ryan*</t>
  </si>
  <si>
    <t>Jeff Aherne</t>
  </si>
  <si>
    <t>Feilim MacCríosta</t>
  </si>
  <si>
    <t>Des Kelly</t>
  </si>
  <si>
    <t>7th</t>
  </si>
  <si>
    <t>Tallaght Central (5 seats) Total Electorate: 29,520 Total Poll: 16,057 Valid Poll: 15,557 Quota: 2,593</t>
  </si>
  <si>
    <t>Eamon Maloney</t>
  </si>
  <si>
    <t>Karen Warren</t>
  </si>
  <si>
    <t>Mark Daly*</t>
  </si>
  <si>
    <t>Denis Mackin</t>
  </si>
  <si>
    <t>Don Tipping*</t>
  </si>
  <si>
    <t>Mick Murphy</t>
  </si>
  <si>
    <t>Joe Neville</t>
  </si>
  <si>
    <t>Margaret Farrell</t>
  </si>
  <si>
    <t>Roderick Smyth</t>
  </si>
  <si>
    <t>Sean Ó Cadhla</t>
  </si>
  <si>
    <t>Paula McCormack</t>
  </si>
  <si>
    <t>Shuna Hutchinson-Edgar</t>
  </si>
  <si>
    <t>Tallaght South (5 seats) Total Electorate: 34,251 Total Poll: 15,719 Valid Poll: 15,181 Quota: 2,531</t>
  </si>
  <si>
    <t>Caitriona Jones</t>
  </si>
  <si>
    <t>Paul Ringland*</t>
  </si>
  <si>
    <t>Marie Corr</t>
  </si>
  <si>
    <t>Mark Luttrell</t>
  </si>
  <si>
    <t>Brendan Ferron</t>
  </si>
  <si>
    <t>Rita Hayes</t>
  </si>
  <si>
    <t>Mick Billane*</t>
  </si>
  <si>
    <t>Ambrose Shields</t>
  </si>
  <si>
    <t>Terenure-Rathfarnham (7 seats) Total Electorate: 53,201 Total Poll: 29,866 Valid Poll: 29,139 Quota: 3,643</t>
  </si>
  <si>
    <t>Eamon Walsh*</t>
  </si>
  <si>
    <t>Stanley Laing*</t>
  </si>
  <si>
    <t>Brian Tector</t>
  </si>
  <si>
    <t>Tony McDermott</t>
  </si>
  <si>
    <t>Máire Ardagh*</t>
  </si>
  <si>
    <t>Alex White</t>
  </si>
  <si>
    <t>Michael McLoughlin</t>
  </si>
  <si>
    <t>Vincent Kenny*</t>
  </si>
  <si>
    <t>Alan Foran</t>
  </si>
  <si>
    <t>Paddy Cosgrave</t>
  </si>
  <si>
    <t>SWP</t>
  </si>
  <si>
    <t>Maria Bailey</t>
  </si>
  <si>
    <t>Mazhar Ali Bari</t>
  </si>
  <si>
    <t>Larry Butler*</t>
  </si>
  <si>
    <t>Tom Kivlehan</t>
  </si>
  <si>
    <t>Bernie Lowe*</t>
  </si>
  <si>
    <t>Michael Nolan</t>
  </si>
  <si>
    <t>Dave Lordan</t>
  </si>
  <si>
    <t>2004 (11 June) - Ballybrack (6 seats) Total Electorate: 33,550 Total Poll: 17,294 Valid Poll: 16,919 Quota: 2,418</t>
  </si>
  <si>
    <t>Blackrock (4 seats) Total Electorate: 22,665 Total Poll: 11,936 Valid Poll: 11,700 Quota: 2,341</t>
  </si>
  <si>
    <t>Marie Baker</t>
  </si>
  <si>
    <t>William Dockrell*</t>
  </si>
  <si>
    <t>Victor Boyhan*</t>
  </si>
  <si>
    <t>Lorcan Mooney</t>
  </si>
  <si>
    <t>Nessa Childers</t>
  </si>
  <si>
    <t>Glencullen (3 seats) Total Electorate: 15,898 Total Poll: 8,633 Valid Poll: 8,460 Quota: 2,116</t>
  </si>
  <si>
    <t>Lettie McCarthy</t>
  </si>
  <si>
    <t>Maria Corrigan*</t>
  </si>
  <si>
    <t>Tom Murphy*</t>
  </si>
  <si>
    <t>Terence Corish</t>
  </si>
  <si>
    <t>Joseph Comerford</t>
  </si>
  <si>
    <t>Stillorgan (3 seats) Total Electorate: 15,589 Total Poll: 9,106 Valid Poll: 8,945 Quota: 2,237</t>
  </si>
  <si>
    <t>Gearoid O'Keeffe*</t>
  </si>
  <si>
    <t>Barry Saul*</t>
  </si>
  <si>
    <t>Brendan Lynch</t>
  </si>
  <si>
    <t>Shane Molloy</t>
  </si>
  <si>
    <t>Simon Curtis</t>
  </si>
  <si>
    <t>Mary White</t>
  </si>
  <si>
    <t>Dun Laoghaire (6 seats) Total Electorate: 34,737 Total Poll: 18,571 Valid Poll: 18,122 Quota: 2,589</t>
  </si>
  <si>
    <t>John Bailey</t>
  </si>
  <si>
    <t>Mary Mitchell-O'Connor</t>
  </si>
  <si>
    <t>Cormac Devlin</t>
  </si>
  <si>
    <t>Tom O'Higgins</t>
  </si>
  <si>
    <t>Roger Cole</t>
  </si>
  <si>
    <t>Kealin Ireland*</t>
  </si>
  <si>
    <t>Eugene Regan</t>
  </si>
  <si>
    <t>Chris O'Malley*</t>
  </si>
  <si>
    <t>Brendan Kiely</t>
  </si>
  <si>
    <t>Eimear McAuliffe</t>
  </si>
  <si>
    <t>Dundrum (6 seats) Total Electorate: 32,053 Total Poll: 17,804 Valid Poll: 17,391 Quota: 2,485</t>
  </si>
  <si>
    <t>Jim O'Leary</t>
  </si>
  <si>
    <t>Trevor Matthews*</t>
  </si>
  <si>
    <t>Ciaran Fallon</t>
  </si>
  <si>
    <t>Tony Kelly*</t>
  </si>
  <si>
    <t>Michael Langsdorf</t>
  </si>
  <si>
    <t>Ray O'Kelly</t>
  </si>
  <si>
    <t>Mary Clair Fitzpatrick</t>
  </si>
  <si>
    <t>Lisa Maher</t>
  </si>
  <si>
    <t>Balbriggan (4 seats) Total Electorate: 21,725 Total Poll: 9,761 Valid Poll: 9,652 Quota: 1,931</t>
  </si>
  <si>
    <t>David O'Connor</t>
  </si>
  <si>
    <t>Therese Fingleton*</t>
  </si>
  <si>
    <t>Cathal Boland*</t>
  </si>
  <si>
    <t>Sean Sweeney</t>
  </si>
  <si>
    <t>Ciaran Byrne</t>
  </si>
  <si>
    <t>Catherine Clarke</t>
  </si>
  <si>
    <t>Briege Otto</t>
  </si>
  <si>
    <t>1999 (11 June) - Castleknock (4 seats) Total Electorate: 20,480 Total Poll: 8,695 Valid Poll: 8,623 Quota: 1,725</t>
  </si>
  <si>
    <t>Jane Murphy</t>
  </si>
  <si>
    <t>Joan Burton</t>
  </si>
  <si>
    <t>Ned Ryan</t>
  </si>
  <si>
    <t>Tom Morrissey*</t>
  </si>
  <si>
    <t>Colm Murray</t>
  </si>
  <si>
    <t>Mick Cheevers</t>
  </si>
  <si>
    <t>Damien Mahon</t>
  </si>
  <si>
    <t>Sheila Terry*</t>
  </si>
  <si>
    <t>Sean Lyons*</t>
  </si>
  <si>
    <t>Howth (3 seats) Total Electorate: 17,956 Total Poll: 7,037 Valid Poll: 6,958 Quota: 1,740</t>
  </si>
  <si>
    <t>Aileen Woods</t>
  </si>
  <si>
    <t>Frank Barry</t>
  </si>
  <si>
    <t>Malahide (4 seats) Total Electorate: 20,222 Total Poll: 8,100 Valid Poll: 8,050 Quota: 1,611</t>
  </si>
  <si>
    <t>G.V. Wright*</t>
  </si>
  <si>
    <t>Heidi Bedell</t>
  </si>
  <si>
    <t>Graham Hanlon</t>
  </si>
  <si>
    <t>Eamonn McNally</t>
  </si>
  <si>
    <t>Sean Dolphin</t>
  </si>
  <si>
    <t>Nora Owen</t>
  </si>
  <si>
    <t>Angela Keaveney</t>
  </si>
  <si>
    <t>CSP</t>
  </si>
  <si>
    <t>Mulhuddart (4 seats) Total Electorate: 18,257 Total Poll: 5,426 Valid Poll: 5,365 Quota: 1,074</t>
  </si>
  <si>
    <t>Paul Donnelly</t>
  </si>
  <si>
    <t>Joe Higgins*</t>
  </si>
  <si>
    <t>Leo Varadkar</t>
  </si>
  <si>
    <t>Gerry Lynam</t>
  </si>
  <si>
    <t>Miley Caldwell</t>
  </si>
  <si>
    <t>Colm Heery</t>
  </si>
  <si>
    <t>Michael McClure</t>
  </si>
  <si>
    <t>Karen Allen</t>
  </si>
  <si>
    <t>Frank Clarke</t>
  </si>
  <si>
    <t>Clare Daly</t>
  </si>
  <si>
    <t>Sean Ryan*</t>
  </si>
  <si>
    <t>Anne-Marie Woods</t>
  </si>
  <si>
    <t>Paul Martin</t>
  </si>
  <si>
    <t>Michael Scahill</t>
  </si>
  <si>
    <t>Declan McEvoy</t>
  </si>
  <si>
    <t>Swords (5 seats) Total Electorate: 25,970 Total Poll: 9,182 Valid Poll: 9,100 Quota: 1,517</t>
  </si>
  <si>
    <t>Clondalkin (5 seats) Total Electorate: 28,256 Total Poll: 7,998 Valid Poll: 7,899 Quota: 1,317</t>
  </si>
  <si>
    <t>Robert Dowds</t>
  </si>
  <si>
    <t>Peter Greene</t>
  </si>
  <si>
    <t>John Curran</t>
  </si>
  <si>
    <t>Ger Doherty</t>
  </si>
  <si>
    <t>Liam Lawlor</t>
  </si>
  <si>
    <t>Sheila O'Brien</t>
  </si>
  <si>
    <t>James O'Connor</t>
  </si>
  <si>
    <t>1999 (11 June) - Lucan (4 seats) Total Electorate: 26,303 Total Poll: 8,487 Valid Poll: 8,404 Quota: 1,681</t>
  </si>
  <si>
    <t>Derek Keating</t>
  </si>
  <si>
    <t>Paul Gogarty</t>
  </si>
  <si>
    <t>Joanna Tuffy</t>
  </si>
  <si>
    <t>Anne Finnegan</t>
  </si>
  <si>
    <t>Peter Brady*</t>
  </si>
  <si>
    <t>Finbar Hanrahan*</t>
  </si>
  <si>
    <t>Deirdre Doherty-Ryan</t>
  </si>
  <si>
    <t>Rose Dunne</t>
  </si>
  <si>
    <t>Tallaght Central (5 seats) Total Electorate: 29,354 Total Poll: 9,140 Valid Poll: 9,031 Quota: 1,506</t>
  </si>
  <si>
    <t>Eamon Maloney*</t>
  </si>
  <si>
    <t>Mark Daly</t>
  </si>
  <si>
    <t>Brian Hayes*</t>
  </si>
  <si>
    <t>Charlie O'Connor*</t>
  </si>
  <si>
    <t>Pat Somers</t>
  </si>
  <si>
    <t>Margaret Farrell*</t>
  </si>
  <si>
    <t>Mary Bowers</t>
  </si>
  <si>
    <t>Tallaght South (5 seats) Total Electorate: 27,455 Total Poll: 8,872 Valid Poll: 8,752 Quota: 1,459</t>
  </si>
  <si>
    <t>Pat Rabbitte</t>
  </si>
  <si>
    <t>Paul Ringland</t>
  </si>
  <si>
    <t>Sean Crowe</t>
  </si>
  <si>
    <t>Jim Daly</t>
  </si>
  <si>
    <t>Marie Hennessy*</t>
  </si>
  <si>
    <t>Patrick Quinn</t>
  </si>
  <si>
    <t>Catherine Quinn*</t>
  </si>
  <si>
    <t>Joe McCormack</t>
  </si>
  <si>
    <t>Ian Mitchell</t>
  </si>
  <si>
    <t>Terenure-Rathfarnham (7 seats) Total Electorate: 51,454 Total Poll: 20,493 Valid Poll: 20,253 Quota: 2,532</t>
  </si>
  <si>
    <t>John Lahart</t>
  </si>
  <si>
    <t>Sheila Donnelly</t>
  </si>
  <si>
    <t>Máire Ardagh</t>
  </si>
  <si>
    <t>Tom Rowan</t>
  </si>
  <si>
    <t>Andrew Shorten*</t>
  </si>
  <si>
    <t>Jane Lehane</t>
  </si>
  <si>
    <t>Una Sloan</t>
  </si>
  <si>
    <t>Honor O'Connor</t>
  </si>
  <si>
    <t>Ann Ormonde*</t>
  </si>
  <si>
    <t>Maria Bohan</t>
  </si>
  <si>
    <t>Niall Murray</t>
  </si>
  <si>
    <t>1999 (11 June) - Ballybrack (6 seats) Total Electorate: 31,527 Total Poll: 11,443 Valid Poll: 11,298 Quota: 1,615</t>
  </si>
  <si>
    <t>Eoin Costello</t>
  </si>
  <si>
    <t>Frank Smyth*</t>
  </si>
  <si>
    <t>Catherine Sweeney</t>
  </si>
  <si>
    <t>Felim Clear</t>
  </si>
  <si>
    <t>Bernie Lowe</t>
  </si>
  <si>
    <t>David O'Sullivan</t>
  </si>
  <si>
    <t>Larry Lohan*</t>
  </si>
  <si>
    <t>John Kavanagh</t>
  </si>
  <si>
    <t>Tom Mason</t>
  </si>
  <si>
    <t>Niamh Bhreathnach</t>
  </si>
  <si>
    <t>Barry Andrews</t>
  </si>
  <si>
    <t>Mary Brophy</t>
  </si>
  <si>
    <t>Barry Conway</t>
  </si>
  <si>
    <t>Anne Brogan-Young</t>
  </si>
  <si>
    <t>Sean Místéil*</t>
  </si>
  <si>
    <t>Marian White</t>
  </si>
  <si>
    <t>Bill Stack</t>
  </si>
  <si>
    <t>Blackrock (4 seats) Total Electorate: 22,155 Total Poll: 8,740 Valid Poll: 8,630 Quota: 1,727</t>
  </si>
  <si>
    <t>Aidan Culhane</t>
  </si>
  <si>
    <t>Dominic Leonard</t>
  </si>
  <si>
    <t>Mary Elliot*</t>
  </si>
  <si>
    <t>Richard Greene*</t>
  </si>
  <si>
    <t>John Smyth</t>
  </si>
  <si>
    <t>Michael O'Driscoll</t>
  </si>
  <si>
    <t>Shane Egan</t>
  </si>
  <si>
    <t>David Boylan*</t>
  </si>
  <si>
    <t>Dundrum (6 seats) Total Electorate: 32,716 Total Poll: 13,201 Valid Poll: 13,051 Quota: 1,865</t>
  </si>
  <si>
    <t>Dun Laoghaire (6 seats) Total Electorate: 34,117 Total Poll: 12,928 Valid Poll: 12,710 Quota: 1,816</t>
  </si>
  <si>
    <t>Liam T. Cosgrave*</t>
  </si>
  <si>
    <t>Helen Keogh*</t>
  </si>
  <si>
    <t>Barbara Culleton</t>
  </si>
  <si>
    <t>Betty Coffey*</t>
  </si>
  <si>
    <t>Vincent MacDowell</t>
  </si>
  <si>
    <t>Eamon Gilmore*</t>
  </si>
  <si>
    <t>Peter Lawlor</t>
  </si>
  <si>
    <t>Barbara Robinson-Smyth</t>
  </si>
  <si>
    <t>Pat Fitzgerald*</t>
  </si>
  <si>
    <t>Maria Corrigan</t>
  </si>
  <si>
    <t>James Murphy</t>
  </si>
  <si>
    <t>Olivia Mitchell*</t>
  </si>
  <si>
    <t>Tara Skakie</t>
  </si>
  <si>
    <t>Hugh Walsh</t>
  </si>
  <si>
    <t>Pete Doyle</t>
  </si>
  <si>
    <t>Glencullen (3 seats) Total Electorate: 14,466 Total Poll: 4,969 Valid Poll: 4,912 Quota: 1,229</t>
  </si>
  <si>
    <t>Don Lydon*</t>
  </si>
  <si>
    <t>Margaret McCluskey</t>
  </si>
  <si>
    <t>Louise Cosgrave</t>
  </si>
  <si>
    <t>Fiona O'Malley</t>
  </si>
  <si>
    <t>Donal Lowry*</t>
  </si>
  <si>
    <t>Larry Gordon*</t>
  </si>
  <si>
    <t xml:space="preserve">Gerry Horkan </t>
  </si>
  <si>
    <t>Stillorgan (3 seats) Total Electorate: 15,698 Total Poll: 6,822 Valid Poll: 6,747 Quota: 1,687</t>
  </si>
  <si>
    <t>Balbriggan (5 seats) Total Electorate: 19,705 Total Poll: 10,753 Valid Poll: 10,653 Quota: 1,776</t>
  </si>
  <si>
    <t>Gertie Sheilds</t>
  </si>
  <si>
    <t>Patricia Gallen</t>
  </si>
  <si>
    <t>Trevor Sargent</t>
  </si>
  <si>
    <t>Joe Davis</t>
  </si>
  <si>
    <t>Anne McCarthy</t>
  </si>
  <si>
    <t>Liam Dineen</t>
  </si>
  <si>
    <t>David Murray</t>
  </si>
  <si>
    <t>Wilbur McKittrick</t>
  </si>
  <si>
    <t>Sean Brady</t>
  </si>
  <si>
    <t>John Maxwell</t>
  </si>
  <si>
    <t>Ken Farrell*</t>
  </si>
  <si>
    <t>Sean Gilbride*</t>
  </si>
  <si>
    <t>Jim Geraghty*</t>
  </si>
  <si>
    <t>Jack Larkin*</t>
  </si>
  <si>
    <t>1991 (27 June) - Castleknock (4 seats) Total Electorate: 15,777 Total Poll: 7,463 Valid Poll: 7,434 Quota: 1,487</t>
  </si>
  <si>
    <t>Sheila Terry</t>
  </si>
  <si>
    <t>Tom Morrissey</t>
  </si>
  <si>
    <t>Willie Byrne</t>
  </si>
  <si>
    <t>Eithne Loftus</t>
  </si>
  <si>
    <t>Patricia Condron</t>
  </si>
  <si>
    <t>Patrick Malone</t>
  </si>
  <si>
    <t>Ned Ryan*</t>
  </si>
  <si>
    <t>Tom Boland*</t>
  </si>
  <si>
    <t>Howth (4 seats) Total Electorate: 16,807 Total Poll: 7,649 Valid Poll: 7,593 Quota: 1,519</t>
  </si>
  <si>
    <t>Dympna Clune</t>
  </si>
  <si>
    <t>Tom Beary</t>
  </si>
  <si>
    <t>Eugene Rudden</t>
  </si>
  <si>
    <t>Noel Peers</t>
  </si>
  <si>
    <t>Michael Kenny</t>
  </si>
  <si>
    <t>Niall Behan</t>
  </si>
  <si>
    <t>Malahide (4 seats) Total Electorate: 16,431 Total Poll: 8,385 Valid Poll: 8,346 Quota: 1,670</t>
  </si>
  <si>
    <t>Bernie Malone*</t>
  </si>
  <si>
    <t>Alan Nagle</t>
  </si>
  <si>
    <t>Nora Owen*</t>
  </si>
  <si>
    <t>Michael Kennedy</t>
  </si>
  <si>
    <t>Terri Jones</t>
  </si>
  <si>
    <t>Mary Webberley</t>
  </si>
  <si>
    <t>John Hancox</t>
  </si>
  <si>
    <t>Pat Dunne*</t>
  </si>
  <si>
    <t>Bill O'Brien</t>
  </si>
  <si>
    <t>Elected</t>
  </si>
  <si>
    <t>Mulhuddart (3 seats) Total Electorate: 13,768 Total Poll: 6,592 Valid Poll: 6,520 Quota: 1,631</t>
  </si>
  <si>
    <t>Jim Heffernan</t>
  </si>
  <si>
    <t>Tom Reynolds</t>
  </si>
  <si>
    <t>Marian McGennis</t>
  </si>
  <si>
    <t>Marian Sheehan</t>
  </si>
  <si>
    <t>P.J. Leahy</t>
  </si>
  <si>
    <t>Jim Fleming</t>
  </si>
  <si>
    <t>Ollie Lunney</t>
  </si>
  <si>
    <t>Swords (4 seats) Total Electorate: 17,053 Total Poll: 7,738 Valid Poll: 7,684 Quota: 1,537</t>
  </si>
  <si>
    <t>Tom Kelleher</t>
  </si>
  <si>
    <t>Cyril Gallagher*</t>
  </si>
  <si>
    <t>Margaret O'Connor</t>
  </si>
  <si>
    <t>Larry Mulvihill</t>
  </si>
  <si>
    <t>Tim O'Brien</t>
  </si>
  <si>
    <t>Tom McCormack</t>
  </si>
  <si>
    <t>Tommy Nolan</t>
  </si>
  <si>
    <t>Elaine Hobson</t>
  </si>
  <si>
    <t>Noel Crosbie</t>
  </si>
  <si>
    <t>Clondalkin (3 seats) Total Electorate: 20,425 Total Poll: 7,607 Valid Poll: 7,544 Quota: 1,887</t>
  </si>
  <si>
    <t>Colm Tyndall</t>
  </si>
  <si>
    <t>Maurice Duffy</t>
  </si>
  <si>
    <t>Vincent Coffey</t>
  </si>
  <si>
    <t>Catherine Sherwin</t>
  </si>
  <si>
    <t>Pat Smyth</t>
  </si>
  <si>
    <t>Donna Conlon</t>
  </si>
  <si>
    <t>Conor Delaney</t>
  </si>
  <si>
    <t>Maire O'Connor</t>
  </si>
  <si>
    <t>Greenhills (4 seats) Total Electorate: 16,819 Total Poll: 6,590 Valid Poll: 6,540 Quota: 1,319</t>
  </si>
  <si>
    <t>Dessie Early</t>
  </si>
  <si>
    <t>Michael Keating</t>
  </si>
  <si>
    <t>Bob Byrne</t>
  </si>
  <si>
    <t>Mervyn Taylor*</t>
  </si>
  <si>
    <t>Geraldine O'Connor</t>
  </si>
  <si>
    <t>Michael Hanrahan</t>
  </si>
  <si>
    <t>Alison Larkin</t>
  </si>
  <si>
    <t>1991 (27 June) - Lucan (4 seats) Total Electorate: 20,266 Total Poll: 9,970 Valid Poll: 9,895 Quota: 1,980</t>
  </si>
  <si>
    <t>Michael Kirwan</t>
  </si>
  <si>
    <t>John O'Halloran</t>
  </si>
  <si>
    <t>Eamon Tuffy</t>
  </si>
  <si>
    <t>Tom Kavanagh</t>
  </si>
  <si>
    <t>Finbar Hanrahan</t>
  </si>
  <si>
    <t>Deirdre Ryan</t>
  </si>
  <si>
    <t>Bridin O'Connor</t>
  </si>
  <si>
    <t>Michael Brennan</t>
  </si>
  <si>
    <t>Rathfarnham (4 seats) Total Electorate: 20,175 Total Poll: 8,353 Valid Poll: 8,318 Quota: 1,664</t>
  </si>
  <si>
    <t>Alan Shatter*</t>
  </si>
  <si>
    <t>Damien Fee</t>
  </si>
  <si>
    <t>Ronnie McBrien</t>
  </si>
  <si>
    <t>Stephen Riney*</t>
  </si>
  <si>
    <t>Marie Mullarney</t>
  </si>
  <si>
    <t>Graham Corcoran</t>
  </si>
  <si>
    <t>Mary Muldoon*</t>
  </si>
  <si>
    <t>Billy Byrne</t>
  </si>
  <si>
    <t>Tallaght-Oldbawn (3 seats) Total Electorate: 18,163 Total Poll: 7,096 Valid Poll: 7,038 Quota: 1,761</t>
  </si>
  <si>
    <t>Pat Rabbitte*</t>
  </si>
  <si>
    <t>Breda Cass*</t>
  </si>
  <si>
    <t>Larry McMahon*</t>
  </si>
  <si>
    <t>Ned Gibbons</t>
  </si>
  <si>
    <t>Jim Barry*</t>
  </si>
  <si>
    <t>Patrick Dwan</t>
  </si>
  <si>
    <t>Malachy Murphy</t>
  </si>
  <si>
    <t>Peter Cunningham</t>
  </si>
  <si>
    <t>RSF</t>
  </si>
  <si>
    <t>Tallaght-Rathcoole (3 seats) Total Electorate: 15,744 Total Poll: 6,083 Valid Poll: 6,003 Quota: 1,501</t>
  </si>
  <si>
    <t>Charlie O'Connor</t>
  </si>
  <si>
    <t>Tony Flannery</t>
  </si>
  <si>
    <t>Catherine Quinn</t>
  </si>
  <si>
    <t>Mick Billane</t>
  </si>
  <si>
    <t>Maria Ingle</t>
  </si>
  <si>
    <t>Pat Corcoran</t>
  </si>
  <si>
    <t>Jim Lovett</t>
  </si>
  <si>
    <t>Mary Morton</t>
  </si>
  <si>
    <t>John O'Mahony</t>
  </si>
  <si>
    <t>Martin Smith</t>
  </si>
  <si>
    <t>Terenure (5 seats) Total Electorate: 24,148 Total Poll: 10,418 Valid Poll: 10,333 Quota: 1,723</t>
  </si>
  <si>
    <t>Cait Keane</t>
  </si>
  <si>
    <t>Molly Tighe</t>
  </si>
  <si>
    <t>Seamus Ashe*</t>
  </si>
  <si>
    <t>Jim Murphy</t>
  </si>
  <si>
    <t>Martin Lynch*</t>
  </si>
  <si>
    <t>Deirdre O'Connell</t>
  </si>
  <si>
    <t>Pat Upton</t>
  </si>
  <si>
    <t>Sean Ardagh*</t>
  </si>
  <si>
    <t>Gerry Mullally</t>
  </si>
  <si>
    <t>Michael J. Stokes</t>
  </si>
  <si>
    <t>Richard Conroy*</t>
  </si>
  <si>
    <t>Frank Smyth</t>
  </si>
  <si>
    <t>Colm Brophy</t>
  </si>
  <si>
    <t>Sylvie Batt</t>
  </si>
  <si>
    <t>Noirin Butler</t>
  </si>
  <si>
    <t>Maggie Blake</t>
  </si>
  <si>
    <t>Vincent Treanor</t>
  </si>
  <si>
    <t>Owen Hammond*</t>
  </si>
  <si>
    <t>Noel Long</t>
  </si>
  <si>
    <t>Barbara Culleton*</t>
  </si>
  <si>
    <t>Paddy Madigan*</t>
  </si>
  <si>
    <t>John H. Dockrell*</t>
  </si>
  <si>
    <t>Aine Elliot*</t>
  </si>
  <si>
    <t>Evelynne Davis</t>
  </si>
  <si>
    <t>Anne Brady*</t>
  </si>
  <si>
    <t>Betty Reeves</t>
  </si>
  <si>
    <t>Michael Cotter</t>
  </si>
  <si>
    <t>Marie Walker</t>
  </si>
  <si>
    <t>Michael Dunphy</t>
  </si>
  <si>
    <t>Clonskeagh (3 seats) Total Electorate: 14,294 Total Poll: 5,935 Valid Poll: 5,893 Quota: 1,474</t>
  </si>
  <si>
    <t>Tom Hand*</t>
  </si>
  <si>
    <t>Tim Gilbert</t>
  </si>
  <si>
    <t>Peter Nolan</t>
  </si>
  <si>
    <t>Richard Greene</t>
  </si>
  <si>
    <t>Chris Woods</t>
  </si>
  <si>
    <t>Maurice Dockrell</t>
  </si>
  <si>
    <t>Nuala Fennell</t>
  </si>
  <si>
    <t>Seamus Brock*</t>
  </si>
  <si>
    <t>Dundrum (4 seats) Total Electorate: 17,467 Total Poll: 7,944 Valid Poll: 7,889 Quota: 1,578</t>
  </si>
  <si>
    <t>Tom Kitt*</t>
  </si>
  <si>
    <t>Austin Corcoran</t>
  </si>
  <si>
    <t>Frank Buckley*</t>
  </si>
  <si>
    <t>Siobhan Lawlor</t>
  </si>
  <si>
    <t>Jim Ryan</t>
  </si>
  <si>
    <t>Pat Brady</t>
  </si>
  <si>
    <t>Dun Laoghaire (5 seats) Total Electorate: 27,220 Total Poll: 11,474 Valid Poll: 11,356 Quota: 1,893</t>
  </si>
  <si>
    <t>Colm Breathnach</t>
  </si>
  <si>
    <t>Helen Keogh</t>
  </si>
  <si>
    <t>Brendan Henderson*</t>
  </si>
  <si>
    <t>Bill Harvey*</t>
  </si>
  <si>
    <t>Donna Pierce</t>
  </si>
  <si>
    <t>Labhras Ó Murchú</t>
  </si>
  <si>
    <t>Jane Sexton</t>
  </si>
  <si>
    <t>Kevin Fitzpatrick</t>
  </si>
  <si>
    <t>Thomas O'Rafferty</t>
  </si>
  <si>
    <t>Jim Merriman</t>
  </si>
  <si>
    <t>Glencullen (3 seats) Total Electorate: 18,775 Total Poll: 7,601 Valid Poll: 7,557 Quota: 1,890</t>
  </si>
  <si>
    <t>Sean Barrett</t>
  </si>
  <si>
    <t>Larry Butler</t>
  </si>
  <si>
    <t>Jim Murphy*</t>
  </si>
  <si>
    <t>Deirdre Cox</t>
  </si>
  <si>
    <t>Alastair McKinstry</t>
  </si>
  <si>
    <t>Sam Carroll*</t>
  </si>
  <si>
    <t>Sean Ó Siochain</t>
  </si>
  <si>
    <t>John Brennan</t>
  </si>
  <si>
    <t>Denis O'Callaghan</t>
  </si>
  <si>
    <t>Stillorgan (4 seats) Total Electorate: 19,000 Total Poll: 8,152 Valid Poll: 8,108 Quota: 1,622</t>
  </si>
  <si>
    <t>Olivia Mitchell</t>
  </si>
  <si>
    <t>Anna Murphy</t>
  </si>
  <si>
    <t>Don Lydon</t>
  </si>
  <si>
    <t>Larry Gordon</t>
  </si>
  <si>
    <t>Eugene Cranley</t>
  </si>
  <si>
    <t>Carmel Ryan</t>
  </si>
  <si>
    <t>Sean Gilbride</t>
  </si>
  <si>
    <t>Jim Geraghty</t>
  </si>
  <si>
    <t>Jack Larkin</t>
  </si>
  <si>
    <t>Catherine Cusack</t>
  </si>
  <si>
    <t>Kay Hanratty</t>
  </si>
  <si>
    <t>Briege Tuite</t>
  </si>
  <si>
    <t>Billy Reynolds*</t>
  </si>
  <si>
    <t>1985 (20 June) - Castleknock (4 seats) Total Electorate: 11,887 Total Poll: 5,681 Valid Poll: 5,630 Quota: 1,127</t>
  </si>
  <si>
    <t>Sean Lyons</t>
  </si>
  <si>
    <t>Jim Fay*</t>
  </si>
  <si>
    <t>Tony Samfey</t>
  </si>
  <si>
    <t>Teresa Watters</t>
  </si>
  <si>
    <t>Jennifer Payne</t>
  </si>
  <si>
    <t>Bill Hughes</t>
  </si>
  <si>
    <t>Ita Kavanagh</t>
  </si>
  <si>
    <t>Eamonn Lynskey</t>
  </si>
  <si>
    <t>John Garvey</t>
  </si>
  <si>
    <t>GA</t>
  </si>
  <si>
    <t>Mulhuddart (3 seats) Total Electorate: 10,480 Total Poll: 4,648 Valid Poll: 4,606 Quota: 1,152</t>
  </si>
  <si>
    <t>Michael Martin</t>
  </si>
  <si>
    <t>Liam Skelly</t>
  </si>
  <si>
    <t>Marian Sheehan*</t>
  </si>
  <si>
    <t>Marian McGennis*</t>
  </si>
  <si>
    <t>Jim Fahey</t>
  </si>
  <si>
    <t>Jim Fahey*</t>
  </si>
  <si>
    <t>Swords (4 seats) Total Electorate: 13,877 Total Poll: 6,419 Valid Poll: 6,336 Quota: 1,268</t>
  </si>
  <si>
    <t>Ray Burke</t>
  </si>
  <si>
    <t>Oliver Dennis</t>
  </si>
  <si>
    <t>Anne Devitt</t>
  </si>
  <si>
    <t>Shane McManus</t>
  </si>
  <si>
    <t>Paddy Donovan</t>
  </si>
  <si>
    <t>Malahide (4 seats) Total Electorate: 12,671 Total Poll: 6,984 Valid Poll: 6,950 Quota: 1,391</t>
  </si>
  <si>
    <t>G.V. Wright</t>
  </si>
  <si>
    <t>Vincent Hughes</t>
  </si>
  <si>
    <t>Colm Ó Caomhanaigh</t>
  </si>
  <si>
    <t>Tom Houlihan</t>
  </si>
  <si>
    <t>Linda Rafferty</t>
  </si>
  <si>
    <t>Michael Howard</t>
  </si>
  <si>
    <t>Joe McDermott</t>
  </si>
  <si>
    <t>Howth (4 seats) Total Electorate: 14,314 Total Poll: 7,000 Valid Poll: 6,932 Quota: 1,387</t>
  </si>
  <si>
    <t>Joan Maher</t>
  </si>
  <si>
    <t>Muriel Ó Tiarnaigh</t>
  </si>
  <si>
    <t>Liam Creaven</t>
  </si>
  <si>
    <t>Eugene O'Leary</t>
  </si>
  <si>
    <t>Eilis Rickard</t>
  </si>
  <si>
    <t>Paul Arnold</t>
  </si>
  <si>
    <t>Tony Dermody</t>
  </si>
  <si>
    <t>SFWP</t>
  </si>
  <si>
    <t>Clondalkin (3 seats) Total Electorate: 15,983 Total Poll: 7,188 Valid Poll: 7,110 Quota: 1,778</t>
  </si>
  <si>
    <t>Therese Ridge</t>
  </si>
  <si>
    <t>Leo Hennessy</t>
  </si>
  <si>
    <t>Colm McGrath</t>
  </si>
  <si>
    <t>Mary Harney*</t>
  </si>
  <si>
    <t>Noel Hayes</t>
  </si>
  <si>
    <t>Eugene Fitzsimons</t>
  </si>
  <si>
    <t>Hugh Boyle</t>
  </si>
  <si>
    <t>Declan Ó Broin</t>
  </si>
  <si>
    <t>Paul Price</t>
  </si>
  <si>
    <t>1985 (20 June) - Lucan (4 seats) Total Electorate: 17,496 Total Poll: 8,798 Valid Poll: 8,708 Quota: 1,742</t>
  </si>
  <si>
    <t>CPI</t>
  </si>
  <si>
    <t>Brian Fleming*</t>
  </si>
  <si>
    <t>Liam Lawlor*</t>
  </si>
  <si>
    <t>Michael Gannon*</t>
  </si>
  <si>
    <t>Joseph Harden</t>
  </si>
  <si>
    <t>Dave McSweeney</t>
  </si>
  <si>
    <t>Tommy Morris</t>
  </si>
  <si>
    <t>Jean Roche</t>
  </si>
  <si>
    <t>Greenhills (4 seats) Total Electorate: 14,967 Total Poll: 6,797 Valid Poll: 6,705 Quota: 1,342</t>
  </si>
  <si>
    <t>Terry Delaney</t>
  </si>
  <si>
    <t>Gerry Jago</t>
  </si>
  <si>
    <t>Chris Flood*</t>
  </si>
  <si>
    <t>Padraig Lynch</t>
  </si>
  <si>
    <t>Sammy Macken</t>
  </si>
  <si>
    <t>Richard Raymond</t>
  </si>
  <si>
    <t>Patricia Greene</t>
  </si>
  <si>
    <t>Therese McGarry</t>
  </si>
  <si>
    <t>Cliona Nic Mhurchú</t>
  </si>
  <si>
    <t>Rathfarnham (4 seats) Total Electorate: 16,535 Total Poll: 7,862 Valid Poll: 7,816 Quota: 1,564</t>
  </si>
  <si>
    <t>Ann Ormonde</t>
  </si>
  <si>
    <t>Mary Muldoon</t>
  </si>
  <si>
    <t>Stephen Riney</t>
  </si>
  <si>
    <t>Fiona Garland</t>
  </si>
  <si>
    <t>Seamus Brennan</t>
  </si>
  <si>
    <t>Tom Sharkey</t>
  </si>
  <si>
    <t>Anne D'Alton</t>
  </si>
  <si>
    <t>Marie Woods</t>
  </si>
  <si>
    <t>John Hannon</t>
  </si>
  <si>
    <t>Breda Cass</t>
  </si>
  <si>
    <t>Jim Barry</t>
  </si>
  <si>
    <t>Tallaght-Oldbawn (3 seats) Total Electorate: 14,687 Total Poll: 6,477 Valid Poll: 6,388 Quota: 1,598</t>
  </si>
  <si>
    <t>DSP</t>
  </si>
  <si>
    <t>Brian McCabe</t>
  </si>
  <si>
    <t>Tony Deegan</t>
  </si>
  <si>
    <t>Anne Kinsella</t>
  </si>
  <si>
    <t>Stan Clarke</t>
  </si>
  <si>
    <t>Freda O'Neill</t>
  </si>
  <si>
    <t>Sean Basquille</t>
  </si>
  <si>
    <t>Jim Higgins</t>
  </si>
  <si>
    <t>Seamus Murphy</t>
  </si>
  <si>
    <t>Mary Kearney</t>
  </si>
  <si>
    <t>Tallaght-Rathcoole (3 seats) Total Electorate: 12,980 Total Poll: 6,383 Valid Poll: 6,309 Quota: 1,578</t>
  </si>
  <si>
    <t>Kate O'Brien</t>
  </si>
  <si>
    <t>John Noonan</t>
  </si>
  <si>
    <t>Frank Farrell</t>
  </si>
  <si>
    <t>Stephen Mahon</t>
  </si>
  <si>
    <t>Brid Hayes</t>
  </si>
  <si>
    <t>Sean Walsh*</t>
  </si>
  <si>
    <t>Austin Nolan</t>
  </si>
  <si>
    <t>Terenure (5 seats) Total Electorate: 23,022 Total Poll: 10,695 Valid Poll: 10,598 Quota: 1,767</t>
  </si>
  <si>
    <t>Stanley Laing</t>
  </si>
  <si>
    <t>Eamon Walsh</t>
  </si>
  <si>
    <t>Sean Ardagh</t>
  </si>
  <si>
    <t>Martin Lynch</t>
  </si>
  <si>
    <t>Seamus Ashe</t>
  </si>
  <si>
    <t>Sonny Knowles</t>
  </si>
  <si>
    <t>Seamus McGowan</t>
  </si>
  <si>
    <t>Katherine Maguire</t>
  </si>
  <si>
    <t>Declan Ryan*</t>
  </si>
  <si>
    <t>Denis Deasy</t>
  </si>
  <si>
    <t>Shay Kelly</t>
  </si>
  <si>
    <t>Tom Murtagh</t>
  </si>
  <si>
    <t>1985 (20 June) - Ballybrack (5 seats) Total Electorate: 20,774 Total Poll: 9,443 Valid Poll: 9,377 Quota: 1,563</t>
  </si>
  <si>
    <t>Eamon Gilmore</t>
  </si>
  <si>
    <t>Donal Marren</t>
  </si>
  <si>
    <t>Richard Conroy</t>
  </si>
  <si>
    <t>Owen Hammond</t>
  </si>
  <si>
    <t>Jim Ansbro</t>
  </si>
  <si>
    <t>Steve Nalty</t>
  </si>
  <si>
    <t>Philip Kearney</t>
  </si>
  <si>
    <t>Mary Gray</t>
  </si>
  <si>
    <t>David Kane</t>
  </si>
  <si>
    <t>Mick O'Brien</t>
  </si>
  <si>
    <t>Pat O'Reilly</t>
  </si>
  <si>
    <t>Joan Callaghan</t>
  </si>
  <si>
    <t>Tim Wilson</t>
  </si>
  <si>
    <t>Blackrock (4 seats) Total Electorate: 18,849 Total Poll: 8,027 Valid Poll: 7,950 Quota: 1,591</t>
  </si>
  <si>
    <t>Paddy Madigan</t>
  </si>
  <si>
    <t>John H. Dockrell</t>
  </si>
  <si>
    <t>Eamonn Daly</t>
  </si>
  <si>
    <t>William O'Grady</t>
  </si>
  <si>
    <t>Kevin Cronin</t>
  </si>
  <si>
    <t>Seamus Brock</t>
  </si>
  <si>
    <t>Ingrid Masterson</t>
  </si>
  <si>
    <t>Gina Menzies</t>
  </si>
  <si>
    <t>Pól MacMurchú</t>
  </si>
  <si>
    <t>Paul McNulty</t>
  </si>
  <si>
    <t>Gerry Nolan</t>
  </si>
  <si>
    <t>Clonskeagh (3 seats) Total Electorate: 14,231 Total Poll: 6,383 Valid Poll: 6,313 Quota: 1,579</t>
  </si>
  <si>
    <t>Dundrum (4 seats) Total Electorate: 15,568 Total Poll: 7,457 Valid Poll: 7,402 Quota: 1,481</t>
  </si>
  <si>
    <t>Tony Fox</t>
  </si>
  <si>
    <t>Mary Elliot</t>
  </si>
  <si>
    <t>Eamonn Ó Liadhain</t>
  </si>
  <si>
    <t>Trevor Matthews</t>
  </si>
  <si>
    <t>Myles Tierney*</t>
  </si>
  <si>
    <t>Don Begley</t>
  </si>
  <si>
    <t>Gabriel McGovern</t>
  </si>
  <si>
    <t>Dun Laoghaire (5 seats) Total Electorate: 27,482 Total Poll: 12,291 Valid Poll: 12,168 Quota: 2,029</t>
  </si>
  <si>
    <t>Liam T. Cosgrave</t>
  </si>
  <si>
    <t>Betty Coffey</t>
  </si>
  <si>
    <t>Elizabeth Gregan</t>
  </si>
  <si>
    <t>Aidan Kendrick</t>
  </si>
  <si>
    <t>Theresa Butterfield</t>
  </si>
  <si>
    <t>Christy Hudson</t>
  </si>
  <si>
    <t>Adrian Hardiman</t>
  </si>
  <si>
    <t>Eric Doyle*</t>
  </si>
  <si>
    <t>Mark Crimmins</t>
  </si>
  <si>
    <t>Jack Loughran*</t>
  </si>
  <si>
    <t>Philip Murphy</t>
  </si>
  <si>
    <t>John O'Sullivan</t>
  </si>
  <si>
    <t>Ubi Dwyer</t>
  </si>
  <si>
    <t>Glencullen (3 seats) Total Electorate: 14,499 Total Poll: 6,790 Valid Poll: 6,737 Quota: 1,685</t>
  </si>
  <si>
    <t>Alison Badrian</t>
  </si>
  <si>
    <t>Joseph Curry</t>
  </si>
  <si>
    <t>Justin Kilcullen</t>
  </si>
  <si>
    <t>Jim Gildea</t>
  </si>
  <si>
    <t>Stillorgan (4 seats) Total Electorate: 17,976 Total Poll: 7,894 Valid Poll: 7,844 Quota: 1,569</t>
  </si>
  <si>
    <t>Eithne Fitzgerald*</t>
  </si>
  <si>
    <t>Paddy Hickey*</t>
  </si>
  <si>
    <t>Joseph Thornton</t>
  </si>
  <si>
    <t>M. MacFeorais</t>
  </si>
  <si>
    <t>Fred O'Brien</t>
  </si>
  <si>
    <t>Donal Lowry</t>
  </si>
  <si>
    <t>Chris O'Malley</t>
  </si>
  <si>
    <t>Ballybrack (4 seats) Total Electorate:  Total Poll: 14,779 Valid Poll: 14,589 Quota: 2,918</t>
  </si>
  <si>
    <t>Joe Hogan</t>
  </si>
  <si>
    <t>Edward McDonald</t>
  </si>
  <si>
    <t>Sean Barrett*</t>
  </si>
  <si>
    <t>Sam Carroll</t>
  </si>
  <si>
    <t>Dolores Kelly</t>
  </si>
  <si>
    <t>Charles Smythe*</t>
  </si>
  <si>
    <t>Willie O'Grady</t>
  </si>
  <si>
    <t>Dermot Boucher</t>
  </si>
  <si>
    <t>SLP</t>
  </si>
  <si>
    <t>Dundrum (4 seats) Total Electorate:  Total Poll: 15,002 Valid Poll: 14,819 Quota: 2,964</t>
  </si>
  <si>
    <t>Paddy Hickey</t>
  </si>
  <si>
    <t>Ian Brennan</t>
  </si>
  <si>
    <t>Tom Hand</t>
  </si>
  <si>
    <t>Eithne Fitzgerald</t>
  </si>
  <si>
    <t>Deirdre McDevitt</t>
  </si>
  <si>
    <t>Jim Guinan</t>
  </si>
  <si>
    <t>Lucan (5 seats) Total Electorate: 34,200 Total Poll: 17,043 Valid Poll: 16,811 Quota: 2,802</t>
  </si>
  <si>
    <t>Brian Fleming</t>
  </si>
  <si>
    <t>Michael Gannon</t>
  </si>
  <si>
    <t>Declan O'Broin</t>
  </si>
  <si>
    <t>Jim Fay</t>
  </si>
  <si>
    <t>Con McCarthy</t>
  </si>
  <si>
    <t>Tom Boland</t>
  </si>
  <si>
    <t>Gerry Egan</t>
  </si>
  <si>
    <t>Jack Donnelly</t>
  </si>
  <si>
    <t>Colette Carter</t>
  </si>
  <si>
    <t>Joseph Condron</t>
  </si>
  <si>
    <t>Joe Williams</t>
  </si>
  <si>
    <t>Paddy Coll</t>
  </si>
  <si>
    <t>Patrick Dunne</t>
  </si>
  <si>
    <t>Colm Kilgallon</t>
  </si>
  <si>
    <t>Maria Dalton</t>
  </si>
  <si>
    <t>Bernie Malone</t>
  </si>
  <si>
    <t>Aidan Smith</t>
  </si>
  <si>
    <t>Christopher Lacy</t>
  </si>
  <si>
    <t>Tom Brennan</t>
  </si>
  <si>
    <t>Jim Bannon</t>
  </si>
  <si>
    <t>Pat McCartan</t>
  </si>
  <si>
    <t>Desmond O'Malley</t>
  </si>
  <si>
    <t>Eamonn O'Brien</t>
  </si>
  <si>
    <t>Gerry Clerkin</t>
  </si>
  <si>
    <t>Cora Marshall</t>
  </si>
  <si>
    <t>Colette Fallon</t>
  </si>
  <si>
    <t>Michael O'Donoghue</t>
  </si>
  <si>
    <t>Malahide (4 seats) Total Electorate: 28,220 Total Poll: 12,453 Valid Poll: 12,274 Quota: 2,455</t>
  </si>
  <si>
    <t>1979 (7 June) - Swords (4 seats) Total Electorate: 24,470 Total Poll: 12,970 Valid Poll: 12,746 Quota: 2,550</t>
  </si>
  <si>
    <t>John Boland</t>
  </si>
  <si>
    <t>Cyril Gallagher</t>
  </si>
  <si>
    <t>Padraig Murray</t>
  </si>
  <si>
    <t>Sean O'Donnell*</t>
  </si>
  <si>
    <t>Hugh Reilly</t>
  </si>
  <si>
    <t>Sean Ryan</t>
  </si>
  <si>
    <t>Michael Sheridan</t>
  </si>
  <si>
    <t>Paddy Murphy*</t>
  </si>
  <si>
    <t>Margaret Thorpe</t>
  </si>
  <si>
    <t>Ernest Collins</t>
  </si>
  <si>
    <t>Tallaght (4 seats) Total Electorate: 22,510 Total Poll: 11,188 Valid Poll: 11,038 Quota: 2,208</t>
  </si>
  <si>
    <t>Mary Harney</t>
  </si>
  <si>
    <t>Eddie McLoughlin</t>
  </si>
  <si>
    <t>Damien Murray*</t>
  </si>
  <si>
    <t>Jack Lynch</t>
  </si>
  <si>
    <t>Kevin Forsyth</t>
  </si>
  <si>
    <t>Paul Mulhern</t>
  </si>
  <si>
    <t>George Worrall</t>
  </si>
  <si>
    <t>Tony Linehan</t>
  </si>
  <si>
    <t>Terenure (4 seats) Total Electorate: 29,000 Total Poll: 15,394 Valid Poll: 15,251 Quota: 3,051</t>
  </si>
  <si>
    <t>Joe Connolly*</t>
  </si>
  <si>
    <t>Paddy O'Grady</t>
  </si>
  <si>
    <t>Chris Flood</t>
  </si>
  <si>
    <t>Pauline Fitzpatrick</t>
  </si>
  <si>
    <t>Paddy James</t>
  </si>
  <si>
    <t>Timmy O'Neill</t>
  </si>
  <si>
    <t>Noel Murphy</t>
  </si>
  <si>
    <t>Peter Burke</t>
  </si>
  <si>
    <t>Victor Carton</t>
  </si>
  <si>
    <t>Matt Merrigan</t>
  </si>
  <si>
    <t>Whitechurch (4 seats) Total Electorate: 23,500 Total Poll: 12,558 Valid Poll: 12,347 Quota: 2,470</t>
  </si>
  <si>
    <t>Frank Buckley</t>
  </si>
  <si>
    <t>Tom Kitt</t>
  </si>
  <si>
    <t>Dara O'Reilly</t>
  </si>
  <si>
    <t>Ann Kinsella</t>
  </si>
  <si>
    <t>Alan Shatter</t>
  </si>
  <si>
    <t>Vivian Lambert</t>
  </si>
  <si>
    <t>George McHugh</t>
  </si>
  <si>
    <t>Frank O'Sullivan</t>
  </si>
  <si>
    <t>Dun Laoghaire Borough (3 seats) Total Electorate: 38,348 Total Poll: 20,728 Valid Poll: 20,259 Quota: 5,065</t>
  </si>
  <si>
    <t>Percy Dockrell*</t>
  </si>
  <si>
    <t>William Harvey*</t>
  </si>
  <si>
    <t>Barry Desmond*</t>
  </si>
  <si>
    <t>Dermot Byrne</t>
  </si>
  <si>
    <t>Margaret Waugh</t>
  </si>
  <si>
    <t>Ballybrack (5 seats) Total Electorate: 30,555 Total Poll: 13,248 Valid Poll: 13,134 Quota: 2,190</t>
  </si>
  <si>
    <t>B. Connolly</t>
  </si>
  <si>
    <t>T. Bates</t>
  </si>
  <si>
    <t>J. Murray</t>
  </si>
  <si>
    <t>J. Guinan</t>
  </si>
  <si>
    <t>M. Noris</t>
  </si>
  <si>
    <t>P. Shanley</t>
  </si>
  <si>
    <t>M. O'Connor</t>
  </si>
  <si>
    <t>H. Walsh</t>
  </si>
  <si>
    <t>Dun Laoghaire Borough (3 seats) Total Electorate: 37,131 Total Poll: 18,446 Valid Poll: 17,457 Quota: 4,365</t>
  </si>
  <si>
    <t>T. Macken</t>
  </si>
  <si>
    <t>Lucan (3 seats) Total Electorate: 22,627 Total Poll: 12,400 Valid Poll: 12,258 Quota: 3,065</t>
  </si>
  <si>
    <t>Brian Lenihan</t>
  </si>
  <si>
    <t>J. Tiernan</t>
  </si>
  <si>
    <t>M. Gaffney</t>
  </si>
  <si>
    <t>OSF</t>
  </si>
  <si>
    <t>AE</t>
  </si>
  <si>
    <t>K. Harrington</t>
  </si>
  <si>
    <t>D. Carr</t>
  </si>
  <si>
    <t>A. Connor</t>
  </si>
  <si>
    <t>J. Hennebry</t>
  </si>
  <si>
    <t>C. Cullen</t>
  </si>
  <si>
    <t>S. Ó Ceallaigh</t>
  </si>
  <si>
    <t>C. Reeves</t>
  </si>
  <si>
    <t>Dundrum (4 seats) Total Electorate: 30,365 Total Poll: 14,155 Valid Poll: 14,003 Quota: 2,801</t>
  </si>
  <si>
    <t>Patrick Hickey</t>
  </si>
  <si>
    <t>Sean Fitzpatrick</t>
  </si>
  <si>
    <t>Niall Andrews</t>
  </si>
  <si>
    <t>Judy O'Callaghan</t>
  </si>
  <si>
    <t>Gerald Manners</t>
  </si>
  <si>
    <t>Myles Tierney</t>
  </si>
  <si>
    <t>William Ryan</t>
  </si>
  <si>
    <t>Paddy Downey</t>
  </si>
  <si>
    <t>Tallaght (5 seats) Total Electorate: 39,804 Total Poll: 18,765 Valid Poll: 18,593 Quota: 3,099</t>
  </si>
  <si>
    <t>Mervyn Taylor</t>
  </si>
  <si>
    <t>Larry McMahon</t>
  </si>
  <si>
    <t>Damien Murray</t>
  </si>
  <si>
    <t>Sean Walsh</t>
  </si>
  <si>
    <t>Eoin McBennett</t>
  </si>
  <si>
    <t>Patrick James</t>
  </si>
  <si>
    <t>Marie Rooney</t>
  </si>
  <si>
    <t>Paddy Murphy</t>
  </si>
  <si>
    <t>Joseph Connolly</t>
  </si>
  <si>
    <t>Patrick O'Grady</t>
  </si>
  <si>
    <t>Con Corrigan</t>
  </si>
  <si>
    <t>Bill Sower</t>
  </si>
  <si>
    <t>Hugh McKernan</t>
  </si>
  <si>
    <t>Breeda O'Byrne</t>
  </si>
  <si>
    <t>Barney Morris</t>
  </si>
  <si>
    <t>Fintan Lalor</t>
  </si>
  <si>
    <t>Larry Murphy</t>
  </si>
  <si>
    <t>Eamonn Redmond</t>
  </si>
  <si>
    <t>Matt Edmond</t>
  </si>
  <si>
    <t>1974 (18 June) - Swords (5 seats) Total Electorate: 35,306 Total Poll: 16,464 Valid Poll: 16,235 Quota: 2,706</t>
  </si>
  <si>
    <t>John Boland*</t>
  </si>
  <si>
    <t>Ray Burke*</t>
  </si>
  <si>
    <t>John Corry</t>
  </si>
  <si>
    <t>Joe Fox</t>
  </si>
  <si>
    <t>Desmond Morgan</t>
  </si>
  <si>
    <t>Patrick Doherty</t>
  </si>
  <si>
    <t>Sean O'Donnell</t>
  </si>
  <si>
    <t>Mary Ennis*</t>
  </si>
  <si>
    <t>Thomas Poynton</t>
  </si>
  <si>
    <t>Andy Kettyle</t>
  </si>
  <si>
    <t>Liam Cavanagh</t>
  </si>
  <si>
    <t>Dun Laoghaire Borough (3 seats) Total Electorate: 32,429 Total Poll: 17,760 Valid Poll: 16,716 Quota: 4,180</t>
  </si>
  <si>
    <t>J. Byrne*</t>
  </si>
  <si>
    <t>William Harvey</t>
  </si>
  <si>
    <t>R. Belton*</t>
  </si>
  <si>
    <t>M. Hyland</t>
  </si>
  <si>
    <t>J.J. Rochford</t>
  </si>
  <si>
    <t>H. Perry</t>
  </si>
  <si>
    <t>J. Caviston</t>
  </si>
  <si>
    <t xml:space="preserve">SF </t>
  </si>
  <si>
    <t>1967 (28 June) - Swords (5 seats) Total Electorate: 17,941 Total Poll: 11,018 Valid Poll: 10,869 Quota: 1,812</t>
  </si>
  <si>
    <t>Eamon Rooney</t>
  </si>
  <si>
    <t>Thomas Lowndes</t>
  </si>
  <si>
    <t>Anthony Butterly</t>
  </si>
  <si>
    <t>Joseph Dignam*</t>
  </si>
  <si>
    <t>John Dowling</t>
  </si>
  <si>
    <t>Thomas Poynton*</t>
  </si>
  <si>
    <t>Patrick Mackey</t>
  </si>
  <si>
    <t>Denis Farrell</t>
  </si>
  <si>
    <t>Donal McNally</t>
  </si>
  <si>
    <t>W.P. Reynolds</t>
  </si>
  <si>
    <t>Francis Glennon*</t>
  </si>
  <si>
    <t>Richard Burke</t>
  </si>
  <si>
    <t>T. O'Brien</t>
  </si>
  <si>
    <t>C. Bird</t>
  </si>
  <si>
    <t>P.J. Rochford</t>
  </si>
  <si>
    <t>Lucan (3 seats) Total Electorate: 14,055 Total Poll: 8,219 Valid Poll: 8,114 Quota: 2,029</t>
  </si>
  <si>
    <t>Patrick J. Burke*</t>
  </si>
  <si>
    <t>J. Baker</t>
  </si>
  <si>
    <t>T.P. Boland</t>
  </si>
  <si>
    <t>P. Doran</t>
  </si>
  <si>
    <t>J.C. Fay</t>
  </si>
  <si>
    <t>A. Dunne</t>
  </si>
  <si>
    <t>C. O'Reilly</t>
  </si>
  <si>
    <t>G.P. MacLochlainn</t>
  </si>
  <si>
    <t>Tallaght (5 seats) Total Electorate: 23,745 Total Poll: 13,269 Valid Poll: 13,140 Quota: 2,191</t>
  </si>
  <si>
    <t>Joseph Connolly*</t>
  </si>
  <si>
    <t>L.T.P. Lynam</t>
  </si>
  <si>
    <t>Mark Clinton*</t>
  </si>
  <si>
    <t>Sean Dunne*</t>
  </si>
  <si>
    <t>T. O'Connor*</t>
  </si>
  <si>
    <t>S. O'Flanagan</t>
  </si>
  <si>
    <t>T. Horace</t>
  </si>
  <si>
    <t>R.S. Coade</t>
  </si>
  <si>
    <t>E. Redmond</t>
  </si>
  <si>
    <t>M. McShane*</t>
  </si>
  <si>
    <t>L. Bugler*</t>
  </si>
  <si>
    <t>P. Morris*</t>
  </si>
  <si>
    <t>Patrick Hickey*</t>
  </si>
  <si>
    <t>F.C. Palmer*</t>
  </si>
  <si>
    <t>Dundrum (5 seats) Total Electorate: 19,363 Total Poll: 10,382 Valid Poll: 10,275 Quota: 1,720</t>
  </si>
  <si>
    <t>Ballybrack (5 seats) Total Electorate: 20,826 Total Poll: 10,371 Valid Poll: 10,273 Quota: 2,055</t>
  </si>
  <si>
    <t>M. Carroll</t>
  </si>
  <si>
    <t>K.F. Young</t>
  </si>
  <si>
    <t>J.J. Clare*</t>
  </si>
  <si>
    <t>R. Hayes</t>
  </si>
  <si>
    <t>M. Wilson</t>
  </si>
  <si>
    <t>G.M. O'Reilly</t>
  </si>
  <si>
    <t>J. Maguire</t>
  </si>
  <si>
    <t>C. Gleeson</t>
  </si>
  <si>
    <t>W. Walker</t>
  </si>
  <si>
    <t>P. Flynn*</t>
  </si>
  <si>
    <t>S. Bohan*</t>
  </si>
  <si>
    <t>V. McDowell</t>
  </si>
  <si>
    <t>Anthony McGuinness</t>
  </si>
  <si>
    <t>1991 (27 June) - Ballybrack (5 seats) Total Electorate: 24,024 Total Poll: 10,040 Valid Poll: 9,950 Quota: 1,659</t>
  </si>
  <si>
    <t>Blackrock (4 seats) Total Electorate: 19,450 Total Poll: 8,160 Valid Poll: 8,109 Quota: 1,623</t>
  </si>
  <si>
    <t>Murrough Lacy</t>
  </si>
  <si>
    <t>Balbriggan (5 seats) Total Electorate: 17,776 Total Poll: 9,351 Valid Poll: 9,206 Quota: 1,535</t>
  </si>
</sst>
</file>

<file path=xl/styles.xml><?xml version="1.0" encoding="utf-8"?>
<styleSheet xmlns="http://schemas.openxmlformats.org/spreadsheetml/2006/main">
  <numFmts count="1">
    <numFmt numFmtId="164" formatCode="0.000"/>
  </numFmts>
  <fonts count="54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7"/>
      <name val="Times New Roman"/>
      <family val="1"/>
    </font>
    <font>
      <sz val="12"/>
      <color indexed="8"/>
      <name val="Times New Roman"/>
      <family val="1"/>
    </font>
    <font>
      <sz val="12"/>
      <color indexed="5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16"/>
      <name val="Arial"/>
      <family val="2"/>
    </font>
    <font>
      <sz val="11"/>
      <color indexed="60"/>
      <name val="Times New Roman"/>
      <family val="1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1"/>
      <color indexed="19"/>
      <name val="Times New Roman"/>
      <family val="1"/>
    </font>
    <font>
      <b/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1"/>
      <color indexed="60"/>
      <name val="Arial"/>
      <family val="2"/>
    </font>
    <font>
      <b/>
      <sz val="10"/>
      <color indexed="16"/>
      <name val="Arial"/>
      <family val="2"/>
    </font>
    <font>
      <b/>
      <sz val="11"/>
      <color indexed="60"/>
      <name val="Times New Roman"/>
      <family val="1"/>
    </font>
    <font>
      <sz val="11"/>
      <color indexed="21"/>
      <name val="Times New Roman"/>
      <family val="1"/>
    </font>
    <font>
      <b/>
      <sz val="11"/>
      <color indexed="21"/>
      <name val="Arial"/>
      <family val="2"/>
    </font>
    <font>
      <sz val="11"/>
      <color indexed="36"/>
      <name val="Times New Roman"/>
      <family val="1"/>
    </font>
    <font>
      <b/>
      <sz val="11"/>
      <color indexed="57"/>
      <name val="Arial"/>
      <family val="2"/>
    </font>
    <font>
      <sz val="11"/>
      <color indexed="1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0" fontId="0" fillId="0" borderId="0" xfId="0" applyFont="1"/>
    <xf numFmtId="0" fontId="20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1" fillId="0" borderId="0" xfId="0" applyFont="1"/>
    <xf numFmtId="3" fontId="21" fillId="0" borderId="0" xfId="0" applyNumberFormat="1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10" fontId="21" fillId="0" borderId="0" xfId="1" applyNumberFormat="1" applyFont="1"/>
    <xf numFmtId="0" fontId="26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7" fillId="0" borderId="4" xfId="0" applyFont="1" applyBorder="1" applyAlignment="1">
      <alignment vertical="top" wrapText="1"/>
    </xf>
    <xf numFmtId="0" fontId="28" fillId="0" borderId="0" xfId="0" applyFont="1"/>
    <xf numFmtId="0" fontId="29" fillId="0" borderId="0" xfId="0" applyFont="1"/>
    <xf numFmtId="3" fontId="30" fillId="0" borderId="0" xfId="0" applyNumberFormat="1" applyFont="1"/>
    <xf numFmtId="0" fontId="31" fillId="0" borderId="0" xfId="0" applyFont="1"/>
    <xf numFmtId="0" fontId="30" fillId="0" borderId="0" xfId="0" applyFont="1"/>
    <xf numFmtId="3" fontId="31" fillId="0" borderId="0" xfId="0" applyNumberFormat="1" applyFont="1"/>
    <xf numFmtId="2" fontId="31" fillId="0" borderId="0" xfId="0" applyNumberFormat="1" applyFont="1" applyAlignment="1">
      <alignment horizontal="center"/>
    </xf>
    <xf numFmtId="3" fontId="30" fillId="0" borderId="1" xfId="0" applyNumberFormat="1" applyFont="1" applyBorder="1" applyAlignment="1">
      <alignment vertical="top" wrapText="1"/>
    </xf>
    <xf numFmtId="0" fontId="30" fillId="0" borderId="2" xfId="0" applyFont="1" applyBorder="1" applyAlignment="1">
      <alignment vertical="top" wrapText="1"/>
    </xf>
    <xf numFmtId="3" fontId="30" fillId="0" borderId="2" xfId="0" applyNumberFormat="1" applyFont="1" applyBorder="1" applyAlignment="1">
      <alignment vertical="top" wrapText="1"/>
    </xf>
    <xf numFmtId="2" fontId="30" fillId="0" borderId="2" xfId="0" applyNumberFormat="1" applyFont="1" applyBorder="1" applyAlignment="1">
      <alignment horizontal="center" vertical="top" wrapText="1"/>
    </xf>
    <xf numFmtId="3" fontId="30" fillId="0" borderId="3" xfId="0" applyNumberFormat="1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3" fontId="31" fillId="0" borderId="4" xfId="0" applyNumberFormat="1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164" fontId="30" fillId="0" borderId="2" xfId="0" applyNumberFormat="1" applyFont="1" applyBorder="1" applyAlignment="1">
      <alignment horizontal="center" vertical="top" wrapText="1"/>
    </xf>
    <xf numFmtId="2" fontId="0" fillId="0" borderId="0" xfId="0" applyNumberFormat="1" applyAlignment="1">
      <alignment horizontal="center"/>
    </xf>
    <xf numFmtId="0" fontId="36" fillId="0" borderId="0" xfId="0" applyFont="1"/>
    <xf numFmtId="0" fontId="37" fillId="0" borderId="0" xfId="0" applyFont="1"/>
    <xf numFmtId="0" fontId="38" fillId="0" borderId="0" xfId="0" applyFont="1"/>
    <xf numFmtId="10" fontId="36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9" fillId="0" borderId="0" xfId="0" applyFont="1"/>
    <xf numFmtId="0" fontId="40" fillId="0" borderId="4" xfId="0" applyFont="1" applyBorder="1" applyAlignment="1">
      <alignment vertical="top" wrapText="1"/>
    </xf>
    <xf numFmtId="10" fontId="0" fillId="0" borderId="0" xfId="0" applyNumberFormat="1" applyFont="1"/>
    <xf numFmtId="0" fontId="41" fillId="0" borderId="0" xfId="0" applyFont="1"/>
    <xf numFmtId="0" fontId="42" fillId="0" borderId="4" xfId="0" applyFont="1" applyBorder="1" applyAlignment="1">
      <alignment vertical="top" wrapText="1"/>
    </xf>
    <xf numFmtId="0" fontId="43" fillId="0" borderId="4" xfId="0" applyFont="1" applyBorder="1" applyAlignment="1">
      <alignment vertical="top" wrapText="1"/>
    </xf>
    <xf numFmtId="0" fontId="44" fillId="0" borderId="4" xfId="0" applyFont="1" applyBorder="1" applyAlignment="1">
      <alignment vertical="top" wrapText="1"/>
    </xf>
    <xf numFmtId="0" fontId="45" fillId="0" borderId="0" xfId="0" applyFont="1"/>
    <xf numFmtId="10" fontId="46" fillId="0" borderId="0" xfId="0" applyNumberFormat="1" applyFont="1"/>
    <xf numFmtId="0" fontId="47" fillId="0" borderId="0" xfId="0" applyFont="1"/>
    <xf numFmtId="0" fontId="48" fillId="0" borderId="4" xfId="0" applyFont="1" applyBorder="1" applyAlignment="1">
      <alignment vertical="top" wrapText="1"/>
    </xf>
    <xf numFmtId="0" fontId="49" fillId="0" borderId="4" xfId="0" applyFont="1" applyBorder="1" applyAlignment="1">
      <alignment vertical="top" wrapText="1"/>
    </xf>
    <xf numFmtId="0" fontId="50" fillId="0" borderId="0" xfId="0" applyFont="1"/>
    <xf numFmtId="0" fontId="3" fillId="0" borderId="4" xfId="0" applyFont="1" applyBorder="1"/>
    <xf numFmtId="0" fontId="51" fillId="0" borderId="4" xfId="0" applyFont="1" applyBorder="1" applyAlignment="1">
      <alignment vertical="top" wrapText="1"/>
    </xf>
    <xf numFmtId="0" fontId="52" fillId="0" borderId="0" xfId="0" applyFont="1"/>
    <xf numFmtId="0" fontId="53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0"/>
  <sheetViews>
    <sheetView tabSelected="1"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8" s="2" customFormat="1" ht="16.5" customHeight="1">
      <c r="A1" s="1" t="s">
        <v>1085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(11018/17941)</f>
        <v>0.61412407335154118</v>
      </c>
    </row>
    <row r="4" spans="1:18" s="2" customFormat="1" ht="16.5" customHeight="1" thickBot="1">
      <c r="A4" s="7" t="s">
        <v>762</v>
      </c>
      <c r="B4" s="12" t="s">
        <v>5</v>
      </c>
      <c r="C4" s="9">
        <v>2077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973</v>
      </c>
      <c r="B5" s="43" t="s">
        <v>16</v>
      </c>
      <c r="C5" s="10">
        <v>1428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1" t="s">
        <v>8</v>
      </c>
      <c r="O5" s="16" t="s">
        <v>5</v>
      </c>
      <c r="P5" s="17">
        <f>(C4+C6+C10+C12+C17)</f>
        <v>4587</v>
      </c>
      <c r="Q5" s="14">
        <f>SUM(P5/P9)</f>
        <v>0.42202594534915816</v>
      </c>
      <c r="R5" s="2">
        <v>2</v>
      </c>
    </row>
    <row r="6" spans="1:18" s="2" customFormat="1" ht="16.5" customHeight="1" thickBot="1">
      <c r="A6" s="7" t="s">
        <v>1089</v>
      </c>
      <c r="B6" s="12" t="s">
        <v>5</v>
      </c>
      <c r="C6" s="10">
        <v>1104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1" t="s">
        <v>7</v>
      </c>
      <c r="O6" s="20" t="s">
        <v>3</v>
      </c>
      <c r="P6" s="17">
        <f>(C7+C9+C11+C14+C16)</f>
        <v>3135</v>
      </c>
      <c r="Q6" s="14">
        <f>SUM(P6/P9)</f>
        <v>0.28843499861992822</v>
      </c>
      <c r="R6" s="2">
        <v>2</v>
      </c>
    </row>
    <row r="7" spans="1:18" s="2" customFormat="1" ht="16.5" customHeight="1" thickBot="1">
      <c r="A7" s="7" t="s">
        <v>1086</v>
      </c>
      <c r="B7" s="8" t="s">
        <v>3</v>
      </c>
      <c r="C7" s="10">
        <v>954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1" t="s">
        <v>10</v>
      </c>
      <c r="O7" s="21" t="s">
        <v>16</v>
      </c>
      <c r="P7" s="17">
        <f>(C5+C13+C15)</f>
        <v>2225</v>
      </c>
      <c r="Q7" s="14">
        <f>SUM(P7/P9)</f>
        <v>0.20471064495353758</v>
      </c>
      <c r="R7" s="2">
        <v>1</v>
      </c>
    </row>
    <row r="8" spans="1:18" s="2" customFormat="1" ht="16.5" customHeight="1" thickBot="1">
      <c r="A8" s="18" t="s">
        <v>1091</v>
      </c>
      <c r="B8" s="23" t="s">
        <v>14</v>
      </c>
      <c r="C8" s="10">
        <v>922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1"/>
      <c r="O8" s="13" t="s">
        <v>17</v>
      </c>
      <c r="P8" s="17">
        <v>922</v>
      </c>
      <c r="Q8" s="14">
        <f>SUM(P8/P9)</f>
        <v>8.4828411077376029E-2</v>
      </c>
    </row>
    <row r="9" spans="1:18" s="2" customFormat="1" ht="16.5" customHeight="1" thickBot="1">
      <c r="A9" s="7" t="s">
        <v>1072</v>
      </c>
      <c r="B9" s="8" t="s">
        <v>3</v>
      </c>
      <c r="C9" s="10">
        <v>884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1" t="s">
        <v>6</v>
      </c>
      <c r="P9" s="24">
        <v>10869</v>
      </c>
    </row>
    <row r="10" spans="1:18" s="2" customFormat="1" ht="16.5" customHeight="1" thickBot="1">
      <c r="A10" s="18" t="s">
        <v>1096</v>
      </c>
      <c r="B10" s="19" t="s">
        <v>5</v>
      </c>
      <c r="C10" s="10">
        <v>736</v>
      </c>
      <c r="D10" s="10"/>
      <c r="E10" s="10"/>
      <c r="F10" s="10"/>
      <c r="G10" s="10"/>
      <c r="H10" s="10"/>
      <c r="I10" s="10"/>
      <c r="J10" s="10"/>
      <c r="K10" s="10"/>
    </row>
    <row r="11" spans="1:18" s="2" customFormat="1" ht="16.5" customHeight="1" thickBot="1">
      <c r="A11" s="18" t="s">
        <v>1088</v>
      </c>
      <c r="B11" s="28" t="s">
        <v>3</v>
      </c>
      <c r="C11" s="10">
        <v>552</v>
      </c>
      <c r="D11" s="10"/>
      <c r="E11" s="10"/>
      <c r="F11" s="10"/>
      <c r="G11" s="10"/>
      <c r="H11" s="10"/>
      <c r="I11" s="10"/>
      <c r="J11" s="10"/>
    </row>
    <row r="12" spans="1:18" s="2" customFormat="1" ht="16.5" customHeight="1" thickBot="1">
      <c r="A12" s="18" t="s">
        <v>1092</v>
      </c>
      <c r="B12" s="19" t="s">
        <v>5</v>
      </c>
      <c r="C12" s="10">
        <v>475</v>
      </c>
      <c r="D12" s="10"/>
      <c r="E12" s="10"/>
      <c r="F12" s="10"/>
      <c r="G12" s="10"/>
      <c r="H12" s="10"/>
      <c r="L12" s="17"/>
    </row>
    <row r="13" spans="1:18" s="2" customFormat="1" ht="16.5" customHeight="1" thickBot="1">
      <c r="A13" s="18" t="s">
        <v>1087</v>
      </c>
      <c r="B13" s="22" t="s">
        <v>16</v>
      </c>
      <c r="C13" s="10">
        <v>424</v>
      </c>
      <c r="D13" s="10"/>
      <c r="E13" s="10"/>
      <c r="F13" s="10"/>
      <c r="G13" s="10"/>
      <c r="H13" s="10"/>
      <c r="K13" s="91"/>
      <c r="L13" s="17"/>
    </row>
    <row r="14" spans="1:18" s="2" customFormat="1" ht="16.5" customHeight="1" thickBot="1">
      <c r="A14" s="18" t="s">
        <v>1093</v>
      </c>
      <c r="B14" s="28" t="s">
        <v>3</v>
      </c>
      <c r="C14" s="10">
        <v>408</v>
      </c>
      <c r="D14" s="10"/>
      <c r="E14" s="10"/>
      <c r="F14" s="10"/>
      <c r="G14" s="10"/>
      <c r="K14" s="90"/>
      <c r="L14" s="17"/>
      <c r="M14" s="14"/>
    </row>
    <row r="15" spans="1:18" s="2" customFormat="1" ht="16.5" customHeight="1" thickBot="1">
      <c r="A15" s="18" t="s">
        <v>1090</v>
      </c>
      <c r="B15" s="22" t="s">
        <v>16</v>
      </c>
      <c r="C15" s="10">
        <v>373</v>
      </c>
      <c r="D15" s="10"/>
      <c r="E15" s="10"/>
    </row>
    <row r="16" spans="1:18" s="2" customFormat="1" ht="16.5" customHeight="1" thickBot="1">
      <c r="A16" s="18" t="s">
        <v>1094</v>
      </c>
      <c r="B16" s="28" t="s">
        <v>3</v>
      </c>
      <c r="C16" s="10">
        <v>337</v>
      </c>
      <c r="D16" s="10"/>
      <c r="K16" s="48"/>
      <c r="L16" s="17"/>
    </row>
    <row r="17" spans="1:15" s="2" customFormat="1" ht="16.5" customHeight="1" thickBot="1">
      <c r="A17" s="18" t="s">
        <v>1095</v>
      </c>
      <c r="B17" s="19" t="s">
        <v>5</v>
      </c>
      <c r="C17" s="10">
        <v>195</v>
      </c>
      <c r="D17" s="10"/>
      <c r="K17" s="90"/>
      <c r="L17" s="17"/>
      <c r="M17" s="14"/>
    </row>
    <row r="18" spans="1:15" s="2" customFormat="1" ht="10.5" customHeight="1">
      <c r="A18" s="1"/>
      <c r="C18" s="17"/>
    </row>
    <row r="19" spans="1:15" s="2" customFormat="1" ht="17.45" customHeight="1">
      <c r="A19" s="1" t="s">
        <v>1101</v>
      </c>
    </row>
    <row r="20" spans="1:15" s="2" customFormat="1" ht="10.5" customHeight="1" thickBot="1">
      <c r="A20" s="1"/>
    </row>
    <row r="21" spans="1:15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>
        <v>8</v>
      </c>
      <c r="K21" s="6"/>
      <c r="L21" s="13" t="s">
        <v>9</v>
      </c>
      <c r="M21" s="14">
        <f>(8219/14055)</f>
        <v>0.58477410174315192</v>
      </c>
    </row>
    <row r="22" spans="1:15" s="2" customFormat="1" ht="16.5" customHeight="1" thickBot="1">
      <c r="A22" s="7" t="s">
        <v>798</v>
      </c>
      <c r="B22" s="43" t="s">
        <v>16</v>
      </c>
      <c r="C22" s="10">
        <v>1903</v>
      </c>
      <c r="D22" s="10"/>
      <c r="E22" s="10"/>
      <c r="F22" s="10"/>
      <c r="G22" s="10"/>
      <c r="H22" s="10"/>
      <c r="I22" s="10"/>
      <c r="J22" s="10"/>
      <c r="K22" s="11" t="s">
        <v>4</v>
      </c>
      <c r="M22" s="13" t="s">
        <v>11</v>
      </c>
      <c r="N22" s="13" t="s">
        <v>12</v>
      </c>
      <c r="O22" s="13" t="s">
        <v>13</v>
      </c>
    </row>
    <row r="23" spans="1:15" s="2" customFormat="1" ht="16.5" customHeight="1" thickBot="1">
      <c r="A23" s="7" t="s">
        <v>1102</v>
      </c>
      <c r="B23" s="12" t="s">
        <v>5</v>
      </c>
      <c r="C23" s="10">
        <v>1258</v>
      </c>
      <c r="D23" s="10"/>
      <c r="E23" s="10"/>
      <c r="F23" s="10"/>
      <c r="G23" s="10"/>
      <c r="H23" s="10"/>
      <c r="I23" s="10"/>
      <c r="J23" s="10"/>
      <c r="K23" s="11" t="s">
        <v>8</v>
      </c>
      <c r="L23" s="16" t="s">
        <v>5</v>
      </c>
      <c r="M23" s="17">
        <f>(C23+C25+C28)</f>
        <v>2846</v>
      </c>
      <c r="N23" s="14">
        <f>SUM(M23/M27)</f>
        <v>0.35075178703475474</v>
      </c>
      <c r="O23" s="2">
        <v>1</v>
      </c>
    </row>
    <row r="24" spans="1:15" s="2" customFormat="1" ht="16.5" customHeight="1" thickBot="1">
      <c r="A24" s="7" t="s">
        <v>966</v>
      </c>
      <c r="B24" s="8" t="s">
        <v>3</v>
      </c>
      <c r="C24" s="10">
        <v>869</v>
      </c>
      <c r="D24" s="10"/>
      <c r="E24" s="10"/>
      <c r="F24" s="10"/>
      <c r="G24" s="10"/>
      <c r="H24" s="10"/>
      <c r="I24" s="10"/>
      <c r="J24" s="10"/>
      <c r="K24" s="11" t="s">
        <v>7</v>
      </c>
      <c r="L24" s="20" t="s">
        <v>3</v>
      </c>
      <c r="M24" s="17">
        <f>(C24+C26+C27)</f>
        <v>2418</v>
      </c>
      <c r="N24" s="14">
        <f>SUM(M24/M27)</f>
        <v>0.29800345082573332</v>
      </c>
      <c r="O24" s="2">
        <v>1</v>
      </c>
    </row>
    <row r="25" spans="1:15" s="2" customFormat="1" ht="16.5" customHeight="1" thickBot="1">
      <c r="A25" s="18" t="s">
        <v>1104</v>
      </c>
      <c r="B25" s="19" t="s">
        <v>5</v>
      </c>
      <c r="C25" s="10">
        <v>867</v>
      </c>
      <c r="D25" s="10"/>
      <c r="E25" s="10"/>
      <c r="F25" s="10"/>
      <c r="G25" s="10"/>
      <c r="H25" s="10"/>
      <c r="I25" s="10"/>
      <c r="J25" s="10"/>
      <c r="K25" s="11"/>
      <c r="L25" s="21" t="s">
        <v>16</v>
      </c>
      <c r="M25" s="17">
        <f>(C22+C31+C30)</f>
        <v>2455</v>
      </c>
      <c r="N25" s="14">
        <f>SUM(M25/M27)</f>
        <v>0.30256347054473748</v>
      </c>
      <c r="O25" s="2">
        <v>1</v>
      </c>
    </row>
    <row r="26" spans="1:15" s="2" customFormat="1" ht="16.5" customHeight="1" thickBot="1">
      <c r="A26" s="18" t="s">
        <v>1103</v>
      </c>
      <c r="B26" s="28" t="s">
        <v>3</v>
      </c>
      <c r="C26" s="10">
        <v>778</v>
      </c>
      <c r="D26" s="10"/>
      <c r="E26" s="10"/>
      <c r="F26" s="10"/>
      <c r="G26" s="10"/>
      <c r="H26" s="10"/>
      <c r="I26" s="10"/>
      <c r="J26" s="10"/>
      <c r="L26" s="26" t="s">
        <v>18</v>
      </c>
      <c r="M26" s="17">
        <v>395</v>
      </c>
      <c r="N26" s="14">
        <f>SUM(M26/M27)</f>
        <v>4.8681291594774467E-2</v>
      </c>
    </row>
    <row r="27" spans="1:15" s="2" customFormat="1" ht="16.5" customHeight="1" thickBot="1">
      <c r="A27" s="18" t="s">
        <v>1106</v>
      </c>
      <c r="B27" s="28" t="s">
        <v>3</v>
      </c>
      <c r="C27" s="10">
        <v>771</v>
      </c>
      <c r="D27" s="10"/>
      <c r="E27" s="10"/>
      <c r="F27" s="10"/>
      <c r="G27" s="10"/>
      <c r="H27" s="10"/>
      <c r="I27" s="10"/>
      <c r="L27" s="13"/>
      <c r="M27" s="24">
        <v>8114</v>
      </c>
      <c r="N27" s="14"/>
    </row>
    <row r="28" spans="1:15" s="2" customFormat="1" ht="16.5" customHeight="1" thickBot="1">
      <c r="A28" s="18" t="s">
        <v>1107</v>
      </c>
      <c r="B28" s="19" t="s">
        <v>5</v>
      </c>
      <c r="C28" s="10">
        <v>721</v>
      </c>
      <c r="D28" s="10"/>
      <c r="E28" s="10"/>
      <c r="F28" s="10"/>
      <c r="G28" s="10"/>
      <c r="H28" s="10"/>
      <c r="I28" s="10"/>
    </row>
    <row r="29" spans="1:15" s="2" customFormat="1" ht="16.5" customHeight="1" thickBot="1">
      <c r="A29" s="18" t="s">
        <v>1109</v>
      </c>
      <c r="B29" s="27" t="s">
        <v>1084</v>
      </c>
      <c r="C29" s="10">
        <v>395</v>
      </c>
      <c r="D29" s="10"/>
      <c r="E29" s="10"/>
      <c r="F29" s="10"/>
      <c r="G29" s="10"/>
    </row>
    <row r="30" spans="1:15" s="2" customFormat="1" ht="16.5" customHeight="1" thickBot="1">
      <c r="A30" s="18" t="s">
        <v>1105</v>
      </c>
      <c r="B30" s="22" t="s">
        <v>16</v>
      </c>
      <c r="C30" s="10">
        <v>342</v>
      </c>
      <c r="D30" s="10"/>
      <c r="E30" s="10"/>
      <c r="F30" s="10"/>
      <c r="G30" s="10"/>
    </row>
    <row r="31" spans="1:15" s="2" customFormat="1" ht="16.5" customHeight="1" thickBot="1">
      <c r="A31" s="18" t="s">
        <v>1108</v>
      </c>
      <c r="B31" s="22" t="s">
        <v>16</v>
      </c>
      <c r="C31" s="10">
        <v>210</v>
      </c>
      <c r="D31" s="10"/>
      <c r="E31" s="10"/>
      <c r="F31" s="10"/>
      <c r="K31" s="14"/>
    </row>
    <row r="32" spans="1:15" s="2" customFormat="1" ht="11.25" customHeight="1">
      <c r="A32" s="29"/>
      <c r="B32" s="30"/>
      <c r="C32" s="45"/>
      <c r="D32" s="45"/>
      <c r="E32" s="45"/>
      <c r="F32" s="17"/>
      <c r="G32" s="17"/>
      <c r="H32" s="17"/>
      <c r="I32" s="17"/>
      <c r="J32" s="17"/>
      <c r="K32" s="17"/>
      <c r="L32" s="17"/>
      <c r="M32" s="17"/>
      <c r="N32" s="44"/>
    </row>
    <row r="33" spans="1:16" s="2" customFormat="1" ht="17.45" customHeight="1">
      <c r="A33" s="1" t="s">
        <v>1110</v>
      </c>
    </row>
    <row r="34" spans="1:16" s="2" customFormat="1" ht="10.5" customHeight="1" thickBot="1">
      <c r="A34" s="1"/>
    </row>
    <row r="35" spans="1:16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6"/>
      <c r="M35" s="13" t="s">
        <v>9</v>
      </c>
      <c r="N35" s="14">
        <f>(13269/23745)</f>
        <v>0.55881238155401136</v>
      </c>
    </row>
    <row r="36" spans="1:16" s="2" customFormat="1" ht="16.5" customHeight="1" thickBot="1">
      <c r="A36" s="7" t="s">
        <v>1113</v>
      </c>
      <c r="B36" s="8" t="s">
        <v>3</v>
      </c>
      <c r="C36" s="9">
        <v>2653</v>
      </c>
      <c r="D36" s="10"/>
      <c r="E36" s="10"/>
      <c r="F36" s="10"/>
      <c r="G36" s="10"/>
      <c r="H36" s="10"/>
      <c r="I36" s="10"/>
      <c r="J36" s="10"/>
      <c r="K36" s="10"/>
      <c r="L36" s="11" t="s">
        <v>4</v>
      </c>
      <c r="N36" s="13" t="s">
        <v>11</v>
      </c>
      <c r="O36" s="13" t="s">
        <v>12</v>
      </c>
      <c r="P36" s="13" t="s">
        <v>13</v>
      </c>
    </row>
    <row r="37" spans="1:16" s="2" customFormat="1" ht="16.5" customHeight="1" thickBot="1">
      <c r="A37" s="7" t="s">
        <v>1111</v>
      </c>
      <c r="B37" s="43" t="s">
        <v>16</v>
      </c>
      <c r="C37" s="10">
        <v>2133</v>
      </c>
      <c r="D37" s="10"/>
      <c r="E37" s="10"/>
      <c r="F37" s="10"/>
      <c r="G37" s="10"/>
      <c r="H37" s="10"/>
      <c r="I37" s="10"/>
      <c r="J37" s="10"/>
      <c r="K37" s="10"/>
      <c r="L37" s="11" t="s">
        <v>8</v>
      </c>
      <c r="M37" s="16" t="s">
        <v>5</v>
      </c>
      <c r="N37" s="17">
        <f>(C38+C39+C40)</f>
        <v>3948</v>
      </c>
      <c r="O37" s="14">
        <f>SUM(N37/N41)</f>
        <v>0.30045662100456622</v>
      </c>
      <c r="P37" s="2">
        <v>2</v>
      </c>
    </row>
    <row r="38" spans="1:16" s="2" customFormat="1" ht="16.5" customHeight="1" thickBot="1">
      <c r="A38" s="7" t="s">
        <v>1048</v>
      </c>
      <c r="B38" s="12" t="s">
        <v>5</v>
      </c>
      <c r="C38" s="10">
        <v>1748</v>
      </c>
      <c r="D38" s="10"/>
      <c r="E38" s="10"/>
      <c r="F38" s="10"/>
      <c r="G38" s="10"/>
      <c r="H38" s="10"/>
      <c r="I38" s="10"/>
      <c r="J38" s="10"/>
      <c r="K38" s="10"/>
      <c r="L38" s="11" t="s">
        <v>7</v>
      </c>
      <c r="M38" s="20" t="s">
        <v>3</v>
      </c>
      <c r="N38" s="17">
        <f>(C36+C41+C42+C44+C47+C48)</f>
        <v>5481</v>
      </c>
      <c r="O38" s="14">
        <f>SUM(N38/N41)</f>
        <v>0.41712328767123286</v>
      </c>
      <c r="P38" s="2">
        <v>2</v>
      </c>
    </row>
    <row r="39" spans="1:16" s="2" customFormat="1" ht="16.5" customHeight="1" thickBot="1">
      <c r="A39" s="7" t="s">
        <v>1114</v>
      </c>
      <c r="B39" s="12" t="s">
        <v>5</v>
      </c>
      <c r="C39" s="10">
        <v>1192</v>
      </c>
      <c r="D39" s="10"/>
      <c r="E39" s="10"/>
      <c r="F39" s="10"/>
      <c r="G39" s="10"/>
      <c r="H39" s="10"/>
      <c r="I39" s="10"/>
      <c r="J39" s="10"/>
      <c r="K39" s="10"/>
      <c r="L39" s="11" t="s">
        <v>10</v>
      </c>
      <c r="M39" s="21" t="s">
        <v>16</v>
      </c>
      <c r="N39" s="17">
        <f>(C37+C45+C46)</f>
        <v>3031</v>
      </c>
      <c r="O39" s="14">
        <f>SUM(N39/N41)</f>
        <v>0.2306697108066971</v>
      </c>
      <c r="P39" s="2">
        <v>1</v>
      </c>
    </row>
    <row r="40" spans="1:16" s="2" customFormat="1" ht="16.5" customHeight="1" thickBot="1">
      <c r="A40" s="18" t="s">
        <v>1115</v>
      </c>
      <c r="B40" s="19" t="s">
        <v>5</v>
      </c>
      <c r="C40" s="10">
        <v>1008</v>
      </c>
      <c r="D40" s="10"/>
      <c r="E40" s="10"/>
      <c r="F40" s="10"/>
      <c r="G40" s="10"/>
      <c r="H40" s="10"/>
      <c r="I40" s="10"/>
      <c r="J40" s="10"/>
      <c r="K40" s="10"/>
      <c r="L40" s="11"/>
      <c r="M40" s="13" t="s">
        <v>17</v>
      </c>
      <c r="N40" s="17">
        <v>680</v>
      </c>
      <c r="O40" s="14">
        <f>SUM(N40/N41)</f>
        <v>5.1750380517503802E-2</v>
      </c>
    </row>
    <row r="41" spans="1:16" s="2" customFormat="1" ht="16.5" customHeight="1" thickBot="1">
      <c r="A41" s="7" t="s">
        <v>644</v>
      </c>
      <c r="B41" s="8" t="s">
        <v>3</v>
      </c>
      <c r="C41" s="10">
        <v>865</v>
      </c>
      <c r="D41" s="10"/>
      <c r="E41" s="10"/>
      <c r="F41" s="10"/>
      <c r="G41" s="10"/>
      <c r="H41" s="10"/>
      <c r="I41" s="10"/>
      <c r="J41" s="10"/>
      <c r="K41" s="10"/>
      <c r="L41" s="11" t="s">
        <v>6</v>
      </c>
      <c r="N41" s="24">
        <v>13140</v>
      </c>
    </row>
    <row r="42" spans="1:16" s="2" customFormat="1" ht="16.5" customHeight="1" thickBot="1">
      <c r="A42" s="18" t="s">
        <v>636</v>
      </c>
      <c r="B42" s="28" t="s">
        <v>3</v>
      </c>
      <c r="C42" s="10">
        <v>838</v>
      </c>
      <c r="D42" s="10"/>
      <c r="E42" s="10"/>
      <c r="F42" s="10"/>
      <c r="G42" s="10"/>
      <c r="H42" s="10"/>
      <c r="I42" s="10"/>
    </row>
    <row r="43" spans="1:16" s="2" customFormat="1" ht="16.5" customHeight="1" thickBot="1">
      <c r="A43" s="18" t="s">
        <v>1116</v>
      </c>
      <c r="B43" s="23" t="s">
        <v>14</v>
      </c>
      <c r="C43" s="10">
        <v>680</v>
      </c>
      <c r="D43" s="10"/>
      <c r="E43" s="10"/>
      <c r="F43" s="10"/>
      <c r="G43" s="10"/>
      <c r="H43" s="10"/>
      <c r="I43" s="10"/>
    </row>
    <row r="44" spans="1:16" s="2" customFormat="1" ht="16.5" customHeight="1" thickBot="1">
      <c r="A44" s="18" t="s">
        <v>1120</v>
      </c>
      <c r="B44" s="28" t="s">
        <v>3</v>
      </c>
      <c r="C44" s="10">
        <v>600</v>
      </c>
      <c r="D44" s="10"/>
      <c r="E44" s="10"/>
      <c r="F44" s="10"/>
    </row>
    <row r="45" spans="1:16" s="2" customFormat="1" ht="16.5" customHeight="1" thickBot="1">
      <c r="A45" s="18" t="s">
        <v>1112</v>
      </c>
      <c r="B45" s="22" t="s">
        <v>16</v>
      </c>
      <c r="C45" s="10">
        <v>588</v>
      </c>
      <c r="D45" s="10"/>
      <c r="E45" s="10"/>
      <c r="F45" s="10"/>
    </row>
    <row r="46" spans="1:16" s="2" customFormat="1" ht="16.5" customHeight="1" thickBot="1">
      <c r="A46" s="18" t="s">
        <v>1117</v>
      </c>
      <c r="B46" s="22" t="s">
        <v>16</v>
      </c>
      <c r="C46" s="10">
        <v>310</v>
      </c>
      <c r="D46" s="10"/>
      <c r="E46" s="10"/>
      <c r="L46" s="17"/>
      <c r="M46" s="14"/>
    </row>
    <row r="47" spans="1:16" s="2" customFormat="1" ht="16.5" customHeight="1" thickBot="1">
      <c r="A47" s="18" t="s">
        <v>1118</v>
      </c>
      <c r="B47" s="28" t="s">
        <v>3</v>
      </c>
      <c r="C47" s="10">
        <v>285</v>
      </c>
      <c r="D47" s="10"/>
      <c r="L47" s="17"/>
    </row>
    <row r="48" spans="1:16" s="2" customFormat="1" ht="16.5" customHeight="1" thickBot="1">
      <c r="A48" s="18" t="s">
        <v>1119</v>
      </c>
      <c r="B48" s="28" t="s">
        <v>3</v>
      </c>
      <c r="C48" s="10">
        <v>240</v>
      </c>
      <c r="D48" s="10"/>
      <c r="L48" s="17"/>
    </row>
    <row r="49" spans="1:17" s="2" customFormat="1" ht="11.25" customHeight="1">
      <c r="A49" s="29"/>
      <c r="B49" s="30"/>
      <c r="C49" s="45"/>
      <c r="D49" s="45"/>
      <c r="E49" s="45"/>
      <c r="F49" s="17"/>
      <c r="G49" s="17"/>
      <c r="H49" s="17"/>
      <c r="I49" s="17"/>
      <c r="J49" s="17"/>
      <c r="K49" s="17"/>
      <c r="L49" s="17"/>
      <c r="M49" s="17"/>
      <c r="N49" s="44"/>
    </row>
    <row r="50" spans="1:17" s="2" customFormat="1" ht="17.45" customHeight="1">
      <c r="A50" s="1" t="s">
        <v>1125</v>
      </c>
    </row>
    <row r="51" spans="1:17" s="2" customFormat="1" ht="10.5" customHeight="1" thickBot="1">
      <c r="A51" s="1"/>
    </row>
    <row r="52" spans="1:17" s="2" customFormat="1" ht="16.5" customHeight="1" thickBot="1">
      <c r="A52" s="4" t="s">
        <v>0</v>
      </c>
      <c r="B52" s="5" t="s">
        <v>1</v>
      </c>
      <c r="C52" s="5" t="s">
        <v>2</v>
      </c>
      <c r="D52" s="5">
        <v>2</v>
      </c>
      <c r="E52" s="5">
        <v>3</v>
      </c>
      <c r="F52" s="5">
        <v>4</v>
      </c>
      <c r="G52" s="5">
        <v>5</v>
      </c>
      <c r="H52" s="5">
        <v>6</v>
      </c>
      <c r="I52" s="5">
        <v>7</v>
      </c>
      <c r="J52" s="5">
        <v>8</v>
      </c>
      <c r="K52" s="5">
        <v>9</v>
      </c>
      <c r="L52" s="5">
        <v>10</v>
      </c>
      <c r="M52" s="6"/>
      <c r="N52" s="13" t="s">
        <v>9</v>
      </c>
      <c r="O52" s="14">
        <f>(10382/19363)</f>
        <v>0.53617724526158139</v>
      </c>
    </row>
    <row r="53" spans="1:17" s="2" customFormat="1" ht="16.5" customHeight="1" thickBot="1">
      <c r="A53" s="7" t="s">
        <v>1097</v>
      </c>
      <c r="B53" s="8" t="s">
        <v>3</v>
      </c>
      <c r="C53" s="9">
        <v>1986</v>
      </c>
      <c r="D53" s="10"/>
      <c r="E53" s="10"/>
      <c r="F53" s="10"/>
      <c r="G53" s="10"/>
      <c r="H53" s="10"/>
      <c r="I53" s="10"/>
      <c r="J53" s="10"/>
      <c r="K53" s="10"/>
      <c r="L53" s="10"/>
      <c r="M53" s="11" t="s">
        <v>4</v>
      </c>
      <c r="O53" s="13" t="s">
        <v>11</v>
      </c>
      <c r="P53" s="13" t="s">
        <v>12</v>
      </c>
      <c r="Q53" s="13" t="s">
        <v>13</v>
      </c>
    </row>
    <row r="54" spans="1:17" s="2" customFormat="1" ht="16.5" customHeight="1" thickBot="1">
      <c r="A54" s="7" t="s">
        <v>1038</v>
      </c>
      <c r="B54" s="12" t="s">
        <v>5</v>
      </c>
      <c r="C54" s="10">
        <v>1490</v>
      </c>
      <c r="D54" s="10"/>
      <c r="E54" s="10"/>
      <c r="F54" s="10"/>
      <c r="G54" s="10"/>
      <c r="H54" s="10"/>
      <c r="I54" s="10"/>
      <c r="J54" s="10"/>
      <c r="K54" s="10"/>
      <c r="L54" s="10"/>
      <c r="M54" s="11" t="s">
        <v>8</v>
      </c>
      <c r="N54" s="16" t="s">
        <v>5</v>
      </c>
      <c r="O54" s="17">
        <f>(C54+C56+C62+C63)</f>
        <v>3542</v>
      </c>
      <c r="P54" s="14">
        <f>SUM(O54/O58)</f>
        <v>0.34472019464720194</v>
      </c>
      <c r="Q54" s="2">
        <v>2</v>
      </c>
    </row>
    <row r="55" spans="1:17" s="2" customFormat="1" ht="16.5" customHeight="1" thickBot="1">
      <c r="A55" s="7" t="s">
        <v>1122</v>
      </c>
      <c r="B55" s="8" t="s">
        <v>3</v>
      </c>
      <c r="C55" s="10">
        <v>1357</v>
      </c>
      <c r="D55" s="10"/>
      <c r="E55" s="10"/>
      <c r="F55" s="10"/>
      <c r="G55" s="10"/>
      <c r="H55" s="10"/>
      <c r="I55" s="10"/>
      <c r="J55" s="10"/>
      <c r="K55" s="10"/>
      <c r="L55" s="10"/>
      <c r="M55" s="11" t="s">
        <v>7</v>
      </c>
      <c r="N55" s="20" t="s">
        <v>3</v>
      </c>
      <c r="O55" s="17">
        <f>(C53+C55+C57+C61)</f>
        <v>4641</v>
      </c>
      <c r="P55" s="14">
        <f>SUM(O55/O58)</f>
        <v>0.45167883211678833</v>
      </c>
      <c r="Q55" s="2">
        <v>2</v>
      </c>
    </row>
    <row r="56" spans="1:17" s="2" customFormat="1" ht="16.5" customHeight="1" thickBot="1">
      <c r="A56" s="7" t="s">
        <v>1123</v>
      </c>
      <c r="B56" s="12" t="s">
        <v>5</v>
      </c>
      <c r="C56" s="10">
        <v>1303</v>
      </c>
      <c r="D56" s="10"/>
      <c r="E56" s="10"/>
      <c r="F56" s="10"/>
      <c r="G56" s="10"/>
      <c r="H56" s="10"/>
      <c r="I56" s="10"/>
      <c r="J56" s="10"/>
      <c r="K56" s="10"/>
      <c r="L56" s="10"/>
      <c r="M56" s="11" t="s">
        <v>6</v>
      </c>
      <c r="N56" s="21" t="s">
        <v>16</v>
      </c>
      <c r="O56" s="17">
        <f>(C58+C59)</f>
        <v>1612</v>
      </c>
      <c r="P56" s="14">
        <f>SUM(O56/O58)</f>
        <v>0.15688564476885644</v>
      </c>
      <c r="Q56" s="2">
        <v>1</v>
      </c>
    </row>
    <row r="57" spans="1:17" s="2" customFormat="1" ht="16.5" customHeight="1" thickBot="1">
      <c r="A57" s="18" t="s">
        <v>1124</v>
      </c>
      <c r="B57" s="28" t="s">
        <v>3</v>
      </c>
      <c r="C57" s="10">
        <v>889</v>
      </c>
      <c r="D57" s="10"/>
      <c r="E57" s="10"/>
      <c r="F57" s="10"/>
      <c r="G57" s="10"/>
      <c r="H57" s="10"/>
      <c r="I57" s="10"/>
      <c r="J57" s="10"/>
      <c r="K57" s="10"/>
      <c r="L57" s="10"/>
      <c r="M57" s="11"/>
      <c r="N57" s="13" t="s">
        <v>17</v>
      </c>
      <c r="O57" s="17">
        <v>480</v>
      </c>
      <c r="P57" s="14">
        <f>SUM(O57/O58)</f>
        <v>4.6715328467153282E-2</v>
      </c>
    </row>
    <row r="58" spans="1:17" s="2" customFormat="1" ht="16.5" customHeight="1" thickBot="1">
      <c r="A58" s="7" t="s">
        <v>1037</v>
      </c>
      <c r="B58" s="43" t="s">
        <v>16</v>
      </c>
      <c r="C58" s="10">
        <v>835</v>
      </c>
      <c r="D58" s="10"/>
      <c r="E58" s="10"/>
      <c r="F58" s="10"/>
      <c r="G58" s="10"/>
      <c r="H58" s="10"/>
      <c r="I58" s="10"/>
      <c r="J58" s="10"/>
      <c r="K58" s="10"/>
      <c r="L58" s="10"/>
      <c r="M58" s="11" t="s">
        <v>10</v>
      </c>
      <c r="O58" s="24">
        <v>10275</v>
      </c>
    </row>
    <row r="59" spans="1:17" s="2" customFormat="1" ht="16.5" customHeight="1" thickBot="1">
      <c r="A59" s="18" t="s">
        <v>1099</v>
      </c>
      <c r="B59" s="22" t="s">
        <v>16</v>
      </c>
      <c r="C59" s="10">
        <v>777</v>
      </c>
      <c r="D59" s="10"/>
      <c r="E59" s="10"/>
      <c r="F59" s="10"/>
      <c r="G59" s="10"/>
      <c r="H59" s="10"/>
      <c r="I59" s="10"/>
    </row>
    <row r="60" spans="1:17" s="2" customFormat="1" ht="16.5" customHeight="1" thickBot="1">
      <c r="A60" s="18" t="s">
        <v>1098</v>
      </c>
      <c r="B60" s="23" t="s">
        <v>14</v>
      </c>
      <c r="C60" s="10">
        <v>480</v>
      </c>
      <c r="D60" s="10"/>
      <c r="E60" s="10"/>
      <c r="F60" s="10"/>
      <c r="G60" s="10"/>
      <c r="H60" s="10"/>
    </row>
    <row r="61" spans="1:17" s="2" customFormat="1" ht="16.5" customHeight="1" thickBot="1">
      <c r="A61" s="18" t="s">
        <v>932</v>
      </c>
      <c r="B61" s="28" t="s">
        <v>3</v>
      </c>
      <c r="C61" s="10">
        <v>409</v>
      </c>
      <c r="D61" s="10"/>
      <c r="E61" s="10"/>
      <c r="F61" s="10"/>
      <c r="G61" s="10"/>
      <c r="K61" s="17"/>
    </row>
    <row r="62" spans="1:17" s="2" customFormat="1" ht="16.5" customHeight="1" thickBot="1">
      <c r="A62" s="18" t="s">
        <v>1121</v>
      </c>
      <c r="B62" s="19" t="s">
        <v>5</v>
      </c>
      <c r="C62" s="10">
        <v>406</v>
      </c>
      <c r="D62" s="10"/>
      <c r="E62" s="10"/>
      <c r="F62" s="10"/>
    </row>
    <row r="63" spans="1:17" s="2" customFormat="1" ht="16.5" customHeight="1" thickBot="1">
      <c r="A63" s="18" t="s">
        <v>1100</v>
      </c>
      <c r="B63" s="19" t="s">
        <v>5</v>
      </c>
      <c r="C63" s="10">
        <v>343</v>
      </c>
      <c r="D63" s="10"/>
      <c r="E63" s="10"/>
      <c r="F63" s="10"/>
      <c r="I63" s="17"/>
      <c r="J63" s="17"/>
      <c r="K63" s="17"/>
      <c r="L63" s="17"/>
    </row>
    <row r="64" spans="1:17" s="2" customFormat="1" ht="11.25" customHeight="1">
      <c r="A64" s="29"/>
      <c r="B64" s="30"/>
      <c r="C64" s="45">
        <f>SUM(C53:C63)</f>
        <v>10275</v>
      </c>
      <c r="D64" s="29"/>
      <c r="M64" s="14"/>
    </row>
    <row r="65" spans="1:18" s="2" customFormat="1" ht="17.45" customHeight="1">
      <c r="A65" s="1" t="s">
        <v>1126</v>
      </c>
    </row>
    <row r="66" spans="1:18" s="2" customFormat="1" ht="10.5" customHeight="1" thickBot="1">
      <c r="A66" s="1"/>
    </row>
    <row r="67" spans="1:18" s="2" customFormat="1" ht="16.5" customHeight="1" thickBot="1">
      <c r="A67" s="4" t="s">
        <v>0</v>
      </c>
      <c r="B67" s="5" t="s">
        <v>1</v>
      </c>
      <c r="C67" s="5" t="s">
        <v>2</v>
      </c>
      <c r="D67" s="5">
        <v>2</v>
      </c>
      <c r="E67" s="5">
        <v>3</v>
      </c>
      <c r="F67" s="5">
        <v>4</v>
      </c>
      <c r="G67" s="5">
        <v>5</v>
      </c>
      <c r="H67" s="5">
        <v>6</v>
      </c>
      <c r="I67" s="5">
        <v>7</v>
      </c>
      <c r="J67" s="5">
        <v>8</v>
      </c>
      <c r="K67" s="5">
        <v>9</v>
      </c>
      <c r="L67" s="5">
        <v>10</v>
      </c>
      <c r="M67" s="5">
        <v>11</v>
      </c>
      <c r="N67" s="6"/>
      <c r="O67" s="13" t="s">
        <v>9</v>
      </c>
      <c r="P67" s="14">
        <f>(10371/20826)</f>
        <v>0.49798329011812159</v>
      </c>
    </row>
    <row r="68" spans="1:18" s="2" customFormat="1" ht="16.5" customHeight="1" thickBot="1">
      <c r="A68" s="7" t="s">
        <v>1127</v>
      </c>
      <c r="B68" s="8" t="s">
        <v>3</v>
      </c>
      <c r="C68" s="10">
        <v>1359</v>
      </c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1" t="s">
        <v>8</v>
      </c>
      <c r="P68" s="13" t="s">
        <v>11</v>
      </c>
      <c r="Q68" s="13" t="s">
        <v>12</v>
      </c>
      <c r="R68" s="13" t="s">
        <v>13</v>
      </c>
    </row>
    <row r="69" spans="1:18" s="2" customFormat="1" ht="16.5" customHeight="1" thickBot="1">
      <c r="A69" s="7" t="s">
        <v>1015</v>
      </c>
      <c r="B69" s="15" t="s">
        <v>14</v>
      </c>
      <c r="C69" s="10">
        <v>1358</v>
      </c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1" t="s">
        <v>7</v>
      </c>
      <c r="O69" s="16" t="s">
        <v>5</v>
      </c>
      <c r="P69" s="17">
        <f>(C72+C74+C75+C77)</f>
        <v>2807</v>
      </c>
      <c r="Q69" s="14">
        <f>SUM(P69/P73)</f>
        <v>0.27324053343716537</v>
      </c>
      <c r="R69" s="2">
        <v>1</v>
      </c>
    </row>
    <row r="70" spans="1:18" s="2" customFormat="1" ht="16.5" customHeight="1" thickBot="1">
      <c r="A70" s="7" t="s">
        <v>1134</v>
      </c>
      <c r="B70" s="15" t="s">
        <v>14</v>
      </c>
      <c r="C70" s="10">
        <v>942</v>
      </c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1" t="s">
        <v>6</v>
      </c>
      <c r="O70" s="20" t="s">
        <v>3</v>
      </c>
      <c r="P70" s="17">
        <f>(C68+C71+C78+C80)</f>
        <v>3067</v>
      </c>
      <c r="Q70" s="14">
        <f>SUM(P70/P73)</f>
        <v>0.29854959602842401</v>
      </c>
      <c r="R70" s="2">
        <v>1</v>
      </c>
    </row>
    <row r="71" spans="1:18" s="2" customFormat="1" ht="16.5" customHeight="1" thickBot="1">
      <c r="A71" s="18" t="s">
        <v>1136</v>
      </c>
      <c r="B71" s="28" t="s">
        <v>3</v>
      </c>
      <c r="C71" s="10">
        <v>857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21" t="s">
        <v>16</v>
      </c>
      <c r="P71" s="17">
        <f>(C76+C79+C82+C83)</f>
        <v>1097</v>
      </c>
      <c r="Q71" s="14">
        <f>SUM(P71/P73)</f>
        <v>0.10678477562542588</v>
      </c>
    </row>
    <row r="72" spans="1:18" s="2" customFormat="1" ht="16.5" customHeight="1" thickBot="1">
      <c r="A72" s="7" t="s">
        <v>722</v>
      </c>
      <c r="B72" s="12" t="s">
        <v>5</v>
      </c>
      <c r="C72" s="10">
        <v>824</v>
      </c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1" t="s">
        <v>4</v>
      </c>
      <c r="O72" s="13" t="s">
        <v>17</v>
      </c>
      <c r="P72" s="17">
        <f>(C69+C70+C73+C81)</f>
        <v>3302</v>
      </c>
      <c r="Q72" s="14">
        <f>SUM(P72/P73)</f>
        <v>0.32142509490898474</v>
      </c>
      <c r="R72" s="2">
        <v>2</v>
      </c>
    </row>
    <row r="73" spans="1:18" s="2" customFormat="1" ht="16.5" customHeight="1" thickBot="1">
      <c r="A73" s="18" t="s">
        <v>1137</v>
      </c>
      <c r="B73" s="23" t="s">
        <v>14</v>
      </c>
      <c r="C73" s="10">
        <v>778</v>
      </c>
      <c r="D73" s="10"/>
      <c r="E73" s="10"/>
      <c r="F73" s="10"/>
      <c r="G73" s="10"/>
      <c r="H73" s="10"/>
      <c r="I73" s="10"/>
      <c r="J73" s="10"/>
      <c r="K73" s="10"/>
      <c r="L73" s="10"/>
      <c r="M73" s="10"/>
      <c r="P73" s="24">
        <v>10273</v>
      </c>
    </row>
    <row r="74" spans="1:18" s="2" customFormat="1" ht="16.5" customHeight="1" thickBot="1">
      <c r="A74" s="18" t="s">
        <v>1128</v>
      </c>
      <c r="B74" s="19" t="s">
        <v>5</v>
      </c>
      <c r="C74" s="10">
        <v>773</v>
      </c>
      <c r="D74" s="10"/>
      <c r="E74" s="10"/>
      <c r="F74" s="10"/>
      <c r="G74" s="10"/>
      <c r="H74" s="10"/>
    </row>
    <row r="75" spans="1:18" s="2" customFormat="1" ht="16.5" customHeight="1" thickBot="1">
      <c r="A75" s="18" t="s">
        <v>1129</v>
      </c>
      <c r="B75" s="19" t="s">
        <v>5</v>
      </c>
      <c r="C75" s="10">
        <v>676</v>
      </c>
      <c r="D75" s="10"/>
      <c r="E75" s="10"/>
      <c r="F75" s="10"/>
      <c r="G75" s="10"/>
      <c r="H75" s="10"/>
    </row>
    <row r="76" spans="1:18" s="2" customFormat="1" ht="16.5" customHeight="1" thickBot="1">
      <c r="A76" s="18" t="s">
        <v>1012</v>
      </c>
      <c r="B76" s="22" t="s">
        <v>16</v>
      </c>
      <c r="C76" s="10">
        <v>544</v>
      </c>
      <c r="D76" s="10"/>
      <c r="E76" s="10"/>
      <c r="F76" s="10"/>
      <c r="I76" s="17"/>
      <c r="J76" s="17"/>
      <c r="K76" s="17"/>
      <c r="L76" s="17"/>
      <c r="M76" s="17"/>
      <c r="N76" s="17"/>
    </row>
    <row r="77" spans="1:18" s="2" customFormat="1" ht="16.5" customHeight="1" thickBot="1">
      <c r="A77" s="18" t="s">
        <v>1130</v>
      </c>
      <c r="B77" s="19" t="s">
        <v>5</v>
      </c>
      <c r="C77" s="10">
        <v>534</v>
      </c>
      <c r="D77" s="10"/>
      <c r="E77" s="10"/>
      <c r="I77" s="17"/>
      <c r="J77" s="17"/>
      <c r="K77" s="17"/>
      <c r="L77" s="17"/>
      <c r="M77" s="17"/>
      <c r="N77" s="17"/>
    </row>
    <row r="78" spans="1:18" s="2" customFormat="1" ht="16.5" customHeight="1" thickBot="1">
      <c r="A78" s="18" t="s">
        <v>1018</v>
      </c>
      <c r="B78" s="28" t="s">
        <v>3</v>
      </c>
      <c r="C78" s="10">
        <v>496</v>
      </c>
      <c r="D78" s="10"/>
      <c r="K78" s="17"/>
    </row>
    <row r="79" spans="1:18" s="2" customFormat="1" ht="16.5" customHeight="1" thickBot="1">
      <c r="A79" s="18" t="s">
        <v>1138</v>
      </c>
      <c r="B79" s="22" t="s">
        <v>16</v>
      </c>
      <c r="C79" s="10">
        <v>362</v>
      </c>
      <c r="D79" s="10"/>
    </row>
    <row r="80" spans="1:18" s="2" customFormat="1" ht="16.5" customHeight="1" thickBot="1">
      <c r="A80" s="18" t="s">
        <v>1131</v>
      </c>
      <c r="B80" s="28" t="s">
        <v>3</v>
      </c>
      <c r="C80" s="10">
        <v>355</v>
      </c>
      <c r="D80" s="10"/>
      <c r="I80" s="17"/>
      <c r="J80" s="17"/>
      <c r="K80" s="17"/>
      <c r="L80" s="17"/>
      <c r="M80" s="17"/>
      <c r="N80" s="17"/>
    </row>
    <row r="81" spans="1:14" s="2" customFormat="1" ht="16.5" customHeight="1" thickBot="1">
      <c r="A81" s="18" t="s">
        <v>1135</v>
      </c>
      <c r="B81" s="23" t="s">
        <v>14</v>
      </c>
      <c r="C81" s="10">
        <v>224</v>
      </c>
      <c r="D81" s="10"/>
      <c r="I81" s="17"/>
      <c r="J81" s="17"/>
      <c r="K81" s="17"/>
      <c r="L81" s="17"/>
      <c r="M81" s="17"/>
      <c r="N81" s="17"/>
    </row>
    <row r="82" spans="1:14" s="2" customFormat="1" ht="16.5" customHeight="1" thickBot="1">
      <c r="A82" s="18" t="s">
        <v>1132</v>
      </c>
      <c r="B82" s="22" t="s">
        <v>16</v>
      </c>
      <c r="C82" s="10">
        <v>113</v>
      </c>
      <c r="D82" s="10"/>
      <c r="I82" s="17"/>
      <c r="J82" s="17"/>
      <c r="K82" s="17"/>
      <c r="L82" s="17"/>
      <c r="M82" s="17"/>
      <c r="N82" s="17"/>
    </row>
    <row r="83" spans="1:14" s="2" customFormat="1" ht="16.5" customHeight="1" thickBot="1">
      <c r="A83" s="18" t="s">
        <v>1133</v>
      </c>
      <c r="B83" s="22" t="s">
        <v>16</v>
      </c>
      <c r="C83" s="10">
        <v>78</v>
      </c>
      <c r="D83" s="10"/>
      <c r="I83" s="17"/>
      <c r="J83" s="17"/>
      <c r="K83" s="17"/>
      <c r="L83" s="17"/>
      <c r="M83" s="17"/>
      <c r="N83" s="17"/>
    </row>
    <row r="84" spans="1:14" s="2" customFormat="1" ht="11.25" customHeight="1">
      <c r="A84" s="29"/>
      <c r="B84" s="30"/>
      <c r="C84" s="45"/>
      <c r="D84" s="29"/>
      <c r="E84" s="29"/>
      <c r="N84" s="14"/>
    </row>
    <row r="85" spans="1:14" s="2" customFormat="1" ht="17.45" customHeight="1">
      <c r="A85" s="1" t="s">
        <v>1076</v>
      </c>
    </row>
    <row r="86" spans="1:14" s="2" customFormat="1" ht="8.25" customHeight="1" thickBot="1">
      <c r="A86" s="1"/>
    </row>
    <row r="87" spans="1:14" s="2" customFormat="1" ht="17.45" customHeight="1" thickBot="1">
      <c r="A87" s="4" t="s">
        <v>0</v>
      </c>
      <c r="B87" s="5" t="s">
        <v>1</v>
      </c>
      <c r="C87" s="5" t="s">
        <v>2</v>
      </c>
      <c r="D87" s="5">
        <v>2</v>
      </c>
      <c r="E87" s="5">
        <v>3</v>
      </c>
      <c r="F87" s="5">
        <v>4</v>
      </c>
      <c r="G87" s="5"/>
      <c r="H87" s="13" t="s">
        <v>9</v>
      </c>
      <c r="I87" s="14">
        <f>(17760/32429)</f>
        <v>0.54765796046748283</v>
      </c>
    </row>
    <row r="88" spans="1:14" s="2" customFormat="1" ht="17.45" customHeight="1" thickBot="1">
      <c r="A88" s="7" t="s">
        <v>1006</v>
      </c>
      <c r="B88" s="8" t="s">
        <v>3</v>
      </c>
      <c r="C88" s="9">
        <v>4185</v>
      </c>
      <c r="D88" s="10"/>
      <c r="E88" s="10"/>
      <c r="F88" s="10"/>
      <c r="G88" s="11" t="s">
        <v>4</v>
      </c>
      <c r="I88" s="13" t="s">
        <v>11</v>
      </c>
      <c r="J88" s="13" t="s">
        <v>12</v>
      </c>
      <c r="K88" s="13" t="s">
        <v>13</v>
      </c>
      <c r="L88" s="13"/>
    </row>
    <row r="89" spans="1:14" s="2" customFormat="1" ht="17.45" customHeight="1" thickBot="1">
      <c r="A89" s="7" t="s">
        <v>1079</v>
      </c>
      <c r="B89" s="8" t="s">
        <v>3</v>
      </c>
      <c r="C89" s="10">
        <v>3577</v>
      </c>
      <c r="D89" s="10"/>
      <c r="E89" s="10"/>
      <c r="F89" s="10"/>
      <c r="G89" s="11" t="s">
        <v>7</v>
      </c>
      <c r="H89" s="16" t="s">
        <v>5</v>
      </c>
      <c r="I89" s="17">
        <f>(C90+C92+C93)</f>
        <v>4942</v>
      </c>
      <c r="J89" s="14">
        <f>SUM(I89/I92)</f>
        <v>0.29564489112227804</v>
      </c>
      <c r="K89" s="2">
        <v>1</v>
      </c>
    </row>
    <row r="90" spans="1:14" s="2" customFormat="1" ht="17.45" customHeight="1" thickBot="1">
      <c r="A90" s="7" t="s">
        <v>1080</v>
      </c>
      <c r="B90" s="12" t="s">
        <v>5</v>
      </c>
      <c r="C90" s="10">
        <v>2292</v>
      </c>
      <c r="D90" s="10"/>
      <c r="E90" s="10"/>
      <c r="F90" s="10"/>
      <c r="G90" s="11" t="s">
        <v>8</v>
      </c>
      <c r="H90" s="20" t="s">
        <v>3</v>
      </c>
      <c r="I90" s="17">
        <f>(C88+C89)</f>
        <v>7762</v>
      </c>
      <c r="J90" s="14">
        <f>SUM(I90/I92)</f>
        <v>0.46434553720985883</v>
      </c>
      <c r="K90" s="2">
        <v>2</v>
      </c>
    </row>
    <row r="91" spans="1:14" s="2" customFormat="1" ht="17.45" customHeight="1" thickBot="1">
      <c r="A91" s="18" t="s">
        <v>1077</v>
      </c>
      <c r="B91" s="22" t="s">
        <v>16</v>
      </c>
      <c r="C91" s="10">
        <v>2067</v>
      </c>
      <c r="D91" s="10"/>
      <c r="E91" s="10"/>
      <c r="F91" s="10"/>
      <c r="G91" s="11"/>
      <c r="H91" s="21" t="s">
        <v>16</v>
      </c>
      <c r="I91" s="17">
        <f>(C91+C94+C95)</f>
        <v>4012</v>
      </c>
      <c r="J91" s="14">
        <f>SUM(I91/I92)</f>
        <v>0.24000957166786313</v>
      </c>
    </row>
    <row r="92" spans="1:14" s="2" customFormat="1" ht="17.45" customHeight="1" thickBot="1">
      <c r="A92" s="18" t="s">
        <v>1078</v>
      </c>
      <c r="B92" s="19" t="s">
        <v>5</v>
      </c>
      <c r="C92" s="10">
        <v>1558</v>
      </c>
      <c r="D92" s="10"/>
      <c r="E92" s="10"/>
      <c r="F92" s="10"/>
      <c r="H92" s="13"/>
      <c r="I92" s="24">
        <v>16716</v>
      </c>
      <c r="J92" s="14"/>
    </row>
    <row r="93" spans="1:14" s="2" customFormat="1" ht="17.45" customHeight="1" thickBot="1">
      <c r="A93" s="18" t="s">
        <v>1081</v>
      </c>
      <c r="B93" s="19" t="s">
        <v>5</v>
      </c>
      <c r="C93" s="10">
        <v>1092</v>
      </c>
      <c r="D93" s="10"/>
      <c r="E93" s="10"/>
      <c r="F93" s="10"/>
      <c r="H93" s="20"/>
      <c r="I93" s="17"/>
      <c r="J93" s="14"/>
    </row>
    <row r="94" spans="1:14" s="2" customFormat="1" ht="17.45" customHeight="1" thickBot="1">
      <c r="A94" s="18" t="s">
        <v>1082</v>
      </c>
      <c r="B94" s="22" t="s">
        <v>16</v>
      </c>
      <c r="C94" s="10">
        <v>1040</v>
      </c>
      <c r="D94" s="10"/>
      <c r="E94" s="10"/>
      <c r="F94" s="10"/>
      <c r="H94" s="21"/>
      <c r="I94" s="17"/>
      <c r="J94" s="14"/>
    </row>
    <row r="95" spans="1:14" s="2" customFormat="1" ht="17.45" customHeight="1" thickBot="1">
      <c r="A95" s="18" t="s">
        <v>1083</v>
      </c>
      <c r="B95" s="22" t="s">
        <v>16</v>
      </c>
      <c r="C95" s="10">
        <v>905</v>
      </c>
      <c r="D95" s="10"/>
      <c r="E95" s="10"/>
      <c r="F95" s="10"/>
      <c r="H95" s="13"/>
      <c r="I95" s="24"/>
      <c r="J95" s="14"/>
    </row>
    <row r="97" spans="1:21" s="32" customFormat="1" ht="15" customHeight="1">
      <c r="B97" s="36" t="s">
        <v>19</v>
      </c>
      <c r="C97" s="38" t="s">
        <v>5</v>
      </c>
      <c r="D97" s="39" t="s">
        <v>3</v>
      </c>
      <c r="E97" s="40" t="s">
        <v>16</v>
      </c>
      <c r="F97" s="41" t="s">
        <v>18</v>
      </c>
      <c r="G97" s="36" t="s">
        <v>17</v>
      </c>
      <c r="S97" s="33"/>
      <c r="T97" s="34"/>
      <c r="U97" s="35"/>
    </row>
    <row r="98" spans="1:21" s="32" customFormat="1" ht="15" customHeight="1">
      <c r="A98" s="32" t="s">
        <v>11</v>
      </c>
      <c r="B98" s="37">
        <f>(M27+P9+O58+N41+I92+P73)</f>
        <v>69387</v>
      </c>
      <c r="C98" s="34">
        <f>(M23+P5+O54+N37+I89+P69)</f>
        <v>22672</v>
      </c>
      <c r="D98" s="34">
        <f>(M24+P6+O55+N38+I90+P70)</f>
        <v>26504</v>
      </c>
      <c r="E98" s="34">
        <f>(I91+P71+O56+N39+M25+P7)</f>
        <v>14432</v>
      </c>
      <c r="F98" s="34">
        <v>395</v>
      </c>
      <c r="G98" s="34">
        <f>(P72+O57+N40+P8)</f>
        <v>5384</v>
      </c>
      <c r="K98" s="34"/>
      <c r="S98" s="36"/>
      <c r="T98" s="37"/>
      <c r="U98" s="35"/>
    </row>
    <row r="99" spans="1:21" s="32" customFormat="1" ht="15" customHeight="1">
      <c r="A99" s="32" t="s">
        <v>12</v>
      </c>
      <c r="B99" s="42">
        <v>1</v>
      </c>
      <c r="C99" s="35">
        <f>SUM(C98/$B$98)</f>
        <v>0.32674708518886825</v>
      </c>
      <c r="D99" s="35">
        <f>SUM(D98/$B$98)</f>
        <v>0.38197356853589287</v>
      </c>
      <c r="E99" s="35">
        <f>SUM(E98/$B$98)</f>
        <v>0.20799285168691542</v>
      </c>
      <c r="F99" s="35">
        <f>SUM(F98/$B$98)</f>
        <v>5.6927090088921559E-3</v>
      </c>
      <c r="G99" s="35">
        <f>SUM(G98/$B$98)</f>
        <v>7.7593785579431307E-2</v>
      </c>
    </row>
    <row r="100" spans="1:21" s="32" customFormat="1" ht="15" customHeight="1">
      <c r="A100" s="32" t="s">
        <v>13</v>
      </c>
      <c r="B100" s="36">
        <v>25</v>
      </c>
      <c r="C100" s="32">
        <v>9</v>
      </c>
      <c r="D100" s="32">
        <v>10</v>
      </c>
      <c r="E100" s="32">
        <v>4</v>
      </c>
      <c r="F100" s="32">
        <v>0</v>
      </c>
      <c r="G100" s="32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6"/>
  <sheetViews>
    <sheetView workbookViewId="0">
      <selection activeCell="J18" sqref="J18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8" s="2" customFormat="1" ht="16.5" customHeight="1">
      <c r="A1" s="1" t="s">
        <v>1064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(16464/35306)</f>
        <v>0.46632300458845521</v>
      </c>
    </row>
    <row r="4" spans="1:18" s="2" customFormat="1" ht="16.5" customHeight="1" thickBot="1">
      <c r="A4" s="7" t="s">
        <v>1066</v>
      </c>
      <c r="B4" s="12" t="s">
        <v>5</v>
      </c>
      <c r="C4" s="9">
        <v>3296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1065</v>
      </c>
      <c r="B5" s="8" t="s">
        <v>3</v>
      </c>
      <c r="C5" s="9">
        <v>2757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1" t="s">
        <v>8</v>
      </c>
      <c r="O5" s="16" t="s">
        <v>5</v>
      </c>
      <c r="P5" s="17">
        <f>(C4+C10+C13+C16)</f>
        <v>5501</v>
      </c>
      <c r="Q5" s="14">
        <f>SUM(P5/P9)</f>
        <v>0.33883584847551584</v>
      </c>
      <c r="R5" s="2">
        <v>2</v>
      </c>
    </row>
    <row r="6" spans="1:18" s="2" customFormat="1" ht="16.5" customHeight="1" thickBot="1">
      <c r="A6" s="18" t="s">
        <v>960</v>
      </c>
      <c r="B6" s="23" t="s">
        <v>14</v>
      </c>
      <c r="C6" s="10">
        <v>1562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1"/>
      <c r="O6" s="20" t="s">
        <v>3</v>
      </c>
      <c r="P6" s="17">
        <f>(C5+C8+C9+C14)</f>
        <v>5523</v>
      </c>
      <c r="Q6" s="14">
        <f>SUM(P6/P9)</f>
        <v>0.34019094548814288</v>
      </c>
      <c r="R6" s="2">
        <v>2</v>
      </c>
    </row>
    <row r="7" spans="1:18" s="2" customFormat="1" ht="16.5" customHeight="1" thickBot="1">
      <c r="A7" s="7" t="s">
        <v>973</v>
      </c>
      <c r="B7" s="43" t="s">
        <v>16</v>
      </c>
      <c r="C7" s="10">
        <v>1211</v>
      </c>
      <c r="D7" s="10"/>
      <c r="E7" s="10"/>
      <c r="F7" s="10"/>
      <c r="G7" s="10"/>
      <c r="H7" s="10"/>
      <c r="I7" s="10"/>
      <c r="J7" s="10"/>
      <c r="K7" s="10"/>
      <c r="L7" s="10"/>
      <c r="M7" s="9" t="s">
        <v>587</v>
      </c>
      <c r="N7" s="11" t="s">
        <v>10</v>
      </c>
      <c r="O7" s="21" t="s">
        <v>16</v>
      </c>
      <c r="P7" s="17">
        <f>(C7+C11+C15)</f>
        <v>2577</v>
      </c>
      <c r="Q7" s="14">
        <f>SUM(P7/P9)</f>
        <v>0.15873113643363104</v>
      </c>
      <c r="R7" s="2">
        <v>1</v>
      </c>
    </row>
    <row r="8" spans="1:18" s="2" customFormat="1" ht="16.5" customHeight="1" thickBot="1">
      <c r="A8" s="18" t="s">
        <v>1067</v>
      </c>
      <c r="B8" s="28" t="s">
        <v>3</v>
      </c>
      <c r="C8" s="10">
        <v>1190</v>
      </c>
      <c r="D8" s="10"/>
      <c r="E8" s="10"/>
      <c r="F8" s="10"/>
      <c r="G8" s="10"/>
      <c r="H8" s="10"/>
      <c r="I8" s="10"/>
      <c r="J8" s="10"/>
      <c r="K8" s="10"/>
      <c r="O8" s="13" t="s">
        <v>17</v>
      </c>
      <c r="P8" s="17">
        <f>(C6+C12+C17)</f>
        <v>2634</v>
      </c>
      <c r="Q8" s="14">
        <f>SUM(P8/P9)</f>
        <v>0.1622420696027102</v>
      </c>
    </row>
    <row r="9" spans="1:18" s="2" customFormat="1" ht="16.5" customHeight="1" thickBot="1">
      <c r="A9" s="7" t="s">
        <v>1072</v>
      </c>
      <c r="B9" s="8" t="s">
        <v>3</v>
      </c>
      <c r="C9" s="10">
        <v>1091</v>
      </c>
      <c r="D9" s="10"/>
      <c r="E9" s="10"/>
      <c r="F9" s="10"/>
      <c r="G9" s="10"/>
      <c r="H9" s="10"/>
      <c r="I9" s="10"/>
      <c r="J9" s="10"/>
      <c r="K9" s="10"/>
      <c r="L9" s="10"/>
      <c r="M9" s="9" t="s">
        <v>587</v>
      </c>
      <c r="N9" s="11" t="s">
        <v>7</v>
      </c>
      <c r="P9" s="24">
        <v>16235</v>
      </c>
    </row>
    <row r="10" spans="1:18" s="2" customFormat="1" ht="16.5" customHeight="1" thickBot="1">
      <c r="A10" s="7" t="s">
        <v>1068</v>
      </c>
      <c r="B10" s="12" t="s">
        <v>5</v>
      </c>
      <c r="C10" s="10">
        <v>1083</v>
      </c>
      <c r="D10" s="10"/>
      <c r="E10" s="10"/>
      <c r="F10" s="10"/>
      <c r="G10" s="10"/>
      <c r="H10" s="10"/>
      <c r="I10" s="10"/>
      <c r="J10" s="10"/>
      <c r="K10" s="10"/>
      <c r="L10" s="10"/>
      <c r="M10" s="9" t="s">
        <v>587</v>
      </c>
      <c r="N10" s="11" t="s">
        <v>6</v>
      </c>
    </row>
    <row r="11" spans="1:18" s="2" customFormat="1" ht="16.5" customHeight="1" thickBot="1">
      <c r="A11" s="18" t="s">
        <v>971</v>
      </c>
      <c r="B11" s="22" t="s">
        <v>16</v>
      </c>
      <c r="C11" s="10">
        <v>897</v>
      </c>
      <c r="D11" s="10"/>
      <c r="E11" s="10"/>
      <c r="F11" s="10"/>
      <c r="G11" s="10"/>
      <c r="H11" s="10"/>
      <c r="I11" s="10"/>
      <c r="J11" s="10"/>
    </row>
    <row r="12" spans="1:18" s="2" customFormat="1" ht="16.5" customHeight="1" thickBot="1">
      <c r="A12" s="18" t="s">
        <v>1073</v>
      </c>
      <c r="B12" s="23" t="s">
        <v>14</v>
      </c>
      <c r="C12" s="10">
        <v>887</v>
      </c>
      <c r="D12" s="10"/>
      <c r="E12" s="10"/>
      <c r="F12" s="10"/>
      <c r="G12" s="10"/>
      <c r="H12" s="10"/>
      <c r="L12" s="17"/>
    </row>
    <row r="13" spans="1:18" s="2" customFormat="1" ht="16.5" customHeight="1" thickBot="1">
      <c r="A13" s="18" t="s">
        <v>1070</v>
      </c>
      <c r="B13" s="19" t="s">
        <v>5</v>
      </c>
      <c r="C13" s="10">
        <v>680</v>
      </c>
      <c r="D13" s="10"/>
      <c r="E13" s="10"/>
      <c r="F13" s="10"/>
      <c r="G13" s="10"/>
      <c r="H13" s="10"/>
      <c r="K13" s="48"/>
      <c r="L13" s="17"/>
    </row>
    <row r="14" spans="1:18" s="2" customFormat="1" ht="16.5" customHeight="1" thickBot="1">
      <c r="A14" s="18" t="s">
        <v>1074</v>
      </c>
      <c r="B14" s="28" t="s">
        <v>3</v>
      </c>
      <c r="C14" s="10">
        <v>485</v>
      </c>
      <c r="D14" s="10"/>
      <c r="E14" s="10"/>
      <c r="F14" s="10"/>
      <c r="G14" s="10"/>
      <c r="K14" s="90"/>
      <c r="L14" s="17"/>
      <c r="M14" s="14"/>
    </row>
    <row r="15" spans="1:18" s="2" customFormat="1" ht="16.5" customHeight="1" thickBot="1">
      <c r="A15" s="18" t="s">
        <v>1069</v>
      </c>
      <c r="B15" s="22" t="s">
        <v>16</v>
      </c>
      <c r="C15" s="10">
        <v>469</v>
      </c>
      <c r="D15" s="10"/>
      <c r="E15" s="10"/>
    </row>
    <row r="16" spans="1:18" s="2" customFormat="1" ht="16.5" customHeight="1" thickBot="1">
      <c r="A16" s="18" t="s">
        <v>1071</v>
      </c>
      <c r="B16" s="19" t="s">
        <v>5</v>
      </c>
      <c r="C16" s="10">
        <v>442</v>
      </c>
      <c r="D16" s="10"/>
      <c r="K16" s="48"/>
      <c r="L16" s="17"/>
    </row>
    <row r="17" spans="1:19" s="2" customFormat="1" ht="16.5" customHeight="1" thickBot="1">
      <c r="A17" s="18" t="s">
        <v>1075</v>
      </c>
      <c r="B17" s="23" t="s">
        <v>14</v>
      </c>
      <c r="C17" s="10">
        <v>185</v>
      </c>
      <c r="D17" s="10"/>
      <c r="K17" s="90"/>
      <c r="L17" s="17"/>
      <c r="M17" s="14"/>
    </row>
    <row r="18" spans="1:19" s="2" customFormat="1" ht="10.5" customHeight="1">
      <c r="A18" s="1"/>
    </row>
    <row r="19" spans="1:19" s="2" customFormat="1" ht="17.45" customHeight="1">
      <c r="A19" s="1" t="s">
        <v>1022</v>
      </c>
    </row>
    <row r="20" spans="1:19" s="2" customFormat="1" ht="10.5" customHeight="1" thickBot="1">
      <c r="A20" s="1"/>
    </row>
    <row r="21" spans="1:19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5">
        <v>6</v>
      </c>
      <c r="I21" s="5">
        <v>7</v>
      </c>
      <c r="J21" s="5">
        <v>8</v>
      </c>
      <c r="K21" s="5">
        <v>9</v>
      </c>
      <c r="L21" s="5">
        <v>10</v>
      </c>
      <c r="M21" s="5">
        <v>11</v>
      </c>
      <c r="N21" s="5">
        <v>12</v>
      </c>
      <c r="O21" s="6"/>
      <c r="P21" s="13" t="s">
        <v>9</v>
      </c>
      <c r="Q21" s="14">
        <f>(12400/22627)</f>
        <v>0.54801785477526843</v>
      </c>
    </row>
    <row r="22" spans="1:19" s="2" customFormat="1" ht="16.5" customHeight="1" thickBot="1">
      <c r="A22" s="7" t="s">
        <v>798</v>
      </c>
      <c r="B22" s="43" t="s">
        <v>16</v>
      </c>
      <c r="C22" s="10">
        <v>2413</v>
      </c>
      <c r="D22" s="10"/>
      <c r="E22" s="10"/>
      <c r="F22" s="10"/>
      <c r="G22" s="10"/>
      <c r="H22" s="10"/>
      <c r="I22" s="10"/>
      <c r="J22" s="10"/>
      <c r="K22" s="9" t="s">
        <v>587</v>
      </c>
      <c r="L22" s="10"/>
      <c r="M22" s="10"/>
      <c r="N22" s="10"/>
      <c r="O22" s="11" t="s">
        <v>4</v>
      </c>
      <c r="Q22" s="13" t="s">
        <v>11</v>
      </c>
      <c r="R22" s="13" t="s">
        <v>12</v>
      </c>
      <c r="S22" s="13" t="s">
        <v>13</v>
      </c>
    </row>
    <row r="23" spans="1:19" s="2" customFormat="1" ht="16.5" customHeight="1" thickBot="1">
      <c r="A23" s="7" t="s">
        <v>1023</v>
      </c>
      <c r="B23" s="12" t="s">
        <v>5</v>
      </c>
      <c r="C23" s="10">
        <v>2385</v>
      </c>
      <c r="D23" s="10"/>
      <c r="E23" s="10"/>
      <c r="F23" s="10"/>
      <c r="G23" s="10"/>
      <c r="H23" s="10"/>
      <c r="I23" s="10"/>
      <c r="J23" s="10"/>
      <c r="K23" s="10"/>
      <c r="L23" s="10"/>
      <c r="M23" s="9" t="s">
        <v>587</v>
      </c>
      <c r="N23" s="10"/>
      <c r="O23" s="11" t="s">
        <v>8</v>
      </c>
      <c r="P23" s="16" t="s">
        <v>5</v>
      </c>
      <c r="Q23" s="17">
        <f>(C23+C26+C29+C31)</f>
        <v>4233</v>
      </c>
      <c r="R23" s="14">
        <f>SUM(Q23/Q28)</f>
        <v>0.34532550171316689</v>
      </c>
      <c r="S23" s="2">
        <v>1</v>
      </c>
    </row>
    <row r="24" spans="1:19" s="2" customFormat="1" ht="16.5" customHeight="1" thickBot="1">
      <c r="A24" s="7" t="s">
        <v>937</v>
      </c>
      <c r="B24" s="8" t="s">
        <v>3</v>
      </c>
      <c r="C24" s="10">
        <v>1725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9" t="s">
        <v>587</v>
      </c>
      <c r="O24" s="11" t="s">
        <v>7</v>
      </c>
      <c r="P24" s="20" t="s">
        <v>3</v>
      </c>
      <c r="Q24" s="17">
        <f>(C24+C25+C28)</f>
        <v>4017</v>
      </c>
      <c r="R24" s="14">
        <f>SUM(Q24/Q28)</f>
        <v>0.32770435633871758</v>
      </c>
      <c r="S24" s="2">
        <v>1</v>
      </c>
    </row>
    <row r="25" spans="1:19" s="2" customFormat="1" ht="16.5" customHeight="1" thickBot="1">
      <c r="A25" s="18" t="s">
        <v>940</v>
      </c>
      <c r="B25" s="28" t="s">
        <v>3</v>
      </c>
      <c r="C25" s="10">
        <v>1704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1"/>
      <c r="P25" s="21" t="s">
        <v>16</v>
      </c>
      <c r="Q25" s="17">
        <f>(C22+C27+C30)</f>
        <v>3550</v>
      </c>
      <c r="R25" s="14">
        <f>SUM(Q25/Q28)</f>
        <v>0.28960678740414425</v>
      </c>
      <c r="S25" s="2">
        <v>1</v>
      </c>
    </row>
    <row r="26" spans="1:19" s="2" customFormat="1" ht="16.5" customHeight="1" thickBot="1">
      <c r="A26" s="18" t="s">
        <v>451</v>
      </c>
      <c r="B26" s="19" t="s">
        <v>5</v>
      </c>
      <c r="C26" s="10">
        <v>1029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P26" s="83" t="s">
        <v>1026</v>
      </c>
      <c r="Q26" s="17">
        <v>222</v>
      </c>
      <c r="R26" s="14">
        <f>SUM(Q26/Q28)</f>
        <v>1.8110621634850711E-2</v>
      </c>
    </row>
    <row r="27" spans="1:19" s="2" customFormat="1" ht="16.5" customHeight="1" thickBot="1">
      <c r="A27" s="18" t="s">
        <v>1031</v>
      </c>
      <c r="B27" s="22" t="s">
        <v>16</v>
      </c>
      <c r="C27" s="10">
        <v>634</v>
      </c>
      <c r="D27" s="10"/>
      <c r="E27" s="10"/>
      <c r="F27" s="10"/>
      <c r="G27" s="10"/>
      <c r="H27" s="10"/>
      <c r="I27" s="10"/>
      <c r="P27" s="13" t="s">
        <v>17</v>
      </c>
      <c r="Q27" s="17">
        <f>(C33+C34+C35)</f>
        <v>236</v>
      </c>
      <c r="R27" s="14">
        <f>SUM(Q27/Q28)</f>
        <v>1.9252732909120576E-2</v>
      </c>
    </row>
    <row r="28" spans="1:19" s="2" customFormat="1" ht="16.5" customHeight="1" thickBot="1">
      <c r="A28" s="18" t="s">
        <v>1024</v>
      </c>
      <c r="B28" s="28" t="s">
        <v>3</v>
      </c>
      <c r="C28" s="10">
        <v>588</v>
      </c>
      <c r="D28" s="10"/>
      <c r="E28" s="10"/>
      <c r="F28" s="10"/>
      <c r="G28" s="10"/>
      <c r="H28" s="10"/>
      <c r="I28" s="10"/>
      <c r="Q28" s="24">
        <v>12258</v>
      </c>
    </row>
    <row r="29" spans="1:19" s="2" customFormat="1" ht="16.5" customHeight="1" thickBot="1">
      <c r="A29" s="18" t="s">
        <v>1025</v>
      </c>
      <c r="B29" s="19" t="s">
        <v>5</v>
      </c>
      <c r="C29" s="10">
        <v>515</v>
      </c>
      <c r="D29" s="10"/>
      <c r="E29" s="10"/>
      <c r="F29" s="10"/>
      <c r="G29" s="10"/>
    </row>
    <row r="30" spans="1:19" s="2" customFormat="1" ht="16.5" customHeight="1" thickBot="1">
      <c r="A30" s="18" t="s">
        <v>1029</v>
      </c>
      <c r="B30" s="22" t="s">
        <v>16</v>
      </c>
      <c r="C30" s="10">
        <v>503</v>
      </c>
      <c r="D30" s="10"/>
      <c r="E30" s="10"/>
      <c r="F30" s="10"/>
      <c r="G30" s="10"/>
    </row>
    <row r="31" spans="1:19" s="2" customFormat="1" ht="16.5" customHeight="1" thickBot="1">
      <c r="A31" s="18" t="s">
        <v>1028</v>
      </c>
      <c r="B31" s="19" t="s">
        <v>5</v>
      </c>
      <c r="C31" s="10">
        <v>304</v>
      </c>
      <c r="D31" s="10"/>
      <c r="E31" s="10"/>
      <c r="F31" s="10"/>
      <c r="K31" s="17"/>
    </row>
    <row r="32" spans="1:19" s="2" customFormat="1" ht="16.5" customHeight="1" thickBot="1">
      <c r="A32" s="18" t="s">
        <v>1030</v>
      </c>
      <c r="B32" s="76" t="s">
        <v>1026</v>
      </c>
      <c r="C32" s="10">
        <v>222</v>
      </c>
      <c r="D32" s="10"/>
      <c r="E32" s="10"/>
      <c r="F32" s="10"/>
      <c r="K32" s="14"/>
    </row>
    <row r="33" spans="1:25" s="2" customFormat="1" ht="16.5" customHeight="1" thickBot="1">
      <c r="A33" s="18" t="s">
        <v>1032</v>
      </c>
      <c r="B33" s="23" t="s">
        <v>1027</v>
      </c>
      <c r="C33" s="10">
        <v>98</v>
      </c>
      <c r="D33" s="10"/>
      <c r="E33" s="10"/>
    </row>
    <row r="34" spans="1:25" s="2" customFormat="1" ht="16.5" customHeight="1" thickBot="1">
      <c r="A34" s="18" t="s">
        <v>1033</v>
      </c>
      <c r="B34" s="23" t="s">
        <v>1027</v>
      </c>
      <c r="C34" s="10">
        <v>73</v>
      </c>
      <c r="D34" s="10"/>
      <c r="J34" s="17"/>
    </row>
    <row r="35" spans="1:25" s="2" customFormat="1" ht="16.5" customHeight="1" thickBot="1">
      <c r="A35" s="18" t="s">
        <v>1034</v>
      </c>
      <c r="B35" s="23" t="s">
        <v>1027</v>
      </c>
      <c r="C35" s="10">
        <v>65</v>
      </c>
      <c r="D35" s="10"/>
    </row>
    <row r="36" spans="1:25" s="2" customFormat="1" ht="11.25" customHeight="1">
      <c r="A36" s="29"/>
      <c r="B36" s="30"/>
      <c r="C36" s="45"/>
      <c r="D36" s="45"/>
      <c r="E36" s="45"/>
      <c r="F36" s="17"/>
      <c r="G36" s="17"/>
      <c r="H36" s="17"/>
      <c r="I36" s="17"/>
      <c r="J36" s="17"/>
      <c r="K36" s="17"/>
      <c r="L36" s="17"/>
      <c r="M36" s="17"/>
      <c r="N36" s="44"/>
    </row>
    <row r="37" spans="1:25" s="2" customFormat="1" ht="17.45" customHeight="1">
      <c r="A37" s="1" t="s">
        <v>1044</v>
      </c>
    </row>
    <row r="38" spans="1:25" s="2" customFormat="1" ht="10.5" customHeight="1" thickBot="1">
      <c r="A38" s="1"/>
    </row>
    <row r="39" spans="1:25" s="2" customFormat="1" ht="16.5" customHeight="1" thickBot="1">
      <c r="A39" s="4" t="s">
        <v>0</v>
      </c>
      <c r="B39" s="5" t="s">
        <v>1</v>
      </c>
      <c r="C39" s="5" t="s">
        <v>2</v>
      </c>
      <c r="D39" s="5">
        <v>2</v>
      </c>
      <c r="E39" s="5">
        <v>3</v>
      </c>
      <c r="F39" s="5">
        <v>4</v>
      </c>
      <c r="G39" s="5">
        <v>5</v>
      </c>
      <c r="H39" s="5">
        <v>6</v>
      </c>
      <c r="I39" s="5">
        <v>7</v>
      </c>
      <c r="J39" s="5">
        <v>8</v>
      </c>
      <c r="K39" s="5">
        <v>9</v>
      </c>
      <c r="L39" s="5">
        <v>10</v>
      </c>
      <c r="M39" s="5">
        <v>11</v>
      </c>
      <c r="N39" s="5">
        <v>12</v>
      </c>
      <c r="O39" s="5">
        <v>13</v>
      </c>
      <c r="P39" s="5">
        <v>14</v>
      </c>
      <c r="Q39" s="5">
        <v>15</v>
      </c>
      <c r="R39" s="5">
        <v>16</v>
      </c>
      <c r="S39" s="5">
        <v>17</v>
      </c>
      <c r="T39" s="5">
        <v>18</v>
      </c>
      <c r="U39" s="6"/>
      <c r="V39" s="13" t="s">
        <v>9</v>
      </c>
      <c r="W39" s="14">
        <f>(18765/39804)</f>
        <v>0.47143503165511003</v>
      </c>
    </row>
    <row r="40" spans="1:25" s="2" customFormat="1" ht="16.5" customHeight="1" thickBot="1">
      <c r="A40" s="7" t="s">
        <v>1048</v>
      </c>
      <c r="B40" s="12" t="s">
        <v>5</v>
      </c>
      <c r="C40" s="9">
        <v>3316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1" t="s">
        <v>4</v>
      </c>
      <c r="W40" s="13" t="s">
        <v>11</v>
      </c>
      <c r="X40" s="13" t="s">
        <v>12</v>
      </c>
      <c r="Y40" s="13" t="s">
        <v>13</v>
      </c>
    </row>
    <row r="41" spans="1:25" s="2" customFormat="1" ht="16.5" customHeight="1" thickBot="1">
      <c r="A41" s="7" t="s">
        <v>1046</v>
      </c>
      <c r="B41" s="8" t="s">
        <v>3</v>
      </c>
      <c r="C41" s="10">
        <v>2684</v>
      </c>
      <c r="D41" s="10"/>
      <c r="E41" s="10"/>
      <c r="F41" s="10"/>
      <c r="G41" s="10"/>
      <c r="H41" s="10"/>
      <c r="I41" s="10"/>
      <c r="J41" s="10"/>
      <c r="K41" s="10"/>
      <c r="L41" s="10"/>
      <c r="M41" s="9"/>
      <c r="N41" s="10"/>
      <c r="O41" s="10"/>
      <c r="P41" s="10"/>
      <c r="Q41" s="10"/>
      <c r="R41" s="10"/>
      <c r="S41" s="10"/>
      <c r="T41" s="9" t="s">
        <v>587</v>
      </c>
      <c r="U41" s="11" t="s">
        <v>7</v>
      </c>
      <c r="V41" s="16" t="s">
        <v>5</v>
      </c>
      <c r="W41" s="17">
        <f>(C40+C45+C47+C49+C52)</f>
        <v>6240</v>
      </c>
      <c r="X41" s="14">
        <f>SUM(W41/W45)</f>
        <v>0.33561017587264025</v>
      </c>
      <c r="Y41" s="2">
        <v>2</v>
      </c>
    </row>
    <row r="42" spans="1:25" s="2" customFormat="1" ht="16.5" customHeight="1" thickBot="1">
      <c r="A42" s="7" t="s">
        <v>1053</v>
      </c>
      <c r="B42" s="43" t="s">
        <v>16</v>
      </c>
      <c r="C42" s="10">
        <v>2161</v>
      </c>
      <c r="D42" s="10"/>
      <c r="E42" s="10"/>
      <c r="F42" s="10"/>
      <c r="G42" s="10"/>
      <c r="H42" s="10"/>
      <c r="I42" s="10"/>
      <c r="J42" s="10"/>
      <c r="K42" s="10"/>
      <c r="L42" s="10"/>
      <c r="M42" s="9"/>
      <c r="N42" s="10"/>
      <c r="O42" s="10"/>
      <c r="P42" s="10"/>
      <c r="Q42" s="10"/>
      <c r="R42" s="10"/>
      <c r="S42" s="9" t="s">
        <v>587</v>
      </c>
      <c r="T42" s="9"/>
      <c r="U42" s="11" t="s">
        <v>8</v>
      </c>
      <c r="V42" s="20" t="s">
        <v>3</v>
      </c>
      <c r="W42" s="17">
        <f>(C41+C44+C46+C50)</f>
        <v>5433</v>
      </c>
      <c r="X42" s="14">
        <f>SUM(W42/W45)</f>
        <v>0.29220674447372669</v>
      </c>
      <c r="Y42" s="2">
        <v>1</v>
      </c>
    </row>
    <row r="43" spans="1:25" s="2" customFormat="1" ht="16.5" customHeight="1" thickBot="1">
      <c r="A43" s="7" t="s">
        <v>1045</v>
      </c>
      <c r="B43" s="43" t="s">
        <v>16</v>
      </c>
      <c r="C43" s="10">
        <v>2019</v>
      </c>
      <c r="D43" s="10"/>
      <c r="E43" s="10"/>
      <c r="F43" s="10"/>
      <c r="G43" s="10"/>
      <c r="H43" s="10"/>
      <c r="I43" s="10"/>
      <c r="J43" s="10"/>
      <c r="K43" s="10"/>
      <c r="L43" s="10"/>
      <c r="M43" s="9"/>
      <c r="N43" s="10"/>
      <c r="O43" s="10"/>
      <c r="P43" s="10"/>
      <c r="Q43" s="10"/>
      <c r="R43" s="10"/>
      <c r="S43" s="10"/>
      <c r="T43" s="9" t="s">
        <v>587</v>
      </c>
      <c r="U43" s="11" t="s">
        <v>6</v>
      </c>
      <c r="V43" s="21" t="s">
        <v>16</v>
      </c>
      <c r="W43" s="17">
        <f>(C42+C43+C53+C54)</f>
        <v>4915</v>
      </c>
      <c r="X43" s="14">
        <f>SUM(W43/W45)</f>
        <v>0.26434679718173504</v>
      </c>
      <c r="Y43" s="2">
        <v>2</v>
      </c>
    </row>
    <row r="44" spans="1:25" s="2" customFormat="1" ht="16.5" customHeight="1" thickBot="1">
      <c r="A44" s="18" t="s">
        <v>1062</v>
      </c>
      <c r="B44" s="28" t="s">
        <v>3</v>
      </c>
      <c r="C44" s="10">
        <v>1166</v>
      </c>
      <c r="D44" s="10"/>
      <c r="E44" s="10"/>
      <c r="F44" s="10"/>
      <c r="G44" s="10"/>
      <c r="H44" s="10"/>
      <c r="I44" s="10"/>
      <c r="J44" s="10"/>
      <c r="K44" s="10"/>
      <c r="L44" s="10"/>
      <c r="M44" s="9"/>
      <c r="N44" s="10"/>
      <c r="O44" s="10"/>
      <c r="P44" s="10"/>
      <c r="Q44" s="10"/>
      <c r="R44" s="10"/>
      <c r="S44" s="10"/>
      <c r="T44" s="10"/>
      <c r="U44" s="11"/>
      <c r="V44" s="13" t="s">
        <v>17</v>
      </c>
      <c r="W44" s="17">
        <f>(C48+C51+C55+C56+C57+C58+C59)</f>
        <v>2005</v>
      </c>
      <c r="X44" s="14">
        <f>SUM(W44/W45)</f>
        <v>0.10783628247189803</v>
      </c>
    </row>
    <row r="45" spans="1:25" s="2" customFormat="1" ht="16.5" customHeight="1" thickBot="1">
      <c r="A45" s="7" t="s">
        <v>1047</v>
      </c>
      <c r="B45" s="12" t="s">
        <v>5</v>
      </c>
      <c r="C45" s="10">
        <v>1007</v>
      </c>
      <c r="D45" s="10"/>
      <c r="E45" s="10"/>
      <c r="F45" s="10"/>
      <c r="G45" s="10"/>
      <c r="H45" s="10"/>
      <c r="I45" s="10"/>
      <c r="J45" s="10"/>
      <c r="K45" s="10"/>
      <c r="L45" s="10"/>
      <c r="M45" s="9"/>
      <c r="N45" s="10"/>
      <c r="O45" s="10"/>
      <c r="P45" s="10"/>
      <c r="Q45" s="10"/>
      <c r="R45" s="10"/>
      <c r="S45" s="10"/>
      <c r="T45" s="9" t="s">
        <v>587</v>
      </c>
      <c r="U45" s="11" t="s">
        <v>10</v>
      </c>
      <c r="W45" s="24">
        <v>18593</v>
      </c>
    </row>
    <row r="46" spans="1:25" s="2" customFormat="1" ht="16.5" customHeight="1" thickBot="1">
      <c r="A46" s="18" t="s">
        <v>1049</v>
      </c>
      <c r="B46" s="28" t="s">
        <v>3</v>
      </c>
      <c r="C46" s="10">
        <v>984</v>
      </c>
      <c r="D46" s="10"/>
      <c r="E46" s="10"/>
      <c r="F46" s="10"/>
      <c r="G46" s="10"/>
      <c r="H46" s="10"/>
      <c r="I46" s="10"/>
    </row>
    <row r="47" spans="1:25" s="2" customFormat="1" ht="16.5" customHeight="1" thickBot="1">
      <c r="A47" s="18" t="s">
        <v>1050</v>
      </c>
      <c r="B47" s="19" t="s">
        <v>5</v>
      </c>
      <c r="C47" s="10">
        <v>814</v>
      </c>
      <c r="D47" s="10"/>
      <c r="E47" s="10"/>
      <c r="F47" s="10"/>
      <c r="G47" s="10"/>
      <c r="H47" s="10"/>
      <c r="I47" s="10"/>
    </row>
    <row r="48" spans="1:25" s="2" customFormat="1" ht="16.5" customHeight="1" thickBot="1">
      <c r="A48" s="18" t="s">
        <v>1054</v>
      </c>
      <c r="B48" s="23" t="s">
        <v>14</v>
      </c>
      <c r="C48" s="10">
        <v>681</v>
      </c>
      <c r="D48" s="10"/>
      <c r="E48" s="10"/>
      <c r="F48" s="10"/>
    </row>
    <row r="49" spans="1:17" s="2" customFormat="1" ht="16.5" customHeight="1" thickBot="1">
      <c r="A49" s="18" t="s">
        <v>1052</v>
      </c>
      <c r="B49" s="19" t="s">
        <v>5</v>
      </c>
      <c r="C49" s="10">
        <v>660</v>
      </c>
      <c r="D49" s="10"/>
      <c r="E49" s="10"/>
      <c r="F49" s="10"/>
    </row>
    <row r="50" spans="1:17" s="2" customFormat="1" ht="16.5" customHeight="1" thickBot="1">
      <c r="A50" s="18" t="s">
        <v>1051</v>
      </c>
      <c r="B50" s="28" t="s">
        <v>3</v>
      </c>
      <c r="C50" s="10">
        <v>599</v>
      </c>
      <c r="D50" s="10"/>
      <c r="E50" s="10"/>
      <c r="K50" s="13"/>
      <c r="L50" s="17"/>
      <c r="M50" s="14"/>
    </row>
    <row r="51" spans="1:17" s="2" customFormat="1" ht="16.5" customHeight="1" thickBot="1">
      <c r="A51" s="18" t="s">
        <v>1063</v>
      </c>
      <c r="B51" s="23" t="s">
        <v>14</v>
      </c>
      <c r="C51" s="10">
        <v>449</v>
      </c>
      <c r="D51" s="10"/>
      <c r="L51" s="24"/>
    </row>
    <row r="52" spans="1:17" s="2" customFormat="1" ht="16.5" customHeight="1" thickBot="1">
      <c r="A52" s="18" t="s">
        <v>816</v>
      </c>
      <c r="B52" s="19" t="s">
        <v>5</v>
      </c>
      <c r="C52" s="10">
        <v>443</v>
      </c>
      <c r="D52" s="10"/>
      <c r="L52" s="17"/>
    </row>
    <row r="53" spans="1:17" s="2" customFormat="1" ht="16.5" customHeight="1" thickBot="1">
      <c r="A53" s="18" t="s">
        <v>1056</v>
      </c>
      <c r="B53" s="22" t="s">
        <v>16</v>
      </c>
      <c r="C53" s="10">
        <v>399</v>
      </c>
      <c r="D53" s="10"/>
    </row>
    <row r="54" spans="1:17" s="2" customFormat="1" ht="16.5" customHeight="1" thickBot="1">
      <c r="A54" s="18" t="s">
        <v>1059</v>
      </c>
      <c r="B54" s="22" t="s">
        <v>16</v>
      </c>
      <c r="C54" s="10">
        <v>336</v>
      </c>
      <c r="D54" s="10"/>
    </row>
    <row r="55" spans="1:17" s="2" customFormat="1" ht="16.5" customHeight="1" thickBot="1">
      <c r="A55" s="18" t="s">
        <v>1055</v>
      </c>
      <c r="B55" s="23" t="s">
        <v>1027</v>
      </c>
      <c r="C55" s="10">
        <v>235</v>
      </c>
      <c r="D55" s="10"/>
    </row>
    <row r="56" spans="1:17" s="2" customFormat="1" ht="16.5" customHeight="1" thickBot="1">
      <c r="A56" s="18" t="s">
        <v>1058</v>
      </c>
      <c r="B56" s="23" t="s">
        <v>14</v>
      </c>
      <c r="C56" s="10">
        <v>235</v>
      </c>
      <c r="D56" s="10"/>
      <c r="K56" s="13"/>
      <c r="L56" s="17"/>
      <c r="M56" s="14"/>
    </row>
    <row r="57" spans="1:17" s="2" customFormat="1" ht="16.5" customHeight="1" thickBot="1">
      <c r="A57" s="18" t="s">
        <v>1057</v>
      </c>
      <c r="B57" s="23" t="s">
        <v>1027</v>
      </c>
      <c r="C57" s="10">
        <v>155</v>
      </c>
      <c r="D57" s="10"/>
      <c r="L57" s="24"/>
    </row>
    <row r="58" spans="1:17" s="2" customFormat="1" ht="16.5" customHeight="1" thickBot="1">
      <c r="A58" s="18" t="s">
        <v>1060</v>
      </c>
      <c r="B58" s="23" t="s">
        <v>1027</v>
      </c>
      <c r="C58" s="10">
        <v>151</v>
      </c>
      <c r="D58" s="10"/>
    </row>
    <row r="59" spans="1:17" s="2" customFormat="1" ht="16.5" customHeight="1" thickBot="1">
      <c r="A59" s="18" t="s">
        <v>1061</v>
      </c>
      <c r="B59" s="23" t="s">
        <v>1027</v>
      </c>
      <c r="C59" s="10">
        <v>99</v>
      </c>
      <c r="D59" s="10"/>
    </row>
    <row r="60" spans="1:17" s="2" customFormat="1" ht="11.25" customHeight="1">
      <c r="A60" s="29"/>
      <c r="B60" s="30"/>
      <c r="C60" s="45"/>
      <c r="D60" s="45"/>
      <c r="E60" s="45"/>
      <c r="F60" s="17"/>
      <c r="G60" s="17"/>
      <c r="H60" s="17"/>
      <c r="I60" s="17"/>
      <c r="J60" s="17"/>
      <c r="K60" s="17"/>
      <c r="L60" s="17"/>
      <c r="M60" s="17"/>
      <c r="N60" s="44"/>
    </row>
    <row r="61" spans="1:17" s="2" customFormat="1" ht="17.45" customHeight="1">
      <c r="A61" s="1" t="s">
        <v>1035</v>
      </c>
    </row>
    <row r="62" spans="1:17" s="2" customFormat="1" ht="10.5" customHeight="1" thickBot="1">
      <c r="A62" s="1"/>
    </row>
    <row r="63" spans="1:17" s="2" customFormat="1" ht="16.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5">
        <v>5</v>
      </c>
      <c r="H63" s="5">
        <v>6</v>
      </c>
      <c r="I63" s="5">
        <v>7</v>
      </c>
      <c r="J63" s="5">
        <v>8</v>
      </c>
      <c r="K63" s="5">
        <v>9</v>
      </c>
      <c r="L63" s="5">
        <v>10</v>
      </c>
      <c r="M63" s="6"/>
      <c r="N63" s="13" t="s">
        <v>9</v>
      </c>
      <c r="O63" s="14">
        <f>(14155/30365)</f>
        <v>0.46616169932488061</v>
      </c>
    </row>
    <row r="64" spans="1:17" s="2" customFormat="1" ht="16.5" customHeight="1" thickBot="1">
      <c r="A64" s="7" t="s">
        <v>917</v>
      </c>
      <c r="B64" s="8" t="s">
        <v>3</v>
      </c>
      <c r="C64" s="10">
        <v>2018</v>
      </c>
      <c r="D64" s="10"/>
      <c r="E64" s="10"/>
      <c r="F64" s="10"/>
      <c r="G64" s="10"/>
      <c r="H64" s="10"/>
      <c r="I64" s="9" t="s">
        <v>587</v>
      </c>
      <c r="J64" s="10"/>
      <c r="K64" s="10"/>
      <c r="L64" s="10"/>
      <c r="M64" s="11" t="s">
        <v>4</v>
      </c>
      <c r="O64" s="13" t="s">
        <v>11</v>
      </c>
      <c r="P64" s="13" t="s">
        <v>12</v>
      </c>
      <c r="Q64" s="13" t="s">
        <v>13</v>
      </c>
    </row>
    <row r="65" spans="1:18" s="2" customFormat="1" ht="16.5" customHeight="1" thickBot="1">
      <c r="A65" s="7" t="s">
        <v>1036</v>
      </c>
      <c r="B65" s="12" t="s">
        <v>5</v>
      </c>
      <c r="C65" s="10">
        <v>1805</v>
      </c>
      <c r="D65" s="10"/>
      <c r="E65" s="10"/>
      <c r="F65" s="10"/>
      <c r="G65" s="10"/>
      <c r="H65" s="10"/>
      <c r="I65" s="10"/>
      <c r="J65" s="10"/>
      <c r="K65" s="10"/>
      <c r="L65" s="9" t="s">
        <v>587</v>
      </c>
      <c r="M65" s="11" t="s">
        <v>6</v>
      </c>
      <c r="N65" s="16" t="s">
        <v>5</v>
      </c>
      <c r="O65" s="17">
        <f>(C65+C68+C71+C74)</f>
        <v>4119</v>
      </c>
      <c r="P65" s="14">
        <f>SUM(O65/O69)</f>
        <v>0.29415125330286368</v>
      </c>
      <c r="Q65" s="2">
        <v>1</v>
      </c>
    </row>
    <row r="66" spans="1:18" s="2" customFormat="1" ht="16.5" customHeight="1" thickBot="1">
      <c r="A66" s="7" t="s">
        <v>932</v>
      </c>
      <c r="B66" s="8" t="s">
        <v>3</v>
      </c>
      <c r="C66" s="10">
        <v>1779</v>
      </c>
      <c r="D66" s="10"/>
      <c r="E66" s="10"/>
      <c r="F66" s="10"/>
      <c r="G66" s="10"/>
      <c r="H66" s="10"/>
      <c r="I66" s="10"/>
      <c r="J66" s="10"/>
      <c r="K66" s="9" t="s">
        <v>587</v>
      </c>
      <c r="L66" s="10"/>
      <c r="M66" s="11" t="s">
        <v>8</v>
      </c>
      <c r="N66" s="20" t="s">
        <v>3</v>
      </c>
      <c r="O66" s="17">
        <f>(C64+C66+C69)</f>
        <v>4960</v>
      </c>
      <c r="P66" s="14">
        <f>SUM(O66/O69)</f>
        <v>0.3542098121831036</v>
      </c>
      <c r="Q66" s="2">
        <v>2</v>
      </c>
    </row>
    <row r="67" spans="1:18" s="2" customFormat="1" ht="16.5" customHeight="1" thickBot="1">
      <c r="A67" s="7" t="s">
        <v>1041</v>
      </c>
      <c r="B67" s="15" t="s">
        <v>14</v>
      </c>
      <c r="C67" s="10">
        <v>1748</v>
      </c>
      <c r="D67" s="10"/>
      <c r="E67" s="10"/>
      <c r="F67" s="10"/>
      <c r="G67" s="10"/>
      <c r="H67" s="10"/>
      <c r="I67" s="10"/>
      <c r="J67" s="10"/>
      <c r="K67" s="10"/>
      <c r="L67" s="9" t="s">
        <v>587</v>
      </c>
      <c r="M67" s="11" t="s">
        <v>7</v>
      </c>
      <c r="N67" s="21" t="s">
        <v>16</v>
      </c>
      <c r="O67" s="17">
        <f>(C70+C72)</f>
        <v>1461</v>
      </c>
      <c r="P67" s="14">
        <f>SUM(O67/O69)</f>
        <v>0.10433478540312791</v>
      </c>
    </row>
    <row r="68" spans="1:18" s="2" customFormat="1" ht="16.5" customHeight="1" thickBot="1">
      <c r="A68" s="18" t="s">
        <v>1038</v>
      </c>
      <c r="B68" s="19" t="s">
        <v>5</v>
      </c>
      <c r="C68" s="10">
        <v>1709</v>
      </c>
      <c r="D68" s="10"/>
      <c r="E68" s="10"/>
      <c r="F68" s="10"/>
      <c r="G68" s="10"/>
      <c r="H68" s="10"/>
      <c r="I68" s="10"/>
      <c r="J68" s="10"/>
      <c r="K68" s="10"/>
      <c r="L68" s="10"/>
      <c r="M68" s="11"/>
      <c r="N68" s="13" t="s">
        <v>17</v>
      </c>
      <c r="O68" s="17">
        <f>(C67+C73)</f>
        <v>2062</v>
      </c>
      <c r="P68" s="14">
        <f>SUM(O68/O69)</f>
        <v>0.14725415982289508</v>
      </c>
      <c r="Q68" s="2">
        <v>1</v>
      </c>
    </row>
    <row r="69" spans="1:18" s="2" customFormat="1" ht="16.5" customHeight="1" thickBot="1">
      <c r="A69" s="18" t="s">
        <v>1039</v>
      </c>
      <c r="B69" s="28" t="s">
        <v>3</v>
      </c>
      <c r="C69" s="10">
        <v>1163</v>
      </c>
      <c r="D69" s="10"/>
      <c r="E69" s="10"/>
      <c r="F69" s="10"/>
      <c r="G69" s="10"/>
      <c r="H69" s="10"/>
      <c r="I69" s="10"/>
      <c r="J69" s="10"/>
      <c r="K69" s="10"/>
      <c r="O69" s="24">
        <v>14003</v>
      </c>
    </row>
    <row r="70" spans="1:18" s="2" customFormat="1" ht="16.5" customHeight="1" thickBot="1">
      <c r="A70" s="18" t="s">
        <v>1037</v>
      </c>
      <c r="B70" s="22" t="s">
        <v>16</v>
      </c>
      <c r="C70" s="10">
        <v>1138</v>
      </c>
      <c r="D70" s="10"/>
      <c r="E70" s="10"/>
      <c r="F70" s="10"/>
      <c r="G70" s="10"/>
      <c r="H70" s="10"/>
      <c r="I70" s="10"/>
    </row>
    <row r="71" spans="1:18" s="2" customFormat="1" ht="16.5" customHeight="1" thickBot="1">
      <c r="A71" s="18" t="s">
        <v>54</v>
      </c>
      <c r="B71" s="19" t="s">
        <v>5</v>
      </c>
      <c r="C71" s="10">
        <v>335</v>
      </c>
      <c r="D71" s="10"/>
      <c r="E71" s="10"/>
      <c r="F71" s="10"/>
      <c r="G71" s="10"/>
      <c r="H71" s="10"/>
    </row>
    <row r="72" spans="1:18" s="2" customFormat="1" ht="16.5" customHeight="1" thickBot="1">
      <c r="A72" s="18" t="s">
        <v>1040</v>
      </c>
      <c r="B72" s="22" t="s">
        <v>16</v>
      </c>
      <c r="C72" s="10">
        <v>323</v>
      </c>
      <c r="D72" s="10"/>
      <c r="E72" s="10"/>
      <c r="F72" s="10"/>
      <c r="G72" s="10"/>
      <c r="K72" s="17"/>
    </row>
    <row r="73" spans="1:18" s="2" customFormat="1" ht="16.5" customHeight="1" thickBot="1">
      <c r="A73" s="18" t="s">
        <v>1042</v>
      </c>
      <c r="B73" s="23" t="s">
        <v>14</v>
      </c>
      <c r="C73" s="10">
        <v>314</v>
      </c>
      <c r="D73" s="10"/>
      <c r="E73" s="10"/>
      <c r="F73" s="10"/>
    </row>
    <row r="74" spans="1:18" s="2" customFormat="1" ht="16.5" customHeight="1" thickBot="1">
      <c r="A74" s="18" t="s">
        <v>1043</v>
      </c>
      <c r="B74" s="19" t="s">
        <v>5</v>
      </c>
      <c r="C74" s="10">
        <v>270</v>
      </c>
      <c r="D74" s="10"/>
      <c r="E74" s="10"/>
      <c r="F74" s="10"/>
      <c r="I74" s="17"/>
      <c r="J74" s="17"/>
      <c r="K74" s="17"/>
      <c r="L74" s="17"/>
    </row>
    <row r="75" spans="1:18" s="2" customFormat="1" ht="11.25" customHeight="1">
      <c r="A75" s="29"/>
      <c r="B75" s="30"/>
      <c r="C75" s="29"/>
      <c r="D75" s="29"/>
      <c r="M75" s="14"/>
    </row>
    <row r="76" spans="1:18" s="2" customFormat="1" ht="17.45" customHeight="1">
      <c r="A76" s="1" t="s">
        <v>1011</v>
      </c>
    </row>
    <row r="77" spans="1:18" s="2" customFormat="1" ht="10.5" customHeight="1" thickBot="1">
      <c r="A77" s="1"/>
    </row>
    <row r="78" spans="1:18" s="2" customFormat="1" ht="16.5" customHeight="1" thickBot="1">
      <c r="A78" s="4" t="s">
        <v>0</v>
      </c>
      <c r="B78" s="5" t="s">
        <v>1</v>
      </c>
      <c r="C78" s="5" t="s">
        <v>2</v>
      </c>
      <c r="D78" s="5">
        <v>2</v>
      </c>
      <c r="E78" s="5">
        <v>3</v>
      </c>
      <c r="F78" s="5">
        <v>4</v>
      </c>
      <c r="G78" s="5">
        <v>5</v>
      </c>
      <c r="H78" s="5">
        <v>6</v>
      </c>
      <c r="I78" s="5">
        <v>7</v>
      </c>
      <c r="J78" s="5">
        <v>8</v>
      </c>
      <c r="K78" s="5">
        <v>9</v>
      </c>
      <c r="L78" s="5">
        <v>10</v>
      </c>
      <c r="M78" s="5">
        <v>11</v>
      </c>
      <c r="N78" s="6"/>
      <c r="O78" s="13" t="s">
        <v>9</v>
      </c>
      <c r="P78" s="14">
        <f>(13248/30555)</f>
        <v>0.43357879234167895</v>
      </c>
    </row>
    <row r="79" spans="1:18" s="2" customFormat="1" ht="16.5" customHeight="1" thickBot="1">
      <c r="A79" s="7" t="s">
        <v>725</v>
      </c>
      <c r="B79" s="8" t="s">
        <v>3</v>
      </c>
      <c r="C79" s="10">
        <v>2075</v>
      </c>
      <c r="D79" s="10"/>
      <c r="E79" s="9" t="s">
        <v>587</v>
      </c>
      <c r="F79" s="10"/>
      <c r="G79" s="10"/>
      <c r="H79" s="10"/>
      <c r="I79" s="10"/>
      <c r="J79" s="10"/>
      <c r="K79" s="10"/>
      <c r="L79" s="10"/>
      <c r="M79" s="10"/>
      <c r="N79" s="11" t="s">
        <v>4</v>
      </c>
      <c r="P79" s="13" t="s">
        <v>11</v>
      </c>
      <c r="Q79" s="13" t="s">
        <v>12</v>
      </c>
      <c r="R79" s="13" t="s">
        <v>13</v>
      </c>
    </row>
    <row r="80" spans="1:18" s="2" customFormat="1" ht="16.5" customHeight="1" thickBot="1">
      <c r="A80" s="7" t="s">
        <v>720</v>
      </c>
      <c r="B80" s="8" t="s">
        <v>3</v>
      </c>
      <c r="C80" s="10">
        <v>1527</v>
      </c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1" t="s">
        <v>8</v>
      </c>
      <c r="O80" s="16" t="s">
        <v>5</v>
      </c>
      <c r="P80" s="17">
        <f>(C81+C83+C84+C85)</f>
        <v>4119</v>
      </c>
      <c r="Q80" s="14">
        <f>SUM(P80/P84)</f>
        <v>0.31361352215623572</v>
      </c>
      <c r="R80" s="2">
        <v>2</v>
      </c>
    </row>
    <row r="81" spans="1:18" s="2" customFormat="1" ht="16.5" customHeight="1" thickBot="1">
      <c r="A81" s="7" t="s">
        <v>722</v>
      </c>
      <c r="B81" s="12" t="s">
        <v>5</v>
      </c>
      <c r="C81" s="10">
        <v>1329</v>
      </c>
      <c r="D81" s="10"/>
      <c r="E81" s="10"/>
      <c r="F81" s="10"/>
      <c r="G81" s="10"/>
      <c r="H81" s="10"/>
      <c r="I81" s="10"/>
      <c r="J81" s="10"/>
      <c r="K81" s="10"/>
      <c r="L81" s="10"/>
      <c r="M81" s="9" t="s">
        <v>587</v>
      </c>
      <c r="N81" s="11" t="s">
        <v>7</v>
      </c>
      <c r="O81" s="20" t="s">
        <v>3</v>
      </c>
      <c r="P81" s="17">
        <f>(C79+C80+C86+C87+C92)</f>
        <v>5603</v>
      </c>
      <c r="Q81" s="14">
        <f>SUM(P81/P84)</f>
        <v>0.42660271052230853</v>
      </c>
      <c r="R81" s="2">
        <v>2</v>
      </c>
    </row>
    <row r="82" spans="1:18" s="2" customFormat="1" ht="16.5" customHeight="1" thickBot="1">
      <c r="A82" s="7" t="s">
        <v>1015</v>
      </c>
      <c r="B82" s="15" t="s">
        <v>14</v>
      </c>
      <c r="C82" s="10">
        <v>1265</v>
      </c>
      <c r="D82" s="10"/>
      <c r="E82" s="10"/>
      <c r="F82" s="10"/>
      <c r="G82" s="10"/>
      <c r="H82" s="10"/>
      <c r="I82" s="10"/>
      <c r="J82" s="10"/>
      <c r="K82" s="10"/>
      <c r="L82" s="10"/>
      <c r="M82" s="9" t="s">
        <v>587</v>
      </c>
      <c r="N82" s="11" t="s">
        <v>10</v>
      </c>
      <c r="O82" s="21" t="s">
        <v>16</v>
      </c>
      <c r="P82" s="17">
        <f>(C88+C90+C89+C91)</f>
        <v>2147</v>
      </c>
      <c r="Q82" s="14">
        <f>SUM(P82/P84)</f>
        <v>0.16346885944875894</v>
      </c>
    </row>
    <row r="83" spans="1:18" s="2" customFormat="1" ht="16.5" customHeight="1" thickBot="1">
      <c r="A83" s="7" t="s">
        <v>921</v>
      </c>
      <c r="B83" s="12" t="s">
        <v>5</v>
      </c>
      <c r="C83" s="10">
        <v>1017</v>
      </c>
      <c r="D83" s="10"/>
      <c r="E83" s="10"/>
      <c r="F83" s="10"/>
      <c r="G83" s="10"/>
      <c r="H83" s="10"/>
      <c r="I83" s="10"/>
      <c r="J83" s="10"/>
      <c r="K83" s="10"/>
      <c r="L83" s="10"/>
      <c r="M83" s="9" t="s">
        <v>587</v>
      </c>
      <c r="N83" s="11" t="s">
        <v>6</v>
      </c>
      <c r="O83" s="13" t="s">
        <v>17</v>
      </c>
      <c r="P83" s="17">
        <v>1265</v>
      </c>
      <c r="Q83" s="14">
        <f>SUM(P83/P84)</f>
        <v>9.6314907872696823E-2</v>
      </c>
      <c r="R83" s="2">
        <v>1</v>
      </c>
    </row>
    <row r="84" spans="1:18" s="2" customFormat="1" ht="16.5" customHeight="1" thickBot="1">
      <c r="A84" s="18" t="s">
        <v>1013</v>
      </c>
      <c r="B84" s="19" t="s">
        <v>5</v>
      </c>
      <c r="C84" s="10">
        <v>890</v>
      </c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1"/>
      <c r="P84" s="24">
        <v>13134</v>
      </c>
    </row>
    <row r="85" spans="1:18" s="2" customFormat="1" ht="16.5" customHeight="1" thickBot="1">
      <c r="A85" s="18" t="s">
        <v>1014</v>
      </c>
      <c r="B85" s="19" t="s">
        <v>5</v>
      </c>
      <c r="C85" s="10">
        <v>883</v>
      </c>
      <c r="D85" s="10"/>
      <c r="E85" s="10"/>
      <c r="F85" s="10"/>
      <c r="G85" s="10"/>
      <c r="H85" s="10"/>
    </row>
    <row r="86" spans="1:18" s="2" customFormat="1" ht="16.5" customHeight="1" thickBot="1">
      <c r="A86" s="18" t="s">
        <v>1018</v>
      </c>
      <c r="B86" s="28" t="s">
        <v>3</v>
      </c>
      <c r="C86" s="10">
        <v>831</v>
      </c>
      <c r="D86" s="10"/>
      <c r="E86" s="10"/>
      <c r="F86" s="10"/>
      <c r="G86" s="10"/>
      <c r="H86" s="10"/>
    </row>
    <row r="87" spans="1:18" s="2" customFormat="1" ht="16.5" customHeight="1" thickBot="1">
      <c r="A87" s="18" t="s">
        <v>926</v>
      </c>
      <c r="B87" s="28" t="s">
        <v>3</v>
      </c>
      <c r="C87" s="10">
        <v>827</v>
      </c>
      <c r="D87" s="10"/>
      <c r="E87" s="10"/>
      <c r="F87" s="10"/>
      <c r="I87" s="17"/>
      <c r="J87" s="17"/>
      <c r="K87" s="17"/>
      <c r="L87" s="17"/>
      <c r="M87" s="17"/>
      <c r="N87" s="17"/>
    </row>
    <row r="88" spans="1:18" s="2" customFormat="1" ht="16.5" customHeight="1" thickBot="1">
      <c r="A88" s="18" t="s">
        <v>674</v>
      </c>
      <c r="B88" s="22" t="s">
        <v>16</v>
      </c>
      <c r="C88" s="10">
        <v>635</v>
      </c>
      <c r="D88" s="10"/>
      <c r="E88" s="10"/>
      <c r="I88" s="17"/>
      <c r="J88" s="17"/>
      <c r="K88" s="17"/>
      <c r="L88" s="17"/>
      <c r="M88" s="17"/>
      <c r="N88" s="17"/>
    </row>
    <row r="89" spans="1:18" s="2" customFormat="1" ht="16.5" customHeight="1" thickBot="1">
      <c r="A89" s="18" t="s">
        <v>1012</v>
      </c>
      <c r="B89" s="22" t="s">
        <v>16</v>
      </c>
      <c r="C89" s="10">
        <v>517</v>
      </c>
      <c r="D89" s="10"/>
      <c r="K89" s="17"/>
    </row>
    <row r="90" spans="1:18" s="2" customFormat="1" ht="16.5" customHeight="1" thickBot="1">
      <c r="A90" s="18" t="s">
        <v>1016</v>
      </c>
      <c r="B90" s="22" t="s">
        <v>16</v>
      </c>
      <c r="C90" s="10">
        <v>506</v>
      </c>
      <c r="D90" s="10"/>
    </row>
    <row r="91" spans="1:18" s="2" customFormat="1" ht="16.5" customHeight="1" thickBot="1">
      <c r="A91" s="18" t="s">
        <v>1017</v>
      </c>
      <c r="B91" s="22" t="s">
        <v>16</v>
      </c>
      <c r="C91" s="10">
        <v>489</v>
      </c>
      <c r="D91" s="10"/>
      <c r="I91" s="17"/>
      <c r="J91" s="17"/>
      <c r="K91" s="17"/>
      <c r="L91" s="17"/>
      <c r="M91" s="17"/>
      <c r="N91" s="17"/>
    </row>
    <row r="92" spans="1:18" s="2" customFormat="1" ht="16.5" customHeight="1" thickBot="1">
      <c r="A92" s="18" t="s">
        <v>1019</v>
      </c>
      <c r="B92" s="28" t="s">
        <v>3</v>
      </c>
      <c r="C92" s="10">
        <v>343</v>
      </c>
      <c r="D92" s="10"/>
      <c r="I92" s="17"/>
      <c r="J92" s="17"/>
      <c r="K92" s="17"/>
      <c r="L92" s="17"/>
      <c r="M92" s="17"/>
      <c r="N92" s="17"/>
    </row>
    <row r="93" spans="1:18" s="2" customFormat="1" ht="11.25" customHeight="1">
      <c r="A93" s="29"/>
      <c r="B93" s="30"/>
      <c r="C93" s="29"/>
      <c r="D93" s="29"/>
      <c r="E93" s="29"/>
      <c r="N93" s="14"/>
    </row>
    <row r="94" spans="1:18" s="2" customFormat="1" ht="17.45" customHeight="1">
      <c r="A94" s="1" t="s">
        <v>1020</v>
      </c>
    </row>
    <row r="95" spans="1:18" s="2" customFormat="1" ht="8.25" customHeight="1" thickBot="1">
      <c r="A95" s="1"/>
    </row>
    <row r="96" spans="1:18" s="2" customFormat="1" ht="17.45" customHeight="1" thickBot="1">
      <c r="A96" s="4" t="s">
        <v>0</v>
      </c>
      <c r="B96" s="5" t="s">
        <v>1</v>
      </c>
      <c r="C96" s="5" t="s">
        <v>2</v>
      </c>
      <c r="D96" s="5">
        <v>2</v>
      </c>
      <c r="E96" s="5">
        <v>3</v>
      </c>
      <c r="F96" s="5">
        <v>4</v>
      </c>
      <c r="G96" s="5"/>
      <c r="H96" s="13" t="s">
        <v>9</v>
      </c>
      <c r="I96" s="14">
        <f>(18446/37131)</f>
        <v>0.49678166491610781</v>
      </c>
    </row>
    <row r="97" spans="1:20" s="2" customFormat="1" ht="17.45" customHeight="1" thickBot="1">
      <c r="A97" s="7" t="s">
        <v>1008</v>
      </c>
      <c r="B97" s="43" t="s">
        <v>16</v>
      </c>
      <c r="C97" s="9">
        <v>6268</v>
      </c>
      <c r="D97" s="10"/>
      <c r="E97" s="10"/>
      <c r="F97" s="10"/>
      <c r="G97" s="11" t="s">
        <v>4</v>
      </c>
      <c r="I97" s="13" t="s">
        <v>11</v>
      </c>
      <c r="J97" s="13" t="s">
        <v>12</v>
      </c>
      <c r="K97" s="13" t="s">
        <v>13</v>
      </c>
      <c r="L97" s="13"/>
    </row>
    <row r="98" spans="1:20" s="2" customFormat="1" ht="17.45" customHeight="1" thickBot="1">
      <c r="A98" s="7" t="s">
        <v>1006</v>
      </c>
      <c r="B98" s="8" t="s">
        <v>3</v>
      </c>
      <c r="C98" s="9">
        <v>4530</v>
      </c>
      <c r="D98" s="10"/>
      <c r="E98" s="10"/>
      <c r="F98" s="10"/>
      <c r="G98" s="11" t="s">
        <v>8</v>
      </c>
      <c r="H98" s="16" t="s">
        <v>5</v>
      </c>
      <c r="I98" s="17">
        <f>(C99+C101)</f>
        <v>4264</v>
      </c>
      <c r="J98" s="14">
        <f>SUM(I98/I101)</f>
        <v>0.24425731798132555</v>
      </c>
      <c r="K98" s="2">
        <v>1</v>
      </c>
    </row>
    <row r="99" spans="1:20" s="2" customFormat="1" ht="17.45" customHeight="1" thickBot="1">
      <c r="A99" s="7" t="s">
        <v>1007</v>
      </c>
      <c r="B99" s="12" t="s">
        <v>5</v>
      </c>
      <c r="C99" s="10">
        <v>2440</v>
      </c>
      <c r="D99" s="10"/>
      <c r="E99" s="10"/>
      <c r="F99" s="9" t="s">
        <v>587</v>
      </c>
      <c r="G99" s="11" t="s">
        <v>7</v>
      </c>
      <c r="H99" s="20" t="s">
        <v>3</v>
      </c>
      <c r="I99" s="17">
        <f>(C98+C100)</f>
        <v>6925</v>
      </c>
      <c r="J99" s="14">
        <f>SUM(I99/I101)</f>
        <v>0.3966890072750186</v>
      </c>
      <c r="K99" s="2">
        <v>1</v>
      </c>
    </row>
    <row r="100" spans="1:20" s="2" customFormat="1" ht="17.45" customHeight="1" thickBot="1">
      <c r="A100" s="18" t="s">
        <v>920</v>
      </c>
      <c r="B100" s="28" t="s">
        <v>3</v>
      </c>
      <c r="C100" s="10">
        <v>2395</v>
      </c>
      <c r="D100" s="10"/>
      <c r="E100" s="10"/>
      <c r="F100" s="10"/>
      <c r="G100" s="11"/>
      <c r="H100" s="21" t="s">
        <v>16</v>
      </c>
      <c r="I100" s="17">
        <v>6268</v>
      </c>
      <c r="J100" s="14">
        <f>SUM(I100/I101)</f>
        <v>0.35905367474365585</v>
      </c>
      <c r="K100" s="2">
        <v>1</v>
      </c>
    </row>
    <row r="101" spans="1:20" s="2" customFormat="1" ht="17.45" customHeight="1" thickBot="1">
      <c r="A101" s="18" t="s">
        <v>1021</v>
      </c>
      <c r="B101" s="19" t="s">
        <v>5</v>
      </c>
      <c r="C101" s="10">
        <v>1824</v>
      </c>
      <c r="D101" s="10"/>
      <c r="E101" s="10"/>
      <c r="F101" s="10"/>
      <c r="H101" s="13"/>
      <c r="I101" s="24">
        <v>17457</v>
      </c>
      <c r="J101" s="14"/>
    </row>
    <row r="103" spans="1:20" s="32" customFormat="1" ht="15" customHeight="1">
      <c r="B103" s="36" t="s">
        <v>19</v>
      </c>
      <c r="C103" s="38" t="s">
        <v>5</v>
      </c>
      <c r="D103" s="39" t="s">
        <v>3</v>
      </c>
      <c r="E103" s="40" t="s">
        <v>16</v>
      </c>
      <c r="F103" s="72" t="s">
        <v>1026</v>
      </c>
      <c r="G103" s="36" t="s">
        <v>17</v>
      </c>
      <c r="R103" s="33"/>
      <c r="S103" s="34"/>
      <c r="T103" s="35"/>
    </row>
    <row r="104" spans="1:20" s="32" customFormat="1" ht="15" customHeight="1">
      <c r="A104" s="32" t="s">
        <v>11</v>
      </c>
      <c r="B104" s="37">
        <f>(Q28+P9+O69+W45+I101+P84)</f>
        <v>91680</v>
      </c>
      <c r="C104" s="34">
        <f>(Q23+P5+O65+W41+I98+P80)</f>
        <v>28476</v>
      </c>
      <c r="D104" s="34">
        <f>(Q24+P6+O66+W42+I99+P81)</f>
        <v>32461</v>
      </c>
      <c r="E104" s="34">
        <f>(I100+P82+O67+W43+Q25+P7)</f>
        <v>20918</v>
      </c>
      <c r="F104" s="34">
        <v>222</v>
      </c>
      <c r="G104" s="34">
        <f>(P83+O68+W44+Q27+P8)</f>
        <v>8202</v>
      </c>
      <c r="J104" s="34"/>
      <c r="R104" s="36"/>
      <c r="S104" s="37"/>
      <c r="T104" s="35"/>
    </row>
    <row r="105" spans="1:20" s="32" customFormat="1" ht="15" customHeight="1">
      <c r="A105" s="32" t="s">
        <v>12</v>
      </c>
      <c r="B105" s="42">
        <v>1</v>
      </c>
      <c r="C105" s="35">
        <f>SUM(C104/$B$104)</f>
        <v>0.31060209424083768</v>
      </c>
      <c r="D105" s="35">
        <f>SUM(D104/$B$104)</f>
        <v>0.35406849912739963</v>
      </c>
      <c r="E105" s="35">
        <f>SUM(E104/$B$104)</f>
        <v>0.2281631762652705</v>
      </c>
      <c r="F105" s="35">
        <f>SUM(F104/$B$104)</f>
        <v>2.4214659685863876E-3</v>
      </c>
      <c r="G105" s="35">
        <f>SUM(G104/$B$104)</f>
        <v>8.9463350785340318E-2</v>
      </c>
    </row>
    <row r="106" spans="1:20" s="32" customFormat="1" ht="15" customHeight="1">
      <c r="A106" s="32" t="s">
        <v>13</v>
      </c>
      <c r="B106" s="36">
        <v>25</v>
      </c>
      <c r="C106" s="32">
        <v>9</v>
      </c>
      <c r="D106" s="32">
        <v>9</v>
      </c>
      <c r="E106" s="32">
        <v>5</v>
      </c>
      <c r="F106" s="32">
        <v>0</v>
      </c>
      <c r="G106" s="32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47"/>
  <sheetViews>
    <sheetView workbookViewId="0">
      <selection activeCell="R1" sqref="R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7" s="2" customFormat="1" ht="16.5" customHeight="1">
      <c r="A1" s="1" t="s">
        <v>965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(12970/24470)</f>
        <v>0.53003677973028196</v>
      </c>
    </row>
    <row r="4" spans="1:17" s="2" customFormat="1" ht="16.5" customHeight="1" thickBot="1">
      <c r="A4" s="7" t="s">
        <v>966</v>
      </c>
      <c r="B4" s="8" t="s">
        <v>3</v>
      </c>
      <c r="C4" s="9">
        <v>3200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967</v>
      </c>
      <c r="B5" s="12" t="s">
        <v>5</v>
      </c>
      <c r="C5" s="10">
        <v>1567</v>
      </c>
      <c r="D5" s="10"/>
      <c r="E5" s="10"/>
      <c r="F5" s="10"/>
      <c r="G5" s="10"/>
      <c r="H5" s="10"/>
      <c r="I5" s="10"/>
      <c r="J5" s="9" t="s">
        <v>587</v>
      </c>
      <c r="K5" s="10"/>
      <c r="L5" s="9"/>
      <c r="M5" s="11" t="s">
        <v>8</v>
      </c>
      <c r="N5" s="16" t="s">
        <v>5</v>
      </c>
      <c r="O5" s="17">
        <f>(C5+C8+C11+C12)</f>
        <v>4127</v>
      </c>
      <c r="P5" s="14">
        <f>SUM(O5/O9)</f>
        <v>0.32378785501333751</v>
      </c>
      <c r="Q5" s="2">
        <v>1</v>
      </c>
    </row>
    <row r="6" spans="1:17" s="2" customFormat="1" ht="16.5" customHeight="1" thickBot="1">
      <c r="A6" s="7" t="s">
        <v>970</v>
      </c>
      <c r="B6" s="43" t="s">
        <v>16</v>
      </c>
      <c r="C6" s="10">
        <v>1434</v>
      </c>
      <c r="D6" s="10"/>
      <c r="E6" s="10"/>
      <c r="F6" s="10"/>
      <c r="G6" s="10"/>
      <c r="H6" s="10"/>
      <c r="I6" s="10"/>
      <c r="J6" s="10"/>
      <c r="K6" s="10"/>
      <c r="L6" s="9"/>
      <c r="M6" s="11" t="s">
        <v>7</v>
      </c>
      <c r="N6" s="20" t="s">
        <v>3</v>
      </c>
      <c r="O6" s="17">
        <f>(C4+C9+C13)</f>
        <v>4686</v>
      </c>
      <c r="P6" s="14">
        <f>SUM(O6/O9)</f>
        <v>0.36764475129452379</v>
      </c>
      <c r="Q6" s="2">
        <v>2</v>
      </c>
    </row>
    <row r="7" spans="1:17" s="2" customFormat="1" ht="16.5" customHeight="1" thickBot="1">
      <c r="A7" s="18" t="s">
        <v>971</v>
      </c>
      <c r="B7" s="22" t="s">
        <v>16</v>
      </c>
      <c r="C7" s="10">
        <v>1336</v>
      </c>
      <c r="D7" s="10"/>
      <c r="E7" s="10"/>
      <c r="F7" s="10"/>
      <c r="G7" s="10"/>
      <c r="H7" s="10"/>
      <c r="I7" s="10"/>
      <c r="J7" s="10"/>
      <c r="K7" s="10"/>
      <c r="L7" s="10"/>
      <c r="M7" s="11"/>
      <c r="N7" s="21" t="s">
        <v>16</v>
      </c>
      <c r="O7" s="17">
        <f>(C6+C7+C10)</f>
        <v>3751</v>
      </c>
      <c r="P7" s="14">
        <f>SUM(O7/O9)</f>
        <v>0.29428840420524088</v>
      </c>
      <c r="Q7" s="2">
        <v>1</v>
      </c>
    </row>
    <row r="8" spans="1:17" s="2" customFormat="1" ht="16.5" customHeight="1" thickBot="1">
      <c r="A8" s="18" t="s">
        <v>968</v>
      </c>
      <c r="B8" s="19" t="s">
        <v>5</v>
      </c>
      <c r="C8" s="10">
        <v>1069</v>
      </c>
      <c r="D8" s="10"/>
      <c r="E8" s="10"/>
      <c r="F8" s="10"/>
      <c r="G8" s="10"/>
      <c r="H8" s="10"/>
      <c r="I8" s="10"/>
      <c r="J8" s="10"/>
      <c r="K8" s="10"/>
      <c r="N8" s="13" t="s">
        <v>17</v>
      </c>
      <c r="O8" s="17">
        <v>182</v>
      </c>
      <c r="P8" s="14">
        <f>SUM(O8/O9)</f>
        <v>1.4278989486897851E-2</v>
      </c>
    </row>
    <row r="9" spans="1:17" s="2" customFormat="1" ht="16.5" customHeight="1" thickBot="1">
      <c r="A9" s="7" t="s">
        <v>742</v>
      </c>
      <c r="B9" s="8" t="s">
        <v>3</v>
      </c>
      <c r="C9" s="10">
        <v>1012</v>
      </c>
      <c r="D9" s="10"/>
      <c r="E9" s="10"/>
      <c r="F9" s="10"/>
      <c r="G9" s="10"/>
      <c r="H9" s="10"/>
      <c r="I9" s="10"/>
      <c r="J9" s="10"/>
      <c r="K9" s="10"/>
      <c r="L9" s="9"/>
      <c r="M9" s="11" t="s">
        <v>6</v>
      </c>
      <c r="O9" s="24">
        <v>12746</v>
      </c>
    </row>
    <row r="10" spans="1:17" s="2" customFormat="1" ht="16.5" customHeight="1" thickBot="1">
      <c r="A10" s="18" t="s">
        <v>973</v>
      </c>
      <c r="B10" s="22" t="s">
        <v>16</v>
      </c>
      <c r="C10" s="10">
        <v>981</v>
      </c>
      <c r="D10" s="10"/>
      <c r="E10" s="10"/>
      <c r="F10" s="10"/>
      <c r="G10" s="10"/>
      <c r="H10" s="10"/>
      <c r="I10" s="10"/>
      <c r="J10" s="10"/>
      <c r="K10" s="10"/>
    </row>
    <row r="11" spans="1:17" s="2" customFormat="1" ht="16.5" customHeight="1" thickBot="1">
      <c r="A11" s="18" t="s">
        <v>969</v>
      </c>
      <c r="B11" s="19" t="s">
        <v>5</v>
      </c>
      <c r="C11" s="10">
        <v>908</v>
      </c>
      <c r="D11" s="10"/>
      <c r="E11" s="10"/>
      <c r="F11" s="10"/>
      <c r="G11" s="10"/>
      <c r="H11" s="10"/>
      <c r="I11" s="10"/>
      <c r="J11" s="10"/>
    </row>
    <row r="12" spans="1:17" s="2" customFormat="1" ht="16.5" customHeight="1" thickBot="1">
      <c r="A12" s="18" t="s">
        <v>972</v>
      </c>
      <c r="B12" s="19" t="s">
        <v>5</v>
      </c>
      <c r="C12" s="10">
        <v>583</v>
      </c>
      <c r="D12" s="10"/>
      <c r="E12" s="10"/>
      <c r="F12" s="10"/>
      <c r="G12" s="10"/>
      <c r="H12" s="10"/>
    </row>
    <row r="13" spans="1:17" s="2" customFormat="1" ht="16.5" customHeight="1" thickBot="1">
      <c r="A13" s="18" t="s">
        <v>974</v>
      </c>
      <c r="B13" s="28" t="s">
        <v>3</v>
      </c>
      <c r="C13" s="10">
        <v>474</v>
      </c>
      <c r="D13" s="10"/>
      <c r="E13" s="10"/>
      <c r="F13" s="10"/>
      <c r="G13" s="10"/>
      <c r="K13" s="48"/>
      <c r="L13" s="17"/>
    </row>
    <row r="14" spans="1:17" s="2" customFormat="1" ht="16.5" customHeight="1" thickBot="1">
      <c r="A14" s="18" t="s">
        <v>975</v>
      </c>
      <c r="B14" s="23" t="s">
        <v>928</v>
      </c>
      <c r="C14" s="10">
        <v>182</v>
      </c>
      <c r="D14" s="10"/>
      <c r="E14" s="10"/>
      <c r="K14" s="90"/>
      <c r="L14" s="17"/>
      <c r="M14" s="14"/>
    </row>
    <row r="15" spans="1:17" s="2" customFormat="1" ht="10.5" customHeight="1">
      <c r="A15" s="1"/>
    </row>
    <row r="16" spans="1:17" s="2" customFormat="1" ht="17.45" customHeight="1">
      <c r="A16" s="1" t="s">
        <v>964</v>
      </c>
    </row>
    <row r="17" spans="1:20" s="2" customFormat="1" ht="10.5" customHeight="1" thickBot="1">
      <c r="A17" s="1"/>
    </row>
    <row r="18" spans="1:20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5">
        <v>12</v>
      </c>
      <c r="O18" s="5">
        <v>13</v>
      </c>
      <c r="P18" s="6"/>
      <c r="Q18" s="13" t="s">
        <v>9</v>
      </c>
      <c r="R18" s="14">
        <f>(12453/28220)</f>
        <v>0.44128277817150957</v>
      </c>
    </row>
    <row r="19" spans="1:20" s="2" customFormat="1" ht="16.5" customHeight="1" thickBot="1">
      <c r="A19" s="7" t="s">
        <v>955</v>
      </c>
      <c r="B19" s="15" t="s">
        <v>14</v>
      </c>
      <c r="C19" s="10">
        <v>2010</v>
      </c>
      <c r="D19" s="10"/>
      <c r="E19" s="10"/>
      <c r="F19" s="10"/>
      <c r="G19" s="10"/>
      <c r="H19" s="10"/>
      <c r="I19" s="10"/>
      <c r="J19" s="9" t="s">
        <v>587</v>
      </c>
      <c r="K19" s="10"/>
      <c r="L19" s="10"/>
      <c r="M19" s="10"/>
      <c r="N19" s="10"/>
      <c r="O19" s="10"/>
      <c r="P19" s="11" t="s">
        <v>4</v>
      </c>
      <c r="R19" s="13" t="s">
        <v>11</v>
      </c>
      <c r="S19" s="13" t="s">
        <v>12</v>
      </c>
      <c r="T19" s="13" t="s">
        <v>13</v>
      </c>
    </row>
    <row r="20" spans="1:20" s="2" customFormat="1" ht="16.5" customHeight="1" thickBot="1">
      <c r="A20" s="7" t="s">
        <v>426</v>
      </c>
      <c r="B20" s="8" t="s">
        <v>3</v>
      </c>
      <c r="C20" s="10">
        <v>1187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 t="s">
        <v>8</v>
      </c>
      <c r="Q20" s="16" t="s">
        <v>5</v>
      </c>
      <c r="R20" s="17">
        <f>(C21+C25+C31+C33)</f>
        <v>2528</v>
      </c>
      <c r="S20" s="14">
        <f>SUM(R20/R25)</f>
        <v>0.20596382597360274</v>
      </c>
      <c r="T20" s="2">
        <v>1</v>
      </c>
    </row>
    <row r="21" spans="1:20" s="2" customFormat="1" ht="16.5" customHeight="1" thickBot="1">
      <c r="A21" s="7" t="s">
        <v>949</v>
      </c>
      <c r="B21" s="12" t="s">
        <v>5</v>
      </c>
      <c r="C21" s="10">
        <v>1082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 t="s">
        <v>6</v>
      </c>
      <c r="Q21" s="20" t="s">
        <v>3</v>
      </c>
      <c r="R21" s="17">
        <f>(C20+C23+C27)</f>
        <v>2674</v>
      </c>
      <c r="S21" s="14">
        <f>SUM(R21/R25)</f>
        <v>0.21785888870783771</v>
      </c>
      <c r="T21" s="2">
        <v>1</v>
      </c>
    </row>
    <row r="22" spans="1:20" s="2" customFormat="1" ht="16.5" customHeight="1" thickBot="1">
      <c r="A22" s="18" t="s">
        <v>956</v>
      </c>
      <c r="B22" s="23" t="s">
        <v>14</v>
      </c>
      <c r="C22" s="10">
        <v>1079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Q22" s="21" t="s">
        <v>16</v>
      </c>
      <c r="R22" s="17">
        <f>(C26+C30+C32)</f>
        <v>1412</v>
      </c>
      <c r="S22" s="14">
        <f>SUM(R22/R25)</f>
        <v>0.11503992178588887</v>
      </c>
      <c r="T22" s="2">
        <v>1</v>
      </c>
    </row>
    <row r="23" spans="1:20" s="2" customFormat="1" ht="16.5" customHeight="1" thickBot="1">
      <c r="A23" s="18" t="s">
        <v>948</v>
      </c>
      <c r="B23" s="28" t="s">
        <v>3</v>
      </c>
      <c r="C23" s="10">
        <v>941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Q23" s="83" t="s">
        <v>783</v>
      </c>
      <c r="R23" s="17">
        <v>528</v>
      </c>
      <c r="S23" s="14">
        <f>SUM(R23/R25)</f>
        <v>4.3017761121068927E-2</v>
      </c>
    </row>
    <row r="24" spans="1:20" s="2" customFormat="1" ht="16.5" customHeight="1" thickBot="1">
      <c r="A24" s="18" t="s">
        <v>959</v>
      </c>
      <c r="B24" s="23" t="s">
        <v>14</v>
      </c>
      <c r="C24" s="10">
        <v>841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Q24" s="13" t="s">
        <v>17</v>
      </c>
      <c r="R24" s="17">
        <f>(C19+C22+C24+C29+C34+C35+C36)</f>
        <v>5132</v>
      </c>
      <c r="S24" s="14">
        <f>SUM(R24/R25)</f>
        <v>0.41811960241160179</v>
      </c>
      <c r="T24" s="2">
        <v>1</v>
      </c>
    </row>
    <row r="25" spans="1:20" s="2" customFormat="1" ht="16.5" customHeight="1" thickBot="1">
      <c r="A25" s="18" t="s">
        <v>950</v>
      </c>
      <c r="B25" s="19" t="s">
        <v>5</v>
      </c>
      <c r="C25" s="10">
        <v>789</v>
      </c>
      <c r="D25" s="10"/>
      <c r="E25" s="10"/>
      <c r="F25" s="10"/>
      <c r="G25" s="10"/>
      <c r="H25" s="10"/>
      <c r="I25" s="10"/>
      <c r="J25" s="10"/>
      <c r="K25" s="10"/>
      <c r="L25" s="10"/>
      <c r="R25" s="24">
        <v>12274</v>
      </c>
    </row>
    <row r="26" spans="1:20" s="2" customFormat="1" ht="16.5" customHeight="1" thickBot="1">
      <c r="A26" s="7" t="s">
        <v>952</v>
      </c>
      <c r="B26" s="43" t="s">
        <v>16</v>
      </c>
      <c r="C26" s="10">
        <v>566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1" t="s">
        <v>7</v>
      </c>
    </row>
    <row r="27" spans="1:20" s="2" customFormat="1" ht="16.5" customHeight="1" thickBot="1">
      <c r="A27" s="18" t="s">
        <v>951</v>
      </c>
      <c r="B27" s="28" t="s">
        <v>3</v>
      </c>
      <c r="C27" s="10">
        <v>546</v>
      </c>
      <c r="D27" s="10"/>
      <c r="E27" s="10"/>
      <c r="F27" s="10"/>
      <c r="G27" s="10"/>
    </row>
    <row r="28" spans="1:20" s="2" customFormat="1" ht="16.5" customHeight="1" thickBot="1">
      <c r="A28" s="18" t="s">
        <v>957</v>
      </c>
      <c r="B28" s="76" t="s">
        <v>783</v>
      </c>
      <c r="C28" s="10">
        <v>528</v>
      </c>
      <c r="D28" s="10"/>
      <c r="E28" s="10"/>
      <c r="J28"/>
    </row>
    <row r="29" spans="1:20" s="2" customFormat="1" ht="16.5" customHeight="1" thickBot="1">
      <c r="A29" s="18" t="s">
        <v>960</v>
      </c>
      <c r="B29" s="23" t="s">
        <v>14</v>
      </c>
      <c r="C29" s="10">
        <v>517</v>
      </c>
      <c r="D29" s="10"/>
    </row>
    <row r="30" spans="1:20" s="2" customFormat="1" ht="16.5" customHeight="1" thickBot="1">
      <c r="A30" s="18" t="s">
        <v>774</v>
      </c>
      <c r="B30" s="22" t="s">
        <v>16</v>
      </c>
      <c r="C30" s="10">
        <v>516</v>
      </c>
      <c r="D30" s="10"/>
      <c r="J30" s="17"/>
      <c r="K30" s="26"/>
      <c r="L30" s="17"/>
      <c r="M30" s="14"/>
    </row>
    <row r="31" spans="1:20" s="2" customFormat="1" ht="16.5" customHeight="1" thickBot="1">
      <c r="A31" s="18" t="s">
        <v>953</v>
      </c>
      <c r="B31" s="19" t="s">
        <v>5</v>
      </c>
      <c r="C31" s="10">
        <v>336</v>
      </c>
      <c r="D31" s="10"/>
      <c r="K31" s="83"/>
      <c r="L31" s="17"/>
      <c r="M31" s="14"/>
    </row>
    <row r="32" spans="1:20" s="2" customFormat="1" ht="16.5" customHeight="1" thickBot="1">
      <c r="A32" s="18" t="s">
        <v>958</v>
      </c>
      <c r="B32" s="22" t="s">
        <v>16</v>
      </c>
      <c r="C32" s="10">
        <v>330</v>
      </c>
      <c r="D32" s="10"/>
      <c r="K32" s="17"/>
      <c r="L32" s="24"/>
    </row>
    <row r="33" spans="1:17" s="2" customFormat="1" ht="16.5" customHeight="1" thickBot="1">
      <c r="A33" s="18" t="s">
        <v>954</v>
      </c>
      <c r="B33" s="19" t="s">
        <v>5</v>
      </c>
      <c r="C33" s="10">
        <v>321</v>
      </c>
      <c r="D33" s="10"/>
    </row>
    <row r="34" spans="1:17" s="2" customFormat="1" ht="16.5" customHeight="1" thickBot="1">
      <c r="A34" s="18" t="s">
        <v>961</v>
      </c>
      <c r="B34" s="23" t="s">
        <v>14</v>
      </c>
      <c r="C34" s="10">
        <v>292</v>
      </c>
      <c r="D34" s="10"/>
    </row>
    <row r="35" spans="1:17" s="2" customFormat="1" ht="16.5" customHeight="1" thickBot="1">
      <c r="A35" s="18" t="s">
        <v>962</v>
      </c>
      <c r="B35" s="23" t="s">
        <v>928</v>
      </c>
      <c r="C35" s="10">
        <v>199</v>
      </c>
      <c r="D35" s="10"/>
    </row>
    <row r="36" spans="1:17" s="2" customFormat="1" ht="16.5" customHeight="1" thickBot="1">
      <c r="A36" s="18" t="s">
        <v>963</v>
      </c>
      <c r="B36" s="23" t="s">
        <v>928</v>
      </c>
      <c r="C36" s="10">
        <v>194</v>
      </c>
      <c r="D36" s="10"/>
    </row>
    <row r="38" spans="1:17" s="2" customFormat="1" ht="17.45" customHeight="1">
      <c r="A38" s="1" t="s">
        <v>936</v>
      </c>
    </row>
    <row r="39" spans="1:17" s="2" customFormat="1" ht="10.5" customHeight="1" thickBot="1">
      <c r="A39" s="1"/>
    </row>
    <row r="40" spans="1:17" s="2" customFormat="1" ht="16.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>
        <v>7</v>
      </c>
      <c r="J40" s="5">
        <v>8</v>
      </c>
      <c r="K40" s="5">
        <v>9</v>
      </c>
      <c r="L40" s="5">
        <v>10</v>
      </c>
      <c r="M40" s="6"/>
      <c r="N40" s="13" t="s">
        <v>9</v>
      </c>
      <c r="O40" s="14">
        <f>(17043/34200)</f>
        <v>0.49833333333333335</v>
      </c>
    </row>
    <row r="41" spans="1:17" s="2" customFormat="1" ht="16.5" customHeight="1" thickBot="1">
      <c r="A41" s="7" t="s">
        <v>938</v>
      </c>
      <c r="B41" s="43" t="s">
        <v>16</v>
      </c>
      <c r="C41" s="10">
        <v>2736</v>
      </c>
      <c r="D41" s="10"/>
      <c r="E41" s="9" t="s">
        <v>587</v>
      </c>
      <c r="F41" s="10"/>
      <c r="G41" s="10"/>
      <c r="H41" s="10"/>
      <c r="I41" s="10"/>
      <c r="J41" s="10"/>
      <c r="K41" s="10"/>
      <c r="L41" s="9"/>
      <c r="M41" s="11" t="s">
        <v>4</v>
      </c>
      <c r="O41" s="13" t="s">
        <v>11</v>
      </c>
      <c r="P41" s="13" t="s">
        <v>12</v>
      </c>
      <c r="Q41" s="13" t="s">
        <v>13</v>
      </c>
    </row>
    <row r="42" spans="1:17" s="2" customFormat="1" ht="16.5" customHeight="1" thickBot="1">
      <c r="A42" s="7" t="s">
        <v>937</v>
      </c>
      <c r="B42" s="8" t="s">
        <v>3</v>
      </c>
      <c r="C42" s="10">
        <v>2700</v>
      </c>
      <c r="D42" s="10"/>
      <c r="E42" s="10"/>
      <c r="F42" s="9" t="s">
        <v>587</v>
      </c>
      <c r="G42" s="10"/>
      <c r="H42" s="10"/>
      <c r="I42" s="10"/>
      <c r="J42" s="10"/>
      <c r="K42" s="10"/>
      <c r="L42" s="9"/>
      <c r="M42" s="11" t="s">
        <v>8</v>
      </c>
      <c r="N42" s="16" t="s">
        <v>5</v>
      </c>
      <c r="O42" s="17">
        <f>(C43+C45+C47+C54+C53)</f>
        <v>5400</v>
      </c>
      <c r="P42" s="14">
        <f>SUM(O42/O47)</f>
        <v>0.32121824995538634</v>
      </c>
      <c r="Q42" s="2">
        <v>2</v>
      </c>
    </row>
    <row r="43" spans="1:17" s="2" customFormat="1" ht="16.5" customHeight="1" thickBot="1">
      <c r="A43" s="7" t="s">
        <v>451</v>
      </c>
      <c r="B43" s="12" t="s">
        <v>5</v>
      </c>
      <c r="C43" s="10">
        <v>1985</v>
      </c>
      <c r="D43" s="10"/>
      <c r="E43" s="10"/>
      <c r="F43" s="10"/>
      <c r="G43" s="10"/>
      <c r="H43" s="10"/>
      <c r="I43" s="10"/>
      <c r="J43" s="10"/>
      <c r="K43" s="10"/>
      <c r="L43" s="9"/>
      <c r="M43" s="11" t="s">
        <v>7</v>
      </c>
      <c r="N43" s="20" t="s">
        <v>3</v>
      </c>
      <c r="O43" s="17">
        <f>(C42+C44+C46+C48)</f>
        <v>6464</v>
      </c>
      <c r="P43" s="14">
        <f>SUM(O43/O47)</f>
        <v>0.38451014216881801</v>
      </c>
      <c r="Q43" s="2">
        <v>2</v>
      </c>
    </row>
    <row r="44" spans="1:17" s="2" customFormat="1" ht="16.5" customHeight="1" thickBot="1">
      <c r="A44" s="7" t="s">
        <v>940</v>
      </c>
      <c r="B44" s="8" t="s">
        <v>3</v>
      </c>
      <c r="C44" s="10">
        <v>1909</v>
      </c>
      <c r="D44" s="10"/>
      <c r="E44" s="10"/>
      <c r="F44" s="10"/>
      <c r="G44" s="10"/>
      <c r="H44" s="10"/>
      <c r="I44" s="10"/>
      <c r="J44" s="10"/>
      <c r="K44" s="10"/>
      <c r="L44" s="9"/>
      <c r="M44" s="11" t="s">
        <v>6</v>
      </c>
      <c r="N44" s="21" t="s">
        <v>16</v>
      </c>
      <c r="O44" s="17">
        <f>(C41+C49+C51)</f>
        <v>3701</v>
      </c>
      <c r="P44" s="14">
        <f>SUM(O44/O47)</f>
        <v>0.22015347094164536</v>
      </c>
      <c r="Q44" s="2">
        <v>1</v>
      </c>
    </row>
    <row r="45" spans="1:17" s="2" customFormat="1" ht="16.5" customHeight="1" thickBot="1">
      <c r="A45" s="7" t="s">
        <v>942</v>
      </c>
      <c r="B45" s="12" t="s">
        <v>5</v>
      </c>
      <c r="C45" s="10">
        <v>1664</v>
      </c>
      <c r="D45" s="10"/>
      <c r="E45" s="10"/>
      <c r="F45" s="10"/>
      <c r="G45" s="10"/>
      <c r="H45" s="10"/>
      <c r="I45" s="10"/>
      <c r="J45" s="10"/>
      <c r="K45" s="10"/>
      <c r="L45" s="10"/>
      <c r="M45" s="11" t="s">
        <v>10</v>
      </c>
      <c r="N45" s="83" t="s">
        <v>783</v>
      </c>
      <c r="O45" s="17">
        <v>495</v>
      </c>
      <c r="P45" s="14">
        <f>SUM(O45/O47)</f>
        <v>2.9445006245910416E-2</v>
      </c>
    </row>
    <row r="46" spans="1:17" s="2" customFormat="1" ht="16.5" customHeight="1" thickBot="1">
      <c r="A46" s="18" t="s">
        <v>941</v>
      </c>
      <c r="B46" s="28" t="s">
        <v>3</v>
      </c>
      <c r="C46" s="10">
        <v>1031</v>
      </c>
      <c r="D46" s="10"/>
      <c r="E46" s="10"/>
      <c r="F46" s="10"/>
      <c r="G46" s="10"/>
      <c r="H46" s="10"/>
      <c r="I46" s="10"/>
      <c r="J46" s="10"/>
      <c r="K46" s="10"/>
      <c r="L46" s="10"/>
      <c r="M46" s="11"/>
      <c r="N46" s="13" t="s">
        <v>17</v>
      </c>
      <c r="O46" s="17">
        <f>(C52+C55)</f>
        <v>751</v>
      </c>
      <c r="P46" s="14">
        <f>SUM(O46/O47)</f>
        <v>4.4673130688239845E-2</v>
      </c>
    </row>
    <row r="47" spans="1:17" s="2" customFormat="1" ht="16.5" customHeight="1" thickBot="1">
      <c r="A47" s="18" t="s">
        <v>943</v>
      </c>
      <c r="B47" s="19" t="s">
        <v>5</v>
      </c>
      <c r="C47" s="10">
        <v>964</v>
      </c>
      <c r="D47" s="10"/>
      <c r="E47" s="10"/>
      <c r="F47" s="10"/>
      <c r="G47" s="10"/>
      <c r="H47" s="10"/>
      <c r="I47" s="10"/>
      <c r="J47" s="10"/>
      <c r="K47" s="10"/>
      <c r="L47" s="10"/>
      <c r="O47" s="24">
        <v>16811</v>
      </c>
    </row>
    <row r="48" spans="1:17" s="2" customFormat="1" ht="16.5" customHeight="1" thickBot="1">
      <c r="A48" s="18" t="s">
        <v>744</v>
      </c>
      <c r="B48" s="28" t="s">
        <v>3</v>
      </c>
      <c r="C48" s="10">
        <v>824</v>
      </c>
      <c r="D48" s="10"/>
      <c r="E48" s="10"/>
      <c r="F48" s="10"/>
      <c r="G48" s="10"/>
      <c r="H48" s="10"/>
    </row>
    <row r="49" spans="1:18" s="2" customFormat="1" ht="16.5" customHeight="1" thickBot="1">
      <c r="A49" s="18" t="s">
        <v>750</v>
      </c>
      <c r="B49" s="22" t="s">
        <v>16</v>
      </c>
      <c r="C49" s="10">
        <v>519</v>
      </c>
      <c r="D49" s="10"/>
      <c r="E49" s="10"/>
      <c r="F49" s="10"/>
      <c r="G49" s="10"/>
    </row>
    <row r="50" spans="1:18" s="2" customFormat="1" ht="16.5" customHeight="1" thickBot="1">
      <c r="A50" s="18" t="s">
        <v>182</v>
      </c>
      <c r="B50" s="76" t="s">
        <v>783</v>
      </c>
      <c r="C50" s="10">
        <v>495</v>
      </c>
      <c r="D50" s="10"/>
      <c r="E50" s="10"/>
      <c r="F50" s="10"/>
    </row>
    <row r="51" spans="1:18" s="2" customFormat="1" ht="16.5" customHeight="1" thickBot="1">
      <c r="A51" s="18" t="s">
        <v>939</v>
      </c>
      <c r="B51" s="22" t="s">
        <v>16</v>
      </c>
      <c r="C51" s="10">
        <v>446</v>
      </c>
      <c r="D51" s="10"/>
      <c r="E51" s="10"/>
      <c r="F51" s="10"/>
      <c r="K51" s="14"/>
    </row>
    <row r="52" spans="1:18" s="2" customFormat="1" ht="16.5" customHeight="1" thickBot="1">
      <c r="A52" s="18" t="s">
        <v>944</v>
      </c>
      <c r="B52" s="23" t="s">
        <v>14</v>
      </c>
      <c r="C52" s="10">
        <v>426</v>
      </c>
      <c r="D52" s="10"/>
      <c r="E52" s="10"/>
    </row>
    <row r="53" spans="1:18" s="2" customFormat="1" ht="16.5" customHeight="1" thickBot="1">
      <c r="A53" s="18" t="s">
        <v>945</v>
      </c>
      <c r="B53" s="19" t="s">
        <v>5</v>
      </c>
      <c r="C53" s="10">
        <v>420</v>
      </c>
      <c r="D53" s="10"/>
      <c r="J53" s="17"/>
    </row>
    <row r="54" spans="1:18" s="2" customFormat="1" ht="16.5" customHeight="1" thickBot="1">
      <c r="A54" s="18" t="s">
        <v>947</v>
      </c>
      <c r="B54" s="19" t="s">
        <v>5</v>
      </c>
      <c r="C54" s="10">
        <v>367</v>
      </c>
      <c r="D54" s="10"/>
      <c r="K54" s="14"/>
    </row>
    <row r="55" spans="1:18" s="2" customFormat="1" ht="16.5" customHeight="1" thickBot="1">
      <c r="A55" s="18" t="s">
        <v>946</v>
      </c>
      <c r="B55" s="23" t="s">
        <v>14</v>
      </c>
      <c r="C55" s="10">
        <v>325</v>
      </c>
      <c r="D55" s="10"/>
    </row>
    <row r="56" spans="1:18" s="2" customFormat="1" ht="11.25" customHeight="1">
      <c r="A56" s="29"/>
      <c r="B56" s="30"/>
      <c r="C56" s="45"/>
      <c r="D56" s="45"/>
      <c r="E56" s="45"/>
      <c r="F56" s="17"/>
      <c r="G56" s="17"/>
      <c r="H56" s="17"/>
      <c r="I56" s="17"/>
      <c r="J56" s="17"/>
      <c r="K56" s="17"/>
      <c r="L56" s="17"/>
      <c r="M56" s="17"/>
      <c r="N56" s="44"/>
    </row>
    <row r="57" spans="1:18" s="2" customFormat="1" ht="17.45" customHeight="1">
      <c r="A57" s="1" t="s">
        <v>976</v>
      </c>
    </row>
    <row r="58" spans="1:18" s="2" customFormat="1" ht="10.5" customHeight="1" thickBot="1">
      <c r="A58" s="1"/>
    </row>
    <row r="59" spans="1:18" s="2" customFormat="1" ht="16.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5">
        <v>8</v>
      </c>
      <c r="K59" s="5">
        <v>9</v>
      </c>
      <c r="L59" s="5">
        <v>10</v>
      </c>
      <c r="M59" s="5">
        <v>11</v>
      </c>
      <c r="N59" s="6"/>
      <c r="O59" s="13" t="s">
        <v>9</v>
      </c>
      <c r="P59" s="14">
        <f>(11188/22510)</f>
        <v>0.49702354509107066</v>
      </c>
    </row>
    <row r="60" spans="1:18" s="2" customFormat="1" ht="16.5" customHeight="1" thickBot="1">
      <c r="A60" s="7" t="s">
        <v>619</v>
      </c>
      <c r="B60" s="43" t="s">
        <v>16</v>
      </c>
      <c r="C60" s="9">
        <v>2559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1" t="s">
        <v>4</v>
      </c>
      <c r="P60" s="13" t="s">
        <v>11</v>
      </c>
      <c r="Q60" s="13" t="s">
        <v>12</v>
      </c>
      <c r="R60" s="13" t="s">
        <v>13</v>
      </c>
    </row>
    <row r="61" spans="1:18" s="2" customFormat="1" ht="16.5" customHeight="1" thickBot="1">
      <c r="A61" s="7" t="s">
        <v>644</v>
      </c>
      <c r="B61" s="8" t="s">
        <v>3</v>
      </c>
      <c r="C61" s="9">
        <v>2219</v>
      </c>
      <c r="D61" s="10"/>
      <c r="E61" s="10"/>
      <c r="F61" s="10"/>
      <c r="G61" s="10"/>
      <c r="H61" s="10"/>
      <c r="I61" s="10"/>
      <c r="J61" s="10"/>
      <c r="K61" s="10"/>
      <c r="L61" s="10"/>
      <c r="M61" s="9"/>
      <c r="N61" s="11" t="s">
        <v>8</v>
      </c>
      <c r="O61" s="16" t="s">
        <v>5</v>
      </c>
      <c r="P61" s="17">
        <f>(C62+C63+C65+C68+C69)</f>
        <v>3727</v>
      </c>
      <c r="Q61" s="14">
        <f>SUM(P61/P65)</f>
        <v>0.337651748505164</v>
      </c>
      <c r="R61" s="2">
        <v>2</v>
      </c>
    </row>
    <row r="62" spans="1:18" s="2" customFormat="1" ht="16.5" customHeight="1" thickBot="1">
      <c r="A62" s="7" t="s">
        <v>977</v>
      </c>
      <c r="B62" s="12" t="s">
        <v>5</v>
      </c>
      <c r="C62" s="10">
        <v>1191</v>
      </c>
      <c r="D62" s="10"/>
      <c r="E62" s="10"/>
      <c r="F62" s="10"/>
      <c r="G62" s="10"/>
      <c r="H62" s="10"/>
      <c r="I62" s="10"/>
      <c r="J62" s="10"/>
      <c r="K62" s="10"/>
      <c r="L62" s="10"/>
      <c r="M62" s="9" t="s">
        <v>587</v>
      </c>
      <c r="N62" s="11" t="s">
        <v>7</v>
      </c>
      <c r="O62" s="20" t="s">
        <v>3</v>
      </c>
      <c r="P62" s="17">
        <f>(C61+C64+C66)</f>
        <v>3571</v>
      </c>
      <c r="Q62" s="14">
        <f>SUM(P62/P65)</f>
        <v>0.32351875339735459</v>
      </c>
      <c r="R62" s="2">
        <v>1</v>
      </c>
    </row>
    <row r="63" spans="1:18" s="2" customFormat="1" ht="16.5" customHeight="1" thickBot="1">
      <c r="A63" s="7" t="s">
        <v>979</v>
      </c>
      <c r="B63" s="12" t="s">
        <v>5</v>
      </c>
      <c r="C63" s="10">
        <v>1061</v>
      </c>
      <c r="D63" s="10"/>
      <c r="E63" s="10"/>
      <c r="F63" s="10"/>
      <c r="G63" s="10"/>
      <c r="H63" s="10"/>
      <c r="I63" s="10"/>
      <c r="J63" s="10"/>
      <c r="K63" s="10"/>
      <c r="L63" s="10"/>
      <c r="M63" s="9" t="s">
        <v>587</v>
      </c>
      <c r="N63" s="11" t="s">
        <v>6</v>
      </c>
      <c r="O63" s="21" t="s">
        <v>16</v>
      </c>
      <c r="P63" s="17">
        <f>(C60+C70+C73)</f>
        <v>2900</v>
      </c>
      <c r="Q63" s="14">
        <f>SUM(P63/P65)</f>
        <v>0.26272875520927702</v>
      </c>
      <c r="R63" s="2">
        <v>1</v>
      </c>
    </row>
    <row r="64" spans="1:18" s="2" customFormat="1" ht="16.5" customHeight="1" thickBot="1">
      <c r="A64" s="18" t="s">
        <v>978</v>
      </c>
      <c r="B64" s="28" t="s">
        <v>3</v>
      </c>
      <c r="C64" s="10">
        <v>770</v>
      </c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1"/>
      <c r="O64" s="13" t="s">
        <v>17</v>
      </c>
      <c r="P64" s="17">
        <f>(C67+C71+C72)</f>
        <v>840</v>
      </c>
      <c r="Q64" s="14">
        <f>SUM(P64/P65)</f>
        <v>7.6100742888204384E-2</v>
      </c>
    </row>
    <row r="65" spans="1:18" s="2" customFormat="1" ht="16.5" customHeight="1" thickBot="1">
      <c r="A65" s="18" t="s">
        <v>822</v>
      </c>
      <c r="B65" s="19" t="s">
        <v>5</v>
      </c>
      <c r="C65" s="10">
        <v>644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P65" s="24">
        <v>11038</v>
      </c>
    </row>
    <row r="66" spans="1:18" s="2" customFormat="1" ht="16.5" customHeight="1" thickBot="1">
      <c r="A66" s="18" t="s">
        <v>839</v>
      </c>
      <c r="B66" s="28" t="s">
        <v>3</v>
      </c>
      <c r="C66" s="10">
        <v>582</v>
      </c>
      <c r="D66" s="10"/>
      <c r="E66" s="10"/>
      <c r="F66" s="10"/>
      <c r="G66" s="10"/>
      <c r="H66" s="10"/>
      <c r="I66" s="10"/>
    </row>
    <row r="67" spans="1:18" s="2" customFormat="1" ht="16.5" customHeight="1" thickBot="1">
      <c r="A67" s="18" t="s">
        <v>649</v>
      </c>
      <c r="B67" s="23" t="s">
        <v>14</v>
      </c>
      <c r="C67" s="10">
        <v>489</v>
      </c>
      <c r="D67" s="10"/>
      <c r="E67" s="10"/>
      <c r="F67" s="10"/>
      <c r="G67" s="10"/>
      <c r="H67" s="10"/>
      <c r="I67" s="10"/>
    </row>
    <row r="68" spans="1:18" s="2" customFormat="1" ht="16.5" customHeight="1" thickBot="1">
      <c r="A68" s="18" t="s">
        <v>652</v>
      </c>
      <c r="B68" s="19" t="s">
        <v>5</v>
      </c>
      <c r="C68" s="10">
        <v>424</v>
      </c>
      <c r="D68" s="10"/>
      <c r="E68" s="10"/>
      <c r="F68" s="10"/>
    </row>
    <row r="69" spans="1:18" s="2" customFormat="1" ht="16.5" customHeight="1" thickBot="1">
      <c r="A69" s="18" t="s">
        <v>983</v>
      </c>
      <c r="B69" s="19" t="s">
        <v>5</v>
      </c>
      <c r="C69" s="10">
        <v>407</v>
      </c>
      <c r="D69" s="10"/>
      <c r="E69" s="10"/>
    </row>
    <row r="70" spans="1:18" s="2" customFormat="1" ht="16.5" customHeight="1" thickBot="1">
      <c r="A70" s="18" t="s">
        <v>981</v>
      </c>
      <c r="B70" s="22" t="s">
        <v>16</v>
      </c>
      <c r="C70" s="10">
        <v>214</v>
      </c>
      <c r="D70" s="10"/>
      <c r="K70" s="13"/>
      <c r="L70" s="17"/>
      <c r="M70" s="14"/>
    </row>
    <row r="71" spans="1:18" s="2" customFormat="1" ht="16.5" customHeight="1" thickBot="1">
      <c r="A71" s="18" t="s">
        <v>980</v>
      </c>
      <c r="B71" s="23" t="s">
        <v>14</v>
      </c>
      <c r="C71" s="10">
        <v>198</v>
      </c>
      <c r="D71" s="10"/>
      <c r="L71" s="24"/>
    </row>
    <row r="72" spans="1:18" s="2" customFormat="1" ht="16.5" customHeight="1" thickBot="1">
      <c r="A72" s="18" t="s">
        <v>984</v>
      </c>
      <c r="B72" s="23" t="s">
        <v>928</v>
      </c>
      <c r="C72" s="10">
        <v>153</v>
      </c>
      <c r="D72" s="10"/>
    </row>
    <row r="73" spans="1:18" s="2" customFormat="1" ht="16.5" customHeight="1" thickBot="1">
      <c r="A73" s="18" t="s">
        <v>982</v>
      </c>
      <c r="B73" s="22" t="s">
        <v>16</v>
      </c>
      <c r="C73" s="10">
        <v>127</v>
      </c>
      <c r="D73" s="10"/>
    </row>
    <row r="74" spans="1:18" s="2" customFormat="1" ht="11.25" customHeight="1">
      <c r="A74" s="29"/>
      <c r="B74" s="30"/>
      <c r="C74" s="45"/>
      <c r="D74" s="45"/>
      <c r="E74" s="45"/>
      <c r="F74" s="17"/>
      <c r="G74" s="17"/>
      <c r="H74" s="17"/>
      <c r="I74" s="17"/>
      <c r="J74" s="17"/>
      <c r="K74" s="17"/>
      <c r="L74" s="17"/>
      <c r="M74" s="17"/>
      <c r="N74" s="44"/>
    </row>
    <row r="75" spans="1:18" s="2" customFormat="1" ht="17.45" customHeight="1">
      <c r="A75" s="1" t="s">
        <v>985</v>
      </c>
    </row>
    <row r="76" spans="1:18" s="2" customFormat="1" ht="10.5" customHeight="1" thickBot="1">
      <c r="A76" s="1"/>
    </row>
    <row r="77" spans="1:18" s="2" customFormat="1" ht="16.5" customHeight="1" thickBot="1">
      <c r="A77" s="4" t="s">
        <v>0</v>
      </c>
      <c r="B77" s="5" t="s">
        <v>1</v>
      </c>
      <c r="C77" s="5" t="s">
        <v>2</v>
      </c>
      <c r="D77" s="5">
        <v>2</v>
      </c>
      <c r="E77" s="5">
        <v>3</v>
      </c>
      <c r="F77" s="5">
        <v>4</v>
      </c>
      <c r="G77" s="5">
        <v>5</v>
      </c>
      <c r="H77" s="5">
        <v>6</v>
      </c>
      <c r="I77" s="5">
        <v>7</v>
      </c>
      <c r="J77" s="5">
        <v>8</v>
      </c>
      <c r="K77" s="5">
        <v>9</v>
      </c>
      <c r="L77" s="5">
        <v>10</v>
      </c>
      <c r="M77" s="5">
        <v>11</v>
      </c>
      <c r="N77" s="6"/>
      <c r="O77" s="13" t="s">
        <v>9</v>
      </c>
      <c r="P77" s="14">
        <f>(6590/16819)</f>
        <v>0.3918187763838516</v>
      </c>
    </row>
    <row r="78" spans="1:18" s="2" customFormat="1" ht="16.5" customHeight="1" thickBot="1">
      <c r="A78" s="7" t="s">
        <v>842</v>
      </c>
      <c r="B78" s="12" t="s">
        <v>5</v>
      </c>
      <c r="C78" s="9">
        <v>3800</v>
      </c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1" t="s">
        <v>4</v>
      </c>
      <c r="P78" s="13" t="s">
        <v>11</v>
      </c>
      <c r="Q78" s="13" t="s">
        <v>12</v>
      </c>
      <c r="R78" s="13" t="s">
        <v>13</v>
      </c>
    </row>
    <row r="79" spans="1:18" s="2" customFormat="1" ht="16.5" customHeight="1" thickBot="1">
      <c r="A79" s="7" t="s">
        <v>986</v>
      </c>
      <c r="B79" s="43" t="s">
        <v>16</v>
      </c>
      <c r="C79" s="10">
        <v>2437</v>
      </c>
      <c r="D79" s="10"/>
      <c r="E79" s="10"/>
      <c r="F79" s="10"/>
      <c r="G79" s="10"/>
      <c r="H79" s="10"/>
      <c r="I79" s="9" t="s">
        <v>587</v>
      </c>
      <c r="J79" s="10"/>
      <c r="K79" s="10"/>
      <c r="L79" s="10"/>
      <c r="M79" s="9"/>
      <c r="N79" s="11" t="s">
        <v>8</v>
      </c>
      <c r="O79" s="16" t="s">
        <v>5</v>
      </c>
      <c r="P79" s="17">
        <f>(C78+C82+C83)</f>
        <v>5867</v>
      </c>
      <c r="Q79" s="14">
        <f>SUM(P79/P83)</f>
        <v>0.38469608550258999</v>
      </c>
      <c r="R79" s="2">
        <v>2</v>
      </c>
    </row>
    <row r="80" spans="1:18" s="2" customFormat="1" ht="16.5" customHeight="1" thickBot="1">
      <c r="A80" s="7" t="s">
        <v>845</v>
      </c>
      <c r="B80" s="8" t="s">
        <v>3</v>
      </c>
      <c r="C80" s="10">
        <v>1403</v>
      </c>
      <c r="D80" s="10"/>
      <c r="E80" s="10"/>
      <c r="F80" s="10"/>
      <c r="G80" s="10"/>
      <c r="H80" s="10"/>
      <c r="I80" s="10"/>
      <c r="J80" s="10"/>
      <c r="K80" s="10"/>
      <c r="L80" s="10"/>
      <c r="M80" s="9"/>
      <c r="N80" s="11" t="s">
        <v>7</v>
      </c>
      <c r="O80" s="20" t="s">
        <v>3</v>
      </c>
      <c r="P80" s="17">
        <f>(C80+C81+C84+C88)</f>
        <v>3945</v>
      </c>
      <c r="Q80" s="14">
        <f>SUM(P80/P83)</f>
        <v>0.25867156252049045</v>
      </c>
      <c r="R80" s="2">
        <v>1</v>
      </c>
    </row>
    <row r="81" spans="1:18" s="2" customFormat="1" ht="16.5" customHeight="1" thickBot="1">
      <c r="A81" s="18" t="s">
        <v>992</v>
      </c>
      <c r="B81" s="28" t="s">
        <v>3</v>
      </c>
      <c r="C81" s="10">
        <v>1221</v>
      </c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1"/>
      <c r="O81" s="21" t="s">
        <v>16</v>
      </c>
      <c r="P81" s="17">
        <f>(C79+C85+C90)</f>
        <v>3563</v>
      </c>
      <c r="Q81" s="14">
        <f>SUM(P81/P83)</f>
        <v>0.23362402465412105</v>
      </c>
      <c r="R81" s="2">
        <v>1</v>
      </c>
    </row>
    <row r="82" spans="1:18" s="2" customFormat="1" ht="16.5" customHeight="1" thickBot="1">
      <c r="A82" s="7" t="s">
        <v>988</v>
      </c>
      <c r="B82" s="12" t="s">
        <v>5</v>
      </c>
      <c r="C82" s="10">
        <v>1174</v>
      </c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1" t="s">
        <v>6</v>
      </c>
      <c r="O82" s="13" t="s">
        <v>17</v>
      </c>
      <c r="P82" s="17">
        <f>(C86+C87+C89)</f>
        <v>1876</v>
      </c>
      <c r="Q82" s="14">
        <f>SUM(P82/P83)</f>
        <v>0.12300832732279851</v>
      </c>
    </row>
    <row r="83" spans="1:18" s="2" customFormat="1" ht="16.5" customHeight="1" thickBot="1">
      <c r="A83" s="18" t="s">
        <v>990</v>
      </c>
      <c r="B83" s="19" t="s">
        <v>5</v>
      </c>
      <c r="C83" s="10">
        <v>893</v>
      </c>
      <c r="D83" s="10"/>
      <c r="E83" s="10"/>
      <c r="F83" s="10"/>
      <c r="G83" s="10"/>
      <c r="H83" s="10"/>
      <c r="I83" s="10"/>
      <c r="J83" s="10"/>
      <c r="K83" s="10"/>
      <c r="P83" s="24">
        <v>15251</v>
      </c>
    </row>
    <row r="84" spans="1:18" s="2" customFormat="1" ht="16.5" customHeight="1" thickBot="1">
      <c r="A84" s="18" t="s">
        <v>993</v>
      </c>
      <c r="B84" s="28" t="s">
        <v>3</v>
      </c>
      <c r="C84" s="10">
        <v>769</v>
      </c>
      <c r="D84" s="10"/>
      <c r="E84" s="10"/>
      <c r="F84" s="10"/>
      <c r="G84" s="10"/>
      <c r="H84" s="10"/>
      <c r="I84" s="10"/>
    </row>
    <row r="85" spans="1:18" s="2" customFormat="1" ht="16.5" customHeight="1" thickBot="1">
      <c r="A85" s="18" t="s">
        <v>849</v>
      </c>
      <c r="B85" s="22" t="s">
        <v>16</v>
      </c>
      <c r="C85" s="10">
        <v>761</v>
      </c>
      <c r="D85" s="10"/>
      <c r="E85" s="10"/>
      <c r="F85" s="10"/>
      <c r="G85" s="10"/>
      <c r="H85" s="10"/>
    </row>
    <row r="86" spans="1:18" s="2" customFormat="1" ht="16.5" customHeight="1" thickBot="1">
      <c r="A86" s="18" t="s">
        <v>987</v>
      </c>
      <c r="B86" s="23" t="s">
        <v>14</v>
      </c>
      <c r="C86" s="10">
        <v>756</v>
      </c>
      <c r="D86" s="10"/>
      <c r="E86" s="10"/>
      <c r="F86" s="10"/>
      <c r="G86" s="10"/>
      <c r="K86" s="17"/>
    </row>
    <row r="87" spans="1:18" s="2" customFormat="1" ht="16.5" customHeight="1" thickBot="1">
      <c r="A87" s="18" t="s">
        <v>991</v>
      </c>
      <c r="B87" s="23" t="s">
        <v>14</v>
      </c>
      <c r="C87" s="10">
        <v>630</v>
      </c>
      <c r="D87" s="10"/>
      <c r="E87" s="10"/>
      <c r="F87" s="10"/>
    </row>
    <row r="88" spans="1:18" s="2" customFormat="1" ht="16.5" customHeight="1" thickBot="1">
      <c r="A88" s="18" t="s">
        <v>994</v>
      </c>
      <c r="B88" s="28" t="s">
        <v>3</v>
      </c>
      <c r="C88" s="10">
        <v>552</v>
      </c>
      <c r="D88" s="10"/>
      <c r="E88" s="10"/>
      <c r="F88" s="10"/>
      <c r="I88" s="17"/>
      <c r="J88" s="17"/>
      <c r="K88" s="17"/>
      <c r="L88" s="17"/>
      <c r="M88" s="17"/>
    </row>
    <row r="89" spans="1:18" s="2" customFormat="1" ht="16.5" customHeight="1" thickBot="1">
      <c r="A89" s="18" t="s">
        <v>995</v>
      </c>
      <c r="B89" s="23" t="s">
        <v>928</v>
      </c>
      <c r="C89" s="10">
        <v>490</v>
      </c>
      <c r="D89" s="10"/>
      <c r="E89" s="10"/>
    </row>
    <row r="90" spans="1:18" s="2" customFormat="1" ht="16.5" customHeight="1" thickBot="1">
      <c r="A90" s="18" t="s">
        <v>989</v>
      </c>
      <c r="B90" s="22" t="s">
        <v>16</v>
      </c>
      <c r="C90" s="10">
        <v>365</v>
      </c>
      <c r="D90" s="10"/>
      <c r="E90" s="10"/>
      <c r="I90" s="17"/>
      <c r="J90" s="17"/>
      <c r="K90" s="17"/>
      <c r="L90" s="17"/>
      <c r="M90" s="17"/>
    </row>
    <row r="91" spans="1:18" s="2" customFormat="1" ht="11.25" customHeight="1">
      <c r="A91" s="29"/>
      <c r="B91" s="30"/>
      <c r="C91" s="29"/>
      <c r="D91" s="29"/>
      <c r="N91" s="14"/>
    </row>
    <row r="92" spans="1:18" s="2" customFormat="1" ht="17.45" customHeight="1">
      <c r="A92" s="1" t="s">
        <v>929</v>
      </c>
    </row>
    <row r="93" spans="1:18" s="2" customFormat="1" ht="10.5" customHeight="1" thickBot="1">
      <c r="A93" s="1"/>
    </row>
    <row r="94" spans="1:18" s="2" customFormat="1" ht="16.5" customHeight="1" thickBot="1">
      <c r="A94" s="4" t="s">
        <v>0</v>
      </c>
      <c r="B94" s="5" t="s">
        <v>1</v>
      </c>
      <c r="C94" s="5" t="s">
        <v>2</v>
      </c>
      <c r="D94" s="5">
        <v>2</v>
      </c>
      <c r="E94" s="5">
        <v>3</v>
      </c>
      <c r="F94" s="5">
        <v>4</v>
      </c>
      <c r="G94" s="5">
        <v>5</v>
      </c>
      <c r="H94" s="5">
        <v>6</v>
      </c>
      <c r="I94" s="6"/>
      <c r="J94" s="13" t="s">
        <v>9</v>
      </c>
      <c r="K94" s="14"/>
    </row>
    <row r="95" spans="1:18" s="2" customFormat="1" ht="16.5" customHeight="1" thickBot="1">
      <c r="A95" s="7" t="s">
        <v>931</v>
      </c>
      <c r="B95" s="8" t="s">
        <v>3</v>
      </c>
      <c r="C95" s="10">
        <v>2613</v>
      </c>
      <c r="D95" s="10"/>
      <c r="E95" s="10"/>
      <c r="F95" s="10"/>
      <c r="G95" s="10"/>
      <c r="H95" s="9"/>
      <c r="I95" s="11" t="s">
        <v>4</v>
      </c>
      <c r="K95" s="13" t="s">
        <v>11</v>
      </c>
      <c r="L95" s="13" t="s">
        <v>12</v>
      </c>
      <c r="M95" s="13" t="s">
        <v>13</v>
      </c>
    </row>
    <row r="96" spans="1:18" s="2" customFormat="1" ht="16.5" customHeight="1" thickBot="1">
      <c r="A96" s="7" t="s">
        <v>930</v>
      </c>
      <c r="B96" s="12" t="s">
        <v>5</v>
      </c>
      <c r="C96" s="10">
        <v>2127</v>
      </c>
      <c r="D96" s="10"/>
      <c r="E96" s="10"/>
      <c r="F96" s="10"/>
      <c r="G96" s="10"/>
      <c r="H96" s="10"/>
      <c r="I96" s="11" t="s">
        <v>8</v>
      </c>
      <c r="J96" s="16" t="s">
        <v>5</v>
      </c>
      <c r="K96" s="17">
        <f>(C96+C101+C103)</f>
        <v>3960</v>
      </c>
      <c r="L96" s="14">
        <f>SUM(K96/K100)</f>
        <v>0.267224509076186</v>
      </c>
      <c r="M96" s="2">
        <v>1</v>
      </c>
    </row>
    <row r="97" spans="1:14" s="2" customFormat="1" ht="16.5" customHeight="1" thickBot="1">
      <c r="A97" s="7" t="s">
        <v>933</v>
      </c>
      <c r="B97" s="43" t="s">
        <v>16</v>
      </c>
      <c r="C97" s="10">
        <v>2111</v>
      </c>
      <c r="D97" s="10"/>
      <c r="E97" s="10"/>
      <c r="F97" s="10"/>
      <c r="G97" s="10"/>
      <c r="H97" s="9" t="s">
        <v>587</v>
      </c>
      <c r="I97" s="11" t="s">
        <v>7</v>
      </c>
      <c r="J97" s="20" t="s">
        <v>3</v>
      </c>
      <c r="K97" s="17">
        <f>(C95+C98+C99+C102)</f>
        <v>7327</v>
      </c>
      <c r="L97" s="14">
        <f>SUM(K97/K100)</f>
        <v>0.49443282272757944</v>
      </c>
      <c r="M97" s="2">
        <v>2</v>
      </c>
    </row>
    <row r="98" spans="1:14" s="2" customFormat="1" ht="16.5" customHeight="1" thickBot="1">
      <c r="A98" s="7" t="s">
        <v>932</v>
      </c>
      <c r="B98" s="8" t="s">
        <v>3</v>
      </c>
      <c r="C98" s="10">
        <v>2079</v>
      </c>
      <c r="D98" s="10"/>
      <c r="E98" s="10"/>
      <c r="F98" s="10"/>
      <c r="G98" s="10"/>
      <c r="H98" s="9" t="s">
        <v>587</v>
      </c>
      <c r="I98" s="11" t="s">
        <v>6</v>
      </c>
      <c r="J98" s="21" t="s">
        <v>16</v>
      </c>
      <c r="K98" s="17">
        <v>2111</v>
      </c>
      <c r="L98" s="14">
        <f>SUM(K98/K100)</f>
        <v>0.14245225723733046</v>
      </c>
      <c r="M98" s="2">
        <v>1</v>
      </c>
    </row>
    <row r="99" spans="1:14" s="2" customFormat="1" ht="16.5" customHeight="1" thickBot="1">
      <c r="A99" s="18" t="s">
        <v>917</v>
      </c>
      <c r="B99" s="28" t="s">
        <v>3</v>
      </c>
      <c r="C99" s="10">
        <v>1513</v>
      </c>
      <c r="D99" s="10"/>
      <c r="E99" s="10"/>
      <c r="F99" s="10"/>
      <c r="G99" s="10"/>
      <c r="H99" s="10"/>
      <c r="I99" s="11"/>
      <c r="J99" s="13" t="s">
        <v>17</v>
      </c>
      <c r="K99" s="17">
        <v>1421</v>
      </c>
      <c r="L99" s="14">
        <f>SUM(K99/K100)</f>
        <v>9.5890410958904104E-2</v>
      </c>
    </row>
    <row r="100" spans="1:14" s="2" customFormat="1" ht="16.5" customHeight="1" thickBot="1">
      <c r="A100" s="18" t="s">
        <v>935</v>
      </c>
      <c r="B100" s="23" t="s">
        <v>14</v>
      </c>
      <c r="C100" s="10">
        <v>1421</v>
      </c>
      <c r="D100" s="10"/>
      <c r="E100" s="10"/>
      <c r="F100" s="10"/>
      <c r="G100" s="10"/>
      <c r="H100" s="10"/>
      <c r="K100" s="24">
        <v>14819</v>
      </c>
    </row>
    <row r="101" spans="1:14" s="2" customFormat="1" ht="16.5" customHeight="1" thickBot="1">
      <c r="A101" s="18" t="s">
        <v>80</v>
      </c>
      <c r="B101" s="19" t="s">
        <v>5</v>
      </c>
      <c r="C101" s="10">
        <v>1257</v>
      </c>
      <c r="D101" s="10"/>
      <c r="E101" s="10"/>
      <c r="F101" s="10"/>
      <c r="G101" s="10"/>
    </row>
    <row r="102" spans="1:14" s="2" customFormat="1" ht="16.5" customHeight="1" thickBot="1">
      <c r="A102" s="18" t="s">
        <v>934</v>
      </c>
      <c r="B102" s="28" t="s">
        <v>3</v>
      </c>
      <c r="C102" s="10">
        <v>1122</v>
      </c>
      <c r="D102" s="10"/>
      <c r="E102" s="10"/>
      <c r="F102" s="10"/>
      <c r="I102" s="17"/>
    </row>
    <row r="103" spans="1:14" s="2" customFormat="1" ht="16.5" customHeight="1" thickBot="1">
      <c r="A103" s="18" t="s">
        <v>54</v>
      </c>
      <c r="B103" s="19" t="s">
        <v>5</v>
      </c>
      <c r="C103" s="10">
        <v>576</v>
      </c>
      <c r="D103" s="10"/>
      <c r="E103" s="10"/>
      <c r="I103" s="17"/>
      <c r="J103" s="17"/>
      <c r="K103" s="17"/>
    </row>
    <row r="104" spans="1:14" s="2" customFormat="1" ht="11.25" customHeight="1">
      <c r="A104" s="29"/>
      <c r="B104" s="30"/>
      <c r="C104" s="29"/>
      <c r="D104" s="29"/>
      <c r="E104" s="29"/>
      <c r="N104" s="14"/>
    </row>
    <row r="105" spans="1:14" s="2" customFormat="1" ht="17.45" customHeight="1">
      <c r="A105" s="1" t="s">
        <v>996</v>
      </c>
    </row>
    <row r="106" spans="1:14" s="2" customFormat="1" ht="8.25" customHeight="1" thickBot="1">
      <c r="A106" s="1"/>
    </row>
    <row r="107" spans="1:14" s="2" customFormat="1" ht="17.45" customHeight="1" thickBot="1">
      <c r="A107" s="4" t="s">
        <v>0</v>
      </c>
      <c r="B107" s="5" t="s">
        <v>1</v>
      </c>
      <c r="C107" s="5" t="s">
        <v>2</v>
      </c>
      <c r="D107" s="5">
        <v>2</v>
      </c>
      <c r="E107" s="5">
        <v>3</v>
      </c>
      <c r="F107" s="5">
        <v>4</v>
      </c>
      <c r="G107" s="5">
        <v>5</v>
      </c>
      <c r="H107" s="5">
        <v>6</v>
      </c>
      <c r="I107" s="5"/>
      <c r="J107" s="13" t="s">
        <v>9</v>
      </c>
      <c r="K107" s="14">
        <f>(12558/23500)</f>
        <v>0.53438297872340423</v>
      </c>
    </row>
    <row r="108" spans="1:14" s="2" customFormat="1" ht="17.45" customHeight="1" thickBot="1">
      <c r="A108" s="7" t="s">
        <v>1001</v>
      </c>
      <c r="B108" s="8" t="s">
        <v>3</v>
      </c>
      <c r="C108" s="9">
        <v>2497</v>
      </c>
      <c r="D108" s="10"/>
      <c r="E108" s="10"/>
      <c r="F108" s="10"/>
      <c r="G108" s="10"/>
      <c r="H108" s="10"/>
      <c r="I108" s="11" t="s">
        <v>4</v>
      </c>
      <c r="K108" s="13" t="s">
        <v>11</v>
      </c>
      <c r="L108" s="13" t="s">
        <v>12</v>
      </c>
      <c r="M108" s="13" t="s">
        <v>13</v>
      </c>
      <c r="N108" s="13"/>
    </row>
    <row r="109" spans="1:14" s="2" customFormat="1" ht="17.45" customHeight="1" thickBot="1">
      <c r="A109" s="7" t="s">
        <v>998</v>
      </c>
      <c r="B109" s="12" t="s">
        <v>5</v>
      </c>
      <c r="C109" s="10">
        <v>1552</v>
      </c>
      <c r="D109" s="10"/>
      <c r="E109" s="10"/>
      <c r="F109" s="10"/>
      <c r="G109" s="10"/>
      <c r="H109" s="9" t="s">
        <v>587</v>
      </c>
      <c r="I109" s="11" t="s">
        <v>8</v>
      </c>
      <c r="J109" s="16" t="s">
        <v>5</v>
      </c>
      <c r="K109" s="17">
        <f>(C109+C110+C112+C117)</f>
        <v>4827</v>
      </c>
      <c r="L109" s="14">
        <f>SUM(K109/K112)</f>
        <v>0.39094516886693126</v>
      </c>
      <c r="M109" s="2">
        <v>1</v>
      </c>
    </row>
    <row r="110" spans="1:14" s="2" customFormat="1" ht="17.45" customHeight="1" thickBot="1">
      <c r="A110" s="18" t="s">
        <v>722</v>
      </c>
      <c r="B110" s="19" t="s">
        <v>5</v>
      </c>
      <c r="C110" s="10">
        <v>1485</v>
      </c>
      <c r="D110" s="10"/>
      <c r="E110" s="10"/>
      <c r="F110" s="10"/>
      <c r="G110" s="10"/>
      <c r="H110" s="10"/>
      <c r="I110" s="11"/>
      <c r="J110" s="20" t="s">
        <v>3</v>
      </c>
      <c r="K110" s="17">
        <f>(C108+C115+C113+C116)</f>
        <v>5144</v>
      </c>
      <c r="L110" s="14">
        <f>SUM(K110/K112)</f>
        <v>0.41661942172187577</v>
      </c>
      <c r="M110" s="2">
        <v>2</v>
      </c>
    </row>
    <row r="111" spans="1:14" s="2" customFormat="1" ht="17.45" customHeight="1" thickBot="1">
      <c r="A111" s="7" t="s">
        <v>997</v>
      </c>
      <c r="B111" s="43" t="s">
        <v>16</v>
      </c>
      <c r="C111" s="10">
        <v>1338</v>
      </c>
      <c r="D111" s="10"/>
      <c r="E111" s="10"/>
      <c r="F111" s="10"/>
      <c r="G111" s="10"/>
      <c r="H111" s="9" t="s">
        <v>587</v>
      </c>
      <c r="I111" s="11" t="s">
        <v>7</v>
      </c>
      <c r="J111" s="21" t="s">
        <v>16</v>
      </c>
      <c r="K111" s="17">
        <f>(C111+C114)</f>
        <v>2376</v>
      </c>
      <c r="L111" s="14">
        <f>SUM(K111/K112)</f>
        <v>0.192435409411193</v>
      </c>
      <c r="M111" s="2">
        <v>1</v>
      </c>
    </row>
    <row r="112" spans="1:14" s="2" customFormat="1" ht="17.45" customHeight="1" thickBot="1">
      <c r="A112" s="18" t="s">
        <v>999</v>
      </c>
      <c r="B112" s="19" t="s">
        <v>5</v>
      </c>
      <c r="C112" s="10">
        <v>1334</v>
      </c>
      <c r="D112" s="10"/>
      <c r="E112" s="10"/>
      <c r="F112" s="10"/>
      <c r="G112" s="10"/>
      <c r="H112" s="10"/>
      <c r="J112" s="26"/>
      <c r="K112" s="24">
        <v>12347</v>
      </c>
      <c r="L112" s="14"/>
    </row>
    <row r="113" spans="1:14" s="2" customFormat="1" ht="17.45" customHeight="1" thickBot="1">
      <c r="A113" s="7" t="s">
        <v>889</v>
      </c>
      <c r="B113" s="8" t="s">
        <v>3</v>
      </c>
      <c r="C113" s="10">
        <v>1142</v>
      </c>
      <c r="D113" s="10"/>
      <c r="E113" s="10"/>
      <c r="F113" s="10"/>
      <c r="G113" s="10"/>
      <c r="H113" s="9" t="s">
        <v>587</v>
      </c>
      <c r="I113" s="11" t="s">
        <v>6</v>
      </c>
      <c r="J113" s="83"/>
      <c r="K113" s="17"/>
      <c r="L113" s="14"/>
      <c r="N113" s="14"/>
    </row>
    <row r="114" spans="1:14" s="2" customFormat="1" ht="17.45" customHeight="1" thickBot="1">
      <c r="A114" s="18" t="s">
        <v>1000</v>
      </c>
      <c r="B114" s="22" t="s">
        <v>16</v>
      </c>
      <c r="C114" s="10">
        <v>1038</v>
      </c>
      <c r="D114" s="10"/>
      <c r="E114" s="10"/>
      <c r="F114" s="10"/>
      <c r="G114" s="10"/>
      <c r="J114" s="13"/>
      <c r="K114" s="17"/>
      <c r="L114" s="14"/>
    </row>
    <row r="115" spans="1:14" s="2" customFormat="1" ht="17.45" customHeight="1" thickBot="1">
      <c r="A115" s="18" t="s">
        <v>1002</v>
      </c>
      <c r="B115" s="28" t="s">
        <v>3</v>
      </c>
      <c r="C115" s="10">
        <v>905</v>
      </c>
      <c r="D115" s="10"/>
      <c r="E115" s="10"/>
      <c r="F115" s="10"/>
    </row>
    <row r="116" spans="1:14" s="2" customFormat="1" ht="17.45" customHeight="1" thickBot="1">
      <c r="A116" s="18" t="s">
        <v>1003</v>
      </c>
      <c r="B116" s="28" t="s">
        <v>3</v>
      </c>
      <c r="C116" s="10">
        <v>600</v>
      </c>
      <c r="D116" s="10"/>
      <c r="E116" s="10"/>
      <c r="J116" s="14"/>
    </row>
    <row r="117" spans="1:14" s="2" customFormat="1" ht="17.45" customHeight="1" thickBot="1">
      <c r="A117" s="18" t="s">
        <v>1004</v>
      </c>
      <c r="B117" s="19" t="s">
        <v>5</v>
      </c>
      <c r="C117" s="10">
        <v>456</v>
      </c>
      <c r="D117" s="10"/>
      <c r="E117" s="17"/>
      <c r="J117" s="13"/>
      <c r="L117" s="14"/>
    </row>
    <row r="119" spans="1:14" s="2" customFormat="1" ht="17.45" customHeight="1">
      <c r="A119" s="1" t="s">
        <v>919</v>
      </c>
    </row>
    <row r="120" spans="1:14" s="2" customFormat="1" ht="10.5" customHeight="1" thickBot="1">
      <c r="A120" s="1"/>
    </row>
    <row r="121" spans="1:14" s="2" customFormat="1" ht="16.5" customHeight="1" thickBot="1">
      <c r="A121" s="4" t="s">
        <v>0</v>
      </c>
      <c r="B121" s="5" t="s">
        <v>1</v>
      </c>
      <c r="C121" s="5" t="s">
        <v>2</v>
      </c>
      <c r="D121" s="5">
        <v>2</v>
      </c>
      <c r="E121" s="5">
        <v>3</v>
      </c>
      <c r="F121" s="5">
        <v>4</v>
      </c>
      <c r="G121" s="5">
        <v>5</v>
      </c>
      <c r="H121" s="5">
        <v>6</v>
      </c>
      <c r="I121" s="5">
        <v>7</v>
      </c>
      <c r="J121" s="6"/>
      <c r="K121" s="13" t="s">
        <v>9</v>
      </c>
      <c r="L121" s="14"/>
    </row>
    <row r="122" spans="1:14" s="2" customFormat="1" ht="16.5" customHeight="1" thickBot="1">
      <c r="A122" s="7" t="s">
        <v>922</v>
      </c>
      <c r="B122" s="8" t="s">
        <v>3</v>
      </c>
      <c r="C122" s="9">
        <v>3712</v>
      </c>
      <c r="D122" s="10"/>
      <c r="E122" s="10"/>
      <c r="F122" s="10"/>
      <c r="G122" s="10"/>
      <c r="H122" s="9"/>
      <c r="I122" s="10"/>
      <c r="J122" s="11" t="s">
        <v>4</v>
      </c>
      <c r="L122" s="13" t="s">
        <v>11</v>
      </c>
      <c r="M122" s="13" t="s">
        <v>12</v>
      </c>
      <c r="N122" s="13" t="s">
        <v>13</v>
      </c>
    </row>
    <row r="123" spans="1:14" s="2" customFormat="1" ht="16.5" customHeight="1" thickBot="1">
      <c r="A123" s="7" t="s">
        <v>923</v>
      </c>
      <c r="B123" s="8" t="s">
        <v>3</v>
      </c>
      <c r="C123" s="10">
        <v>2405</v>
      </c>
      <c r="D123" s="10"/>
      <c r="E123" s="9" t="s">
        <v>587</v>
      </c>
      <c r="F123" s="10"/>
      <c r="G123" s="10"/>
      <c r="H123" s="10"/>
      <c r="I123" s="10"/>
      <c r="J123" s="11" t="s">
        <v>8</v>
      </c>
      <c r="K123" s="16" t="s">
        <v>5</v>
      </c>
      <c r="L123" s="17">
        <f>(C124+C125+C129+C130)</f>
        <v>4207</v>
      </c>
      <c r="M123" s="14">
        <f>SUM(L123/L127)</f>
        <v>0.2883679484543149</v>
      </c>
      <c r="N123" s="2">
        <v>1</v>
      </c>
    </row>
    <row r="124" spans="1:14" s="2" customFormat="1" ht="16.5" customHeight="1" thickBot="1">
      <c r="A124" s="7" t="s">
        <v>920</v>
      </c>
      <c r="B124" s="12" t="s">
        <v>5</v>
      </c>
      <c r="C124" s="10">
        <v>1459</v>
      </c>
      <c r="D124" s="10"/>
      <c r="E124" s="10"/>
      <c r="F124" s="10"/>
      <c r="G124" s="10"/>
      <c r="H124" s="10"/>
      <c r="I124" s="10"/>
      <c r="J124" s="11" t="s">
        <v>6</v>
      </c>
      <c r="K124" s="20" t="s">
        <v>3</v>
      </c>
      <c r="L124" s="17">
        <f>(C122+C123+C127)</f>
        <v>7388</v>
      </c>
      <c r="M124" s="14">
        <f>SUM(L124/L127)</f>
        <v>0.50640893824114064</v>
      </c>
      <c r="N124" s="2">
        <v>2</v>
      </c>
    </row>
    <row r="125" spans="1:14" s="2" customFormat="1" ht="16.5" customHeight="1" thickBot="1">
      <c r="A125" s="18" t="s">
        <v>921</v>
      </c>
      <c r="B125" s="19" t="s">
        <v>5</v>
      </c>
      <c r="C125" s="10">
        <v>1330</v>
      </c>
      <c r="D125" s="10"/>
      <c r="E125" s="10"/>
      <c r="F125" s="10"/>
      <c r="G125" s="10"/>
      <c r="H125" s="10"/>
      <c r="I125" s="10"/>
      <c r="J125" s="11"/>
      <c r="K125" s="21" t="s">
        <v>16</v>
      </c>
      <c r="L125" s="17">
        <f>(C126+C128)</f>
        <v>2570</v>
      </c>
      <c r="M125" s="14">
        <f>SUM(L125/L127)</f>
        <v>0.17616012063883749</v>
      </c>
      <c r="N125" s="2">
        <v>1</v>
      </c>
    </row>
    <row r="126" spans="1:14" s="2" customFormat="1" ht="16.5" customHeight="1" thickBot="1">
      <c r="A126" s="7" t="s">
        <v>674</v>
      </c>
      <c r="B126" s="43" t="s">
        <v>16</v>
      </c>
      <c r="C126" s="10">
        <v>1317</v>
      </c>
      <c r="D126" s="10"/>
      <c r="E126" s="10"/>
      <c r="F126" s="10"/>
      <c r="G126" s="10"/>
      <c r="H126" s="10"/>
      <c r="I126" s="10"/>
      <c r="J126" s="11" t="s">
        <v>7</v>
      </c>
      <c r="K126" s="13" t="s">
        <v>17</v>
      </c>
      <c r="L126" s="17">
        <v>424</v>
      </c>
      <c r="M126" s="14">
        <f>SUM(L126/L127)</f>
        <v>2.9062992665707041E-2</v>
      </c>
    </row>
    <row r="127" spans="1:14" s="2" customFormat="1" ht="16.5" customHeight="1" thickBot="1">
      <c r="A127" s="18" t="s">
        <v>926</v>
      </c>
      <c r="B127" s="28" t="s">
        <v>3</v>
      </c>
      <c r="C127" s="10">
        <v>1271</v>
      </c>
      <c r="D127" s="10"/>
      <c r="E127" s="10"/>
      <c r="F127" s="10"/>
      <c r="G127" s="10"/>
      <c r="H127" s="10"/>
      <c r="I127" s="10"/>
      <c r="L127" s="24">
        <v>14589</v>
      </c>
    </row>
    <row r="128" spans="1:14" s="2" customFormat="1" ht="16.5" customHeight="1" thickBot="1">
      <c r="A128" s="18" t="s">
        <v>876</v>
      </c>
      <c r="B128" s="22" t="s">
        <v>16</v>
      </c>
      <c r="C128" s="10">
        <v>1253</v>
      </c>
      <c r="D128" s="10"/>
      <c r="E128" s="10"/>
      <c r="F128" s="10"/>
      <c r="G128" s="10"/>
      <c r="H128" s="10"/>
    </row>
    <row r="129" spans="1:20" s="2" customFormat="1" ht="16.5" customHeight="1" thickBot="1">
      <c r="A129" s="18" t="s">
        <v>924</v>
      </c>
      <c r="B129" s="19" t="s">
        <v>5</v>
      </c>
      <c r="C129" s="10">
        <v>772</v>
      </c>
      <c r="D129" s="10"/>
      <c r="E129" s="10"/>
      <c r="F129" s="10"/>
    </row>
    <row r="130" spans="1:20" s="2" customFormat="1" ht="16.5" customHeight="1" thickBot="1">
      <c r="A130" s="18" t="s">
        <v>925</v>
      </c>
      <c r="B130" s="19" t="s">
        <v>5</v>
      </c>
      <c r="C130" s="10">
        <v>646</v>
      </c>
      <c r="D130" s="10"/>
      <c r="E130" s="10"/>
      <c r="I130" s="17"/>
      <c r="J130" s="17"/>
      <c r="K130" s="17"/>
      <c r="L130" s="17"/>
      <c r="M130" s="17"/>
      <c r="N130" s="17"/>
    </row>
    <row r="131" spans="1:20" s="2" customFormat="1" ht="16.5" customHeight="1" thickBot="1">
      <c r="A131" s="18" t="s">
        <v>927</v>
      </c>
      <c r="B131" s="23" t="s">
        <v>928</v>
      </c>
      <c r="C131" s="10">
        <v>424</v>
      </c>
      <c r="D131" s="10"/>
      <c r="I131" s="17"/>
      <c r="J131" s="17"/>
      <c r="K131" s="17"/>
      <c r="L131" s="17"/>
      <c r="M131" s="17"/>
      <c r="N131" s="17"/>
    </row>
    <row r="132" spans="1:20" s="2" customFormat="1" ht="11.25" customHeight="1">
      <c r="A132" s="29"/>
      <c r="B132" s="30"/>
      <c r="C132" s="29"/>
      <c r="D132" s="29"/>
      <c r="E132" s="29"/>
      <c r="N132" s="14"/>
    </row>
    <row r="133" spans="1:20" s="2" customFormat="1" ht="17.45" customHeight="1">
      <c r="A133" s="1" t="s">
        <v>1005</v>
      </c>
    </row>
    <row r="134" spans="1:20" s="2" customFormat="1" ht="8.25" customHeight="1" thickBot="1">
      <c r="A134" s="1"/>
    </row>
    <row r="135" spans="1:20" s="2" customFormat="1" ht="17.45" customHeight="1" thickBot="1">
      <c r="A135" s="4" t="s">
        <v>0</v>
      </c>
      <c r="B135" s="5" t="s">
        <v>1</v>
      </c>
      <c r="C135" s="5" t="s">
        <v>2</v>
      </c>
      <c r="D135" s="5">
        <v>2</v>
      </c>
      <c r="E135" s="5">
        <v>3</v>
      </c>
      <c r="F135" s="5">
        <v>4</v>
      </c>
      <c r="G135" s="5">
        <v>5</v>
      </c>
      <c r="H135" s="5"/>
      <c r="I135" s="13" t="s">
        <v>9</v>
      </c>
      <c r="J135" s="14">
        <f>(20728/38348)</f>
        <v>0.5405236257431939</v>
      </c>
    </row>
    <row r="136" spans="1:20" s="2" customFormat="1" ht="17.45" customHeight="1" thickBot="1">
      <c r="A136" s="7" t="s">
        <v>1008</v>
      </c>
      <c r="B136" s="43" t="s">
        <v>16</v>
      </c>
      <c r="C136" s="9">
        <v>6485</v>
      </c>
      <c r="D136" s="10"/>
      <c r="E136" s="10"/>
      <c r="F136" s="10"/>
      <c r="G136" s="10"/>
      <c r="H136" s="11" t="s">
        <v>4</v>
      </c>
      <c r="J136" s="13" t="s">
        <v>11</v>
      </c>
      <c r="K136" s="13" t="s">
        <v>12</v>
      </c>
      <c r="L136" s="13" t="s">
        <v>13</v>
      </c>
      <c r="M136" s="13"/>
    </row>
    <row r="137" spans="1:20" s="2" customFormat="1" ht="17.45" customHeight="1" thickBot="1">
      <c r="A137" s="7" t="s">
        <v>1007</v>
      </c>
      <c r="B137" s="12" t="s">
        <v>5</v>
      </c>
      <c r="C137" s="10">
        <v>3282</v>
      </c>
      <c r="D137" s="10"/>
      <c r="E137" s="10"/>
      <c r="F137" s="10"/>
      <c r="G137" s="9" t="s">
        <v>587</v>
      </c>
      <c r="H137" s="11" t="s">
        <v>8</v>
      </c>
      <c r="I137" s="16" t="s">
        <v>5</v>
      </c>
      <c r="J137" s="17">
        <f>(C137+C141)</f>
        <v>4765</v>
      </c>
      <c r="K137" s="14">
        <f>SUM(J137/J141)</f>
        <v>0.23520410681672344</v>
      </c>
      <c r="L137" s="2">
        <v>1</v>
      </c>
    </row>
    <row r="138" spans="1:20" s="2" customFormat="1" ht="17.45" customHeight="1" thickBot="1">
      <c r="A138" s="7" t="s">
        <v>1006</v>
      </c>
      <c r="B138" s="8" t="s">
        <v>3</v>
      </c>
      <c r="C138" s="10">
        <v>3035</v>
      </c>
      <c r="D138" s="10"/>
      <c r="E138" s="10"/>
      <c r="F138" s="10"/>
      <c r="G138" s="9" t="s">
        <v>587</v>
      </c>
      <c r="H138" s="11" t="s">
        <v>7</v>
      </c>
      <c r="I138" s="20" t="s">
        <v>3</v>
      </c>
      <c r="J138" s="17">
        <f>(C138+C139+C140)</f>
        <v>8188</v>
      </c>
      <c r="K138" s="14">
        <f>SUM(J138/J141)</f>
        <v>0.40416604965694258</v>
      </c>
      <c r="L138" s="2">
        <v>1</v>
      </c>
    </row>
    <row r="139" spans="1:20" s="2" customFormat="1" ht="17.45" customHeight="1" thickBot="1">
      <c r="A139" s="18" t="s">
        <v>920</v>
      </c>
      <c r="B139" s="28" t="s">
        <v>3</v>
      </c>
      <c r="C139" s="10">
        <v>2681</v>
      </c>
      <c r="D139" s="10"/>
      <c r="E139" s="10"/>
      <c r="F139" s="10"/>
      <c r="G139" s="10"/>
      <c r="H139" s="11"/>
      <c r="I139" s="21" t="s">
        <v>16</v>
      </c>
      <c r="J139" s="17">
        <v>6485</v>
      </c>
      <c r="K139" s="14">
        <f>SUM(J139/J141)</f>
        <v>0.32010464484920281</v>
      </c>
      <c r="L139" s="2">
        <v>1</v>
      </c>
    </row>
    <row r="140" spans="1:20" s="2" customFormat="1" ht="17.45" customHeight="1" thickBot="1">
      <c r="A140" s="18" t="s">
        <v>1010</v>
      </c>
      <c r="B140" s="28" t="s">
        <v>3</v>
      </c>
      <c r="C140" s="10">
        <v>2472</v>
      </c>
      <c r="D140" s="10"/>
      <c r="E140" s="10"/>
      <c r="F140" s="10"/>
      <c r="G140" s="10"/>
      <c r="I140" s="13" t="s">
        <v>17</v>
      </c>
      <c r="J140" s="17">
        <v>821</v>
      </c>
      <c r="K140" s="14">
        <f>SUM(J140/J141)</f>
        <v>4.0525198677131148E-2</v>
      </c>
    </row>
    <row r="141" spans="1:20" s="2" customFormat="1" ht="17.45" customHeight="1" thickBot="1">
      <c r="A141" s="18" t="s">
        <v>866</v>
      </c>
      <c r="B141" s="19" t="s">
        <v>5</v>
      </c>
      <c r="C141" s="10">
        <v>1483</v>
      </c>
      <c r="D141" s="10"/>
      <c r="E141" s="10"/>
      <c r="J141" s="24">
        <v>20259</v>
      </c>
      <c r="M141" s="14"/>
    </row>
    <row r="142" spans="1:20" s="2" customFormat="1" ht="17.45" customHeight="1" thickBot="1">
      <c r="A142" s="18" t="s">
        <v>1009</v>
      </c>
      <c r="B142" s="23" t="s">
        <v>928</v>
      </c>
      <c r="C142" s="10">
        <v>821</v>
      </c>
      <c r="D142" s="10"/>
      <c r="E142" s="10"/>
    </row>
    <row r="144" spans="1:20" s="32" customFormat="1" ht="15" customHeight="1">
      <c r="B144" s="36" t="s">
        <v>19</v>
      </c>
      <c r="C144" s="38" t="s">
        <v>5</v>
      </c>
      <c r="D144" s="39" t="s">
        <v>3</v>
      </c>
      <c r="E144" s="40" t="s">
        <v>16</v>
      </c>
      <c r="F144" s="72" t="s">
        <v>783</v>
      </c>
      <c r="G144" s="36" t="s">
        <v>17</v>
      </c>
      <c r="R144" s="33"/>
      <c r="S144" s="34"/>
      <c r="T144" s="35"/>
    </row>
    <row r="145" spans="1:20" s="32" customFormat="1" ht="15" customHeight="1">
      <c r="A145" s="32" t="s">
        <v>11</v>
      </c>
      <c r="B145" s="37">
        <f>(K100+O47+R25+O9+K112+P83+P65+J141+L127)</f>
        <v>130134</v>
      </c>
      <c r="C145" s="34">
        <f>(K109+K96+O42+R20+O5+P79+P61+J137+L123)</f>
        <v>39408</v>
      </c>
      <c r="D145" s="34">
        <f>(K110+K97+O43+R21+O6+P80+P62+J138+L124)</f>
        <v>49387</v>
      </c>
      <c r="E145" s="34">
        <f>(J139+L125+K111+K98+P81+P63+O44+R22+O7)</f>
        <v>28869</v>
      </c>
      <c r="F145" s="34">
        <f>(O45+R23)</f>
        <v>1023</v>
      </c>
      <c r="G145" s="34">
        <f>(J140+L126+K99+P82+P64+O46+R24+O8)</f>
        <v>11447</v>
      </c>
      <c r="R145" s="36"/>
      <c r="S145" s="37"/>
      <c r="T145" s="35"/>
    </row>
    <row r="146" spans="1:20" s="32" customFormat="1" ht="15" customHeight="1">
      <c r="A146" s="32" t="s">
        <v>12</v>
      </c>
      <c r="B146" s="42">
        <v>1</v>
      </c>
      <c r="C146" s="35">
        <f>SUM(C145/$B$145)</f>
        <v>0.30282631748812761</v>
      </c>
      <c r="D146" s="35">
        <f>SUM(D145/$B$145)</f>
        <v>0.37950881399173159</v>
      </c>
      <c r="E146" s="35">
        <f>SUM(E145/$B$145)</f>
        <v>0.2218405643413712</v>
      </c>
      <c r="F146" s="35">
        <f>SUM(F145/$B$145)</f>
        <v>7.8611277606159807E-3</v>
      </c>
      <c r="G146" s="35">
        <f>SUM(G145/$B$145)</f>
        <v>8.7963176418153599E-2</v>
      </c>
    </row>
    <row r="147" spans="1:20" s="32" customFormat="1" ht="15" customHeight="1">
      <c r="A147" s="32" t="s">
        <v>13</v>
      </c>
      <c r="B147" s="36">
        <v>36</v>
      </c>
      <c r="C147" s="32">
        <v>12</v>
      </c>
      <c r="D147" s="32">
        <v>14</v>
      </c>
      <c r="E147" s="32">
        <v>9</v>
      </c>
      <c r="F147" s="32">
        <v>0</v>
      </c>
      <c r="G147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T88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6" s="2" customFormat="1" ht="16.5" customHeight="1">
      <c r="A1" s="1" t="s">
        <v>743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(5681/11887)</f>
        <v>0.47791705224194497</v>
      </c>
    </row>
    <row r="4" spans="1:16" s="2" customFormat="1" ht="16.5" customHeight="1" thickBot="1">
      <c r="A4" s="7" t="s">
        <v>745</v>
      </c>
      <c r="B4" s="8" t="s">
        <v>3</v>
      </c>
      <c r="C4" s="10">
        <v>922</v>
      </c>
      <c r="D4" s="10">
        <v>928</v>
      </c>
      <c r="E4" s="10">
        <v>944</v>
      </c>
      <c r="F4" s="10">
        <v>987</v>
      </c>
      <c r="G4" s="10">
        <v>1016</v>
      </c>
      <c r="H4" s="9">
        <v>1163</v>
      </c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410</v>
      </c>
      <c r="B5" s="12" t="s">
        <v>5</v>
      </c>
      <c r="C5" s="10">
        <v>882</v>
      </c>
      <c r="D5" s="10">
        <v>884</v>
      </c>
      <c r="E5" s="10">
        <v>886</v>
      </c>
      <c r="F5" s="10">
        <v>890</v>
      </c>
      <c r="G5" s="10">
        <v>898</v>
      </c>
      <c r="H5" s="10">
        <v>909</v>
      </c>
      <c r="I5" s="10">
        <v>909</v>
      </c>
      <c r="J5" s="9">
        <v>1247</v>
      </c>
      <c r="K5" s="9"/>
      <c r="L5" s="11" t="s">
        <v>8</v>
      </c>
      <c r="M5" s="16" t="s">
        <v>5</v>
      </c>
      <c r="N5" s="17">
        <f>(C5+C6+C7)</f>
        <v>2468</v>
      </c>
      <c r="O5" s="14">
        <f>SUM(N5/N11)</f>
        <v>0.4383658969804618</v>
      </c>
      <c r="P5" s="2">
        <v>2</v>
      </c>
    </row>
    <row r="6" spans="1:16" s="2" customFormat="1" ht="16.5" customHeight="1" thickBot="1">
      <c r="A6" s="7" t="s">
        <v>569</v>
      </c>
      <c r="B6" s="12" t="s">
        <v>5</v>
      </c>
      <c r="C6" s="10">
        <v>834</v>
      </c>
      <c r="D6" s="10">
        <v>838</v>
      </c>
      <c r="E6" s="10">
        <v>841</v>
      </c>
      <c r="F6" s="10">
        <v>847</v>
      </c>
      <c r="G6" s="10">
        <v>870</v>
      </c>
      <c r="H6" s="10">
        <v>880</v>
      </c>
      <c r="I6" s="10">
        <v>880</v>
      </c>
      <c r="J6" s="9">
        <v>1187</v>
      </c>
      <c r="K6" s="9"/>
      <c r="L6" s="11" t="s">
        <v>7</v>
      </c>
      <c r="M6" s="20" t="s">
        <v>3</v>
      </c>
      <c r="N6" s="17">
        <f>(C4+C9+C10)</f>
        <v>1844</v>
      </c>
      <c r="O6" s="14">
        <f>SUM(N6/N11)</f>
        <v>0.32753108348134991</v>
      </c>
      <c r="P6" s="2">
        <v>1</v>
      </c>
    </row>
    <row r="7" spans="1:16" s="2" customFormat="1" ht="16.5" customHeight="1" thickBot="1">
      <c r="A7" s="18" t="s">
        <v>747</v>
      </c>
      <c r="B7" s="19" t="s">
        <v>5</v>
      </c>
      <c r="C7" s="10">
        <v>752</v>
      </c>
      <c r="D7" s="10">
        <v>754</v>
      </c>
      <c r="E7" s="10">
        <v>760</v>
      </c>
      <c r="F7" s="10">
        <v>772</v>
      </c>
      <c r="G7" s="10">
        <v>794</v>
      </c>
      <c r="H7" s="10">
        <v>825</v>
      </c>
      <c r="I7" s="10">
        <v>826</v>
      </c>
      <c r="J7" s="10" t="s">
        <v>20</v>
      </c>
      <c r="M7" s="21" t="s">
        <v>16</v>
      </c>
      <c r="N7" s="17">
        <f>(C12+C14)</f>
        <v>244</v>
      </c>
      <c r="O7" s="14">
        <f>SUM(N7/N11)</f>
        <v>4.3339253996447599E-2</v>
      </c>
    </row>
    <row r="8" spans="1:16" s="2" customFormat="1" ht="16.5" customHeight="1" thickBot="1">
      <c r="A8" s="7" t="s">
        <v>744</v>
      </c>
      <c r="B8" s="15" t="s">
        <v>14</v>
      </c>
      <c r="C8" s="10">
        <v>714</v>
      </c>
      <c r="D8" s="10">
        <v>718</v>
      </c>
      <c r="E8" s="10">
        <v>761</v>
      </c>
      <c r="F8" s="10">
        <v>794</v>
      </c>
      <c r="G8" s="10">
        <v>916</v>
      </c>
      <c r="H8" s="10">
        <v>935</v>
      </c>
      <c r="I8" s="10">
        <v>939</v>
      </c>
      <c r="J8" s="10">
        <v>1015</v>
      </c>
      <c r="K8" s="9">
        <v>1098</v>
      </c>
      <c r="L8" s="11" t="s">
        <v>6</v>
      </c>
      <c r="M8" s="48" t="s">
        <v>753</v>
      </c>
      <c r="N8" s="17">
        <v>141</v>
      </c>
      <c r="O8" s="14">
        <f>SUM(N8/N11)</f>
        <v>2.5044404973357016E-2</v>
      </c>
    </row>
    <row r="9" spans="1:16" s="2" customFormat="1" ht="16.5" customHeight="1" thickBot="1">
      <c r="A9" s="18" t="s">
        <v>746</v>
      </c>
      <c r="B9" s="28" t="s">
        <v>3</v>
      </c>
      <c r="C9" s="10">
        <v>561</v>
      </c>
      <c r="D9" s="10">
        <v>564</v>
      </c>
      <c r="E9" s="10">
        <v>568</v>
      </c>
      <c r="F9" s="10">
        <v>593</v>
      </c>
      <c r="G9" s="10">
        <v>615</v>
      </c>
      <c r="H9" s="10">
        <v>834</v>
      </c>
      <c r="I9" s="10">
        <v>865</v>
      </c>
      <c r="J9" s="10">
        <v>925</v>
      </c>
      <c r="K9" s="10">
        <v>962</v>
      </c>
      <c r="L9" s="11"/>
      <c r="M9" s="83" t="s">
        <v>31</v>
      </c>
      <c r="N9" s="17">
        <v>219</v>
      </c>
      <c r="O9" s="14">
        <f>SUM(N9/N11)</f>
        <v>3.8898756660746006E-2</v>
      </c>
    </row>
    <row r="10" spans="1:16" s="2" customFormat="1" ht="16.5" customHeight="1" thickBot="1">
      <c r="A10" s="18" t="s">
        <v>748</v>
      </c>
      <c r="B10" s="28" t="s">
        <v>3</v>
      </c>
      <c r="C10" s="10">
        <v>361</v>
      </c>
      <c r="D10" s="10">
        <v>364</v>
      </c>
      <c r="E10" s="10">
        <v>379</v>
      </c>
      <c r="F10" s="10">
        <v>425</v>
      </c>
      <c r="G10" s="10">
        <v>452</v>
      </c>
      <c r="H10" s="10" t="s">
        <v>20</v>
      </c>
      <c r="M10" s="13" t="s">
        <v>17</v>
      </c>
      <c r="N10" s="17">
        <v>714</v>
      </c>
      <c r="O10" s="14">
        <f>SUM(N10/N11)</f>
        <v>0.12682060390763766</v>
      </c>
      <c r="P10" s="2">
        <v>1</v>
      </c>
    </row>
    <row r="11" spans="1:16" s="2" customFormat="1" ht="16.5" customHeight="1" thickBot="1">
      <c r="A11" s="18" t="s">
        <v>751</v>
      </c>
      <c r="B11" s="76" t="s">
        <v>31</v>
      </c>
      <c r="C11" s="10">
        <v>219</v>
      </c>
      <c r="D11" s="10">
        <v>226</v>
      </c>
      <c r="E11" s="10">
        <v>249</v>
      </c>
      <c r="F11" s="10">
        <v>304</v>
      </c>
      <c r="G11" s="10" t="s">
        <v>20</v>
      </c>
      <c r="N11" s="24">
        <v>5630</v>
      </c>
    </row>
    <row r="12" spans="1:16" s="2" customFormat="1" ht="16.5" customHeight="1" thickBot="1">
      <c r="A12" s="18" t="s">
        <v>750</v>
      </c>
      <c r="B12" s="22" t="s">
        <v>16</v>
      </c>
      <c r="C12" s="10">
        <v>175</v>
      </c>
      <c r="D12" s="10">
        <v>210</v>
      </c>
      <c r="E12" s="10">
        <v>234</v>
      </c>
      <c r="F12" s="10" t="s">
        <v>20</v>
      </c>
    </row>
    <row r="13" spans="1:16" s="2" customFormat="1" ht="16.5" customHeight="1" thickBot="1">
      <c r="A13" s="18" t="s">
        <v>752</v>
      </c>
      <c r="B13" s="47" t="s">
        <v>753</v>
      </c>
      <c r="C13" s="10">
        <v>141</v>
      </c>
      <c r="D13" s="10">
        <v>143</v>
      </c>
      <c r="E13" s="10" t="s">
        <v>20</v>
      </c>
    </row>
    <row r="14" spans="1:16" s="2" customFormat="1" ht="16.5" customHeight="1" thickBot="1">
      <c r="A14" s="18" t="s">
        <v>749</v>
      </c>
      <c r="B14" s="22" t="s">
        <v>16</v>
      </c>
      <c r="C14" s="10">
        <v>69</v>
      </c>
      <c r="D14" s="10" t="s">
        <v>20</v>
      </c>
    </row>
    <row r="15" spans="1:16" s="2" customFormat="1" ht="10.5" customHeight="1">
      <c r="A15" s="1"/>
    </row>
    <row r="16" spans="1:16" s="2" customFormat="1" ht="17.45" customHeight="1">
      <c r="A16" s="1" t="s">
        <v>754</v>
      </c>
    </row>
    <row r="17" spans="1:14" s="2" customFormat="1" ht="10.5" customHeight="1" thickBot="1">
      <c r="A17" s="1"/>
    </row>
    <row r="18" spans="1:14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6"/>
      <c r="K18" s="13" t="s">
        <v>9</v>
      </c>
      <c r="L18" s="14">
        <f>(4648/10480)</f>
        <v>0.44351145038167938</v>
      </c>
    </row>
    <row r="19" spans="1:14" s="2" customFormat="1" ht="16.5" customHeight="1" thickBot="1">
      <c r="A19" s="7" t="s">
        <v>759</v>
      </c>
      <c r="B19" s="12" t="s">
        <v>5</v>
      </c>
      <c r="C19" s="9">
        <v>1203</v>
      </c>
      <c r="D19" s="10"/>
      <c r="E19" s="10"/>
      <c r="F19" s="10"/>
      <c r="G19" s="10"/>
      <c r="H19" s="10"/>
      <c r="I19" s="9"/>
      <c r="J19" s="11" t="s">
        <v>4</v>
      </c>
      <c r="L19" s="13" t="s">
        <v>11</v>
      </c>
      <c r="M19" s="13" t="s">
        <v>12</v>
      </c>
      <c r="N19" s="13" t="s">
        <v>13</v>
      </c>
    </row>
    <row r="20" spans="1:14" s="2" customFormat="1" ht="16.5" customHeight="1" thickBot="1">
      <c r="A20" s="7" t="s">
        <v>591</v>
      </c>
      <c r="B20" s="12" t="s">
        <v>5</v>
      </c>
      <c r="C20" s="10">
        <v>755</v>
      </c>
      <c r="D20" s="10">
        <v>767</v>
      </c>
      <c r="E20" s="10">
        <v>788</v>
      </c>
      <c r="F20" s="10">
        <v>841</v>
      </c>
      <c r="G20" s="10">
        <v>1027</v>
      </c>
      <c r="H20" s="10">
        <v>1082</v>
      </c>
      <c r="I20" s="9">
        <v>1129</v>
      </c>
      <c r="J20" s="11" t="s">
        <v>7</v>
      </c>
      <c r="K20" s="16" t="s">
        <v>5</v>
      </c>
      <c r="L20" s="17">
        <f>(C19+C20)</f>
        <v>1958</v>
      </c>
      <c r="M20" s="14">
        <f>SUM(L20/L25)</f>
        <v>0.42509769865392966</v>
      </c>
      <c r="N20" s="2">
        <v>2</v>
      </c>
    </row>
    <row r="21" spans="1:14" s="2" customFormat="1" ht="16.5" customHeight="1" thickBot="1">
      <c r="A21" s="18" t="s">
        <v>595</v>
      </c>
      <c r="B21" s="76" t="s">
        <v>31</v>
      </c>
      <c r="C21" s="10">
        <v>693</v>
      </c>
      <c r="D21" s="10">
        <v>740</v>
      </c>
      <c r="E21" s="10">
        <v>764</v>
      </c>
      <c r="F21" s="10">
        <v>813</v>
      </c>
      <c r="G21" s="10">
        <v>990</v>
      </c>
      <c r="H21" s="10">
        <v>1039</v>
      </c>
      <c r="I21" s="10">
        <v>1043</v>
      </c>
      <c r="J21" s="11"/>
      <c r="K21" s="20" t="s">
        <v>3</v>
      </c>
      <c r="L21" s="17">
        <f>(C22+C24+C25)</f>
        <v>1299</v>
      </c>
      <c r="M21" s="14">
        <f>SUM(L21/L25)</f>
        <v>0.2820234476769431</v>
      </c>
      <c r="N21" s="2">
        <v>1</v>
      </c>
    </row>
    <row r="22" spans="1:14" s="2" customFormat="1" ht="16.5" customHeight="1" thickBot="1">
      <c r="A22" s="7" t="s">
        <v>592</v>
      </c>
      <c r="B22" s="8" t="s">
        <v>3</v>
      </c>
      <c r="C22" s="10">
        <v>582</v>
      </c>
      <c r="D22" s="10">
        <v>604</v>
      </c>
      <c r="E22" s="10">
        <v>779</v>
      </c>
      <c r="F22" s="10">
        <v>1098</v>
      </c>
      <c r="G22" s="9">
        <v>1293</v>
      </c>
      <c r="H22" s="10"/>
      <c r="I22" s="10"/>
      <c r="J22" s="11" t="s">
        <v>8</v>
      </c>
      <c r="K22" s="21" t="s">
        <v>16</v>
      </c>
      <c r="L22" s="17">
        <v>135</v>
      </c>
      <c r="M22" s="14">
        <f>SUM(L22/L25)</f>
        <v>2.9309596178897092E-2</v>
      </c>
    </row>
    <row r="23" spans="1:14" s="2" customFormat="1" ht="16.5" customHeight="1" thickBot="1">
      <c r="A23" s="18" t="s">
        <v>744</v>
      </c>
      <c r="B23" s="23" t="s">
        <v>14</v>
      </c>
      <c r="C23" s="10">
        <v>521</v>
      </c>
      <c r="D23" s="10">
        <v>540</v>
      </c>
      <c r="E23" s="10">
        <v>576</v>
      </c>
      <c r="F23" s="10">
        <v>626</v>
      </c>
      <c r="G23" s="10" t="s">
        <v>20</v>
      </c>
      <c r="K23" s="83" t="s">
        <v>31</v>
      </c>
      <c r="L23" s="17">
        <v>693</v>
      </c>
      <c r="M23" s="14">
        <f>SUM(L23/L25)</f>
        <v>0.15045592705167174</v>
      </c>
    </row>
    <row r="24" spans="1:14" s="2" customFormat="1" ht="16.5" customHeight="1" thickBot="1">
      <c r="A24" s="18" t="s">
        <v>590</v>
      </c>
      <c r="B24" s="28" t="s">
        <v>3</v>
      </c>
      <c r="C24" s="10">
        <v>414</v>
      </c>
      <c r="D24" s="10">
        <v>425</v>
      </c>
      <c r="E24" s="10">
        <v>483</v>
      </c>
      <c r="F24" s="10" t="s">
        <v>20</v>
      </c>
      <c r="K24" s="13" t="s">
        <v>17</v>
      </c>
      <c r="L24" s="17">
        <v>521</v>
      </c>
      <c r="M24" s="14">
        <f>SUM(L24/L25)</f>
        <v>0.1131133304385584</v>
      </c>
    </row>
    <row r="25" spans="1:14" s="2" customFormat="1" ht="16.5" customHeight="1" thickBot="1">
      <c r="A25" s="18" t="s">
        <v>756</v>
      </c>
      <c r="B25" s="28" t="s">
        <v>3</v>
      </c>
      <c r="C25" s="10">
        <v>303</v>
      </c>
      <c r="D25" s="10">
        <v>322</v>
      </c>
      <c r="E25" s="10" t="s">
        <v>20</v>
      </c>
      <c r="L25" s="24">
        <v>4606</v>
      </c>
    </row>
    <row r="26" spans="1:14" s="2" customFormat="1" ht="16.5" customHeight="1" thickBot="1">
      <c r="A26" s="18" t="s">
        <v>755</v>
      </c>
      <c r="B26" s="22" t="s">
        <v>16</v>
      </c>
      <c r="C26" s="10">
        <v>135</v>
      </c>
      <c r="D26" s="10" t="s">
        <v>20</v>
      </c>
      <c r="J26" s="17"/>
    </row>
    <row r="27" spans="1:14" s="2" customFormat="1" ht="11.25" customHeight="1">
      <c r="A27" s="29"/>
      <c r="B27" s="30"/>
      <c r="C27" s="45"/>
      <c r="D27" s="45"/>
      <c r="E27" s="45"/>
      <c r="F27" s="17"/>
      <c r="G27" s="17"/>
      <c r="H27" s="17"/>
      <c r="I27" s="17"/>
      <c r="J27" s="17"/>
      <c r="K27" s="17"/>
      <c r="L27" s="17"/>
      <c r="M27" s="17"/>
      <c r="N27" s="44"/>
    </row>
    <row r="28" spans="1:14" s="2" customFormat="1" ht="17.45" customHeight="1">
      <c r="A28" s="1" t="s">
        <v>761</v>
      </c>
    </row>
    <row r="29" spans="1:14" s="2" customFormat="1" ht="10.5" customHeight="1" thickBot="1">
      <c r="A29" s="1"/>
    </row>
    <row r="30" spans="1:14" s="2" customFormat="1" ht="16.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6"/>
      <c r="H30" s="13" t="s">
        <v>9</v>
      </c>
      <c r="I30" s="14">
        <f>(6419/13877)</f>
        <v>0.46256395474526196</v>
      </c>
    </row>
    <row r="31" spans="1:14" s="2" customFormat="1" ht="16.5" customHeight="1" thickBot="1">
      <c r="A31" s="7" t="s">
        <v>762</v>
      </c>
      <c r="B31" s="12" t="s">
        <v>5</v>
      </c>
      <c r="C31" s="9">
        <v>2335</v>
      </c>
      <c r="D31" s="10"/>
      <c r="E31" s="9"/>
      <c r="F31" s="10"/>
      <c r="G31" s="11" t="s">
        <v>4</v>
      </c>
      <c r="I31" s="13" t="s">
        <v>11</v>
      </c>
      <c r="J31" s="13" t="s">
        <v>12</v>
      </c>
      <c r="K31" s="13" t="s">
        <v>13</v>
      </c>
    </row>
    <row r="32" spans="1:14" s="2" customFormat="1" ht="16.5" customHeight="1" thickBot="1">
      <c r="A32" s="7" t="s">
        <v>440</v>
      </c>
      <c r="B32" s="43" t="s">
        <v>16</v>
      </c>
      <c r="C32" s="9">
        <v>1308</v>
      </c>
      <c r="D32" s="10"/>
      <c r="E32" s="10"/>
      <c r="F32" s="9"/>
      <c r="G32" s="11" t="s">
        <v>8</v>
      </c>
      <c r="H32" s="16" t="s">
        <v>5</v>
      </c>
      <c r="I32" s="17">
        <f>(C31+C33+C37)</f>
        <v>3456</v>
      </c>
      <c r="J32" s="14">
        <f>SUM(I32/I36)</f>
        <v>0.54545454545454541</v>
      </c>
      <c r="K32" s="2">
        <v>2</v>
      </c>
    </row>
    <row r="33" spans="1:16" s="2" customFormat="1" ht="16.5" customHeight="1" thickBot="1">
      <c r="A33" s="7" t="s">
        <v>598</v>
      </c>
      <c r="B33" s="12" t="s">
        <v>5</v>
      </c>
      <c r="C33" s="10">
        <v>739</v>
      </c>
      <c r="D33" s="10">
        <v>1229</v>
      </c>
      <c r="E33" s="9">
        <v>1316</v>
      </c>
      <c r="F33" s="10"/>
      <c r="G33" s="11" t="s">
        <v>7</v>
      </c>
      <c r="H33" s="20" t="s">
        <v>3</v>
      </c>
      <c r="I33" s="17">
        <f>(C34+C35)</f>
        <v>1156</v>
      </c>
      <c r="J33" s="14">
        <f>SUM(I33/I36)</f>
        <v>0.18244949494949494</v>
      </c>
      <c r="K33" s="2">
        <v>1</v>
      </c>
    </row>
    <row r="34" spans="1:16" s="2" customFormat="1" ht="16.5" customHeight="1" thickBot="1">
      <c r="A34" s="7" t="s">
        <v>764</v>
      </c>
      <c r="B34" s="8" t="s">
        <v>3</v>
      </c>
      <c r="C34" s="10">
        <v>652</v>
      </c>
      <c r="D34" s="10">
        <v>701</v>
      </c>
      <c r="E34" s="10">
        <v>788</v>
      </c>
      <c r="F34" s="9">
        <v>1258</v>
      </c>
      <c r="G34" s="11" t="s">
        <v>6</v>
      </c>
      <c r="H34" s="21" t="s">
        <v>16</v>
      </c>
      <c r="I34" s="17">
        <v>1308</v>
      </c>
      <c r="J34" s="14">
        <f>SUM(I34/I36)</f>
        <v>0.20643939393939395</v>
      </c>
      <c r="K34" s="2">
        <v>1</v>
      </c>
    </row>
    <row r="35" spans="1:16" s="2" customFormat="1" ht="16.5" customHeight="1" thickBot="1">
      <c r="A35" s="18" t="s">
        <v>766</v>
      </c>
      <c r="B35" s="28" t="s">
        <v>3</v>
      </c>
      <c r="C35" s="10">
        <v>504</v>
      </c>
      <c r="D35" s="10">
        <v>532</v>
      </c>
      <c r="E35" s="10">
        <v>592</v>
      </c>
      <c r="F35" s="10" t="s">
        <v>20</v>
      </c>
      <c r="H35" s="83" t="s">
        <v>31</v>
      </c>
      <c r="I35" s="17">
        <v>416</v>
      </c>
      <c r="J35" s="14">
        <f>SUM(I35/I36)</f>
        <v>6.5656565656565663E-2</v>
      </c>
    </row>
    <row r="36" spans="1:16" s="2" customFormat="1" ht="16.5" customHeight="1" thickBot="1">
      <c r="A36" s="18" t="s">
        <v>765</v>
      </c>
      <c r="B36" s="76" t="s">
        <v>31</v>
      </c>
      <c r="C36" s="10">
        <v>416</v>
      </c>
      <c r="D36" s="10">
        <v>449</v>
      </c>
      <c r="E36" s="10" t="s">
        <v>20</v>
      </c>
      <c r="H36" s="13"/>
      <c r="I36" s="24">
        <v>6336</v>
      </c>
      <c r="J36" s="14"/>
    </row>
    <row r="37" spans="1:16" s="2" customFormat="1" ht="16.5" customHeight="1" thickBot="1">
      <c r="A37" s="18" t="s">
        <v>763</v>
      </c>
      <c r="B37" s="19" t="s">
        <v>5</v>
      </c>
      <c r="C37" s="10">
        <v>382</v>
      </c>
      <c r="D37" s="10">
        <v>849</v>
      </c>
      <c r="E37" s="10">
        <v>950</v>
      </c>
      <c r="F37" s="10">
        <v>1014</v>
      </c>
      <c r="G37" s="11"/>
    </row>
    <row r="39" spans="1:16" s="2" customFormat="1" ht="17.45" customHeight="1">
      <c r="A39" s="1" t="s">
        <v>1143</v>
      </c>
    </row>
    <row r="40" spans="1:16" s="2" customFormat="1" ht="10.5" customHeight="1" thickBot="1">
      <c r="A40" s="1"/>
    </row>
    <row r="41" spans="1:16" s="2" customFormat="1" ht="16.5" customHeight="1" thickBot="1">
      <c r="A41" s="4" t="s">
        <v>0</v>
      </c>
      <c r="B41" s="5" t="s">
        <v>1</v>
      </c>
      <c r="C41" s="5" t="s">
        <v>2</v>
      </c>
      <c r="D41" s="5">
        <v>2</v>
      </c>
      <c r="E41" s="5">
        <v>3</v>
      </c>
      <c r="F41" s="5">
        <v>4</v>
      </c>
      <c r="G41" s="5">
        <v>5</v>
      </c>
      <c r="H41" s="5">
        <v>6</v>
      </c>
      <c r="I41" s="5">
        <v>7</v>
      </c>
      <c r="J41" s="5">
        <v>8</v>
      </c>
      <c r="K41" s="5">
        <v>9</v>
      </c>
      <c r="L41" s="6"/>
      <c r="M41" s="13" t="s">
        <v>9</v>
      </c>
      <c r="N41" s="14">
        <f>(9351/17776)</f>
        <v>0.52604635463546356</v>
      </c>
    </row>
    <row r="42" spans="1:16" s="2" customFormat="1" ht="16.5" customHeight="1" thickBot="1">
      <c r="A42" s="7" t="s">
        <v>738</v>
      </c>
      <c r="B42" s="12" t="s">
        <v>5</v>
      </c>
      <c r="C42" s="10">
        <v>1386</v>
      </c>
      <c r="D42" s="10">
        <v>1405</v>
      </c>
      <c r="E42" s="10">
        <v>1450</v>
      </c>
      <c r="F42" s="9">
        <v>1646</v>
      </c>
      <c r="G42" s="10"/>
      <c r="H42" s="10"/>
      <c r="I42" s="10"/>
      <c r="J42" s="10"/>
      <c r="K42" s="10"/>
      <c r="L42" s="11" t="s">
        <v>4</v>
      </c>
      <c r="N42" s="13" t="s">
        <v>11</v>
      </c>
      <c r="O42" s="13" t="s">
        <v>12</v>
      </c>
      <c r="P42" s="13" t="s">
        <v>13</v>
      </c>
    </row>
    <row r="43" spans="1:16" s="2" customFormat="1" ht="16.5" customHeight="1" thickBot="1">
      <c r="A43" s="7" t="s">
        <v>402</v>
      </c>
      <c r="B43" s="8" t="s">
        <v>3</v>
      </c>
      <c r="C43" s="10">
        <v>1245</v>
      </c>
      <c r="D43" s="10">
        <v>1272</v>
      </c>
      <c r="E43" s="10">
        <v>1285</v>
      </c>
      <c r="F43" s="10">
        <v>1298</v>
      </c>
      <c r="G43" s="10">
        <v>1300</v>
      </c>
      <c r="H43" s="9">
        <v>1593</v>
      </c>
      <c r="I43" s="10"/>
      <c r="J43" s="9"/>
      <c r="K43" s="9"/>
      <c r="L43" s="11" t="s">
        <v>8</v>
      </c>
      <c r="M43" s="16" t="s">
        <v>5</v>
      </c>
      <c r="N43" s="17">
        <f>(C42+C44+C45+C50)</f>
        <v>3979</v>
      </c>
      <c r="O43" s="14">
        <f>SUM(N43/N49)</f>
        <v>0.4322181186182924</v>
      </c>
      <c r="P43" s="2">
        <v>3</v>
      </c>
    </row>
    <row r="44" spans="1:16" s="2" customFormat="1" ht="16.5" customHeight="1" thickBot="1">
      <c r="A44" s="7" t="s">
        <v>736</v>
      </c>
      <c r="B44" s="12" t="s">
        <v>5</v>
      </c>
      <c r="C44" s="10">
        <v>1082</v>
      </c>
      <c r="D44" s="10">
        <v>1102</v>
      </c>
      <c r="E44" s="10">
        <v>1142</v>
      </c>
      <c r="F44" s="10">
        <v>1230</v>
      </c>
      <c r="G44" s="10">
        <v>1300</v>
      </c>
      <c r="H44" s="10">
        <v>1336</v>
      </c>
      <c r="I44" s="10">
        <v>1337</v>
      </c>
      <c r="J44" s="10">
        <v>1430</v>
      </c>
      <c r="K44" s="9">
        <v>1493</v>
      </c>
      <c r="L44" s="11" t="s">
        <v>6</v>
      </c>
      <c r="M44" s="20" t="s">
        <v>3</v>
      </c>
      <c r="N44" s="17">
        <f>(C43+C48+C49)</f>
        <v>2469</v>
      </c>
      <c r="O44" s="14">
        <f>SUM(N44/N49)</f>
        <v>0.26819465565935258</v>
      </c>
      <c r="P44" s="2">
        <v>1</v>
      </c>
    </row>
    <row r="45" spans="1:16" s="2" customFormat="1" ht="16.5" customHeight="1" thickBot="1">
      <c r="A45" s="7" t="s">
        <v>737</v>
      </c>
      <c r="B45" s="12" t="s">
        <v>5</v>
      </c>
      <c r="C45" s="10">
        <v>971</v>
      </c>
      <c r="D45" s="10">
        <v>979</v>
      </c>
      <c r="E45" s="10">
        <v>992</v>
      </c>
      <c r="F45" s="10">
        <v>1105</v>
      </c>
      <c r="G45" s="10">
        <v>1133</v>
      </c>
      <c r="H45" s="10">
        <v>1146</v>
      </c>
      <c r="I45" s="10">
        <v>1147</v>
      </c>
      <c r="J45" s="10">
        <v>1177</v>
      </c>
      <c r="K45" s="9">
        <v>1405</v>
      </c>
      <c r="L45" s="11" t="s">
        <v>10</v>
      </c>
      <c r="M45" s="21" t="s">
        <v>16</v>
      </c>
      <c r="N45" s="17">
        <f>(C46+C51)</f>
        <v>1478</v>
      </c>
      <c r="O45" s="14">
        <f>SUM(N45/N49)</f>
        <v>0.16054746904192918</v>
      </c>
      <c r="P45" s="2">
        <v>1</v>
      </c>
    </row>
    <row r="46" spans="1:16" s="2" customFormat="1" ht="16.5" customHeight="1" thickBot="1">
      <c r="A46" s="7" t="s">
        <v>148</v>
      </c>
      <c r="B46" s="43" t="s">
        <v>16</v>
      </c>
      <c r="C46" s="10">
        <v>942</v>
      </c>
      <c r="D46" s="10">
        <v>968</v>
      </c>
      <c r="E46" s="10">
        <v>998</v>
      </c>
      <c r="F46" s="10">
        <v>1008</v>
      </c>
      <c r="G46" s="10">
        <v>1008</v>
      </c>
      <c r="H46" s="10">
        <v>1019</v>
      </c>
      <c r="I46" s="10">
        <v>1021</v>
      </c>
      <c r="J46" s="10">
        <v>1365</v>
      </c>
      <c r="K46" s="9">
        <v>1596</v>
      </c>
      <c r="L46" s="11" t="s">
        <v>7</v>
      </c>
      <c r="M46" s="48" t="s">
        <v>753</v>
      </c>
      <c r="N46" s="17">
        <v>227</v>
      </c>
      <c r="O46" s="14">
        <f>SUM(N46/N49)</f>
        <v>2.4657831848794266E-2</v>
      </c>
    </row>
    <row r="47" spans="1:16" s="2" customFormat="1" ht="16.5" customHeight="1" thickBot="1">
      <c r="A47" s="18" t="s">
        <v>739</v>
      </c>
      <c r="B47" s="23" t="s">
        <v>14</v>
      </c>
      <c r="C47" s="10">
        <v>640</v>
      </c>
      <c r="D47" s="10">
        <v>705</v>
      </c>
      <c r="E47" s="10">
        <v>748</v>
      </c>
      <c r="F47" s="10">
        <v>763</v>
      </c>
      <c r="G47" s="10">
        <v>763</v>
      </c>
      <c r="H47" s="10">
        <v>794</v>
      </c>
      <c r="I47" s="10">
        <v>796</v>
      </c>
      <c r="J47" s="10">
        <v>840</v>
      </c>
      <c r="K47" s="10" t="s">
        <v>20</v>
      </c>
      <c r="M47" s="26" t="s">
        <v>18</v>
      </c>
      <c r="N47" s="17">
        <v>363</v>
      </c>
      <c r="O47" s="14">
        <f>SUM(N47/N49)</f>
        <v>3.9430805996089509E-2</v>
      </c>
    </row>
    <row r="48" spans="1:16" s="2" customFormat="1" ht="16.5" customHeight="1" thickBot="1">
      <c r="A48" s="18" t="s">
        <v>742</v>
      </c>
      <c r="B48" s="28" t="s">
        <v>3</v>
      </c>
      <c r="C48" s="10">
        <v>636</v>
      </c>
      <c r="D48" s="10">
        <v>644</v>
      </c>
      <c r="E48" s="10">
        <v>653</v>
      </c>
      <c r="F48" s="10">
        <v>742</v>
      </c>
      <c r="G48" s="10">
        <v>748</v>
      </c>
      <c r="H48" s="10">
        <v>854</v>
      </c>
      <c r="I48" s="10">
        <v>899</v>
      </c>
      <c r="J48" s="10">
        <v>959</v>
      </c>
      <c r="K48" s="10">
        <v>1070</v>
      </c>
      <c r="L48" s="11"/>
      <c r="M48" s="13" t="s">
        <v>17</v>
      </c>
      <c r="N48" s="17">
        <f>(C47+C54)</f>
        <v>690</v>
      </c>
      <c r="O48" s="14">
        <f>SUM(N48/N49)</f>
        <v>7.4951118835542035E-2</v>
      </c>
    </row>
    <row r="49" spans="1:16" s="2" customFormat="1" ht="16.5" customHeight="1" thickBot="1">
      <c r="A49" s="18" t="s">
        <v>548</v>
      </c>
      <c r="B49" s="28" t="s">
        <v>3</v>
      </c>
      <c r="C49" s="10">
        <v>588</v>
      </c>
      <c r="D49" s="10">
        <v>614</v>
      </c>
      <c r="E49" s="10">
        <v>633</v>
      </c>
      <c r="F49" s="10">
        <v>646</v>
      </c>
      <c r="G49" s="10">
        <v>648</v>
      </c>
      <c r="H49" s="10" t="s">
        <v>20</v>
      </c>
      <c r="N49" s="24">
        <v>9206</v>
      </c>
    </row>
    <row r="50" spans="1:16" s="2" customFormat="1" ht="16.5" customHeight="1" thickBot="1">
      <c r="A50" s="18" t="s">
        <v>556</v>
      </c>
      <c r="B50" s="19" t="s">
        <v>5</v>
      </c>
      <c r="C50" s="10">
        <v>540</v>
      </c>
      <c r="D50" s="10">
        <v>547</v>
      </c>
      <c r="E50" s="10">
        <v>570</v>
      </c>
      <c r="F50" s="10" t="s">
        <v>20</v>
      </c>
    </row>
    <row r="51" spans="1:16" s="2" customFormat="1" ht="16.5" customHeight="1" thickBot="1">
      <c r="A51" s="18" t="s">
        <v>550</v>
      </c>
      <c r="B51" s="22" t="s">
        <v>16</v>
      </c>
      <c r="C51" s="10">
        <v>536</v>
      </c>
      <c r="D51" s="10">
        <v>563</v>
      </c>
      <c r="E51" s="10">
        <v>649</v>
      </c>
      <c r="F51" s="10">
        <v>661</v>
      </c>
      <c r="G51" s="10">
        <v>664</v>
      </c>
      <c r="H51" s="10">
        <v>779</v>
      </c>
      <c r="I51" s="10">
        <v>786</v>
      </c>
      <c r="J51" s="10" t="s">
        <v>20</v>
      </c>
    </row>
    <row r="52" spans="1:16" s="2" customFormat="1" ht="16.5" customHeight="1" thickBot="1">
      <c r="A52" s="18" t="s">
        <v>741</v>
      </c>
      <c r="B52" s="27" t="s">
        <v>18</v>
      </c>
      <c r="C52" s="10">
        <v>363</v>
      </c>
      <c r="D52" s="10">
        <v>394</v>
      </c>
      <c r="E52" s="10" t="s">
        <v>20</v>
      </c>
      <c r="K52" s="83"/>
      <c r="L52" s="17"/>
      <c r="M52" s="14"/>
    </row>
    <row r="53" spans="1:16" s="2" customFormat="1" ht="16.5" customHeight="1" thickBot="1">
      <c r="A53" s="18" t="s">
        <v>549</v>
      </c>
      <c r="B53" s="47" t="s">
        <v>753</v>
      </c>
      <c r="C53" s="10">
        <v>227</v>
      </c>
      <c r="D53" s="10" t="s">
        <v>20</v>
      </c>
      <c r="K53" s="13"/>
      <c r="L53" s="17"/>
      <c r="M53" s="14"/>
    </row>
    <row r="54" spans="1:16" s="2" customFormat="1" ht="16.5" customHeight="1" thickBot="1">
      <c r="A54" s="18" t="s">
        <v>740</v>
      </c>
      <c r="B54" s="23" t="s">
        <v>14</v>
      </c>
      <c r="C54" s="10">
        <v>50</v>
      </c>
      <c r="D54" s="10" t="s">
        <v>20</v>
      </c>
      <c r="K54" s="17"/>
      <c r="P54" s="24"/>
    </row>
    <row r="55" spans="1:16" s="2" customFormat="1" ht="11.25" customHeight="1">
      <c r="A55" s="29"/>
      <c r="B55" s="30"/>
      <c r="C55" s="45"/>
      <c r="D55" s="29"/>
      <c r="E55" s="29"/>
      <c r="N55" s="14"/>
    </row>
    <row r="56" spans="1:16" s="2" customFormat="1" ht="17.45" customHeight="1">
      <c r="A56" s="1" t="s">
        <v>767</v>
      </c>
    </row>
    <row r="57" spans="1:16" s="2" customFormat="1" ht="8.25" customHeight="1" thickBot="1">
      <c r="A57" s="1"/>
    </row>
    <row r="58" spans="1:16" s="2" customFormat="1" ht="17.4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5"/>
      <c r="K58" s="13" t="s">
        <v>9</v>
      </c>
      <c r="L58" s="14">
        <f>(6984/12671)</f>
        <v>0.55117985952174253</v>
      </c>
    </row>
    <row r="59" spans="1:16" s="2" customFormat="1" ht="17.45" customHeight="1" thickBot="1">
      <c r="A59" s="7" t="s">
        <v>768</v>
      </c>
      <c r="B59" s="12" t="s">
        <v>5</v>
      </c>
      <c r="C59" s="9">
        <v>1724</v>
      </c>
      <c r="D59" s="10"/>
      <c r="E59" s="10"/>
      <c r="F59" s="10"/>
      <c r="G59" s="10"/>
      <c r="H59" s="10"/>
      <c r="I59" s="10"/>
      <c r="J59" s="11" t="s">
        <v>4</v>
      </c>
      <c r="L59" s="13" t="s">
        <v>11</v>
      </c>
      <c r="M59" s="13" t="s">
        <v>12</v>
      </c>
      <c r="N59" s="13" t="s">
        <v>13</v>
      </c>
      <c r="O59" s="13"/>
    </row>
    <row r="60" spans="1:16" s="2" customFormat="1" ht="17.45" customHeight="1" thickBot="1">
      <c r="A60" s="7" t="s">
        <v>578</v>
      </c>
      <c r="B60" s="43" t="s">
        <v>16</v>
      </c>
      <c r="C60" s="10">
        <v>1091</v>
      </c>
      <c r="D60" s="10">
        <v>1123</v>
      </c>
      <c r="E60" s="10">
        <v>1222</v>
      </c>
      <c r="F60" s="10">
        <v>1245</v>
      </c>
      <c r="G60" s="10">
        <v>1385</v>
      </c>
      <c r="H60" s="9">
        <v>1690</v>
      </c>
      <c r="I60" s="10"/>
      <c r="J60" s="11" t="s">
        <v>7</v>
      </c>
      <c r="K60" s="16" t="s">
        <v>5</v>
      </c>
      <c r="L60" s="17">
        <f>(C59+C62+C64+C66)</f>
        <v>3411</v>
      </c>
      <c r="M60" s="14">
        <f>SUM(L60/L65)</f>
        <v>0.49079136690647485</v>
      </c>
      <c r="N60" s="2">
        <v>2</v>
      </c>
    </row>
    <row r="61" spans="1:16" s="2" customFormat="1" ht="17.45" customHeight="1" thickBot="1">
      <c r="A61" s="7" t="s">
        <v>580</v>
      </c>
      <c r="B61" s="8" t="s">
        <v>3</v>
      </c>
      <c r="C61" s="10">
        <v>905</v>
      </c>
      <c r="D61" s="10">
        <v>931</v>
      </c>
      <c r="E61" s="10">
        <v>953</v>
      </c>
      <c r="F61" s="10">
        <v>980</v>
      </c>
      <c r="G61" s="9">
        <v>1394</v>
      </c>
      <c r="H61" s="10"/>
      <c r="I61" s="10"/>
      <c r="J61" s="11" t="s">
        <v>8</v>
      </c>
      <c r="K61" s="20" t="s">
        <v>3</v>
      </c>
      <c r="L61" s="17">
        <f>(C61+C63)</f>
        <v>1583</v>
      </c>
      <c r="M61" s="14">
        <f>SUM(L61/L65)</f>
        <v>0.22776978417266186</v>
      </c>
      <c r="N61" s="2">
        <v>1</v>
      </c>
    </row>
    <row r="62" spans="1:16" s="2" customFormat="1" ht="17.45" customHeight="1" thickBot="1">
      <c r="A62" s="18" t="s">
        <v>769</v>
      </c>
      <c r="B62" s="19" t="s">
        <v>5</v>
      </c>
      <c r="C62" s="10">
        <v>760</v>
      </c>
      <c r="D62" s="10">
        <v>792</v>
      </c>
      <c r="E62" s="10">
        <v>827</v>
      </c>
      <c r="F62" s="10">
        <v>910</v>
      </c>
      <c r="G62" s="10">
        <v>1002</v>
      </c>
      <c r="H62" s="10">
        <v>1060</v>
      </c>
      <c r="I62" s="10">
        <v>1127</v>
      </c>
      <c r="J62" s="11"/>
      <c r="K62" s="21" t="s">
        <v>16</v>
      </c>
      <c r="L62" s="17">
        <v>1091</v>
      </c>
      <c r="M62" s="14">
        <f>SUM(L62/L65)</f>
        <v>0.15697841726618705</v>
      </c>
      <c r="N62" s="2">
        <v>1</v>
      </c>
    </row>
    <row r="63" spans="1:16" s="2" customFormat="1" ht="17.45" customHeight="1" thickBot="1">
      <c r="A63" s="18" t="s">
        <v>771</v>
      </c>
      <c r="B63" s="28" t="s">
        <v>3</v>
      </c>
      <c r="C63" s="10">
        <v>678</v>
      </c>
      <c r="D63" s="10">
        <v>681</v>
      </c>
      <c r="E63" s="10">
        <v>702</v>
      </c>
      <c r="F63" s="10">
        <v>707</v>
      </c>
      <c r="G63" s="10" t="s">
        <v>20</v>
      </c>
      <c r="K63" s="48" t="s">
        <v>753</v>
      </c>
      <c r="L63" s="17">
        <v>161</v>
      </c>
      <c r="M63" s="14">
        <f>SUM(L63/L65)</f>
        <v>2.3165467625899279E-2</v>
      </c>
    </row>
    <row r="64" spans="1:16" s="2" customFormat="1" ht="17.45" customHeight="1" thickBot="1">
      <c r="A64" s="7" t="s">
        <v>585</v>
      </c>
      <c r="B64" s="12" t="s">
        <v>5</v>
      </c>
      <c r="C64" s="10">
        <v>674</v>
      </c>
      <c r="D64" s="10">
        <v>800</v>
      </c>
      <c r="E64" s="10">
        <v>823</v>
      </c>
      <c r="F64" s="10">
        <v>974</v>
      </c>
      <c r="G64" s="10">
        <v>993</v>
      </c>
      <c r="H64" s="10">
        <v>1133</v>
      </c>
      <c r="I64" s="9">
        <v>1218</v>
      </c>
      <c r="J64" s="11" t="s">
        <v>6</v>
      </c>
      <c r="K64" s="13" t="s">
        <v>17</v>
      </c>
      <c r="L64" s="17">
        <f>(C65+C68)</f>
        <v>704</v>
      </c>
      <c r="M64" s="14">
        <f>SUM(L64/L65)</f>
        <v>0.10129496402877698</v>
      </c>
      <c r="O64" s="14"/>
    </row>
    <row r="65" spans="1:17" s="2" customFormat="1" ht="17.45" customHeight="1" thickBot="1">
      <c r="A65" s="18" t="s">
        <v>773</v>
      </c>
      <c r="B65" s="23" t="s">
        <v>14</v>
      </c>
      <c r="C65" s="10">
        <v>557</v>
      </c>
      <c r="D65" s="10">
        <v>592</v>
      </c>
      <c r="E65" s="10">
        <v>679</v>
      </c>
      <c r="F65" s="10">
        <v>712</v>
      </c>
      <c r="G65" s="10">
        <v>743</v>
      </c>
      <c r="H65" s="10" t="s">
        <v>20</v>
      </c>
      <c r="K65" s="13"/>
      <c r="L65" s="24">
        <v>6950</v>
      </c>
      <c r="M65" s="14"/>
    </row>
    <row r="66" spans="1:17" s="2" customFormat="1" ht="17.45" customHeight="1" thickBot="1">
      <c r="A66" s="18" t="s">
        <v>772</v>
      </c>
      <c r="B66" s="19" t="s">
        <v>5</v>
      </c>
      <c r="C66" s="10">
        <v>253</v>
      </c>
      <c r="D66" s="10">
        <v>325</v>
      </c>
      <c r="E66" s="10">
        <v>337</v>
      </c>
      <c r="F66" s="10" t="s">
        <v>20</v>
      </c>
    </row>
    <row r="67" spans="1:17" s="2" customFormat="1" ht="17.45" customHeight="1" thickBot="1">
      <c r="A67" s="18" t="s">
        <v>770</v>
      </c>
      <c r="B67" s="47" t="s">
        <v>753</v>
      </c>
      <c r="C67" s="10">
        <v>161</v>
      </c>
      <c r="D67" s="10">
        <v>165</v>
      </c>
      <c r="E67" s="10" t="s">
        <v>20</v>
      </c>
      <c r="I67" s="13"/>
      <c r="J67" s="14"/>
      <c r="L67" s="14"/>
    </row>
    <row r="68" spans="1:17" s="2" customFormat="1" ht="17.45" customHeight="1" thickBot="1">
      <c r="A68" s="18" t="s">
        <v>774</v>
      </c>
      <c r="B68" s="23" t="s">
        <v>14</v>
      </c>
      <c r="C68" s="10">
        <v>147</v>
      </c>
      <c r="D68" s="10">
        <v>150</v>
      </c>
      <c r="E68" s="10" t="s">
        <v>20</v>
      </c>
      <c r="I68" s="13"/>
      <c r="J68" s="14"/>
      <c r="K68" s="17"/>
    </row>
    <row r="70" spans="1:17" s="2" customFormat="1" ht="17.45" customHeight="1">
      <c r="A70" s="1" t="s">
        <v>775</v>
      </c>
    </row>
    <row r="71" spans="1:17" s="2" customFormat="1" ht="8.25" customHeight="1" thickBot="1">
      <c r="A71" s="1"/>
    </row>
    <row r="72" spans="1:17" s="2" customFormat="1" ht="17.45" customHeight="1" thickBot="1">
      <c r="A72" s="4" t="s">
        <v>0</v>
      </c>
      <c r="B72" s="5" t="s">
        <v>1</v>
      </c>
      <c r="C72" s="5" t="s">
        <v>2</v>
      </c>
      <c r="D72" s="5">
        <v>2</v>
      </c>
      <c r="E72" s="5">
        <v>3</v>
      </c>
      <c r="F72" s="5">
        <v>4</v>
      </c>
      <c r="G72" s="5">
        <v>5</v>
      </c>
      <c r="H72" s="5">
        <v>6</v>
      </c>
      <c r="I72" s="5">
        <v>7</v>
      </c>
      <c r="J72" s="5">
        <v>8</v>
      </c>
      <c r="K72" s="5">
        <v>9</v>
      </c>
      <c r="L72" s="5"/>
      <c r="M72" s="13" t="s">
        <v>9</v>
      </c>
      <c r="N72" s="14">
        <f>(7000/14314)</f>
        <v>0.48903171719994409</v>
      </c>
    </row>
    <row r="73" spans="1:17" s="2" customFormat="1" ht="17.45" customHeight="1" thickBot="1">
      <c r="A73" s="7" t="s">
        <v>281</v>
      </c>
      <c r="B73" s="8" t="s">
        <v>3</v>
      </c>
      <c r="C73" s="9">
        <v>1536</v>
      </c>
      <c r="D73" s="10"/>
      <c r="E73" s="10"/>
      <c r="F73" s="10"/>
      <c r="G73" s="9"/>
      <c r="H73" s="10"/>
      <c r="I73" s="9"/>
      <c r="J73" s="10"/>
      <c r="K73" s="10"/>
      <c r="L73" s="11" t="s">
        <v>4</v>
      </c>
      <c r="N73" s="13" t="s">
        <v>11</v>
      </c>
      <c r="O73" s="13" t="s">
        <v>12</v>
      </c>
      <c r="P73" s="13" t="s">
        <v>13</v>
      </c>
      <c r="Q73" s="13"/>
    </row>
    <row r="74" spans="1:17" s="2" customFormat="1" ht="17.45" customHeight="1" thickBot="1">
      <c r="A74" s="7" t="s">
        <v>778</v>
      </c>
      <c r="B74" s="12" t="s">
        <v>5</v>
      </c>
      <c r="C74" s="10">
        <v>912</v>
      </c>
      <c r="D74" s="10">
        <v>920</v>
      </c>
      <c r="E74" s="10">
        <v>927</v>
      </c>
      <c r="F74" s="10">
        <v>941</v>
      </c>
      <c r="G74" s="10">
        <v>990</v>
      </c>
      <c r="H74" s="10">
        <v>1129</v>
      </c>
      <c r="I74" s="10">
        <v>1177</v>
      </c>
      <c r="J74" s="9">
        <v>1528</v>
      </c>
      <c r="K74" s="10"/>
      <c r="L74" s="11" t="s">
        <v>8</v>
      </c>
      <c r="M74" s="16" t="s">
        <v>5</v>
      </c>
      <c r="N74" s="17">
        <f>(C74+C76+C77+C79)</f>
        <v>2705</v>
      </c>
      <c r="O74" s="14">
        <f>SUM(N74/N79)</f>
        <v>0.39021927293710329</v>
      </c>
      <c r="P74" s="2">
        <v>2</v>
      </c>
    </row>
    <row r="75" spans="1:17" s="2" customFormat="1" ht="17.45" customHeight="1" thickBot="1">
      <c r="A75" s="18" t="s">
        <v>574</v>
      </c>
      <c r="B75" s="23" t="s">
        <v>14</v>
      </c>
      <c r="C75" s="10">
        <v>759</v>
      </c>
      <c r="D75" s="10">
        <v>770</v>
      </c>
      <c r="E75" s="10">
        <v>812</v>
      </c>
      <c r="F75" s="10">
        <v>909</v>
      </c>
      <c r="G75" s="10">
        <v>1148</v>
      </c>
      <c r="H75" s="10">
        <v>1218</v>
      </c>
      <c r="I75" s="10">
        <v>1265</v>
      </c>
      <c r="J75" s="10">
        <v>1303</v>
      </c>
      <c r="K75" s="10">
        <v>1309</v>
      </c>
      <c r="L75" s="11"/>
      <c r="M75" s="20" t="s">
        <v>3</v>
      </c>
      <c r="N75" s="17">
        <f>(C73+C78+C80)</f>
        <v>2611</v>
      </c>
      <c r="O75" s="14">
        <f>SUM(N75/N79)</f>
        <v>0.37665897287939987</v>
      </c>
      <c r="P75" s="2">
        <v>2</v>
      </c>
    </row>
    <row r="76" spans="1:17" s="2" customFormat="1" ht="17.45" customHeight="1" thickBot="1">
      <c r="A76" s="7" t="s">
        <v>780</v>
      </c>
      <c r="B76" s="12" t="s">
        <v>5</v>
      </c>
      <c r="C76" s="10">
        <v>663</v>
      </c>
      <c r="D76" s="10">
        <v>673</v>
      </c>
      <c r="E76" s="10">
        <v>680</v>
      </c>
      <c r="F76" s="10">
        <v>698</v>
      </c>
      <c r="G76" s="10">
        <v>737</v>
      </c>
      <c r="H76" s="10">
        <v>919</v>
      </c>
      <c r="I76" s="10">
        <v>939</v>
      </c>
      <c r="J76" s="10">
        <v>1224</v>
      </c>
      <c r="K76" s="9">
        <v>1351</v>
      </c>
      <c r="L76" s="11" t="s">
        <v>7</v>
      </c>
      <c r="M76" s="21" t="s">
        <v>16</v>
      </c>
      <c r="N76" s="17">
        <v>230</v>
      </c>
      <c r="O76" s="14">
        <f>SUM(N76/N79)</f>
        <v>3.3179457587997695E-2</v>
      </c>
    </row>
    <row r="77" spans="1:17" s="2" customFormat="1" ht="17.45" customHeight="1" thickBot="1">
      <c r="A77" s="18" t="s">
        <v>627</v>
      </c>
      <c r="B77" s="19" t="s">
        <v>5</v>
      </c>
      <c r="C77" s="10">
        <v>651</v>
      </c>
      <c r="D77" s="10">
        <v>655</v>
      </c>
      <c r="E77" s="10">
        <v>659</v>
      </c>
      <c r="F77" s="10">
        <v>675</v>
      </c>
      <c r="G77" s="10">
        <v>701</v>
      </c>
      <c r="H77" s="10">
        <v>775</v>
      </c>
      <c r="I77" s="10">
        <v>783</v>
      </c>
      <c r="J77" s="10" t="s">
        <v>20</v>
      </c>
      <c r="M77" s="83" t="s">
        <v>31</v>
      </c>
      <c r="N77" s="17">
        <v>263</v>
      </c>
      <c r="O77" s="14">
        <f>SUM(N77/N79)</f>
        <v>3.7939988459319098E-2</v>
      </c>
    </row>
    <row r="78" spans="1:17" s="2" customFormat="1" ht="17.45" customHeight="1" thickBot="1">
      <c r="A78" s="7" t="s">
        <v>776</v>
      </c>
      <c r="B78" s="8" t="s">
        <v>3</v>
      </c>
      <c r="C78" s="10">
        <v>608</v>
      </c>
      <c r="D78" s="10">
        <v>679</v>
      </c>
      <c r="E78" s="10">
        <v>741</v>
      </c>
      <c r="F78" s="10">
        <v>780</v>
      </c>
      <c r="G78" s="10">
        <v>812</v>
      </c>
      <c r="H78" s="10">
        <v>840</v>
      </c>
      <c r="I78" s="10">
        <v>1240</v>
      </c>
      <c r="J78" s="10">
        <v>1314</v>
      </c>
      <c r="K78" s="9">
        <v>1322</v>
      </c>
      <c r="L78" s="11" t="s">
        <v>6</v>
      </c>
      <c r="M78" s="13" t="s">
        <v>17</v>
      </c>
      <c r="N78" s="17">
        <f>(C75+C81)</f>
        <v>1123</v>
      </c>
      <c r="O78" s="14">
        <f>SUM(N78/N79)</f>
        <v>0.16200230813618002</v>
      </c>
      <c r="Q78" s="14"/>
    </row>
    <row r="79" spans="1:17" s="2" customFormat="1" ht="17.45" customHeight="1" thickBot="1">
      <c r="A79" s="18" t="s">
        <v>573</v>
      </c>
      <c r="B79" s="19" t="s">
        <v>5</v>
      </c>
      <c r="C79" s="10">
        <v>479</v>
      </c>
      <c r="D79" s="10">
        <v>484</v>
      </c>
      <c r="E79" s="10">
        <v>488</v>
      </c>
      <c r="F79" s="10">
        <v>497</v>
      </c>
      <c r="G79" s="10">
        <v>527</v>
      </c>
      <c r="H79" s="10" t="s">
        <v>20</v>
      </c>
      <c r="I79" s="17"/>
      <c r="J79" s="14"/>
      <c r="M79" s="78"/>
      <c r="N79" s="24">
        <v>6932</v>
      </c>
      <c r="O79" s="14"/>
    </row>
    <row r="80" spans="1:17" s="2" customFormat="1" ht="17.45" customHeight="1" thickBot="1">
      <c r="A80" s="18" t="s">
        <v>777</v>
      </c>
      <c r="B80" s="28" t="s">
        <v>3</v>
      </c>
      <c r="C80" s="10">
        <v>467</v>
      </c>
      <c r="D80" s="10">
        <v>490</v>
      </c>
      <c r="E80" s="10">
        <v>511</v>
      </c>
      <c r="F80" s="10">
        <v>521</v>
      </c>
      <c r="G80" s="10">
        <v>541</v>
      </c>
      <c r="H80" s="10">
        <v>553</v>
      </c>
      <c r="I80" s="10" t="s">
        <v>20</v>
      </c>
      <c r="J80" s="14"/>
    </row>
    <row r="81" spans="1:20" s="2" customFormat="1" ht="17.45" customHeight="1" thickBot="1">
      <c r="A81" s="18" t="s">
        <v>781</v>
      </c>
      <c r="B81" s="23" t="s">
        <v>14</v>
      </c>
      <c r="C81" s="10">
        <v>364</v>
      </c>
      <c r="D81" s="10">
        <v>373</v>
      </c>
      <c r="E81" s="10">
        <v>397</v>
      </c>
      <c r="F81" s="10">
        <v>476</v>
      </c>
      <c r="G81" s="10" t="s">
        <v>20</v>
      </c>
      <c r="H81" s="21"/>
      <c r="I81" s="17"/>
      <c r="J81" s="14"/>
    </row>
    <row r="82" spans="1:20" s="2" customFormat="1" ht="17.45" customHeight="1" thickBot="1">
      <c r="A82" s="18" t="s">
        <v>779</v>
      </c>
      <c r="B82" s="76" t="s">
        <v>31</v>
      </c>
      <c r="C82" s="10">
        <v>263</v>
      </c>
      <c r="D82" s="10">
        <v>266</v>
      </c>
      <c r="E82" s="10">
        <v>322</v>
      </c>
      <c r="F82" s="10" t="s">
        <v>20</v>
      </c>
      <c r="H82" s="48"/>
      <c r="I82" s="17"/>
      <c r="J82" s="14"/>
      <c r="K82" s="17"/>
    </row>
    <row r="83" spans="1:20" s="2" customFormat="1" ht="17.45" customHeight="1" thickBot="1">
      <c r="A83" s="18" t="s">
        <v>782</v>
      </c>
      <c r="B83" s="22" t="s">
        <v>16</v>
      </c>
      <c r="C83" s="10">
        <v>230</v>
      </c>
      <c r="D83" s="10">
        <v>235</v>
      </c>
      <c r="E83" s="10" t="s">
        <v>20</v>
      </c>
      <c r="H83" s="78"/>
      <c r="I83" s="24"/>
      <c r="J83" s="14"/>
      <c r="L83" s="14"/>
    </row>
    <row r="85" spans="1:20" s="32" customFormat="1" ht="15" customHeight="1">
      <c r="B85" s="36" t="s">
        <v>19</v>
      </c>
      <c r="C85" s="38" t="s">
        <v>5</v>
      </c>
      <c r="D85" s="39" t="s">
        <v>3</v>
      </c>
      <c r="E85" s="40" t="s">
        <v>16</v>
      </c>
      <c r="F85" s="41" t="s">
        <v>18</v>
      </c>
      <c r="G85" s="49" t="s">
        <v>753</v>
      </c>
      <c r="H85" s="84" t="s">
        <v>31</v>
      </c>
      <c r="I85" s="36" t="s">
        <v>17</v>
      </c>
      <c r="R85" s="33"/>
      <c r="S85" s="34"/>
      <c r="T85" s="35"/>
    </row>
    <row r="86" spans="1:20" s="32" customFormat="1" ht="15" customHeight="1">
      <c r="A86" s="32" t="s">
        <v>11</v>
      </c>
      <c r="B86" s="37">
        <f>SUM(N11+I36+N49+N79+L25+L65)</f>
        <v>39660</v>
      </c>
      <c r="C86" s="34">
        <f>SUM(N74+N43+I32+L20+N5+L60)</f>
        <v>17977</v>
      </c>
      <c r="D86" s="34">
        <f>SUM(N75+N44+I33+L21+N6+L61)</f>
        <v>10962</v>
      </c>
      <c r="E86" s="34">
        <f>SUM(N76+N45+I34+L22+N7+L62)</f>
        <v>4486</v>
      </c>
      <c r="F86" s="34">
        <v>363</v>
      </c>
      <c r="G86" s="34">
        <f>(L63+N46+N8)</f>
        <v>529</v>
      </c>
      <c r="H86" s="34">
        <f>(N77+I35+N9+L23)</f>
        <v>1591</v>
      </c>
      <c r="I86" s="34">
        <f>(N78+L64+N48+L24+N10)</f>
        <v>3752</v>
      </c>
      <c r="L86" s="34"/>
      <c r="R86" s="36"/>
      <c r="S86" s="37"/>
      <c r="T86" s="35"/>
    </row>
    <row r="87" spans="1:20" s="32" customFormat="1" ht="15" customHeight="1">
      <c r="A87" s="32" t="s">
        <v>12</v>
      </c>
      <c r="B87" s="42">
        <v>1</v>
      </c>
      <c r="C87" s="35">
        <f t="shared" ref="C87:I87" si="0">SUM(C86/$B$86)</f>
        <v>0.45327786182551688</v>
      </c>
      <c r="D87" s="35">
        <f t="shared" si="0"/>
        <v>0.27639939485627835</v>
      </c>
      <c r="E87" s="35">
        <f t="shared" si="0"/>
        <v>0.11311144730206757</v>
      </c>
      <c r="F87" s="35">
        <f t="shared" si="0"/>
        <v>9.1527987897125559E-3</v>
      </c>
      <c r="G87" s="35">
        <f t="shared" si="0"/>
        <v>1.3338376197680283E-2</v>
      </c>
      <c r="H87" s="35">
        <f t="shared" si="0"/>
        <v>4.0115985879979832E-2</v>
      </c>
      <c r="I87" s="35">
        <f t="shared" si="0"/>
        <v>9.4604135148764493E-2</v>
      </c>
      <c r="L87" s="34"/>
    </row>
    <row r="88" spans="1:20" s="32" customFormat="1" ht="15" customHeight="1">
      <c r="A88" s="32" t="s">
        <v>13</v>
      </c>
      <c r="B88" s="36">
        <v>24</v>
      </c>
      <c r="C88" s="32">
        <v>13</v>
      </c>
      <c r="D88" s="32">
        <v>7</v>
      </c>
      <c r="E88" s="32">
        <v>3</v>
      </c>
      <c r="F88" s="32">
        <v>0</v>
      </c>
      <c r="G88" s="32">
        <v>0</v>
      </c>
      <c r="H88" s="32">
        <v>0</v>
      </c>
      <c r="I88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112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4" s="2" customFormat="1" ht="16.5" customHeight="1">
      <c r="A1" s="1" t="s">
        <v>794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(8798/17496)</f>
        <v>0.50285779606767256</v>
      </c>
    </row>
    <row r="4" spans="1:14" s="2" customFormat="1" ht="16.5" customHeight="1" thickBot="1">
      <c r="A4" s="7" t="s">
        <v>797</v>
      </c>
      <c r="B4" s="12" t="s">
        <v>5</v>
      </c>
      <c r="C4" s="9">
        <v>1827</v>
      </c>
      <c r="D4" s="10"/>
      <c r="E4" s="10"/>
      <c r="F4" s="10"/>
      <c r="G4" s="10"/>
      <c r="H4" s="9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628</v>
      </c>
      <c r="B5" s="12" t="s">
        <v>5</v>
      </c>
      <c r="C5" s="10">
        <v>1091</v>
      </c>
      <c r="D5" s="10">
        <v>1126</v>
      </c>
      <c r="E5" s="10">
        <v>1145</v>
      </c>
      <c r="F5" s="10">
        <v>1182</v>
      </c>
      <c r="G5" s="10">
        <v>1643</v>
      </c>
      <c r="H5" s="10">
        <v>1715</v>
      </c>
      <c r="I5" s="9">
        <v>1937</v>
      </c>
      <c r="J5" s="11" t="s">
        <v>8</v>
      </c>
      <c r="K5" s="16" t="s">
        <v>5</v>
      </c>
      <c r="L5" s="17">
        <f>(C4+C5+C11)</f>
        <v>3480</v>
      </c>
      <c r="M5" s="14">
        <f>SUM(L5/L11)</f>
        <v>0.39963252181901698</v>
      </c>
      <c r="N5" s="2">
        <v>2</v>
      </c>
    </row>
    <row r="6" spans="1:14" s="2" customFormat="1" ht="16.5" customHeight="1" thickBot="1">
      <c r="A6" s="7" t="s">
        <v>796</v>
      </c>
      <c r="B6" s="8" t="s">
        <v>3</v>
      </c>
      <c r="C6" s="10">
        <v>1067</v>
      </c>
      <c r="D6" s="10">
        <v>1071</v>
      </c>
      <c r="E6" s="10">
        <v>1087</v>
      </c>
      <c r="F6" s="10">
        <v>1243</v>
      </c>
      <c r="G6" s="10">
        <v>1322</v>
      </c>
      <c r="H6" s="10">
        <v>1593</v>
      </c>
      <c r="I6" s="9">
        <v>1714</v>
      </c>
      <c r="J6" s="11" t="s">
        <v>7</v>
      </c>
      <c r="K6" s="20" t="s">
        <v>3</v>
      </c>
      <c r="L6" s="17">
        <f>(C6+C7+C10)</f>
        <v>2659</v>
      </c>
      <c r="M6" s="14">
        <f>SUM(L6/L11)</f>
        <v>0.30535140101056502</v>
      </c>
      <c r="N6" s="2">
        <v>1</v>
      </c>
    </row>
    <row r="7" spans="1:14" s="2" customFormat="1" ht="16.5" customHeight="1" thickBot="1">
      <c r="A7" s="18" t="s">
        <v>311</v>
      </c>
      <c r="B7" s="28" t="s">
        <v>3</v>
      </c>
      <c r="C7" s="10">
        <v>991</v>
      </c>
      <c r="D7" s="10">
        <v>996</v>
      </c>
      <c r="E7" s="10">
        <v>1008</v>
      </c>
      <c r="F7" s="10">
        <v>1029</v>
      </c>
      <c r="G7" s="10">
        <v>1034</v>
      </c>
      <c r="H7" s="10">
        <v>1169</v>
      </c>
      <c r="I7" s="10">
        <v>1294</v>
      </c>
      <c r="J7" s="11"/>
      <c r="K7" s="21" t="s">
        <v>16</v>
      </c>
      <c r="L7" s="17">
        <f>(C9+C12)</f>
        <v>1443</v>
      </c>
      <c r="M7" s="14">
        <f>SUM(L7/L11)</f>
        <v>0.16570969223702342</v>
      </c>
      <c r="N7" s="2">
        <v>1</v>
      </c>
    </row>
    <row r="8" spans="1:14" s="2" customFormat="1" ht="16.5" customHeight="1" thickBot="1">
      <c r="A8" s="18" t="s">
        <v>182</v>
      </c>
      <c r="B8" s="76" t="s">
        <v>31</v>
      </c>
      <c r="C8" s="10">
        <v>902</v>
      </c>
      <c r="D8" s="10">
        <v>905</v>
      </c>
      <c r="E8" s="10">
        <v>981</v>
      </c>
      <c r="F8" s="10">
        <v>1038</v>
      </c>
      <c r="G8" s="10">
        <v>1058</v>
      </c>
      <c r="H8" s="10">
        <v>1129</v>
      </c>
      <c r="I8" s="10" t="s">
        <v>20</v>
      </c>
      <c r="K8" s="83" t="s">
        <v>31</v>
      </c>
      <c r="L8" s="17">
        <v>902</v>
      </c>
      <c r="M8" s="14">
        <f>SUM(L8/L11)</f>
        <v>0.10358291226458428</v>
      </c>
    </row>
    <row r="9" spans="1:14" s="2" customFormat="1" ht="16.5" customHeight="1" thickBot="1">
      <c r="A9" s="7" t="s">
        <v>798</v>
      </c>
      <c r="B9" s="43" t="s">
        <v>16</v>
      </c>
      <c r="C9" s="10">
        <v>887</v>
      </c>
      <c r="D9" s="10">
        <v>894</v>
      </c>
      <c r="E9" s="10">
        <v>929</v>
      </c>
      <c r="F9" s="10">
        <v>1129</v>
      </c>
      <c r="G9" s="10">
        <v>1155</v>
      </c>
      <c r="H9" s="10">
        <v>1223</v>
      </c>
      <c r="I9" s="9">
        <v>1578</v>
      </c>
      <c r="J9" s="11" t="s">
        <v>6</v>
      </c>
      <c r="K9" s="48" t="s">
        <v>753</v>
      </c>
      <c r="L9" s="17">
        <v>147</v>
      </c>
      <c r="M9" s="14">
        <f>SUM(L9/L11)</f>
        <v>1.6881028938906754E-2</v>
      </c>
    </row>
    <row r="10" spans="1:14" s="2" customFormat="1" ht="16.5" customHeight="1" thickBot="1">
      <c r="A10" s="18" t="s">
        <v>801</v>
      </c>
      <c r="B10" s="28" t="s">
        <v>3</v>
      </c>
      <c r="C10" s="10">
        <v>601</v>
      </c>
      <c r="D10" s="10">
        <v>603</v>
      </c>
      <c r="E10" s="10">
        <v>609</v>
      </c>
      <c r="F10" s="10">
        <v>653</v>
      </c>
      <c r="G10" s="10">
        <v>673</v>
      </c>
      <c r="H10" s="10" t="s">
        <v>20</v>
      </c>
      <c r="K10" s="13" t="s">
        <v>17</v>
      </c>
      <c r="L10" s="17">
        <v>77</v>
      </c>
      <c r="M10" s="14">
        <f>SUM(L10/L11)</f>
        <v>8.8424437299035371E-3</v>
      </c>
    </row>
    <row r="11" spans="1:14" s="2" customFormat="1" ht="16.5" customHeight="1" thickBot="1">
      <c r="A11" s="18" t="s">
        <v>800</v>
      </c>
      <c r="B11" s="19" t="s">
        <v>5</v>
      </c>
      <c r="C11" s="10">
        <v>562</v>
      </c>
      <c r="D11" s="10">
        <v>589</v>
      </c>
      <c r="E11" s="10">
        <v>602</v>
      </c>
      <c r="F11" s="10">
        <v>644</v>
      </c>
      <c r="G11" s="10" t="s">
        <v>20</v>
      </c>
      <c r="L11" s="24">
        <v>8708</v>
      </c>
    </row>
    <row r="12" spans="1:14" s="2" customFormat="1" ht="16.5" customHeight="1" thickBot="1">
      <c r="A12" s="18" t="s">
        <v>631</v>
      </c>
      <c r="B12" s="22" t="s">
        <v>16</v>
      </c>
      <c r="C12" s="10">
        <v>556</v>
      </c>
      <c r="D12" s="10">
        <v>557</v>
      </c>
      <c r="E12" s="10">
        <v>579</v>
      </c>
      <c r="F12" s="10" t="s">
        <v>20</v>
      </c>
    </row>
    <row r="13" spans="1:14" s="2" customFormat="1" ht="16.5" customHeight="1" thickBot="1">
      <c r="A13" s="18" t="s">
        <v>799</v>
      </c>
      <c r="B13" s="47" t="s">
        <v>753</v>
      </c>
      <c r="C13" s="10">
        <v>147</v>
      </c>
      <c r="D13" s="10">
        <v>148</v>
      </c>
      <c r="E13" s="10" t="s">
        <v>20</v>
      </c>
      <c r="K13" s="13"/>
      <c r="L13" s="17"/>
      <c r="M13" s="14"/>
    </row>
    <row r="14" spans="1:14" s="2" customFormat="1" ht="16.5" customHeight="1" thickBot="1">
      <c r="A14" s="18" t="s">
        <v>802</v>
      </c>
      <c r="B14" s="23" t="s">
        <v>795</v>
      </c>
      <c r="C14" s="10">
        <v>77</v>
      </c>
      <c r="D14" s="10">
        <v>77</v>
      </c>
      <c r="E14" s="10" t="s">
        <v>20</v>
      </c>
      <c r="L14" s="24"/>
    </row>
    <row r="15" spans="1:14" s="2" customFormat="1" ht="10.5" customHeight="1">
      <c r="A15" s="1"/>
    </row>
    <row r="16" spans="1:14" s="2" customFormat="1" ht="17.45" customHeight="1">
      <c r="A16" s="1" t="s">
        <v>784</v>
      </c>
    </row>
    <row r="17" spans="1:16" s="2" customFormat="1" ht="10.5" customHeight="1" thickBot="1">
      <c r="A17" s="1"/>
    </row>
    <row r="18" spans="1:16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6"/>
      <c r="M18" s="13" t="s">
        <v>9</v>
      </c>
      <c r="N18" s="14">
        <f>(7188/15983)</f>
        <v>0.44972783582556464</v>
      </c>
    </row>
    <row r="19" spans="1:16" s="2" customFormat="1" ht="16.5" customHeight="1" thickBot="1">
      <c r="A19" s="7" t="s">
        <v>788</v>
      </c>
      <c r="B19" s="12" t="s">
        <v>5</v>
      </c>
      <c r="C19" s="9">
        <v>2098</v>
      </c>
      <c r="D19" s="10"/>
      <c r="E19" s="10"/>
      <c r="F19" s="10"/>
      <c r="G19" s="10"/>
      <c r="H19" s="10"/>
      <c r="I19" s="9"/>
      <c r="J19" s="10"/>
      <c r="K19" s="9"/>
      <c r="L19" s="11" t="s">
        <v>4</v>
      </c>
      <c r="N19" s="13" t="s">
        <v>11</v>
      </c>
      <c r="O19" s="13" t="s">
        <v>12</v>
      </c>
      <c r="P19" s="13" t="s">
        <v>13</v>
      </c>
    </row>
    <row r="20" spans="1:16" s="2" customFormat="1" ht="16.5" customHeight="1" thickBot="1">
      <c r="A20" s="7" t="s">
        <v>787</v>
      </c>
      <c r="B20" s="12" t="s">
        <v>5</v>
      </c>
      <c r="C20" s="10">
        <v>1111</v>
      </c>
      <c r="D20" s="10">
        <v>1210</v>
      </c>
      <c r="E20" s="10">
        <v>1227</v>
      </c>
      <c r="F20" s="10">
        <v>1232</v>
      </c>
      <c r="G20" s="10">
        <v>1304</v>
      </c>
      <c r="H20" s="10">
        <v>1332</v>
      </c>
      <c r="I20" s="10">
        <v>1375</v>
      </c>
      <c r="J20" s="10">
        <v>1420</v>
      </c>
      <c r="K20" s="9">
        <v>1560</v>
      </c>
      <c r="L20" s="11" t="s">
        <v>7</v>
      </c>
      <c r="M20" s="16" t="s">
        <v>5</v>
      </c>
      <c r="N20" s="17">
        <f>(C19+C20+C22)</f>
        <v>3827</v>
      </c>
      <c r="O20" s="14">
        <f>SUM(N20/N26)</f>
        <v>0.5382559774964838</v>
      </c>
      <c r="P20" s="2">
        <v>2</v>
      </c>
    </row>
    <row r="21" spans="1:16" s="2" customFormat="1" ht="16.5" customHeight="1" thickBot="1">
      <c r="A21" s="7" t="s">
        <v>785</v>
      </c>
      <c r="B21" s="8" t="s">
        <v>3</v>
      </c>
      <c r="C21" s="10">
        <v>631</v>
      </c>
      <c r="D21" s="10">
        <v>646</v>
      </c>
      <c r="E21" s="10">
        <v>660</v>
      </c>
      <c r="F21" s="10">
        <v>695</v>
      </c>
      <c r="G21" s="10">
        <v>751</v>
      </c>
      <c r="H21" s="10">
        <v>846</v>
      </c>
      <c r="I21" s="10">
        <v>901</v>
      </c>
      <c r="J21" s="10">
        <v>1541</v>
      </c>
      <c r="K21" s="9">
        <v>1660</v>
      </c>
      <c r="L21" s="11" t="s">
        <v>8</v>
      </c>
      <c r="M21" s="20" t="s">
        <v>3</v>
      </c>
      <c r="N21" s="17">
        <f>(C21+C23)</f>
        <v>1228</v>
      </c>
      <c r="O21" s="14">
        <f>SUM(N21/N26)</f>
        <v>0.17271448663853728</v>
      </c>
      <c r="P21" s="2">
        <v>1</v>
      </c>
    </row>
    <row r="22" spans="1:16" s="2" customFormat="1" ht="16.5" customHeight="1" thickBot="1">
      <c r="A22" s="18" t="s">
        <v>789</v>
      </c>
      <c r="B22" s="19" t="s">
        <v>5</v>
      </c>
      <c r="C22" s="10">
        <v>618</v>
      </c>
      <c r="D22" s="10">
        <v>768</v>
      </c>
      <c r="E22" s="10">
        <v>780</v>
      </c>
      <c r="F22" s="10">
        <v>789</v>
      </c>
      <c r="G22" s="10">
        <v>823</v>
      </c>
      <c r="H22" s="10">
        <v>882</v>
      </c>
      <c r="I22" s="10">
        <v>974</v>
      </c>
      <c r="J22" s="10">
        <v>999</v>
      </c>
      <c r="K22" s="10">
        <v>1204</v>
      </c>
      <c r="L22" s="11"/>
      <c r="M22" s="21" t="s">
        <v>16</v>
      </c>
      <c r="N22" s="17">
        <f>(C27+C28+C29)</f>
        <v>705</v>
      </c>
      <c r="O22" s="14">
        <f>SUM(N22/N26)</f>
        <v>9.9156118143459912E-2</v>
      </c>
    </row>
    <row r="23" spans="1:16" s="2" customFormat="1" ht="16.5" customHeight="1" thickBot="1">
      <c r="A23" s="18" t="s">
        <v>786</v>
      </c>
      <c r="B23" s="28" t="s">
        <v>3</v>
      </c>
      <c r="C23" s="10">
        <v>597</v>
      </c>
      <c r="D23" s="10">
        <v>613</v>
      </c>
      <c r="E23" s="10">
        <v>626</v>
      </c>
      <c r="F23" s="10">
        <v>635</v>
      </c>
      <c r="G23" s="10">
        <v>667</v>
      </c>
      <c r="H23" s="10">
        <v>730</v>
      </c>
      <c r="I23" s="10">
        <v>773</v>
      </c>
      <c r="J23" s="10" t="s">
        <v>20</v>
      </c>
      <c r="M23" s="26" t="s">
        <v>18</v>
      </c>
      <c r="N23" s="17">
        <v>573</v>
      </c>
      <c r="O23" s="14">
        <f>SUM(N23/N26)</f>
        <v>8.0590717299578063E-2</v>
      </c>
    </row>
    <row r="24" spans="1:16" s="2" customFormat="1" ht="16.5" customHeight="1" thickBot="1">
      <c r="A24" s="18" t="s">
        <v>791</v>
      </c>
      <c r="B24" s="27" t="s">
        <v>18</v>
      </c>
      <c r="C24" s="10">
        <v>573</v>
      </c>
      <c r="D24" s="10">
        <v>582</v>
      </c>
      <c r="E24" s="10">
        <v>593</v>
      </c>
      <c r="F24" s="10">
        <v>604</v>
      </c>
      <c r="G24" s="10">
        <v>640</v>
      </c>
      <c r="H24" s="10">
        <v>687</v>
      </c>
      <c r="I24" s="10">
        <v>932</v>
      </c>
      <c r="J24" s="10">
        <v>946</v>
      </c>
      <c r="K24" s="10" t="s">
        <v>20</v>
      </c>
      <c r="M24" s="83" t="s">
        <v>31</v>
      </c>
      <c r="N24" s="17">
        <v>481</v>
      </c>
      <c r="O24" s="14">
        <f>SUM(N24/N26)</f>
        <v>6.7651195499296768E-2</v>
      </c>
    </row>
    <row r="25" spans="1:16" s="2" customFormat="1" ht="16.5" customHeight="1" thickBot="1">
      <c r="A25" s="18" t="s">
        <v>458</v>
      </c>
      <c r="B25" s="76" t="s">
        <v>31</v>
      </c>
      <c r="C25" s="10">
        <v>481</v>
      </c>
      <c r="D25" s="10">
        <v>487</v>
      </c>
      <c r="E25" s="10">
        <v>499</v>
      </c>
      <c r="F25" s="10">
        <v>532</v>
      </c>
      <c r="G25" s="10">
        <v>579</v>
      </c>
      <c r="H25" s="10">
        <v>681</v>
      </c>
      <c r="I25" s="10" t="s">
        <v>20</v>
      </c>
      <c r="M25" s="13" t="s">
        <v>17</v>
      </c>
      <c r="N25" s="17">
        <v>296</v>
      </c>
      <c r="O25" s="14">
        <f>SUM(N25/N26)</f>
        <v>4.1631504922644162E-2</v>
      </c>
    </row>
    <row r="26" spans="1:16" s="2" customFormat="1" ht="16.5" customHeight="1" thickBot="1">
      <c r="A26" s="18" t="s">
        <v>793</v>
      </c>
      <c r="B26" s="23" t="s">
        <v>14</v>
      </c>
      <c r="C26" s="10">
        <v>296</v>
      </c>
      <c r="D26" s="10">
        <v>305</v>
      </c>
      <c r="E26" s="10">
        <v>322</v>
      </c>
      <c r="F26" s="10">
        <v>334</v>
      </c>
      <c r="G26" s="10" t="s">
        <v>20</v>
      </c>
      <c r="N26" s="24">
        <v>7110</v>
      </c>
    </row>
    <row r="27" spans="1:16" s="2" customFormat="1" ht="16.5" customHeight="1" thickBot="1">
      <c r="A27" s="18" t="s">
        <v>790</v>
      </c>
      <c r="B27" s="22" t="s">
        <v>16</v>
      </c>
      <c r="C27" s="10">
        <v>289</v>
      </c>
      <c r="D27" s="10">
        <v>294</v>
      </c>
      <c r="E27" s="10">
        <v>360</v>
      </c>
      <c r="F27" s="10">
        <v>501</v>
      </c>
      <c r="G27" s="10">
        <v>522</v>
      </c>
      <c r="H27" s="10" t="s">
        <v>20</v>
      </c>
      <c r="L27"/>
    </row>
    <row r="28" spans="1:16" s="2" customFormat="1" ht="16.5" customHeight="1" thickBot="1">
      <c r="A28" s="18" t="s">
        <v>447</v>
      </c>
      <c r="B28" s="22" t="s">
        <v>16</v>
      </c>
      <c r="C28" s="10">
        <v>219</v>
      </c>
      <c r="D28" s="10">
        <v>223</v>
      </c>
      <c r="E28" s="10">
        <v>263</v>
      </c>
      <c r="F28" s="10" t="s">
        <v>20</v>
      </c>
    </row>
    <row r="29" spans="1:16" s="2" customFormat="1" ht="16.5" customHeight="1" thickBot="1">
      <c r="A29" s="18" t="s">
        <v>792</v>
      </c>
      <c r="B29" s="22" t="s">
        <v>16</v>
      </c>
      <c r="C29" s="10">
        <v>197</v>
      </c>
      <c r="D29" s="10">
        <v>204</v>
      </c>
      <c r="E29" s="10" t="s">
        <v>20</v>
      </c>
    </row>
    <row r="31" spans="1:16" s="2" customFormat="1" ht="17.45" customHeight="1">
      <c r="A31" s="1" t="s">
        <v>844</v>
      </c>
    </row>
    <row r="32" spans="1:16" s="2" customFormat="1" ht="10.5" customHeight="1" thickBot="1">
      <c r="A32" s="1"/>
    </row>
    <row r="33" spans="1:18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6"/>
      <c r="O33" s="13" t="s">
        <v>9</v>
      </c>
      <c r="P33" s="14">
        <f>(10695/23022)</f>
        <v>0.46455564242898095</v>
      </c>
    </row>
    <row r="34" spans="1:18" s="2" customFormat="1" ht="16.5" customHeight="1" thickBot="1">
      <c r="A34" s="7" t="s">
        <v>845</v>
      </c>
      <c r="B34" s="8" t="s">
        <v>3</v>
      </c>
      <c r="C34" s="9">
        <v>2017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1" t="s">
        <v>4</v>
      </c>
      <c r="P34" s="13" t="s">
        <v>11</v>
      </c>
      <c r="Q34" s="13" t="s">
        <v>12</v>
      </c>
      <c r="R34" s="13" t="s">
        <v>13</v>
      </c>
    </row>
    <row r="35" spans="1:18" s="2" customFormat="1" ht="16.5" customHeight="1" thickBot="1">
      <c r="A35" s="7" t="s">
        <v>847</v>
      </c>
      <c r="B35" s="12" t="s">
        <v>5</v>
      </c>
      <c r="C35" s="10">
        <v>1356</v>
      </c>
      <c r="D35" s="10">
        <v>1362</v>
      </c>
      <c r="E35" s="10">
        <v>1371</v>
      </c>
      <c r="F35" s="10">
        <v>1417</v>
      </c>
      <c r="G35" s="10">
        <v>1440</v>
      </c>
      <c r="H35" s="10">
        <v>1466</v>
      </c>
      <c r="I35" s="10">
        <v>1495</v>
      </c>
      <c r="J35" s="10">
        <v>1513</v>
      </c>
      <c r="K35" s="9">
        <v>1789</v>
      </c>
      <c r="L35" s="10"/>
      <c r="M35" s="10"/>
      <c r="N35" s="11" t="s">
        <v>8</v>
      </c>
      <c r="O35" s="16" t="s">
        <v>5</v>
      </c>
      <c r="P35" s="17">
        <f>(C35+C36+C37+C39)</f>
        <v>4058</v>
      </c>
      <c r="Q35" s="14">
        <f>SUM(P35/P41)</f>
        <v>0.382902434421589</v>
      </c>
      <c r="R35" s="2">
        <v>2</v>
      </c>
    </row>
    <row r="36" spans="1:18" s="2" customFormat="1" ht="16.5" customHeight="1" thickBot="1">
      <c r="A36" s="7" t="s">
        <v>851</v>
      </c>
      <c r="B36" s="12" t="s">
        <v>5</v>
      </c>
      <c r="C36" s="10">
        <v>1120</v>
      </c>
      <c r="D36" s="10">
        <v>1128</v>
      </c>
      <c r="E36" s="10">
        <v>1133</v>
      </c>
      <c r="F36" s="10">
        <v>1195</v>
      </c>
      <c r="G36" s="10">
        <v>1230</v>
      </c>
      <c r="H36" s="10">
        <v>1253</v>
      </c>
      <c r="I36" s="10">
        <v>1305</v>
      </c>
      <c r="J36" s="10">
        <v>1325</v>
      </c>
      <c r="K36" s="10">
        <v>1639</v>
      </c>
      <c r="L36" s="9">
        <v>2372</v>
      </c>
      <c r="M36" s="9"/>
      <c r="N36" s="11" t="s">
        <v>7</v>
      </c>
      <c r="O36" s="20" t="s">
        <v>3</v>
      </c>
      <c r="P36" s="17">
        <f>(C34+C41+C40)</f>
        <v>3337</v>
      </c>
      <c r="Q36" s="14">
        <f>SUM(P36/P41)</f>
        <v>0.31487073032647667</v>
      </c>
      <c r="R36" s="2">
        <v>2</v>
      </c>
    </row>
    <row r="37" spans="1:18" s="2" customFormat="1" ht="16.5" customHeight="1" thickBot="1">
      <c r="A37" s="18" t="s">
        <v>671</v>
      </c>
      <c r="B37" s="19" t="s">
        <v>5</v>
      </c>
      <c r="C37" s="10">
        <v>858</v>
      </c>
      <c r="D37" s="10">
        <v>866</v>
      </c>
      <c r="E37" s="10">
        <v>871</v>
      </c>
      <c r="F37" s="10">
        <v>906</v>
      </c>
      <c r="G37" s="10">
        <v>916</v>
      </c>
      <c r="H37" s="10">
        <v>925</v>
      </c>
      <c r="I37" s="10">
        <v>937</v>
      </c>
      <c r="J37" s="10">
        <v>965</v>
      </c>
      <c r="K37" s="10">
        <v>1074</v>
      </c>
      <c r="L37" s="10" t="s">
        <v>20</v>
      </c>
      <c r="O37" s="21" t="s">
        <v>16</v>
      </c>
      <c r="P37" s="17">
        <f>(C42+C43+C45)</f>
        <v>1517</v>
      </c>
      <c r="Q37" s="14">
        <f>SUM(P37/P41)</f>
        <v>0.14314021513493111</v>
      </c>
    </row>
    <row r="38" spans="1:18" s="2" customFormat="1" ht="16.5" customHeight="1" thickBot="1">
      <c r="A38" s="7" t="s">
        <v>849</v>
      </c>
      <c r="B38" s="15" t="s">
        <v>14</v>
      </c>
      <c r="C38" s="10">
        <v>760</v>
      </c>
      <c r="D38" s="10">
        <v>765</v>
      </c>
      <c r="E38" s="10">
        <v>809</v>
      </c>
      <c r="F38" s="10">
        <v>871</v>
      </c>
      <c r="G38" s="10">
        <v>885</v>
      </c>
      <c r="H38" s="10">
        <v>1048</v>
      </c>
      <c r="I38" s="10">
        <v>1127</v>
      </c>
      <c r="J38" s="10">
        <v>1149</v>
      </c>
      <c r="K38" s="10">
        <v>1202</v>
      </c>
      <c r="L38" s="10">
        <v>1256</v>
      </c>
      <c r="M38" s="9">
        <v>1395</v>
      </c>
      <c r="N38" s="11" t="s">
        <v>10</v>
      </c>
      <c r="O38" s="83" t="s">
        <v>31</v>
      </c>
      <c r="P38" s="17">
        <v>388</v>
      </c>
      <c r="Q38" s="14">
        <f>SUM(P38/P41)</f>
        <v>3.6610681260615209E-2</v>
      </c>
    </row>
    <row r="39" spans="1:18" s="2" customFormat="1" ht="16.5" customHeight="1" thickBot="1">
      <c r="A39" s="18" t="s">
        <v>850</v>
      </c>
      <c r="B39" s="19" t="s">
        <v>5</v>
      </c>
      <c r="C39" s="10">
        <v>724</v>
      </c>
      <c r="D39" s="10">
        <v>728</v>
      </c>
      <c r="E39" s="10">
        <v>735</v>
      </c>
      <c r="F39" s="10">
        <v>766</v>
      </c>
      <c r="G39" s="10">
        <v>772</v>
      </c>
      <c r="H39" s="10">
        <v>789</v>
      </c>
      <c r="I39" s="10">
        <v>854</v>
      </c>
      <c r="J39" s="10">
        <v>872</v>
      </c>
      <c r="K39" s="10" t="s">
        <v>20</v>
      </c>
      <c r="O39" s="48" t="s">
        <v>753</v>
      </c>
      <c r="P39" s="17">
        <v>228</v>
      </c>
      <c r="Q39" s="14">
        <f>SUM(P39/P41)</f>
        <v>2.1513493111907908E-2</v>
      </c>
    </row>
    <row r="40" spans="1:18" s="2" customFormat="1" ht="16.5" customHeight="1" thickBot="1">
      <c r="A40" s="7" t="s">
        <v>848</v>
      </c>
      <c r="B40" s="8" t="s">
        <v>3</v>
      </c>
      <c r="C40" s="10">
        <v>708</v>
      </c>
      <c r="D40" s="10">
        <v>824</v>
      </c>
      <c r="E40" s="10">
        <v>853</v>
      </c>
      <c r="F40" s="10">
        <v>865</v>
      </c>
      <c r="G40" s="10">
        <v>909</v>
      </c>
      <c r="H40" s="10">
        <v>929</v>
      </c>
      <c r="I40" s="10">
        <v>978</v>
      </c>
      <c r="J40" s="10">
        <v>1627</v>
      </c>
      <c r="K40" s="10">
        <v>1662</v>
      </c>
      <c r="L40" s="9">
        <v>1770</v>
      </c>
      <c r="M40" s="9"/>
      <c r="N40" s="11" t="s">
        <v>6</v>
      </c>
      <c r="O40" s="13" t="s">
        <v>17</v>
      </c>
      <c r="P40" s="17">
        <f>(C38+C46)</f>
        <v>1070</v>
      </c>
      <c r="Q40" s="14">
        <f>SUM(P40/P41)</f>
        <v>0.10096244574448009</v>
      </c>
      <c r="R40" s="2">
        <v>1</v>
      </c>
    </row>
    <row r="41" spans="1:18" s="2" customFormat="1" ht="16.5" customHeight="1" thickBot="1">
      <c r="A41" s="18" t="s">
        <v>853</v>
      </c>
      <c r="B41" s="28" t="s">
        <v>3</v>
      </c>
      <c r="C41" s="10">
        <v>612</v>
      </c>
      <c r="D41" s="10">
        <v>676</v>
      </c>
      <c r="E41" s="10">
        <v>694</v>
      </c>
      <c r="F41" s="10">
        <v>704</v>
      </c>
      <c r="G41" s="10">
        <v>771</v>
      </c>
      <c r="H41" s="10">
        <v>787</v>
      </c>
      <c r="I41" s="10">
        <v>851</v>
      </c>
      <c r="J41" s="10" t="s">
        <v>20</v>
      </c>
      <c r="P41" s="24">
        <v>10598</v>
      </c>
    </row>
    <row r="42" spans="1:18" s="2" customFormat="1" ht="16.5" customHeight="1" thickBot="1">
      <c r="A42" s="18" t="s">
        <v>846</v>
      </c>
      <c r="B42" s="22" t="s">
        <v>16</v>
      </c>
      <c r="C42" s="10">
        <v>583</v>
      </c>
      <c r="D42" s="10">
        <v>589</v>
      </c>
      <c r="E42" s="10">
        <v>600</v>
      </c>
      <c r="F42" s="10">
        <v>614</v>
      </c>
      <c r="G42" s="10">
        <v>720</v>
      </c>
      <c r="H42" s="10">
        <v>802</v>
      </c>
      <c r="I42" s="10">
        <v>1172</v>
      </c>
      <c r="J42" s="10">
        <v>1220</v>
      </c>
      <c r="K42" s="10">
        <v>1252</v>
      </c>
      <c r="L42" s="10">
        <v>1281</v>
      </c>
      <c r="M42" s="10">
        <v>1335</v>
      </c>
      <c r="N42" s="11"/>
    </row>
    <row r="43" spans="1:18" s="2" customFormat="1" ht="16.5" customHeight="1" thickBot="1">
      <c r="A43" s="18" t="s">
        <v>856</v>
      </c>
      <c r="B43" s="22" t="s">
        <v>16</v>
      </c>
      <c r="C43" s="10">
        <v>549</v>
      </c>
      <c r="D43" s="10">
        <v>554</v>
      </c>
      <c r="E43" s="10">
        <v>562</v>
      </c>
      <c r="F43" s="10">
        <v>576</v>
      </c>
      <c r="G43" s="10">
        <v>679</v>
      </c>
      <c r="H43" s="10">
        <v>760</v>
      </c>
      <c r="I43" s="10" t="s">
        <v>20</v>
      </c>
    </row>
    <row r="44" spans="1:18" s="2" customFormat="1" ht="16.5" customHeight="1" thickBot="1">
      <c r="A44" s="18" t="s">
        <v>855</v>
      </c>
      <c r="B44" s="76" t="s">
        <v>31</v>
      </c>
      <c r="C44" s="10">
        <v>388</v>
      </c>
      <c r="D44" s="10">
        <v>390</v>
      </c>
      <c r="E44" s="10">
        <v>437</v>
      </c>
      <c r="F44" s="10">
        <v>453</v>
      </c>
      <c r="G44" s="10">
        <v>475</v>
      </c>
      <c r="H44" s="10" t="s">
        <v>20</v>
      </c>
      <c r="M44" s="14"/>
    </row>
    <row r="45" spans="1:18" s="2" customFormat="1" ht="16.5" customHeight="1" thickBot="1">
      <c r="A45" s="18" t="s">
        <v>852</v>
      </c>
      <c r="B45" s="22" t="s">
        <v>16</v>
      </c>
      <c r="C45" s="10">
        <v>385</v>
      </c>
      <c r="D45" s="10">
        <v>402</v>
      </c>
      <c r="E45" s="10">
        <v>425</v>
      </c>
      <c r="F45" s="10">
        <v>442</v>
      </c>
      <c r="G45" s="10" t="s">
        <v>20</v>
      </c>
    </row>
    <row r="46" spans="1:18" s="2" customFormat="1" ht="16.5" customHeight="1" thickBot="1">
      <c r="A46" s="18" t="s">
        <v>672</v>
      </c>
      <c r="B46" s="23" t="s">
        <v>14</v>
      </c>
      <c r="C46" s="10">
        <v>310</v>
      </c>
      <c r="D46" s="10">
        <v>315</v>
      </c>
      <c r="E46" s="10">
        <v>335</v>
      </c>
      <c r="F46" s="10" t="s">
        <v>20</v>
      </c>
      <c r="M46" s="14"/>
    </row>
    <row r="47" spans="1:18" s="2" customFormat="1" ht="16.5" customHeight="1" thickBot="1">
      <c r="A47" s="18" t="s">
        <v>854</v>
      </c>
      <c r="B47" s="47" t="s">
        <v>753</v>
      </c>
      <c r="C47" s="10">
        <v>228</v>
      </c>
      <c r="D47" s="10">
        <v>232</v>
      </c>
      <c r="E47" s="10" t="s">
        <v>20</v>
      </c>
    </row>
    <row r="48" spans="1:18" s="2" customFormat="1" ht="11.25" customHeight="1">
      <c r="A48" s="29"/>
      <c r="B48" s="30"/>
      <c r="C48" s="45"/>
      <c r="D48" s="45"/>
      <c r="E48" s="45"/>
      <c r="F48" s="17"/>
      <c r="G48" s="17"/>
      <c r="H48" s="17"/>
      <c r="I48" s="17"/>
      <c r="J48" s="17"/>
      <c r="K48" s="17"/>
      <c r="L48" s="17"/>
      <c r="M48" s="17"/>
      <c r="N48" s="44"/>
    </row>
    <row r="49" spans="1:15" s="2" customFormat="1" ht="17.45" customHeight="1">
      <c r="A49" s="1" t="s">
        <v>813</v>
      </c>
    </row>
    <row r="50" spans="1:15" s="2" customFormat="1" ht="10.5" customHeight="1" thickBot="1">
      <c r="A50" s="1"/>
    </row>
    <row r="51" spans="1:15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5">
        <v>8</v>
      </c>
      <c r="K51" s="6"/>
      <c r="L51" s="13" t="s">
        <v>9</v>
      </c>
      <c r="M51" s="14">
        <f>(7862/16535)</f>
        <v>0.47547626247354097</v>
      </c>
    </row>
    <row r="52" spans="1:15" s="2" customFormat="1" ht="16.5" customHeight="1" thickBot="1">
      <c r="A52" s="7" t="s">
        <v>818</v>
      </c>
      <c r="B52" s="12" t="s">
        <v>5</v>
      </c>
      <c r="C52" s="9">
        <v>1957</v>
      </c>
      <c r="D52" s="10"/>
      <c r="E52" s="10"/>
      <c r="F52" s="9"/>
      <c r="G52" s="10"/>
      <c r="H52" s="9"/>
      <c r="I52" s="10"/>
      <c r="J52" s="10"/>
      <c r="K52" s="11" t="s">
        <v>4</v>
      </c>
      <c r="M52" s="13" t="s">
        <v>11</v>
      </c>
      <c r="N52" s="13" t="s">
        <v>12</v>
      </c>
      <c r="O52" s="13" t="s">
        <v>13</v>
      </c>
    </row>
    <row r="53" spans="1:15" s="2" customFormat="1" ht="16.5" customHeight="1" thickBot="1">
      <c r="A53" s="7" t="s">
        <v>633</v>
      </c>
      <c r="B53" s="8" t="s">
        <v>3</v>
      </c>
      <c r="C53" s="9">
        <v>1611</v>
      </c>
      <c r="D53" s="10"/>
      <c r="E53" s="10"/>
      <c r="F53" s="10"/>
      <c r="G53" s="10"/>
      <c r="H53" s="10"/>
      <c r="I53" s="9"/>
      <c r="J53" s="9"/>
      <c r="K53" s="11" t="s">
        <v>8</v>
      </c>
      <c r="L53" s="16" t="s">
        <v>5</v>
      </c>
      <c r="M53" s="17">
        <f>(C52+C55+C56)</f>
        <v>3366</v>
      </c>
      <c r="N53" s="14">
        <f>SUM(M53/M58)</f>
        <v>0.43065506653019447</v>
      </c>
      <c r="O53" s="2">
        <v>2</v>
      </c>
    </row>
    <row r="54" spans="1:15" s="2" customFormat="1" ht="16.5" customHeight="1" thickBot="1">
      <c r="A54" s="7" t="s">
        <v>815</v>
      </c>
      <c r="B54" s="8" t="s">
        <v>3</v>
      </c>
      <c r="C54" s="10">
        <v>867</v>
      </c>
      <c r="D54" s="10">
        <v>899</v>
      </c>
      <c r="E54" s="10">
        <v>920</v>
      </c>
      <c r="F54" s="10">
        <v>1038</v>
      </c>
      <c r="G54" s="10">
        <v>1133</v>
      </c>
      <c r="H54" s="9">
        <v>1759</v>
      </c>
      <c r="I54" s="9"/>
      <c r="J54" s="9"/>
      <c r="K54" s="11" t="s">
        <v>7</v>
      </c>
      <c r="L54" s="20" t="s">
        <v>3</v>
      </c>
      <c r="M54" s="17">
        <f>(C53+C54+C58)</f>
        <v>2984</v>
      </c>
      <c r="N54" s="14">
        <f>SUM(M54/M58)</f>
        <v>0.38178096212896623</v>
      </c>
      <c r="O54" s="2">
        <v>2</v>
      </c>
    </row>
    <row r="55" spans="1:15" s="2" customFormat="1" ht="16.5" customHeight="1" thickBot="1">
      <c r="A55" s="7" t="s">
        <v>814</v>
      </c>
      <c r="B55" s="12" t="s">
        <v>5</v>
      </c>
      <c r="C55" s="10">
        <v>741</v>
      </c>
      <c r="D55" s="10">
        <v>964</v>
      </c>
      <c r="E55" s="10">
        <v>965</v>
      </c>
      <c r="F55" s="10">
        <v>1002</v>
      </c>
      <c r="G55" s="10">
        <v>1041</v>
      </c>
      <c r="H55" s="10">
        <v>1060</v>
      </c>
      <c r="I55" s="10">
        <v>1108</v>
      </c>
      <c r="J55" s="9">
        <v>1756</v>
      </c>
      <c r="K55" s="11" t="s">
        <v>6</v>
      </c>
      <c r="L55" s="21" t="s">
        <v>16</v>
      </c>
      <c r="M55" s="17">
        <v>460</v>
      </c>
      <c r="N55" s="14">
        <f>SUM(M55/M58)</f>
        <v>5.8853633572159669E-2</v>
      </c>
    </row>
    <row r="56" spans="1:15" s="2" customFormat="1" ht="16.5" customHeight="1" thickBot="1">
      <c r="A56" s="18" t="s">
        <v>816</v>
      </c>
      <c r="B56" s="19" t="s">
        <v>5</v>
      </c>
      <c r="C56" s="10">
        <v>668</v>
      </c>
      <c r="D56" s="10">
        <v>756</v>
      </c>
      <c r="E56" s="10">
        <v>757</v>
      </c>
      <c r="F56" s="10">
        <v>780</v>
      </c>
      <c r="G56" s="10">
        <v>819</v>
      </c>
      <c r="H56" s="10">
        <v>833</v>
      </c>
      <c r="I56" s="10">
        <v>858</v>
      </c>
      <c r="J56" s="10" t="s">
        <v>20</v>
      </c>
      <c r="L56" s="48" t="s">
        <v>753</v>
      </c>
      <c r="M56" s="17">
        <v>465</v>
      </c>
      <c r="N56" s="14">
        <f>SUM(M56/M58)</f>
        <v>5.9493346980552711E-2</v>
      </c>
    </row>
    <row r="57" spans="1:15" s="2" customFormat="1" ht="16.5" customHeight="1" thickBot="1">
      <c r="A57" s="18" t="s">
        <v>819</v>
      </c>
      <c r="B57" s="23" t="s">
        <v>14</v>
      </c>
      <c r="C57" s="10">
        <v>541</v>
      </c>
      <c r="D57" s="10">
        <v>557</v>
      </c>
      <c r="E57" s="10">
        <v>559</v>
      </c>
      <c r="F57" s="10">
        <v>641</v>
      </c>
      <c r="G57" s="10">
        <v>873</v>
      </c>
      <c r="H57" s="10">
        <v>915</v>
      </c>
      <c r="I57" s="10">
        <v>1037</v>
      </c>
      <c r="J57" s="10">
        <v>1150</v>
      </c>
      <c r="K57" s="11"/>
      <c r="L57" s="13" t="s">
        <v>17</v>
      </c>
      <c r="M57" s="17">
        <v>541</v>
      </c>
      <c r="N57" s="14">
        <f>SUM(M57/M58)</f>
        <v>6.9216990788126917E-2</v>
      </c>
    </row>
    <row r="58" spans="1:15" s="2" customFormat="1" ht="16.5" customHeight="1" thickBot="1">
      <c r="A58" s="18" t="s">
        <v>820</v>
      </c>
      <c r="B58" s="28" t="s">
        <v>3</v>
      </c>
      <c r="C58" s="10">
        <v>506</v>
      </c>
      <c r="D58" s="10">
        <v>519</v>
      </c>
      <c r="E58" s="10">
        <v>536</v>
      </c>
      <c r="F58" s="10">
        <v>619</v>
      </c>
      <c r="G58" s="10">
        <v>725</v>
      </c>
      <c r="H58" s="10" t="s">
        <v>20</v>
      </c>
      <c r="M58" s="24">
        <v>7816</v>
      </c>
    </row>
    <row r="59" spans="1:15" s="2" customFormat="1" ht="16.5" customHeight="1" thickBot="1">
      <c r="A59" s="18" t="s">
        <v>817</v>
      </c>
      <c r="B59" s="47" t="s">
        <v>753</v>
      </c>
      <c r="C59" s="10">
        <v>465</v>
      </c>
      <c r="D59" s="10">
        <v>475</v>
      </c>
      <c r="E59" s="10">
        <v>476</v>
      </c>
      <c r="F59" s="10">
        <v>582</v>
      </c>
      <c r="G59" s="10" t="s">
        <v>20</v>
      </c>
    </row>
    <row r="60" spans="1:15" s="2" customFormat="1" ht="16.5" customHeight="1" thickBot="1">
      <c r="A60" s="18" t="s">
        <v>821</v>
      </c>
      <c r="B60" s="22" t="s">
        <v>16</v>
      </c>
      <c r="C60" s="10">
        <v>460</v>
      </c>
      <c r="D60" s="10">
        <v>471</v>
      </c>
      <c r="E60" s="10">
        <v>475</v>
      </c>
      <c r="F60" s="10" t="s">
        <v>20</v>
      </c>
      <c r="H60" s="17"/>
    </row>
    <row r="61" spans="1:15" s="2" customFormat="1" ht="11.25" customHeight="1">
      <c r="A61" s="29"/>
      <c r="B61" s="30"/>
      <c r="C61" s="45"/>
      <c r="D61" s="45"/>
      <c r="E61" s="45"/>
      <c r="F61" s="17"/>
      <c r="G61" s="17"/>
      <c r="H61" s="17"/>
      <c r="I61" s="17"/>
      <c r="J61" s="17"/>
      <c r="K61" s="17"/>
      <c r="L61" s="17"/>
      <c r="M61" s="17"/>
      <c r="N61" s="44"/>
    </row>
    <row r="62" spans="1:15" s="2" customFormat="1" ht="17.45" customHeight="1">
      <c r="A62" s="1" t="s">
        <v>803</v>
      </c>
    </row>
    <row r="63" spans="1:15" s="2" customFormat="1" ht="10.5" customHeight="1" thickBot="1">
      <c r="A63" s="1"/>
    </row>
    <row r="64" spans="1:15" s="2" customFormat="1" ht="16.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5">
        <v>6</v>
      </c>
      <c r="I64" s="5">
        <v>7</v>
      </c>
      <c r="J64" s="6"/>
      <c r="K64" s="13" t="s">
        <v>9</v>
      </c>
      <c r="L64" s="14">
        <f>(6797/14967)</f>
        <v>0.45413242466760206</v>
      </c>
    </row>
    <row r="65" spans="1:19" s="2" customFormat="1" ht="16.5" customHeight="1" thickBot="1">
      <c r="A65" s="7" t="s">
        <v>806</v>
      </c>
      <c r="B65" s="12" t="s">
        <v>5</v>
      </c>
      <c r="C65" s="9">
        <v>2183</v>
      </c>
      <c r="D65" s="10"/>
      <c r="E65" s="9"/>
      <c r="F65" s="10"/>
      <c r="G65" s="10"/>
      <c r="H65" s="9"/>
      <c r="I65" s="10"/>
      <c r="J65" s="11" t="s">
        <v>4</v>
      </c>
      <c r="L65" s="13" t="s">
        <v>11</v>
      </c>
      <c r="M65" s="13" t="s">
        <v>12</v>
      </c>
      <c r="N65" s="13" t="s">
        <v>13</v>
      </c>
    </row>
    <row r="66" spans="1:19" s="2" customFormat="1" ht="16.5" customHeight="1" thickBot="1">
      <c r="A66" s="7" t="s">
        <v>644</v>
      </c>
      <c r="B66" s="8" t="s">
        <v>3</v>
      </c>
      <c r="C66" s="10">
        <v>768</v>
      </c>
      <c r="D66" s="10">
        <v>822</v>
      </c>
      <c r="E66" s="10">
        <v>862</v>
      </c>
      <c r="F66" s="10">
        <v>880</v>
      </c>
      <c r="G66" s="10">
        <v>993</v>
      </c>
      <c r="H66" s="10">
        <v>1030</v>
      </c>
      <c r="I66" s="9">
        <v>1465</v>
      </c>
      <c r="J66" s="11" t="s">
        <v>8</v>
      </c>
      <c r="K66" s="16" t="s">
        <v>5</v>
      </c>
      <c r="L66" s="17">
        <f>(C65+C71+C73)</f>
        <v>2853</v>
      </c>
      <c r="M66" s="14">
        <f>SUM(L66/L73)</f>
        <v>0.42550335570469799</v>
      </c>
      <c r="N66" s="2">
        <v>2</v>
      </c>
    </row>
    <row r="67" spans="1:19" s="2" customFormat="1" ht="16.5" customHeight="1" thickBot="1">
      <c r="A67" s="7" t="s">
        <v>804</v>
      </c>
      <c r="B67" s="85" t="s">
        <v>31</v>
      </c>
      <c r="C67" s="10">
        <v>742</v>
      </c>
      <c r="D67" s="10">
        <v>782</v>
      </c>
      <c r="E67" s="10">
        <v>852</v>
      </c>
      <c r="F67" s="10">
        <v>864</v>
      </c>
      <c r="G67" s="10">
        <v>994</v>
      </c>
      <c r="H67" s="10">
        <v>1190</v>
      </c>
      <c r="I67" s="9">
        <v>1262</v>
      </c>
      <c r="J67" s="11" t="s">
        <v>6</v>
      </c>
      <c r="K67" s="20" t="s">
        <v>3</v>
      </c>
      <c r="L67" s="17">
        <f>(C66+C69)</f>
        <v>1284</v>
      </c>
      <c r="M67" s="14">
        <f>SUM(L67/L73)</f>
        <v>0.19149888143176733</v>
      </c>
      <c r="N67" s="2">
        <v>1</v>
      </c>
    </row>
    <row r="68" spans="1:19" s="2" customFormat="1" ht="16.5" customHeight="1" thickBot="1">
      <c r="A68" s="18" t="s">
        <v>805</v>
      </c>
      <c r="B68" s="23" t="s">
        <v>14</v>
      </c>
      <c r="C68" s="10">
        <v>588</v>
      </c>
      <c r="D68" s="10">
        <v>726</v>
      </c>
      <c r="E68" s="10">
        <v>781</v>
      </c>
      <c r="F68" s="10">
        <v>793</v>
      </c>
      <c r="G68" s="10">
        <v>851</v>
      </c>
      <c r="H68" s="10">
        <v>917</v>
      </c>
      <c r="I68" s="10">
        <v>952</v>
      </c>
      <c r="J68" s="11"/>
      <c r="K68" s="21" t="s">
        <v>16</v>
      </c>
      <c r="L68" s="17">
        <v>429</v>
      </c>
      <c r="M68" s="14">
        <f>SUM(L68/L73)</f>
        <v>6.3982102908277411E-2</v>
      </c>
    </row>
    <row r="69" spans="1:19" s="2" customFormat="1" ht="16.5" customHeight="1" thickBot="1">
      <c r="A69" s="18" t="s">
        <v>811</v>
      </c>
      <c r="B69" s="28" t="s">
        <v>3</v>
      </c>
      <c r="C69" s="10">
        <v>516</v>
      </c>
      <c r="D69" s="10">
        <v>543</v>
      </c>
      <c r="E69" s="10">
        <v>558</v>
      </c>
      <c r="F69" s="10">
        <v>564</v>
      </c>
      <c r="G69" s="10">
        <v>654</v>
      </c>
      <c r="H69" s="10">
        <v>669</v>
      </c>
      <c r="I69" s="10" t="s">
        <v>20</v>
      </c>
      <c r="K69" s="26" t="s">
        <v>18</v>
      </c>
      <c r="L69" s="17">
        <v>489</v>
      </c>
      <c r="M69" s="14">
        <f>SUM(L69/L73)</f>
        <v>7.2930648769574946E-2</v>
      </c>
    </row>
    <row r="70" spans="1:19" s="2" customFormat="1" ht="16.5" customHeight="1" thickBot="1">
      <c r="A70" s="18" t="s">
        <v>812</v>
      </c>
      <c r="B70" s="27" t="s">
        <v>18</v>
      </c>
      <c r="C70" s="10">
        <v>489</v>
      </c>
      <c r="D70" s="10">
        <v>501</v>
      </c>
      <c r="E70" s="10">
        <v>527</v>
      </c>
      <c r="F70" s="10">
        <v>532</v>
      </c>
      <c r="G70" s="10">
        <v>555</v>
      </c>
      <c r="H70" s="10" t="s">
        <v>20</v>
      </c>
      <c r="K70" s="48" t="s">
        <v>753</v>
      </c>
      <c r="L70" s="17">
        <v>100</v>
      </c>
      <c r="M70" s="14">
        <f>SUM(L70/L73)</f>
        <v>1.4914243102162566E-2</v>
      </c>
    </row>
    <row r="71" spans="1:19" s="2" customFormat="1" ht="16.5" customHeight="1" thickBot="1">
      <c r="A71" s="7" t="s">
        <v>807</v>
      </c>
      <c r="B71" s="12" t="s">
        <v>5</v>
      </c>
      <c r="C71" s="10">
        <v>443</v>
      </c>
      <c r="D71" s="10">
        <v>841</v>
      </c>
      <c r="E71" s="10">
        <v>877</v>
      </c>
      <c r="F71" s="10">
        <v>1179</v>
      </c>
      <c r="G71" s="10">
        <v>1225</v>
      </c>
      <c r="H71" s="10">
        <v>1314</v>
      </c>
      <c r="I71" s="9">
        <v>1370</v>
      </c>
      <c r="J71" s="11" t="s">
        <v>7</v>
      </c>
      <c r="K71" s="83" t="s">
        <v>31</v>
      </c>
      <c r="L71" s="17">
        <v>742</v>
      </c>
      <c r="M71" s="14">
        <f>SUM(L71/L73)</f>
        <v>0.11066368381804624</v>
      </c>
      <c r="N71" s="2">
        <v>1</v>
      </c>
    </row>
    <row r="72" spans="1:19" s="2" customFormat="1" ht="16.5" customHeight="1" thickBot="1">
      <c r="A72" s="18" t="s">
        <v>981</v>
      </c>
      <c r="B72" s="22" t="s">
        <v>16</v>
      </c>
      <c r="C72" s="10">
        <v>429</v>
      </c>
      <c r="D72" s="10">
        <v>450</v>
      </c>
      <c r="E72" s="10">
        <v>494</v>
      </c>
      <c r="F72" s="10">
        <v>512</v>
      </c>
      <c r="G72" s="10" t="s">
        <v>20</v>
      </c>
      <c r="K72" s="13" t="s">
        <v>17</v>
      </c>
      <c r="L72" s="17">
        <f>(C68+C74)</f>
        <v>808</v>
      </c>
      <c r="M72" s="14">
        <f>SUM(L72/L73)</f>
        <v>0.12050708426547353</v>
      </c>
    </row>
    <row r="73" spans="1:19" s="2" customFormat="1" ht="16.5" customHeight="1" thickBot="1">
      <c r="A73" s="18" t="s">
        <v>809</v>
      </c>
      <c r="B73" s="19" t="s">
        <v>5</v>
      </c>
      <c r="C73" s="10">
        <v>227</v>
      </c>
      <c r="D73" s="10">
        <v>362</v>
      </c>
      <c r="E73" s="10">
        <v>386</v>
      </c>
      <c r="F73" s="10" t="s">
        <v>20</v>
      </c>
      <c r="L73" s="24">
        <v>6705</v>
      </c>
    </row>
    <row r="74" spans="1:19" s="2" customFormat="1" ht="16.5" customHeight="1" thickBot="1">
      <c r="A74" s="18" t="s">
        <v>808</v>
      </c>
      <c r="B74" s="23" t="s">
        <v>14</v>
      </c>
      <c r="C74" s="10">
        <v>220</v>
      </c>
      <c r="D74" s="10">
        <v>233</v>
      </c>
      <c r="E74" s="10" t="s">
        <v>20</v>
      </c>
    </row>
    <row r="75" spans="1:19" s="2" customFormat="1" ht="16.5" customHeight="1" thickBot="1">
      <c r="A75" s="18" t="s">
        <v>810</v>
      </c>
      <c r="B75" s="47" t="s">
        <v>753</v>
      </c>
      <c r="C75" s="10">
        <v>100</v>
      </c>
      <c r="D75" s="10">
        <v>103</v>
      </c>
      <c r="E75" s="10" t="s">
        <v>20</v>
      </c>
      <c r="I75" s="17"/>
      <c r="J75" s="17"/>
      <c r="K75" s="17"/>
      <c r="L75" s="17"/>
      <c r="M75" s="17"/>
    </row>
    <row r="76" spans="1:19" s="2" customFormat="1" ht="11.25" customHeight="1">
      <c r="A76" s="29"/>
      <c r="B76" s="30"/>
      <c r="C76" s="29"/>
      <c r="D76" s="29"/>
      <c r="N76" s="14"/>
    </row>
    <row r="77" spans="1:19" s="2" customFormat="1" ht="17.45" customHeight="1">
      <c r="A77" s="1" t="s">
        <v>825</v>
      </c>
    </row>
    <row r="78" spans="1:19" s="2" customFormat="1" ht="10.5" customHeight="1" thickBot="1">
      <c r="A78" s="1"/>
    </row>
    <row r="79" spans="1:19" s="2" customFormat="1" ht="16.5" customHeight="1" thickBot="1">
      <c r="A79" s="4" t="s">
        <v>0</v>
      </c>
      <c r="B79" s="5" t="s">
        <v>1</v>
      </c>
      <c r="C79" s="5" t="s">
        <v>2</v>
      </c>
      <c r="D79" s="5">
        <v>2</v>
      </c>
      <c r="E79" s="5">
        <v>3</v>
      </c>
      <c r="F79" s="5">
        <v>4</v>
      </c>
      <c r="G79" s="5">
        <v>5</v>
      </c>
      <c r="H79" s="5">
        <v>6</v>
      </c>
      <c r="I79" s="5">
        <v>7</v>
      </c>
      <c r="J79" s="5">
        <v>8</v>
      </c>
      <c r="K79" s="5">
        <v>9</v>
      </c>
      <c r="L79" s="5">
        <v>10</v>
      </c>
      <c r="M79" s="5">
        <v>11</v>
      </c>
      <c r="N79" s="5">
        <v>12</v>
      </c>
      <c r="O79" s="6"/>
      <c r="P79" s="13" t="s">
        <v>9</v>
      </c>
      <c r="Q79" s="14">
        <f>(6477/14687)</f>
        <v>0.44100224688500034</v>
      </c>
    </row>
    <row r="80" spans="1:19" s="2" customFormat="1" ht="16.5" customHeight="1" thickBot="1">
      <c r="A80" s="7" t="s">
        <v>822</v>
      </c>
      <c r="B80" s="12" t="s">
        <v>5</v>
      </c>
      <c r="C80" s="10">
        <v>1146</v>
      </c>
      <c r="D80" s="10">
        <v>1150</v>
      </c>
      <c r="E80" s="10">
        <v>1160</v>
      </c>
      <c r="F80" s="10">
        <v>1179</v>
      </c>
      <c r="G80" s="10">
        <v>1199</v>
      </c>
      <c r="H80" s="10">
        <v>1231</v>
      </c>
      <c r="I80" s="10">
        <v>1278</v>
      </c>
      <c r="J80" s="10">
        <v>1308</v>
      </c>
      <c r="K80" s="10">
        <v>1383</v>
      </c>
      <c r="L80" s="9">
        <v>1781</v>
      </c>
      <c r="M80" s="10"/>
      <c r="N80" s="10"/>
      <c r="O80" s="11" t="s">
        <v>4</v>
      </c>
      <c r="Q80" s="13" t="s">
        <v>11</v>
      </c>
      <c r="R80" s="13" t="s">
        <v>12</v>
      </c>
      <c r="S80" s="13" t="s">
        <v>13</v>
      </c>
    </row>
    <row r="81" spans="1:19" s="2" customFormat="1" ht="16.5" customHeight="1" thickBot="1">
      <c r="A81" s="7" t="s">
        <v>824</v>
      </c>
      <c r="B81" s="12" t="s">
        <v>5</v>
      </c>
      <c r="C81" s="10">
        <v>848</v>
      </c>
      <c r="D81" s="10">
        <v>851</v>
      </c>
      <c r="E81" s="10">
        <v>863</v>
      </c>
      <c r="F81" s="10">
        <v>890</v>
      </c>
      <c r="G81" s="10">
        <v>899</v>
      </c>
      <c r="H81" s="10">
        <v>913</v>
      </c>
      <c r="I81" s="10">
        <v>951</v>
      </c>
      <c r="J81" s="10">
        <v>1016</v>
      </c>
      <c r="K81" s="10">
        <v>1263</v>
      </c>
      <c r="L81" s="9">
        <v>1633</v>
      </c>
      <c r="M81" s="10"/>
      <c r="N81" s="9"/>
      <c r="O81" s="11" t="s">
        <v>8</v>
      </c>
      <c r="P81" s="16" t="s">
        <v>5</v>
      </c>
      <c r="Q81" s="17">
        <f>(C80+C81+C82)</f>
        <v>2776</v>
      </c>
      <c r="R81" s="14">
        <f>SUM(Q81/Q88)</f>
        <v>0.43456480901690669</v>
      </c>
      <c r="S81" s="2">
        <v>2</v>
      </c>
    </row>
    <row r="82" spans="1:19" s="2" customFormat="1" ht="16.5" customHeight="1" thickBot="1">
      <c r="A82" s="18" t="s">
        <v>832</v>
      </c>
      <c r="B82" s="19" t="s">
        <v>5</v>
      </c>
      <c r="C82" s="10">
        <v>782</v>
      </c>
      <c r="D82" s="10">
        <v>785</v>
      </c>
      <c r="E82" s="10">
        <v>791</v>
      </c>
      <c r="F82" s="10">
        <v>803</v>
      </c>
      <c r="G82" s="10">
        <v>824</v>
      </c>
      <c r="H82" s="10">
        <v>881</v>
      </c>
      <c r="I82" s="10">
        <v>893</v>
      </c>
      <c r="J82" s="10">
        <v>923</v>
      </c>
      <c r="K82" s="10">
        <v>978</v>
      </c>
      <c r="L82" s="9" t="s">
        <v>20</v>
      </c>
      <c r="P82" s="20" t="s">
        <v>3</v>
      </c>
      <c r="Q82" s="17">
        <f>(C84+C85+C87)</f>
        <v>1434</v>
      </c>
      <c r="R82" s="14">
        <f>SUM(Q82/Q88)</f>
        <v>0.22448340638697559</v>
      </c>
      <c r="S82" s="2">
        <v>1</v>
      </c>
    </row>
    <row r="83" spans="1:19" s="2" customFormat="1" ht="16.5" customHeight="1" thickBot="1">
      <c r="A83" s="18" t="s">
        <v>830</v>
      </c>
      <c r="B83" s="27" t="s">
        <v>18</v>
      </c>
      <c r="C83" s="10">
        <v>608</v>
      </c>
      <c r="D83" s="10">
        <v>615</v>
      </c>
      <c r="E83" s="10">
        <v>620</v>
      </c>
      <c r="F83" s="10">
        <v>650</v>
      </c>
      <c r="G83" s="10">
        <v>656</v>
      </c>
      <c r="H83" s="10">
        <v>668</v>
      </c>
      <c r="I83" s="10">
        <v>698</v>
      </c>
      <c r="J83" s="10">
        <v>870</v>
      </c>
      <c r="K83" s="10" t="s">
        <v>20</v>
      </c>
      <c r="P83" s="21" t="s">
        <v>16</v>
      </c>
      <c r="Q83" s="17">
        <f>(C90+C91)</f>
        <v>444</v>
      </c>
      <c r="R83" s="14">
        <f>SUM(Q83/Q88)</f>
        <v>6.9505322479649342E-2</v>
      </c>
    </row>
    <row r="84" spans="1:19" s="2" customFormat="1" ht="16.5" customHeight="1" thickBot="1">
      <c r="A84" s="7" t="s">
        <v>823</v>
      </c>
      <c r="B84" s="8" t="s">
        <v>3</v>
      </c>
      <c r="C84" s="10">
        <v>582</v>
      </c>
      <c r="D84" s="10">
        <v>593</v>
      </c>
      <c r="E84" s="10">
        <v>608</v>
      </c>
      <c r="F84" s="10">
        <v>624</v>
      </c>
      <c r="G84" s="10">
        <v>741</v>
      </c>
      <c r="H84" s="10">
        <v>837</v>
      </c>
      <c r="I84" s="10">
        <v>904</v>
      </c>
      <c r="J84" s="10">
        <v>947</v>
      </c>
      <c r="K84" s="10">
        <v>990</v>
      </c>
      <c r="L84" s="10">
        <v>1082</v>
      </c>
      <c r="M84" s="10">
        <v>1162</v>
      </c>
      <c r="N84" s="9">
        <v>1184</v>
      </c>
      <c r="O84" s="11" t="s">
        <v>7</v>
      </c>
      <c r="P84" s="26" t="s">
        <v>18</v>
      </c>
      <c r="Q84" s="17">
        <v>608</v>
      </c>
      <c r="R84" s="14">
        <f>SUM(Q84/Q88)</f>
        <v>9.517845961177207E-2</v>
      </c>
    </row>
    <row r="85" spans="1:19" s="2" customFormat="1" ht="16.5" customHeight="1" thickBot="1">
      <c r="A85" s="18" t="s">
        <v>833</v>
      </c>
      <c r="B85" s="28" t="s">
        <v>3</v>
      </c>
      <c r="C85" s="10">
        <v>504</v>
      </c>
      <c r="D85" s="10">
        <v>511</v>
      </c>
      <c r="E85" s="10">
        <v>525</v>
      </c>
      <c r="F85" s="10">
        <v>556</v>
      </c>
      <c r="G85" s="10">
        <v>714</v>
      </c>
      <c r="H85" s="10">
        <v>783</v>
      </c>
      <c r="I85" s="10">
        <v>895</v>
      </c>
      <c r="J85" s="10">
        <v>980</v>
      </c>
      <c r="K85" s="10">
        <v>1070</v>
      </c>
      <c r="L85" s="10">
        <v>1112</v>
      </c>
      <c r="M85" s="10">
        <v>1144</v>
      </c>
      <c r="N85" s="10">
        <v>1157</v>
      </c>
      <c r="O85" s="11"/>
      <c r="P85" s="48" t="s">
        <v>753</v>
      </c>
      <c r="Q85" s="17">
        <v>131</v>
      </c>
      <c r="R85" s="14">
        <f>SUM(Q85/Q88)</f>
        <v>2.0507201001878521E-2</v>
      </c>
    </row>
    <row r="86" spans="1:19" s="2" customFormat="1" ht="16.5" customHeight="1" thickBot="1">
      <c r="A86" s="18" t="s">
        <v>827</v>
      </c>
      <c r="B86" s="76" t="s">
        <v>31</v>
      </c>
      <c r="C86" s="10">
        <v>381</v>
      </c>
      <c r="D86" s="10">
        <v>401</v>
      </c>
      <c r="E86" s="10">
        <v>414</v>
      </c>
      <c r="F86" s="10">
        <v>494</v>
      </c>
      <c r="G86" s="10">
        <v>501</v>
      </c>
      <c r="H86" s="10">
        <v>560</v>
      </c>
      <c r="I86" s="10">
        <v>632</v>
      </c>
      <c r="J86" s="10" t="s">
        <v>20</v>
      </c>
      <c r="P86" s="83" t="s">
        <v>31</v>
      </c>
      <c r="Q86" s="17">
        <v>381</v>
      </c>
      <c r="R86" s="14">
        <f>SUM(Q86/Q88)</f>
        <v>5.9643080776455852E-2</v>
      </c>
    </row>
    <row r="87" spans="1:19" s="2" customFormat="1" ht="16.5" customHeight="1" thickBot="1">
      <c r="A87" s="18" t="s">
        <v>834</v>
      </c>
      <c r="B87" s="28" t="s">
        <v>3</v>
      </c>
      <c r="C87" s="10">
        <v>348</v>
      </c>
      <c r="D87" s="10">
        <v>361</v>
      </c>
      <c r="E87" s="10">
        <v>370</v>
      </c>
      <c r="F87" s="10">
        <v>382</v>
      </c>
      <c r="G87" s="10" t="s">
        <v>20</v>
      </c>
      <c r="P87" s="13" t="s">
        <v>17</v>
      </c>
      <c r="Q87" s="17">
        <f>(C89+C88)</f>
        <v>614</v>
      </c>
      <c r="R87" s="14">
        <f>SUM(Q87/Q88)</f>
        <v>9.6117720726361933E-2</v>
      </c>
    </row>
    <row r="88" spans="1:19" s="2" customFormat="1" ht="16.5" customHeight="1" thickBot="1">
      <c r="A88" s="18" t="s">
        <v>319</v>
      </c>
      <c r="B88" s="89" t="s">
        <v>826</v>
      </c>
      <c r="C88" s="10">
        <v>308</v>
      </c>
      <c r="D88" s="10">
        <v>323</v>
      </c>
      <c r="E88" s="10">
        <v>331</v>
      </c>
      <c r="F88" s="10" t="s">
        <v>20</v>
      </c>
      <c r="K88" s="17"/>
      <c r="M88" s="17"/>
      <c r="Q88" s="24">
        <v>6388</v>
      </c>
    </row>
    <row r="89" spans="1:19" s="2" customFormat="1" ht="16.5" customHeight="1" thickBot="1">
      <c r="A89" s="18" t="s">
        <v>835</v>
      </c>
      <c r="B89" s="23" t="s">
        <v>14</v>
      </c>
      <c r="C89" s="10">
        <v>306</v>
      </c>
      <c r="D89" s="10">
        <v>329</v>
      </c>
      <c r="E89" s="10">
        <v>337</v>
      </c>
      <c r="F89" s="10">
        <v>395</v>
      </c>
      <c r="G89" s="10">
        <v>411</v>
      </c>
      <c r="H89" s="10">
        <v>437</v>
      </c>
      <c r="I89" s="10" t="s">
        <v>20</v>
      </c>
    </row>
    <row r="90" spans="1:19" s="2" customFormat="1" ht="16.5" customHeight="1" thickBot="1">
      <c r="A90" s="18" t="s">
        <v>828</v>
      </c>
      <c r="B90" s="22" t="s">
        <v>16</v>
      </c>
      <c r="C90" s="10">
        <v>255</v>
      </c>
      <c r="D90" s="10">
        <v>262</v>
      </c>
      <c r="E90" s="10">
        <v>362</v>
      </c>
      <c r="F90" s="10">
        <v>390</v>
      </c>
      <c r="G90" s="10">
        <v>404</v>
      </c>
      <c r="H90" s="10" t="s">
        <v>20</v>
      </c>
      <c r="J90" s="17"/>
      <c r="K90" s="17"/>
      <c r="L90" s="17"/>
      <c r="M90" s="17"/>
      <c r="N90" s="17"/>
    </row>
    <row r="91" spans="1:19" s="2" customFormat="1" ht="16.5" customHeight="1" thickBot="1">
      <c r="A91" s="18" t="s">
        <v>829</v>
      </c>
      <c r="B91" s="22" t="s">
        <v>16</v>
      </c>
      <c r="C91" s="10">
        <v>189</v>
      </c>
      <c r="D91" s="10">
        <v>202</v>
      </c>
      <c r="E91" s="10" t="s">
        <v>20</v>
      </c>
      <c r="J91" s="17"/>
      <c r="K91" s="17"/>
      <c r="L91" s="17"/>
      <c r="M91" s="17"/>
      <c r="N91" s="17"/>
    </row>
    <row r="92" spans="1:19" s="2" customFormat="1" ht="16.5" customHeight="1" thickBot="1">
      <c r="A92" s="18" t="s">
        <v>831</v>
      </c>
      <c r="B92" s="47" t="s">
        <v>753</v>
      </c>
      <c r="C92" s="10">
        <v>131</v>
      </c>
      <c r="D92" s="10" t="s">
        <v>20</v>
      </c>
      <c r="I92" s="17"/>
      <c r="J92" s="17"/>
      <c r="K92" s="17"/>
      <c r="L92" s="17"/>
      <c r="M92" s="17"/>
      <c r="N92" s="17"/>
    </row>
    <row r="93" spans="1:19" s="2" customFormat="1" ht="11.25" customHeight="1">
      <c r="A93" s="29"/>
      <c r="B93" s="30"/>
      <c r="C93" s="45"/>
      <c r="D93" s="29"/>
      <c r="E93" s="29"/>
      <c r="N93" s="14"/>
    </row>
    <row r="94" spans="1:19" s="2" customFormat="1" ht="17.45" customHeight="1">
      <c r="A94" s="1" t="s">
        <v>836</v>
      </c>
    </row>
    <row r="95" spans="1:19" s="2" customFormat="1" ht="8.25" customHeight="1" thickBot="1">
      <c r="A95" s="1"/>
    </row>
    <row r="96" spans="1:19" s="2" customFormat="1" ht="17.45" customHeight="1" thickBot="1">
      <c r="A96" s="4" t="s">
        <v>0</v>
      </c>
      <c r="B96" s="5" t="s">
        <v>1</v>
      </c>
      <c r="C96" s="5" t="s">
        <v>2</v>
      </c>
      <c r="D96" s="5">
        <v>2</v>
      </c>
      <c r="E96" s="5">
        <v>3</v>
      </c>
      <c r="F96" s="5">
        <v>4</v>
      </c>
      <c r="G96" s="5">
        <v>5</v>
      </c>
      <c r="H96" s="5">
        <v>6</v>
      </c>
      <c r="I96" s="5">
        <v>7</v>
      </c>
      <c r="J96" s="5">
        <v>8</v>
      </c>
      <c r="K96" s="5">
        <v>9</v>
      </c>
      <c r="L96" s="5"/>
      <c r="M96" s="13" t="s">
        <v>9</v>
      </c>
      <c r="N96" s="14">
        <f>(6383/12980)</f>
        <v>0.49175654853620954</v>
      </c>
    </row>
    <row r="97" spans="1:20" s="2" customFormat="1" ht="17.45" customHeight="1" thickBot="1">
      <c r="A97" s="7" t="s">
        <v>842</v>
      </c>
      <c r="B97" s="12" t="s">
        <v>5</v>
      </c>
      <c r="C97" s="10">
        <v>1139</v>
      </c>
      <c r="D97" s="10">
        <v>1141</v>
      </c>
      <c r="E97" s="10">
        <v>1156</v>
      </c>
      <c r="F97" s="10">
        <v>1163</v>
      </c>
      <c r="G97" s="10">
        <v>1256</v>
      </c>
      <c r="H97" s="10">
        <v>1293</v>
      </c>
      <c r="I97" s="10">
        <v>1374</v>
      </c>
      <c r="J97" s="10">
        <v>1434</v>
      </c>
      <c r="K97" s="9">
        <v>1533</v>
      </c>
      <c r="L97" s="11" t="s">
        <v>7</v>
      </c>
      <c r="N97" s="13" t="s">
        <v>11</v>
      </c>
      <c r="O97" s="13" t="s">
        <v>12</v>
      </c>
      <c r="P97" s="13" t="s">
        <v>13</v>
      </c>
      <c r="Q97" s="13"/>
    </row>
    <row r="98" spans="1:20" s="2" customFormat="1" ht="17.45" customHeight="1" thickBot="1">
      <c r="A98" s="7" t="s">
        <v>619</v>
      </c>
      <c r="B98" s="43" t="s">
        <v>16</v>
      </c>
      <c r="C98" s="10">
        <v>944</v>
      </c>
      <c r="D98" s="10">
        <v>960</v>
      </c>
      <c r="E98" s="10">
        <v>996</v>
      </c>
      <c r="F98" s="10">
        <v>1030</v>
      </c>
      <c r="G98" s="10">
        <v>1054</v>
      </c>
      <c r="H98" s="10">
        <v>1348</v>
      </c>
      <c r="I98" s="9">
        <v>1726</v>
      </c>
      <c r="J98" s="10"/>
      <c r="K98" s="9"/>
      <c r="L98" s="11" t="s">
        <v>4</v>
      </c>
      <c r="M98" s="16" t="s">
        <v>5</v>
      </c>
      <c r="N98" s="17">
        <f>(C97+C101+C104)</f>
        <v>2222</v>
      </c>
      <c r="O98" s="14">
        <f>SUM(N98/N105)</f>
        <v>0.35219527658899985</v>
      </c>
      <c r="P98" s="2">
        <v>1</v>
      </c>
    </row>
    <row r="99" spans="1:20" s="2" customFormat="1" ht="17.45" customHeight="1" thickBot="1">
      <c r="A99" s="7" t="s">
        <v>472</v>
      </c>
      <c r="B99" s="85" t="s">
        <v>31</v>
      </c>
      <c r="C99" s="10">
        <v>917</v>
      </c>
      <c r="D99" s="10">
        <v>925</v>
      </c>
      <c r="E99" s="10">
        <v>991</v>
      </c>
      <c r="F99" s="10">
        <v>1003</v>
      </c>
      <c r="G99" s="10">
        <v>1039</v>
      </c>
      <c r="H99" s="10">
        <v>1065</v>
      </c>
      <c r="I99" s="10">
        <v>1087</v>
      </c>
      <c r="J99" s="10">
        <v>1135</v>
      </c>
      <c r="K99" s="9">
        <v>1547</v>
      </c>
      <c r="L99" s="11" t="s">
        <v>8</v>
      </c>
      <c r="M99" s="20" t="s">
        <v>3</v>
      </c>
      <c r="N99" s="17">
        <f>(C103+C105)</f>
        <v>677</v>
      </c>
      <c r="O99" s="14">
        <f>SUM(N99/N105)</f>
        <v>0.1073070217150103</v>
      </c>
    </row>
    <row r="100" spans="1:20" s="2" customFormat="1" ht="17.45" customHeight="1" thickBot="1">
      <c r="A100" s="18" t="s">
        <v>838</v>
      </c>
      <c r="B100" s="27" t="s">
        <v>18</v>
      </c>
      <c r="C100" s="10">
        <v>794</v>
      </c>
      <c r="D100" s="10">
        <v>796</v>
      </c>
      <c r="E100" s="10">
        <v>837</v>
      </c>
      <c r="F100" s="10">
        <v>852</v>
      </c>
      <c r="G100" s="10">
        <v>882</v>
      </c>
      <c r="H100" s="10">
        <v>922</v>
      </c>
      <c r="I100" s="10">
        <v>948</v>
      </c>
      <c r="J100" s="10">
        <v>961</v>
      </c>
      <c r="K100" s="10" t="s">
        <v>20</v>
      </c>
      <c r="M100" s="21" t="s">
        <v>16</v>
      </c>
      <c r="N100" s="17">
        <f>(C98+C102)</f>
        <v>1417</v>
      </c>
      <c r="O100" s="14">
        <f>SUM(N100/N105)</f>
        <v>0.22459977809478524</v>
      </c>
      <c r="P100" s="2">
        <v>1</v>
      </c>
    </row>
    <row r="101" spans="1:20" s="2" customFormat="1" ht="17.45" customHeight="1" thickBot="1">
      <c r="A101" s="18" t="s">
        <v>652</v>
      </c>
      <c r="B101" s="19" t="s">
        <v>5</v>
      </c>
      <c r="C101" s="10">
        <v>722</v>
      </c>
      <c r="D101" s="10">
        <v>727</v>
      </c>
      <c r="E101" s="10">
        <v>738</v>
      </c>
      <c r="F101" s="10">
        <v>746</v>
      </c>
      <c r="G101" s="10">
        <v>937</v>
      </c>
      <c r="H101" s="10">
        <v>954</v>
      </c>
      <c r="I101" s="10">
        <v>990</v>
      </c>
      <c r="J101" s="10">
        <v>1017</v>
      </c>
      <c r="K101" s="10">
        <v>1141</v>
      </c>
      <c r="L101" s="11"/>
      <c r="M101" s="26" t="s">
        <v>18</v>
      </c>
      <c r="N101" s="17">
        <v>794</v>
      </c>
      <c r="O101" s="14">
        <f>SUM(N101/N105)</f>
        <v>0.12585195752100176</v>
      </c>
    </row>
    <row r="102" spans="1:20" s="2" customFormat="1" ht="17.45" customHeight="1" thickBot="1">
      <c r="A102" s="18" t="s">
        <v>843</v>
      </c>
      <c r="B102" s="22" t="s">
        <v>16</v>
      </c>
      <c r="C102" s="10">
        <v>473</v>
      </c>
      <c r="D102" s="10">
        <v>480</v>
      </c>
      <c r="E102" s="10">
        <v>489</v>
      </c>
      <c r="F102" s="10">
        <v>492</v>
      </c>
      <c r="G102" s="10">
        <v>501</v>
      </c>
      <c r="H102" s="10" t="s">
        <v>20</v>
      </c>
      <c r="M102" s="83" t="s">
        <v>31</v>
      </c>
      <c r="N102" s="17">
        <v>917</v>
      </c>
      <c r="O102" s="14">
        <f>SUM(N102/N105)</f>
        <v>0.14534791567601837</v>
      </c>
      <c r="P102" s="2">
        <v>1</v>
      </c>
      <c r="Q102" s="14"/>
    </row>
    <row r="103" spans="1:20" s="2" customFormat="1" ht="17.45" customHeight="1" thickBot="1">
      <c r="A103" s="18" t="s">
        <v>841</v>
      </c>
      <c r="B103" s="28" t="s">
        <v>3</v>
      </c>
      <c r="C103" s="10">
        <v>439</v>
      </c>
      <c r="D103" s="10">
        <v>445</v>
      </c>
      <c r="E103" s="10">
        <v>448</v>
      </c>
      <c r="F103" s="10">
        <v>605</v>
      </c>
      <c r="G103" s="10">
        <v>610</v>
      </c>
      <c r="H103" s="10">
        <v>674</v>
      </c>
      <c r="I103" s="10" t="s">
        <v>20</v>
      </c>
      <c r="M103" s="48" t="s">
        <v>753</v>
      </c>
      <c r="N103" s="17">
        <v>57</v>
      </c>
      <c r="O103" s="14">
        <f>SUM(N103/N105)</f>
        <v>9.0347123157394193E-3</v>
      </c>
    </row>
    <row r="104" spans="1:20" s="2" customFormat="1" ht="17.45" customHeight="1" thickBot="1">
      <c r="A104" s="18" t="s">
        <v>659</v>
      </c>
      <c r="B104" s="19" t="s">
        <v>5</v>
      </c>
      <c r="C104" s="10">
        <v>361</v>
      </c>
      <c r="D104" s="10">
        <v>364</v>
      </c>
      <c r="E104" s="10">
        <v>396</v>
      </c>
      <c r="F104" s="10">
        <v>399</v>
      </c>
      <c r="G104" s="10" t="s">
        <v>20</v>
      </c>
      <c r="M104" s="13" t="s">
        <v>17</v>
      </c>
      <c r="N104" s="17">
        <v>225</v>
      </c>
      <c r="O104" s="14">
        <f>SUM(N104/N105)</f>
        <v>3.566333808844508E-2</v>
      </c>
    </row>
    <row r="105" spans="1:20" s="2" customFormat="1" ht="17.45" customHeight="1" thickBot="1">
      <c r="A105" s="18" t="s">
        <v>839</v>
      </c>
      <c r="B105" s="28" t="s">
        <v>3</v>
      </c>
      <c r="C105" s="10">
        <v>238</v>
      </c>
      <c r="D105" s="10">
        <v>240</v>
      </c>
      <c r="E105" s="10">
        <v>242</v>
      </c>
      <c r="F105" s="10" t="s">
        <v>20</v>
      </c>
      <c r="J105" s="13"/>
      <c r="N105" s="24">
        <v>6309</v>
      </c>
    </row>
    <row r="106" spans="1:20" s="2" customFormat="1" ht="17.45" customHeight="1" thickBot="1">
      <c r="A106" s="18" t="s">
        <v>840</v>
      </c>
      <c r="B106" s="23" t="s">
        <v>14</v>
      </c>
      <c r="C106" s="10">
        <v>225</v>
      </c>
      <c r="D106" s="10">
        <v>229</v>
      </c>
      <c r="E106" s="10" t="s">
        <v>20</v>
      </c>
      <c r="K106" s="13"/>
      <c r="M106" s="14"/>
    </row>
    <row r="107" spans="1:20" s="2" customFormat="1" ht="17.45" customHeight="1" thickBot="1">
      <c r="A107" s="18" t="s">
        <v>837</v>
      </c>
      <c r="B107" s="47" t="s">
        <v>753</v>
      </c>
      <c r="C107" s="10">
        <v>57</v>
      </c>
      <c r="D107" s="10" t="s">
        <v>20</v>
      </c>
      <c r="E107" s="17"/>
      <c r="J107" s="13"/>
      <c r="L107" s="14"/>
    </row>
    <row r="109" spans="1:20" s="32" customFormat="1" ht="15" customHeight="1">
      <c r="B109" s="36" t="s">
        <v>19</v>
      </c>
      <c r="C109" s="38" t="s">
        <v>5</v>
      </c>
      <c r="D109" s="39" t="s">
        <v>3</v>
      </c>
      <c r="E109" s="40" t="s">
        <v>16</v>
      </c>
      <c r="F109" s="72" t="s">
        <v>31</v>
      </c>
      <c r="G109" s="41" t="s">
        <v>18</v>
      </c>
      <c r="H109" s="49" t="s">
        <v>753</v>
      </c>
      <c r="I109" s="36" t="s">
        <v>17</v>
      </c>
      <c r="R109" s="33"/>
      <c r="S109" s="34"/>
      <c r="T109" s="35"/>
    </row>
    <row r="110" spans="1:20" s="32" customFormat="1" ht="15" customHeight="1">
      <c r="A110" s="32" t="s">
        <v>11</v>
      </c>
      <c r="B110" s="37">
        <f>(Q88+P41+N26+L11+N105+L73+M58)</f>
        <v>53634</v>
      </c>
      <c r="C110" s="34">
        <f>(N98+Q81+P35+N20+L5+L66+M53)</f>
        <v>22582</v>
      </c>
      <c r="D110" s="34">
        <f>(N99+Q82+P36+N21+L6+L67+M54)</f>
        <v>13603</v>
      </c>
      <c r="E110" s="34">
        <f>(N100+Q83+P37+N22+L7+L68+M55)</f>
        <v>6415</v>
      </c>
      <c r="F110" s="34">
        <f>(N102+Q86+L71+P38+N24+L8)</f>
        <v>3811</v>
      </c>
      <c r="G110" s="34">
        <f>(N101+Q84+L69+N23)</f>
        <v>2464</v>
      </c>
      <c r="H110" s="34">
        <f>(N103+Q85+L70+M56+P39+L9)</f>
        <v>1128</v>
      </c>
      <c r="I110" s="34">
        <f>(N104+Q87+L72+M57+P40+N25+L10)</f>
        <v>3631</v>
      </c>
      <c r="R110" s="36"/>
      <c r="S110" s="37"/>
      <c r="T110" s="35"/>
    </row>
    <row r="111" spans="1:20" s="32" customFormat="1" ht="15" customHeight="1">
      <c r="A111" s="32" t="s">
        <v>12</v>
      </c>
      <c r="B111" s="42">
        <v>1</v>
      </c>
      <c r="C111" s="35">
        <f t="shared" ref="C111:I111" si="0">SUM(C110/$B$110)</f>
        <v>0.42103889323936311</v>
      </c>
      <c r="D111" s="35">
        <f t="shared" si="0"/>
        <v>0.25362643099526422</v>
      </c>
      <c r="E111" s="35">
        <f t="shared" si="0"/>
        <v>0.11960696573069322</v>
      </c>
      <c r="F111" s="35">
        <f t="shared" si="0"/>
        <v>7.1055673639855321E-2</v>
      </c>
      <c r="G111" s="35">
        <f t="shared" si="0"/>
        <v>4.594100756982511E-2</v>
      </c>
      <c r="H111" s="35">
        <f t="shared" si="0"/>
        <v>2.1031435283588768E-2</v>
      </c>
      <c r="I111" s="35">
        <f t="shared" si="0"/>
        <v>6.7699593541410294E-2</v>
      </c>
    </row>
    <row r="112" spans="1:20" s="32" customFormat="1" ht="15" customHeight="1">
      <c r="A112" s="32" t="s">
        <v>13</v>
      </c>
      <c r="B112" s="36">
        <v>26</v>
      </c>
      <c r="C112" s="32">
        <v>13</v>
      </c>
      <c r="D112" s="32">
        <v>8</v>
      </c>
      <c r="E112" s="32">
        <v>2</v>
      </c>
      <c r="F112" s="32">
        <v>2</v>
      </c>
      <c r="G112" s="32">
        <v>0</v>
      </c>
      <c r="H112" s="32">
        <v>0</v>
      </c>
      <c r="I112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16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7" width="8.7109375" customWidth="1"/>
  </cols>
  <sheetData>
    <row r="1" spans="1:20" s="2" customFormat="1" ht="16.5" customHeight="1">
      <c r="A1" s="1" t="s">
        <v>857</v>
      </c>
    </row>
    <row r="2" spans="1:20" s="2" customFormat="1" ht="9.75" customHeight="1" thickBot="1">
      <c r="A2" s="3"/>
    </row>
    <row r="3" spans="1:20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6"/>
      <c r="Q3" s="13" t="s">
        <v>9</v>
      </c>
      <c r="R3" s="14">
        <f>(9443/20774)</f>
        <v>0.45455858284393952</v>
      </c>
    </row>
    <row r="4" spans="1:20" s="2" customFormat="1" ht="16.5" customHeight="1" thickBot="1">
      <c r="A4" s="7" t="s">
        <v>859</v>
      </c>
      <c r="B4" s="8" t="s">
        <v>3</v>
      </c>
      <c r="C4" s="10">
        <v>1226</v>
      </c>
      <c r="D4" s="10">
        <v>1245</v>
      </c>
      <c r="E4" s="10">
        <v>1269</v>
      </c>
      <c r="F4" s="10">
        <v>1276</v>
      </c>
      <c r="G4" s="10">
        <v>1293</v>
      </c>
      <c r="H4" s="10">
        <v>1383</v>
      </c>
      <c r="I4" s="10">
        <v>1435</v>
      </c>
      <c r="J4" s="9">
        <v>1791</v>
      </c>
      <c r="K4" s="10"/>
      <c r="L4" s="10"/>
      <c r="M4" s="10"/>
      <c r="N4" s="10"/>
      <c r="O4" s="10"/>
      <c r="P4" s="11" t="s">
        <v>4</v>
      </c>
      <c r="R4" s="13" t="s">
        <v>11</v>
      </c>
      <c r="S4" s="13" t="s">
        <v>12</v>
      </c>
      <c r="T4" s="13" t="s">
        <v>13</v>
      </c>
    </row>
    <row r="5" spans="1:20" s="2" customFormat="1" ht="16.5" customHeight="1" thickBot="1">
      <c r="A5" s="7" t="s">
        <v>860</v>
      </c>
      <c r="B5" s="12" t="s">
        <v>5</v>
      </c>
      <c r="C5" s="10">
        <v>1191</v>
      </c>
      <c r="D5" s="10">
        <v>1194</v>
      </c>
      <c r="E5" s="10">
        <v>1204</v>
      </c>
      <c r="F5" s="10">
        <v>1316</v>
      </c>
      <c r="G5" s="10">
        <v>1348</v>
      </c>
      <c r="H5" s="10">
        <v>1362</v>
      </c>
      <c r="I5" s="10">
        <v>1403</v>
      </c>
      <c r="J5" s="10">
        <v>1415</v>
      </c>
      <c r="K5" s="10">
        <v>1419</v>
      </c>
      <c r="L5" s="9">
        <v>1671</v>
      </c>
      <c r="M5" s="10"/>
      <c r="N5" s="10"/>
      <c r="O5" s="9"/>
      <c r="P5" s="11" t="s">
        <v>8</v>
      </c>
      <c r="Q5" s="16" t="s">
        <v>5</v>
      </c>
      <c r="R5" s="17">
        <f>(C5+C6+C9+C16)</f>
        <v>2979</v>
      </c>
      <c r="S5" s="14">
        <f>SUM(R5/R12)</f>
        <v>0.31769222565852617</v>
      </c>
      <c r="T5" s="2">
        <v>2</v>
      </c>
    </row>
    <row r="6" spans="1:20" s="2" customFormat="1" ht="16.5" customHeight="1" thickBot="1">
      <c r="A6" s="7" t="s">
        <v>861</v>
      </c>
      <c r="B6" s="12" t="s">
        <v>5</v>
      </c>
      <c r="C6" s="10">
        <v>859</v>
      </c>
      <c r="D6" s="10">
        <v>861</v>
      </c>
      <c r="E6" s="10">
        <v>864</v>
      </c>
      <c r="F6" s="10">
        <v>960</v>
      </c>
      <c r="G6" s="10">
        <v>1014</v>
      </c>
      <c r="H6" s="10">
        <v>1024</v>
      </c>
      <c r="I6" s="10">
        <v>1062</v>
      </c>
      <c r="J6" s="10">
        <v>1090</v>
      </c>
      <c r="K6" s="10">
        <v>1096</v>
      </c>
      <c r="L6" s="10">
        <v>1393</v>
      </c>
      <c r="M6" s="10">
        <v>1540</v>
      </c>
      <c r="N6" s="9">
        <v>1641</v>
      </c>
      <c r="O6" s="9"/>
      <c r="P6" s="11" t="s">
        <v>6</v>
      </c>
      <c r="Q6" s="20" t="s">
        <v>3</v>
      </c>
      <c r="R6" s="17">
        <f>(C4+C10+C12+C14)</f>
        <v>2854</v>
      </c>
      <c r="S6" s="14">
        <f>SUM(R6/R12)</f>
        <v>0.30436173616295192</v>
      </c>
      <c r="T6" s="2">
        <v>2</v>
      </c>
    </row>
    <row r="7" spans="1:20" s="2" customFormat="1" ht="16.5" customHeight="1" thickBot="1">
      <c r="A7" s="7" t="s">
        <v>858</v>
      </c>
      <c r="B7" s="85" t="s">
        <v>31</v>
      </c>
      <c r="C7" s="10">
        <v>848</v>
      </c>
      <c r="D7" s="10">
        <v>866</v>
      </c>
      <c r="E7" s="10">
        <v>899</v>
      </c>
      <c r="F7" s="10">
        <v>902</v>
      </c>
      <c r="G7" s="10">
        <v>1043</v>
      </c>
      <c r="H7" s="10">
        <v>1057</v>
      </c>
      <c r="I7" s="10">
        <v>1100</v>
      </c>
      <c r="J7" s="10">
        <v>1108</v>
      </c>
      <c r="K7" s="10">
        <v>1111</v>
      </c>
      <c r="L7" s="10">
        <v>1170</v>
      </c>
      <c r="M7" s="10">
        <v>1297</v>
      </c>
      <c r="N7" s="10">
        <v>1301</v>
      </c>
      <c r="O7" s="9">
        <v>1314</v>
      </c>
      <c r="P7" s="11" t="s">
        <v>10</v>
      </c>
      <c r="Q7" s="21" t="s">
        <v>16</v>
      </c>
      <c r="R7" s="17">
        <f>(C8+C18)</f>
        <v>928</v>
      </c>
      <c r="S7" s="14">
        <f>SUM(R7/R12)</f>
        <v>9.8965554015143439E-2</v>
      </c>
    </row>
    <row r="8" spans="1:20" s="2" customFormat="1" ht="16.5" customHeight="1" thickBot="1">
      <c r="A8" s="18" t="s">
        <v>674</v>
      </c>
      <c r="B8" s="22" t="s">
        <v>16</v>
      </c>
      <c r="C8" s="10">
        <v>763</v>
      </c>
      <c r="D8" s="10">
        <v>859</v>
      </c>
      <c r="E8" s="10">
        <v>892</v>
      </c>
      <c r="F8" s="10">
        <v>897</v>
      </c>
      <c r="G8" s="10">
        <v>935</v>
      </c>
      <c r="H8" s="10">
        <v>964</v>
      </c>
      <c r="I8" s="10">
        <v>997</v>
      </c>
      <c r="J8" s="10">
        <v>1043</v>
      </c>
      <c r="K8" s="10">
        <v>1061</v>
      </c>
      <c r="L8" s="10">
        <v>1102</v>
      </c>
      <c r="M8" s="10">
        <v>1267</v>
      </c>
      <c r="N8" s="10">
        <v>1270</v>
      </c>
      <c r="O8" s="10">
        <v>1279</v>
      </c>
      <c r="P8" s="11"/>
      <c r="Q8" s="26" t="s">
        <v>18</v>
      </c>
      <c r="R8" s="17">
        <v>454</v>
      </c>
      <c r="S8" s="14">
        <f>SUM(R8/R12)</f>
        <v>4.8416337847925775E-2</v>
      </c>
    </row>
    <row r="9" spans="1:20" s="2" customFormat="1" ht="16.5" customHeight="1" thickBot="1">
      <c r="A9" s="18" t="s">
        <v>866</v>
      </c>
      <c r="B9" s="19" t="s">
        <v>5</v>
      </c>
      <c r="C9" s="10">
        <v>607</v>
      </c>
      <c r="D9" s="10">
        <v>612</v>
      </c>
      <c r="E9" s="10">
        <v>620</v>
      </c>
      <c r="F9" s="10">
        <v>690</v>
      </c>
      <c r="G9" s="10">
        <v>713</v>
      </c>
      <c r="H9" s="10">
        <v>723</v>
      </c>
      <c r="I9" s="10">
        <v>749</v>
      </c>
      <c r="J9" s="10">
        <v>756</v>
      </c>
      <c r="K9" s="10">
        <v>758</v>
      </c>
      <c r="L9" s="10" t="s">
        <v>20</v>
      </c>
      <c r="Q9" s="48" t="s">
        <v>753</v>
      </c>
      <c r="R9" s="17">
        <v>245</v>
      </c>
      <c r="S9" s="14">
        <f>SUM(R9/R12)</f>
        <v>2.6127759411325585E-2</v>
      </c>
    </row>
    <row r="10" spans="1:20" s="2" customFormat="1" ht="16.5" customHeight="1" thickBot="1">
      <c r="A10" s="18" t="s">
        <v>863</v>
      </c>
      <c r="B10" s="28" t="s">
        <v>3</v>
      </c>
      <c r="C10" s="10">
        <v>605</v>
      </c>
      <c r="D10" s="10">
        <v>610</v>
      </c>
      <c r="E10" s="10">
        <v>618</v>
      </c>
      <c r="F10" s="10">
        <v>624</v>
      </c>
      <c r="G10" s="10">
        <v>628</v>
      </c>
      <c r="H10" s="10">
        <v>653</v>
      </c>
      <c r="I10" s="10">
        <v>727</v>
      </c>
      <c r="J10" s="10" t="s">
        <v>20</v>
      </c>
      <c r="Q10" s="83" t="s">
        <v>31</v>
      </c>
      <c r="R10" s="17">
        <v>848</v>
      </c>
      <c r="S10" s="14">
        <f>SUM(R10/R12)</f>
        <v>9.0434040737975896E-2</v>
      </c>
      <c r="T10" s="2">
        <v>1</v>
      </c>
    </row>
    <row r="11" spans="1:20" s="2" customFormat="1" ht="16.5" customHeight="1" thickBot="1">
      <c r="A11" s="18" t="s">
        <v>868</v>
      </c>
      <c r="B11" s="23" t="s">
        <v>14</v>
      </c>
      <c r="C11" s="10">
        <v>561</v>
      </c>
      <c r="D11" s="10">
        <v>567</v>
      </c>
      <c r="E11" s="10">
        <v>609</v>
      </c>
      <c r="F11" s="10">
        <v>617</v>
      </c>
      <c r="G11" s="10">
        <v>663</v>
      </c>
      <c r="H11" s="10">
        <v>671</v>
      </c>
      <c r="I11" s="10">
        <v>851</v>
      </c>
      <c r="J11" s="10">
        <v>911</v>
      </c>
      <c r="K11" s="10">
        <v>923</v>
      </c>
      <c r="L11" s="10">
        <v>954</v>
      </c>
      <c r="M11" s="10" t="s">
        <v>20</v>
      </c>
      <c r="Q11" s="13" t="s">
        <v>17</v>
      </c>
      <c r="R11" s="17">
        <f>(C11+C13+C19)</f>
        <v>1069</v>
      </c>
      <c r="S11" s="14">
        <f>SUM(R11/R12)</f>
        <v>0.11400234616615122</v>
      </c>
    </row>
    <row r="12" spans="1:20" s="2" customFormat="1" ht="16.5" customHeight="1" thickBot="1">
      <c r="A12" s="7" t="s">
        <v>524</v>
      </c>
      <c r="B12" s="8" t="s">
        <v>3</v>
      </c>
      <c r="C12" s="10">
        <v>554</v>
      </c>
      <c r="D12" s="10">
        <v>558</v>
      </c>
      <c r="E12" s="10">
        <v>580</v>
      </c>
      <c r="F12" s="10">
        <v>590</v>
      </c>
      <c r="G12" s="10">
        <v>592</v>
      </c>
      <c r="H12" s="10">
        <v>865</v>
      </c>
      <c r="I12" s="10">
        <v>937</v>
      </c>
      <c r="J12" s="10">
        <v>1123</v>
      </c>
      <c r="K12" s="10">
        <v>1306</v>
      </c>
      <c r="L12" s="10">
        <v>1332</v>
      </c>
      <c r="M12" s="9">
        <v>1566</v>
      </c>
      <c r="N12" s="10"/>
      <c r="O12" s="10"/>
      <c r="P12" s="11" t="s">
        <v>7</v>
      </c>
      <c r="Q12" s="13"/>
      <c r="R12" s="24">
        <v>9377</v>
      </c>
      <c r="S12" s="14"/>
    </row>
    <row r="13" spans="1:20" s="2" customFormat="1" ht="16.5" customHeight="1" thickBot="1">
      <c r="A13" s="18" t="s">
        <v>869</v>
      </c>
      <c r="B13" s="23" t="s">
        <v>14</v>
      </c>
      <c r="C13" s="10">
        <v>483</v>
      </c>
      <c r="D13" s="10">
        <v>497</v>
      </c>
      <c r="E13" s="10">
        <v>531</v>
      </c>
      <c r="F13" s="10">
        <v>539</v>
      </c>
      <c r="G13" s="10">
        <v>560</v>
      </c>
      <c r="H13" s="10">
        <v>585</v>
      </c>
      <c r="I13" s="10" t="s">
        <v>20</v>
      </c>
    </row>
    <row r="14" spans="1:20" s="2" customFormat="1" ht="16.5" customHeight="1" thickBot="1">
      <c r="A14" s="18" t="s">
        <v>862</v>
      </c>
      <c r="B14" s="28" t="s">
        <v>3</v>
      </c>
      <c r="C14" s="10">
        <v>469</v>
      </c>
      <c r="D14" s="10">
        <v>479</v>
      </c>
      <c r="E14" s="10">
        <v>491</v>
      </c>
      <c r="F14" s="10">
        <v>492</v>
      </c>
      <c r="G14" s="10">
        <v>501</v>
      </c>
      <c r="H14" s="10" t="s">
        <v>20</v>
      </c>
      <c r="M14" s="17"/>
      <c r="N14" s="14"/>
    </row>
    <row r="15" spans="1:20" s="2" customFormat="1" ht="16.5" customHeight="1" thickBot="1">
      <c r="A15" s="18" t="s">
        <v>867</v>
      </c>
      <c r="B15" s="27" t="s">
        <v>18</v>
      </c>
      <c r="C15" s="10">
        <v>454</v>
      </c>
      <c r="D15" s="10">
        <v>456</v>
      </c>
      <c r="E15" s="10">
        <v>461</v>
      </c>
      <c r="F15" s="10">
        <v>465</v>
      </c>
      <c r="G15" s="10" t="s">
        <v>20</v>
      </c>
      <c r="M15" s="24"/>
    </row>
    <row r="16" spans="1:20" s="2" customFormat="1" ht="16.5" customHeight="1" thickBot="1">
      <c r="A16" s="18" t="s">
        <v>865</v>
      </c>
      <c r="B16" s="19" t="s">
        <v>5</v>
      </c>
      <c r="C16" s="10">
        <v>322</v>
      </c>
      <c r="D16" s="10">
        <v>324</v>
      </c>
      <c r="E16" s="10">
        <v>331</v>
      </c>
      <c r="F16" s="10" t="s">
        <v>20</v>
      </c>
    </row>
    <row r="17" spans="1:14" s="2" customFormat="1" ht="16.5" customHeight="1" thickBot="1">
      <c r="A17" s="18" t="s">
        <v>864</v>
      </c>
      <c r="B17" s="47" t="s">
        <v>753</v>
      </c>
      <c r="C17" s="10">
        <v>245</v>
      </c>
      <c r="D17" s="10">
        <v>248</v>
      </c>
      <c r="E17" s="10" t="s">
        <v>20</v>
      </c>
      <c r="L17" s="13"/>
      <c r="M17" s="17"/>
      <c r="N17" s="14"/>
    </row>
    <row r="18" spans="1:14" s="2" customFormat="1" ht="16.5" customHeight="1" thickBot="1">
      <c r="A18" s="18" t="s">
        <v>870</v>
      </c>
      <c r="B18" s="22" t="s">
        <v>16</v>
      </c>
      <c r="C18" s="10">
        <v>165</v>
      </c>
      <c r="D18" s="10" t="s">
        <v>20</v>
      </c>
      <c r="M18" s="24"/>
    </row>
    <row r="19" spans="1:14" s="2" customFormat="1" ht="16.5" customHeight="1" thickBot="1">
      <c r="A19" s="18" t="s">
        <v>49</v>
      </c>
      <c r="B19" s="23" t="s">
        <v>14</v>
      </c>
      <c r="C19" s="10">
        <v>25</v>
      </c>
      <c r="D19" s="10" t="s">
        <v>20</v>
      </c>
      <c r="J19" s="24"/>
    </row>
    <row r="20" spans="1:14" s="2" customFormat="1" ht="10.5" customHeight="1">
      <c r="A20" s="1"/>
      <c r="C20" s="17"/>
    </row>
    <row r="21" spans="1:14" s="2" customFormat="1" ht="17.45" customHeight="1">
      <c r="A21" s="1" t="s">
        <v>871</v>
      </c>
    </row>
    <row r="22" spans="1:14" s="2" customFormat="1" ht="10.5" customHeight="1" thickBot="1">
      <c r="A22" s="1"/>
    </row>
    <row r="23" spans="1:14" s="2" customFormat="1" ht="16.5" customHeight="1" thickBot="1">
      <c r="A23" s="4" t="s">
        <v>0</v>
      </c>
      <c r="B23" s="5" t="s">
        <v>1</v>
      </c>
      <c r="C23" s="5" t="s">
        <v>2</v>
      </c>
      <c r="D23" s="5">
        <v>2</v>
      </c>
      <c r="E23" s="5">
        <v>3</v>
      </c>
      <c r="F23" s="5">
        <v>4</v>
      </c>
      <c r="G23" s="5">
        <v>5</v>
      </c>
      <c r="H23" s="5">
        <v>6</v>
      </c>
      <c r="I23" s="6"/>
      <c r="J23" s="13" t="s">
        <v>9</v>
      </c>
      <c r="K23" s="14">
        <f>(8027/18849)</f>
        <v>0.42585813571011727</v>
      </c>
    </row>
    <row r="24" spans="1:14" s="2" customFormat="1" ht="16.5" customHeight="1" thickBot="1">
      <c r="A24" s="7" t="s">
        <v>873</v>
      </c>
      <c r="B24" s="8" t="s">
        <v>3</v>
      </c>
      <c r="C24" s="10">
        <v>1328</v>
      </c>
      <c r="D24" s="10">
        <v>1340</v>
      </c>
      <c r="E24" s="10">
        <v>1379</v>
      </c>
      <c r="F24" s="10">
        <v>1456</v>
      </c>
      <c r="G24" s="10">
        <v>1475</v>
      </c>
      <c r="H24" s="9">
        <v>1705</v>
      </c>
      <c r="I24" s="11" t="s">
        <v>8</v>
      </c>
      <c r="K24" s="13" t="s">
        <v>11</v>
      </c>
      <c r="L24" s="13" t="s">
        <v>12</v>
      </c>
      <c r="M24" s="13" t="s">
        <v>13</v>
      </c>
    </row>
    <row r="25" spans="1:14" s="2" customFormat="1" ht="16.5" customHeight="1" thickBot="1">
      <c r="A25" s="7" t="s">
        <v>872</v>
      </c>
      <c r="B25" s="12" t="s">
        <v>5</v>
      </c>
      <c r="C25" s="10">
        <v>1121</v>
      </c>
      <c r="D25" s="10">
        <v>1149</v>
      </c>
      <c r="E25" s="10">
        <v>1185</v>
      </c>
      <c r="F25" s="10">
        <v>1233</v>
      </c>
      <c r="G25" s="10">
        <v>1435</v>
      </c>
      <c r="H25" s="9">
        <v>1526</v>
      </c>
      <c r="I25" s="11" t="s">
        <v>6</v>
      </c>
      <c r="J25" s="16" t="s">
        <v>5</v>
      </c>
      <c r="K25" s="17">
        <f>(C25+C27+C28)</f>
        <v>2927</v>
      </c>
      <c r="L25" s="14">
        <f>SUM(K25/K30)</f>
        <v>0.3681761006289308</v>
      </c>
      <c r="M25" s="2">
        <v>2</v>
      </c>
    </row>
    <row r="26" spans="1:14" s="2" customFormat="1" ht="16.5" customHeight="1" thickBot="1">
      <c r="A26" s="7" t="s">
        <v>685</v>
      </c>
      <c r="B26" s="8" t="s">
        <v>3</v>
      </c>
      <c r="C26" s="10">
        <v>1119</v>
      </c>
      <c r="D26" s="10">
        <v>1127</v>
      </c>
      <c r="E26" s="10">
        <v>1213</v>
      </c>
      <c r="F26" s="10">
        <v>1288</v>
      </c>
      <c r="G26" s="10">
        <v>1316</v>
      </c>
      <c r="H26" s="9">
        <v>1632</v>
      </c>
      <c r="I26" s="11" t="s">
        <v>7</v>
      </c>
      <c r="J26" s="20" t="s">
        <v>3</v>
      </c>
      <c r="K26" s="17">
        <f>(C24+C26+C29)</f>
        <v>3110</v>
      </c>
      <c r="L26" s="14">
        <f>SUM(K26/K30)</f>
        <v>0.39119496855345914</v>
      </c>
      <c r="M26" s="2">
        <v>2</v>
      </c>
    </row>
    <row r="27" spans="1:14" s="2" customFormat="1" ht="16.5" customHeight="1" thickBot="1">
      <c r="A27" s="7" t="s">
        <v>687</v>
      </c>
      <c r="B27" s="12" t="s">
        <v>5</v>
      </c>
      <c r="C27" s="10">
        <v>1113</v>
      </c>
      <c r="D27" s="10">
        <v>1130</v>
      </c>
      <c r="E27" s="10">
        <v>1185</v>
      </c>
      <c r="F27" s="10">
        <v>1220</v>
      </c>
      <c r="G27" s="9">
        <v>1661</v>
      </c>
      <c r="H27" s="10"/>
      <c r="I27" s="9" t="s">
        <v>4</v>
      </c>
      <c r="J27" s="21" t="s">
        <v>16</v>
      </c>
      <c r="K27" s="17">
        <f>(C30+C31)</f>
        <v>1125</v>
      </c>
      <c r="L27" s="14">
        <f>SUM(K27/K30)</f>
        <v>0.14150943396226415</v>
      </c>
    </row>
    <row r="28" spans="1:14" s="2" customFormat="1" ht="16.5" customHeight="1" thickBot="1">
      <c r="A28" s="18" t="s">
        <v>689</v>
      </c>
      <c r="B28" s="19" t="s">
        <v>5</v>
      </c>
      <c r="C28" s="10">
        <v>693</v>
      </c>
      <c r="D28" s="10">
        <v>715</v>
      </c>
      <c r="E28" s="10">
        <v>745</v>
      </c>
      <c r="F28" s="10">
        <v>767</v>
      </c>
      <c r="G28" s="10" t="s">
        <v>20</v>
      </c>
      <c r="J28" s="83" t="s">
        <v>31</v>
      </c>
      <c r="K28" s="17">
        <v>312</v>
      </c>
      <c r="L28" s="14">
        <f>SUM(K28/K30)</f>
        <v>3.9245283018867927E-2</v>
      </c>
    </row>
    <row r="29" spans="1:14" s="2" customFormat="1" ht="16.5" customHeight="1" thickBot="1">
      <c r="A29" s="18" t="s">
        <v>875</v>
      </c>
      <c r="B29" s="28" t="s">
        <v>3</v>
      </c>
      <c r="C29" s="10">
        <v>663</v>
      </c>
      <c r="D29" s="10">
        <v>688</v>
      </c>
      <c r="E29" s="10">
        <v>734</v>
      </c>
      <c r="F29" s="10">
        <v>774</v>
      </c>
      <c r="G29" s="10">
        <v>789</v>
      </c>
      <c r="H29" s="10" t="s">
        <v>20</v>
      </c>
      <c r="J29" s="48" t="s">
        <v>753</v>
      </c>
      <c r="K29" s="17">
        <v>476</v>
      </c>
      <c r="L29" s="14">
        <f>SUM(K29/K30)</f>
        <v>5.9874213836477987E-2</v>
      </c>
    </row>
    <row r="30" spans="1:14" s="2" customFormat="1" ht="16.5" customHeight="1" thickBot="1">
      <c r="A30" s="18" t="s">
        <v>503</v>
      </c>
      <c r="B30" s="22" t="s">
        <v>16</v>
      </c>
      <c r="C30" s="10">
        <v>577</v>
      </c>
      <c r="D30" s="10">
        <v>618</v>
      </c>
      <c r="E30" s="10">
        <v>757</v>
      </c>
      <c r="F30" s="10">
        <v>1080</v>
      </c>
      <c r="G30" s="10">
        <v>1111</v>
      </c>
      <c r="H30" s="10">
        <v>1190</v>
      </c>
      <c r="I30" s="11"/>
      <c r="J30" s="13"/>
      <c r="K30" s="24">
        <v>7950</v>
      </c>
      <c r="L30" s="14"/>
    </row>
    <row r="31" spans="1:14" s="2" customFormat="1" ht="16.5" customHeight="1" thickBot="1">
      <c r="A31" s="18" t="s">
        <v>876</v>
      </c>
      <c r="B31" s="22" t="s">
        <v>16</v>
      </c>
      <c r="C31" s="10">
        <v>548</v>
      </c>
      <c r="D31" s="10">
        <v>589</v>
      </c>
      <c r="E31" s="10">
        <v>651</v>
      </c>
      <c r="F31" s="10" t="s">
        <v>20</v>
      </c>
    </row>
    <row r="32" spans="1:14" s="2" customFormat="1" ht="16.5" customHeight="1" thickBot="1">
      <c r="A32" s="18" t="s">
        <v>688</v>
      </c>
      <c r="B32" s="47" t="s">
        <v>753</v>
      </c>
      <c r="C32" s="10">
        <v>476</v>
      </c>
      <c r="D32" s="10">
        <v>564</v>
      </c>
      <c r="E32" s="10" t="s">
        <v>20</v>
      </c>
      <c r="K32" s="13"/>
      <c r="M32" s="14"/>
    </row>
    <row r="33" spans="1:14" s="2" customFormat="1" ht="16.5" customHeight="1" thickBot="1">
      <c r="A33" s="18" t="s">
        <v>874</v>
      </c>
      <c r="B33" s="76" t="s">
        <v>31</v>
      </c>
      <c r="C33" s="10">
        <v>312</v>
      </c>
      <c r="D33" s="10" t="s">
        <v>20</v>
      </c>
      <c r="F33" s="17"/>
      <c r="G33" s="17"/>
      <c r="H33" s="46"/>
      <c r="I33"/>
    </row>
    <row r="35" spans="1:14" s="2" customFormat="1" ht="17.45" customHeight="1">
      <c r="A35" s="1" t="s">
        <v>883</v>
      </c>
    </row>
    <row r="36" spans="1:14" s="2" customFormat="1" ht="10.5" customHeight="1" thickBot="1">
      <c r="A36" s="1"/>
    </row>
    <row r="37" spans="1:14" s="2" customFormat="1" ht="16.5" customHeight="1" thickBot="1">
      <c r="A37" s="4" t="s">
        <v>0</v>
      </c>
      <c r="B37" s="5" t="s">
        <v>1</v>
      </c>
      <c r="C37" s="5" t="s">
        <v>2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6"/>
      <c r="K37" s="13" t="s">
        <v>9</v>
      </c>
      <c r="L37" s="14">
        <f>(6383/14231)</f>
        <v>0.44852786171035064</v>
      </c>
    </row>
    <row r="38" spans="1:14" s="2" customFormat="1" ht="16.5" customHeight="1" thickBot="1">
      <c r="A38" s="7" t="s">
        <v>693</v>
      </c>
      <c r="B38" s="8" t="s">
        <v>3</v>
      </c>
      <c r="C38" s="9">
        <v>1784</v>
      </c>
      <c r="D38" s="10"/>
      <c r="E38" s="10"/>
      <c r="F38" s="10"/>
      <c r="G38" s="10"/>
      <c r="H38" s="10"/>
      <c r="I38" s="9"/>
      <c r="J38" s="11" t="s">
        <v>4</v>
      </c>
      <c r="L38" s="13" t="s">
        <v>11</v>
      </c>
      <c r="M38" s="13" t="s">
        <v>12</v>
      </c>
      <c r="N38" s="13" t="s">
        <v>13</v>
      </c>
    </row>
    <row r="39" spans="1:14" s="2" customFormat="1" ht="16.5" customHeight="1" thickBot="1">
      <c r="A39" s="7" t="s">
        <v>877</v>
      </c>
      <c r="B39" s="12" t="s">
        <v>5</v>
      </c>
      <c r="C39" s="10">
        <v>1165</v>
      </c>
      <c r="D39" s="10">
        <v>1179</v>
      </c>
      <c r="E39" s="10">
        <v>1197</v>
      </c>
      <c r="F39" s="10">
        <v>1253</v>
      </c>
      <c r="G39" s="10">
        <v>1282</v>
      </c>
      <c r="H39" s="10">
        <v>1330</v>
      </c>
      <c r="I39" s="9">
        <v>1599</v>
      </c>
      <c r="J39" s="11" t="s">
        <v>8</v>
      </c>
      <c r="K39" s="16" t="s">
        <v>5</v>
      </c>
      <c r="L39" s="17">
        <f>(C39+C41+C42)</f>
        <v>2627</v>
      </c>
      <c r="M39" s="14">
        <f>SUM(L39/L44)</f>
        <v>0.41612545540947254</v>
      </c>
      <c r="N39" s="2">
        <v>1</v>
      </c>
    </row>
    <row r="40" spans="1:14" s="2" customFormat="1" ht="16.5" customHeight="1" thickBot="1">
      <c r="A40" s="7" t="s">
        <v>879</v>
      </c>
      <c r="B40" s="8" t="s">
        <v>3</v>
      </c>
      <c r="C40" s="10">
        <v>888</v>
      </c>
      <c r="D40" s="10">
        <v>1037</v>
      </c>
      <c r="E40" s="10">
        <v>1055</v>
      </c>
      <c r="F40" s="10">
        <v>1073</v>
      </c>
      <c r="G40" s="10">
        <v>1200</v>
      </c>
      <c r="H40" s="10">
        <v>1510</v>
      </c>
      <c r="I40" s="9">
        <v>1573</v>
      </c>
      <c r="J40" s="11" t="s">
        <v>7</v>
      </c>
      <c r="K40" s="20" t="s">
        <v>3</v>
      </c>
      <c r="L40" s="17">
        <f>(C38+C40)</f>
        <v>2672</v>
      </c>
      <c r="M40" s="14">
        <f>SUM(L40/L44)</f>
        <v>0.42325360367495646</v>
      </c>
      <c r="N40" s="2">
        <v>2</v>
      </c>
    </row>
    <row r="41" spans="1:14" s="2" customFormat="1" ht="16.5" customHeight="1" thickBot="1">
      <c r="A41" s="18" t="s">
        <v>880</v>
      </c>
      <c r="B41" s="19" t="s">
        <v>5</v>
      </c>
      <c r="C41" s="10">
        <v>800</v>
      </c>
      <c r="D41" s="10">
        <v>806</v>
      </c>
      <c r="E41" s="10">
        <v>812</v>
      </c>
      <c r="F41" s="10">
        <v>820</v>
      </c>
      <c r="G41" s="10">
        <v>839</v>
      </c>
      <c r="H41" s="10">
        <v>871</v>
      </c>
      <c r="I41" s="10">
        <v>1254</v>
      </c>
      <c r="J41" s="11"/>
      <c r="K41" s="21" t="s">
        <v>16</v>
      </c>
      <c r="L41" s="17">
        <f>(C46+C45)</f>
        <v>395</v>
      </c>
      <c r="M41" s="14">
        <f>SUM(L41/L44)</f>
        <v>6.2569301441469979E-2</v>
      </c>
    </row>
    <row r="42" spans="1:14" s="2" customFormat="1" ht="16.5" customHeight="1" thickBot="1">
      <c r="A42" s="18" t="s">
        <v>881</v>
      </c>
      <c r="B42" s="19" t="s">
        <v>5</v>
      </c>
      <c r="C42" s="10">
        <v>662</v>
      </c>
      <c r="D42" s="10">
        <v>672</v>
      </c>
      <c r="E42" s="10">
        <v>677</v>
      </c>
      <c r="F42" s="10">
        <v>690</v>
      </c>
      <c r="G42" s="10">
        <v>732</v>
      </c>
      <c r="H42" s="10">
        <v>765</v>
      </c>
      <c r="I42" s="10" t="s">
        <v>20</v>
      </c>
      <c r="K42" s="48" t="s">
        <v>753</v>
      </c>
      <c r="L42" s="17">
        <v>370</v>
      </c>
      <c r="M42" s="14">
        <f>SUM(L42/L44)</f>
        <v>5.8609219071756695E-2</v>
      </c>
    </row>
    <row r="43" spans="1:14" s="2" customFormat="1" ht="16.5" customHeight="1" thickBot="1">
      <c r="A43" s="18" t="s">
        <v>878</v>
      </c>
      <c r="B43" s="47" t="s">
        <v>753</v>
      </c>
      <c r="C43" s="10">
        <v>370</v>
      </c>
      <c r="D43" s="10">
        <v>375</v>
      </c>
      <c r="E43" s="10">
        <v>377</v>
      </c>
      <c r="F43" s="10">
        <v>433</v>
      </c>
      <c r="G43" s="10" t="s">
        <v>20</v>
      </c>
      <c r="K43" s="83" t="s">
        <v>31</v>
      </c>
      <c r="L43" s="17">
        <v>249</v>
      </c>
      <c r="M43" s="14">
        <f>SUM(L43/L44)</f>
        <v>3.9442420402344372E-2</v>
      </c>
    </row>
    <row r="44" spans="1:14" s="2" customFormat="1" ht="16.5" customHeight="1" thickBot="1">
      <c r="A44" s="18" t="s">
        <v>882</v>
      </c>
      <c r="B44" s="76" t="s">
        <v>31</v>
      </c>
      <c r="C44" s="10">
        <v>249</v>
      </c>
      <c r="D44" s="10">
        <v>254</v>
      </c>
      <c r="E44" s="10">
        <v>267</v>
      </c>
      <c r="F44" s="10" t="s">
        <v>20</v>
      </c>
      <c r="K44" s="13"/>
      <c r="L44" s="24">
        <v>6313</v>
      </c>
      <c r="M44" s="14"/>
    </row>
    <row r="45" spans="1:14" s="2" customFormat="1" ht="16.5" customHeight="1" thickBot="1">
      <c r="A45" s="18" t="s">
        <v>695</v>
      </c>
      <c r="B45" s="22" t="s">
        <v>16</v>
      </c>
      <c r="C45" s="10">
        <v>246</v>
      </c>
      <c r="D45" s="10">
        <v>254</v>
      </c>
      <c r="E45" s="10">
        <v>346</v>
      </c>
      <c r="F45" s="10">
        <v>440</v>
      </c>
      <c r="G45" s="10">
        <v>578</v>
      </c>
      <c r="H45" s="10" t="s">
        <v>20</v>
      </c>
    </row>
    <row r="46" spans="1:14" s="2" customFormat="1" ht="16.5" customHeight="1" thickBot="1">
      <c r="A46" s="18" t="s">
        <v>564</v>
      </c>
      <c r="B46" s="22" t="s">
        <v>16</v>
      </c>
      <c r="C46" s="10">
        <v>149</v>
      </c>
      <c r="D46" s="10">
        <v>157</v>
      </c>
      <c r="E46" s="10" t="s">
        <v>20</v>
      </c>
      <c r="J46" s="24"/>
    </row>
    <row r="47" spans="1:14" s="2" customFormat="1" ht="11.25" customHeight="1">
      <c r="A47" s="29"/>
      <c r="B47" s="30"/>
      <c r="C47" s="45"/>
      <c r="D47" s="45"/>
      <c r="E47" s="45"/>
      <c r="F47" s="17"/>
      <c r="G47" s="17"/>
      <c r="H47" s="17"/>
      <c r="I47" s="17"/>
      <c r="J47" s="17"/>
      <c r="K47" s="17"/>
      <c r="L47" s="17"/>
      <c r="M47" s="17"/>
      <c r="N47" s="44"/>
    </row>
    <row r="48" spans="1:14" s="2" customFormat="1" ht="17.45" customHeight="1">
      <c r="A48" s="1" t="s">
        <v>884</v>
      </c>
    </row>
    <row r="49" spans="1:15" s="2" customFormat="1" ht="10.5" customHeight="1" thickBot="1">
      <c r="A49" s="1"/>
    </row>
    <row r="50" spans="1:15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6"/>
      <c r="L50" s="13" t="s">
        <v>9</v>
      </c>
      <c r="M50" s="14">
        <f>(7457/15568)</f>
        <v>0.47899537512846868</v>
      </c>
    </row>
    <row r="51" spans="1:15" s="2" customFormat="1" ht="16.5" customHeight="1" thickBot="1">
      <c r="A51" s="7" t="s">
        <v>702</v>
      </c>
      <c r="B51" s="12" t="s">
        <v>5</v>
      </c>
      <c r="C51" s="9">
        <v>2509</v>
      </c>
      <c r="D51" s="10"/>
      <c r="E51" s="10"/>
      <c r="F51" s="10"/>
      <c r="G51" s="10"/>
      <c r="H51" s="10"/>
      <c r="I51" s="10"/>
      <c r="J51" s="10"/>
      <c r="K51" s="11" t="s">
        <v>4</v>
      </c>
      <c r="M51" s="13" t="s">
        <v>11</v>
      </c>
      <c r="N51" s="13" t="s">
        <v>12</v>
      </c>
      <c r="O51" s="13" t="s">
        <v>13</v>
      </c>
    </row>
    <row r="52" spans="1:15" s="2" customFormat="1" ht="16.5" customHeight="1" thickBot="1">
      <c r="A52" s="7" t="s">
        <v>885</v>
      </c>
      <c r="B52" s="12" t="s">
        <v>5</v>
      </c>
      <c r="C52" s="10">
        <v>782</v>
      </c>
      <c r="D52" s="10">
        <v>1205</v>
      </c>
      <c r="E52" s="10">
        <v>1219</v>
      </c>
      <c r="F52" s="10">
        <v>1302</v>
      </c>
      <c r="G52" s="10">
        <v>1374</v>
      </c>
      <c r="H52" s="10">
        <v>1393</v>
      </c>
      <c r="I52" s="9">
        <v>2058</v>
      </c>
      <c r="J52" s="10"/>
      <c r="K52" s="11" t="s">
        <v>8</v>
      </c>
      <c r="L52" s="16" t="s">
        <v>5</v>
      </c>
      <c r="M52" s="17">
        <f>(C51+C52+C57)</f>
        <v>3796</v>
      </c>
      <c r="N52" s="14">
        <f>SUM(M52/M59)</f>
        <v>0.51283436908943525</v>
      </c>
      <c r="O52" s="2">
        <v>2</v>
      </c>
    </row>
    <row r="53" spans="1:15" s="2" customFormat="1" ht="16.5" customHeight="1" thickBot="1">
      <c r="A53" s="7" t="s">
        <v>704</v>
      </c>
      <c r="B53" s="43" t="s">
        <v>16</v>
      </c>
      <c r="C53" s="10">
        <v>730</v>
      </c>
      <c r="D53" s="10">
        <v>786</v>
      </c>
      <c r="E53" s="10">
        <v>853</v>
      </c>
      <c r="F53" s="10">
        <v>898</v>
      </c>
      <c r="G53" s="10">
        <v>1130</v>
      </c>
      <c r="H53" s="10">
        <v>1213</v>
      </c>
      <c r="I53" s="10">
        <v>1264</v>
      </c>
      <c r="J53" s="9">
        <v>1358</v>
      </c>
      <c r="K53" s="11" t="s">
        <v>7</v>
      </c>
      <c r="L53" s="20" t="s">
        <v>3</v>
      </c>
      <c r="M53" s="17">
        <f>(C54+C55+C56)</f>
        <v>1868</v>
      </c>
      <c r="N53" s="14">
        <f>SUM(M53/M59)</f>
        <v>0.25236422588489599</v>
      </c>
      <c r="O53" s="2">
        <v>1</v>
      </c>
    </row>
    <row r="54" spans="1:15" s="2" customFormat="1" ht="16.5" customHeight="1" thickBot="1">
      <c r="A54" s="7" t="s">
        <v>886</v>
      </c>
      <c r="B54" s="8" t="s">
        <v>3</v>
      </c>
      <c r="C54" s="10">
        <v>662</v>
      </c>
      <c r="D54" s="10">
        <v>707</v>
      </c>
      <c r="E54" s="10">
        <v>744</v>
      </c>
      <c r="F54" s="10">
        <v>749</v>
      </c>
      <c r="G54" s="10">
        <v>815</v>
      </c>
      <c r="H54" s="10">
        <v>1109</v>
      </c>
      <c r="I54" s="10">
        <v>1211</v>
      </c>
      <c r="J54" s="9">
        <v>1290</v>
      </c>
      <c r="K54" s="11" t="s">
        <v>6</v>
      </c>
      <c r="L54" s="21" t="s">
        <v>16</v>
      </c>
      <c r="M54" s="17">
        <v>730</v>
      </c>
      <c r="N54" s="14">
        <f>SUM(M54/M59)</f>
        <v>9.8621994055660633E-2</v>
      </c>
      <c r="O54" s="2">
        <v>1</v>
      </c>
    </row>
    <row r="55" spans="1:15" s="2" customFormat="1" ht="16.5" customHeight="1" thickBot="1">
      <c r="A55" s="18" t="s">
        <v>703</v>
      </c>
      <c r="B55" s="28" t="s">
        <v>3</v>
      </c>
      <c r="C55" s="10">
        <v>642</v>
      </c>
      <c r="D55" s="10">
        <v>699</v>
      </c>
      <c r="E55" s="10">
        <v>724</v>
      </c>
      <c r="F55" s="10">
        <v>735</v>
      </c>
      <c r="G55" s="10">
        <v>760</v>
      </c>
      <c r="H55" s="10">
        <v>985</v>
      </c>
      <c r="I55" s="10">
        <v>1051</v>
      </c>
      <c r="J55" s="10">
        <v>1113</v>
      </c>
      <c r="K55" s="11"/>
      <c r="L55" s="83" t="s">
        <v>31</v>
      </c>
      <c r="M55" s="17">
        <v>435</v>
      </c>
      <c r="N55" s="14">
        <f>SUM(M55/M59)</f>
        <v>5.8767900567414211E-2</v>
      </c>
    </row>
    <row r="56" spans="1:15" s="2" customFormat="1" ht="16.5" customHeight="1" thickBot="1">
      <c r="A56" s="18" t="s">
        <v>889</v>
      </c>
      <c r="B56" s="28" t="s">
        <v>3</v>
      </c>
      <c r="C56" s="10">
        <v>564</v>
      </c>
      <c r="D56" s="10">
        <v>616</v>
      </c>
      <c r="E56" s="10">
        <v>631</v>
      </c>
      <c r="F56" s="10">
        <v>634</v>
      </c>
      <c r="G56" s="10">
        <v>672</v>
      </c>
      <c r="H56" s="10" t="s">
        <v>20</v>
      </c>
      <c r="L56" s="48" t="s">
        <v>753</v>
      </c>
      <c r="M56" s="17">
        <v>201</v>
      </c>
      <c r="N56" s="14">
        <f>SUM(M56/M59)</f>
        <v>2.7154823020805189E-2</v>
      </c>
    </row>
    <row r="57" spans="1:15" s="2" customFormat="1" ht="16.5" customHeight="1" thickBot="1">
      <c r="A57" s="18" t="s">
        <v>888</v>
      </c>
      <c r="B57" s="19" t="s">
        <v>5</v>
      </c>
      <c r="C57" s="10">
        <v>505</v>
      </c>
      <c r="D57" s="10">
        <v>845</v>
      </c>
      <c r="E57" s="10">
        <v>859</v>
      </c>
      <c r="F57" s="10">
        <v>883</v>
      </c>
      <c r="G57" s="10">
        <v>932</v>
      </c>
      <c r="H57" s="10">
        <v>962</v>
      </c>
      <c r="I57" s="10" t="s">
        <v>20</v>
      </c>
      <c r="L57" s="26" t="s">
        <v>18</v>
      </c>
      <c r="M57" s="17">
        <v>313</v>
      </c>
      <c r="N57" s="14">
        <f>SUM(M57/M59)</f>
        <v>4.2285868684139423E-2</v>
      </c>
    </row>
    <row r="58" spans="1:15" s="2" customFormat="1" ht="16.5" customHeight="1" thickBot="1">
      <c r="A58" s="18" t="s">
        <v>887</v>
      </c>
      <c r="B58" s="76" t="s">
        <v>31</v>
      </c>
      <c r="C58" s="10">
        <v>435</v>
      </c>
      <c r="D58" s="10">
        <v>460</v>
      </c>
      <c r="E58" s="10">
        <v>520</v>
      </c>
      <c r="F58" s="10">
        <v>615</v>
      </c>
      <c r="G58" s="10" t="s">
        <v>20</v>
      </c>
      <c r="L58" s="13" t="s">
        <v>17</v>
      </c>
      <c r="M58" s="17">
        <v>59</v>
      </c>
      <c r="N58" s="14">
        <f>SUM(M58/M59)</f>
        <v>7.9708186976492831E-3</v>
      </c>
    </row>
    <row r="59" spans="1:15" s="2" customFormat="1" ht="16.5" customHeight="1" thickBot="1">
      <c r="A59" s="18" t="s">
        <v>890</v>
      </c>
      <c r="B59" s="27" t="s">
        <v>18</v>
      </c>
      <c r="C59" s="10">
        <v>313</v>
      </c>
      <c r="D59" s="10">
        <v>331</v>
      </c>
      <c r="E59" s="10">
        <v>342</v>
      </c>
      <c r="F59" s="10" t="s">
        <v>20</v>
      </c>
      <c r="J59" s="48"/>
      <c r="K59" s="17"/>
      <c r="L59" s="13"/>
      <c r="M59" s="24">
        <v>7402</v>
      </c>
      <c r="N59" s="14"/>
    </row>
    <row r="60" spans="1:15" s="2" customFormat="1" ht="16.5" customHeight="1" thickBot="1">
      <c r="A60" s="18" t="s">
        <v>1142</v>
      </c>
      <c r="B60" s="47" t="s">
        <v>753</v>
      </c>
      <c r="C60" s="10">
        <v>201</v>
      </c>
      <c r="D60" s="10">
        <v>207</v>
      </c>
      <c r="E60" s="10" t="s">
        <v>20</v>
      </c>
      <c r="J60" s="13"/>
      <c r="K60" s="24"/>
      <c r="L60" s="14"/>
    </row>
    <row r="61" spans="1:15" s="2" customFormat="1" ht="16.5" customHeight="1" thickBot="1">
      <c r="A61" s="18" t="s">
        <v>891</v>
      </c>
      <c r="B61" s="23" t="s">
        <v>14</v>
      </c>
      <c r="C61" s="10">
        <v>59</v>
      </c>
      <c r="D61" s="10">
        <v>65</v>
      </c>
      <c r="E61" s="10" t="s">
        <v>20</v>
      </c>
    </row>
    <row r="62" spans="1:15" s="2" customFormat="1" ht="11.25" customHeight="1">
      <c r="A62" s="29"/>
      <c r="B62" s="30"/>
      <c r="C62" s="45"/>
      <c r="D62" s="45"/>
      <c r="E62" s="45"/>
      <c r="F62" s="17"/>
      <c r="G62" s="17"/>
      <c r="H62" s="17"/>
      <c r="I62" s="17"/>
      <c r="J62" s="17"/>
      <c r="K62" s="17"/>
      <c r="L62" s="17"/>
      <c r="M62" s="17"/>
      <c r="N62" s="44"/>
    </row>
    <row r="63" spans="1:15" s="2" customFormat="1" ht="17.45" customHeight="1">
      <c r="A63" s="1" t="s">
        <v>906</v>
      </c>
    </row>
    <row r="64" spans="1:15" s="2" customFormat="1" ht="10.5" customHeight="1" thickBot="1">
      <c r="A64" s="1"/>
    </row>
    <row r="65" spans="1:15" s="2" customFormat="1" ht="16.5" customHeight="1" thickBot="1">
      <c r="A65" s="4" t="s">
        <v>0</v>
      </c>
      <c r="B65" s="5" t="s">
        <v>1</v>
      </c>
      <c r="C65" s="5" t="s">
        <v>2</v>
      </c>
      <c r="D65" s="5">
        <v>2</v>
      </c>
      <c r="E65" s="5">
        <v>3</v>
      </c>
      <c r="F65" s="5">
        <v>4</v>
      </c>
      <c r="G65" s="5">
        <v>5</v>
      </c>
      <c r="H65" s="5">
        <v>6</v>
      </c>
      <c r="I65" s="5">
        <v>7</v>
      </c>
      <c r="J65" s="5">
        <v>8</v>
      </c>
      <c r="K65" s="6"/>
      <c r="L65" s="13" t="s">
        <v>9</v>
      </c>
      <c r="M65" s="14">
        <f>(6790/14499)</f>
        <v>0.46830815918339197</v>
      </c>
    </row>
    <row r="66" spans="1:15" s="2" customFormat="1" ht="16.5" customHeight="1" thickBot="1">
      <c r="A66" s="7" t="s">
        <v>921</v>
      </c>
      <c r="B66" s="12" t="s">
        <v>5</v>
      </c>
      <c r="C66" s="10">
        <v>1271</v>
      </c>
      <c r="D66" s="10">
        <v>1275</v>
      </c>
      <c r="E66" s="10">
        <v>1290</v>
      </c>
      <c r="F66" s="10">
        <v>1351</v>
      </c>
      <c r="G66" s="10">
        <v>1499</v>
      </c>
      <c r="H66" s="10">
        <v>1516</v>
      </c>
      <c r="I66" s="9">
        <v>2036</v>
      </c>
      <c r="J66" s="10"/>
      <c r="K66" s="11" t="s">
        <v>4</v>
      </c>
      <c r="M66" s="13" t="s">
        <v>11</v>
      </c>
      <c r="N66" s="13" t="s">
        <v>12</v>
      </c>
      <c r="O66" s="13" t="s">
        <v>13</v>
      </c>
    </row>
    <row r="67" spans="1:15" s="2" customFormat="1" ht="16.5" customHeight="1" thickBot="1">
      <c r="A67" s="7" t="s">
        <v>666</v>
      </c>
      <c r="B67" s="12" t="s">
        <v>5</v>
      </c>
      <c r="C67" s="10">
        <v>1042</v>
      </c>
      <c r="D67" s="10">
        <v>1044</v>
      </c>
      <c r="E67" s="10">
        <v>1060</v>
      </c>
      <c r="F67" s="10">
        <v>1072</v>
      </c>
      <c r="G67" s="10">
        <v>1117</v>
      </c>
      <c r="H67" s="10">
        <v>1159</v>
      </c>
      <c r="I67" s="10">
        <v>1407</v>
      </c>
      <c r="J67" s="9">
        <v>1742</v>
      </c>
      <c r="K67" s="11" t="s">
        <v>8</v>
      </c>
      <c r="L67" s="16" t="s">
        <v>5</v>
      </c>
      <c r="M67" s="17">
        <f>(C66+C67+C69)</f>
        <v>3168</v>
      </c>
      <c r="N67" s="14">
        <f>SUM(M67/M72)</f>
        <v>0.470238978773935</v>
      </c>
      <c r="O67" s="2">
        <v>2</v>
      </c>
    </row>
    <row r="68" spans="1:15" s="2" customFormat="1" ht="16.5" customHeight="1" thickBot="1">
      <c r="A68" s="7" t="s">
        <v>725</v>
      </c>
      <c r="B68" s="8" t="s">
        <v>3</v>
      </c>
      <c r="C68" s="10">
        <v>881</v>
      </c>
      <c r="D68" s="10">
        <v>888</v>
      </c>
      <c r="E68" s="10">
        <v>931</v>
      </c>
      <c r="F68" s="10">
        <v>1009</v>
      </c>
      <c r="G68" s="10">
        <v>1066</v>
      </c>
      <c r="H68" s="10">
        <v>1423</v>
      </c>
      <c r="I68" s="10">
        <v>1551</v>
      </c>
      <c r="J68" s="9">
        <v>1563</v>
      </c>
      <c r="K68" s="11" t="s">
        <v>7</v>
      </c>
      <c r="L68" s="20" t="s">
        <v>3</v>
      </c>
      <c r="M68" s="17">
        <f>(C68+C70+C71)</f>
        <v>2392</v>
      </c>
      <c r="N68" s="14">
        <f>SUM(M68/M72)</f>
        <v>0.35505417841769332</v>
      </c>
      <c r="O68" s="2">
        <v>1</v>
      </c>
    </row>
    <row r="69" spans="1:15" s="2" customFormat="1" ht="16.5" customHeight="1" thickBot="1">
      <c r="A69" s="18" t="s">
        <v>721</v>
      </c>
      <c r="B69" s="19" t="s">
        <v>5</v>
      </c>
      <c r="C69" s="10">
        <v>855</v>
      </c>
      <c r="D69" s="10">
        <v>856</v>
      </c>
      <c r="E69" s="10">
        <v>877</v>
      </c>
      <c r="F69" s="10">
        <v>891</v>
      </c>
      <c r="G69" s="10">
        <v>932</v>
      </c>
      <c r="H69" s="10">
        <v>962</v>
      </c>
      <c r="I69" s="10" t="s">
        <v>20</v>
      </c>
      <c r="L69" s="21" t="s">
        <v>16</v>
      </c>
      <c r="M69" s="17">
        <f>(C73+C75)</f>
        <v>462</v>
      </c>
      <c r="N69" s="14">
        <f>SUM(M69/M72)</f>
        <v>6.8576517737865522E-2</v>
      </c>
    </row>
    <row r="70" spans="1:15" s="2" customFormat="1" ht="16.5" customHeight="1" thickBot="1">
      <c r="A70" s="18" t="s">
        <v>910</v>
      </c>
      <c r="B70" s="28" t="s">
        <v>3</v>
      </c>
      <c r="C70" s="10">
        <v>827</v>
      </c>
      <c r="D70" s="10">
        <v>834</v>
      </c>
      <c r="E70" s="10">
        <v>867</v>
      </c>
      <c r="F70" s="10">
        <v>974</v>
      </c>
      <c r="G70" s="10">
        <v>1037</v>
      </c>
      <c r="H70" s="10">
        <v>1401</v>
      </c>
      <c r="I70" s="10">
        <v>1432</v>
      </c>
      <c r="J70" s="10">
        <v>1436</v>
      </c>
      <c r="K70" s="11"/>
      <c r="L70" s="48" t="s">
        <v>753</v>
      </c>
      <c r="M70" s="17">
        <v>296</v>
      </c>
      <c r="N70" s="14">
        <f>SUM(M70/M72)</f>
        <v>4.3936470238978773E-2</v>
      </c>
    </row>
    <row r="71" spans="1:15" s="2" customFormat="1" ht="16.5" customHeight="1" thickBot="1">
      <c r="A71" s="18" t="s">
        <v>908</v>
      </c>
      <c r="B71" s="28" t="s">
        <v>3</v>
      </c>
      <c r="C71" s="10">
        <v>684</v>
      </c>
      <c r="D71" s="10">
        <v>686</v>
      </c>
      <c r="E71" s="10">
        <v>731</v>
      </c>
      <c r="F71" s="10">
        <v>794</v>
      </c>
      <c r="G71" s="10">
        <v>840</v>
      </c>
      <c r="H71" s="10" t="s">
        <v>20</v>
      </c>
      <c r="L71" s="83" t="s">
        <v>31</v>
      </c>
      <c r="M71" s="17">
        <v>419</v>
      </c>
      <c r="N71" s="14">
        <f>SUM(M71/M72)</f>
        <v>6.2193854831527388E-2</v>
      </c>
    </row>
    <row r="72" spans="1:15" s="2" customFormat="1" ht="16.5" customHeight="1" thickBot="1">
      <c r="A72" s="18" t="s">
        <v>728</v>
      </c>
      <c r="B72" s="76" t="s">
        <v>31</v>
      </c>
      <c r="C72" s="10">
        <v>419</v>
      </c>
      <c r="D72" s="10">
        <v>423</v>
      </c>
      <c r="E72" s="10">
        <v>485</v>
      </c>
      <c r="F72" s="10">
        <v>581</v>
      </c>
      <c r="G72" s="10" t="s">
        <v>20</v>
      </c>
      <c r="L72" s="13"/>
      <c r="M72" s="24">
        <v>6737</v>
      </c>
      <c r="N72" s="14"/>
    </row>
    <row r="73" spans="1:15" s="2" customFormat="1" ht="16.5" customHeight="1" thickBot="1">
      <c r="A73" s="18" t="s">
        <v>909</v>
      </c>
      <c r="B73" s="22" t="s">
        <v>16</v>
      </c>
      <c r="C73" s="10">
        <v>357</v>
      </c>
      <c r="D73" s="10">
        <v>430</v>
      </c>
      <c r="E73" s="10">
        <v>478</v>
      </c>
      <c r="F73" s="10" t="s">
        <v>20</v>
      </c>
      <c r="I73" s="13"/>
      <c r="J73" s="17"/>
      <c r="K73" s="14"/>
      <c r="L73" s="13"/>
      <c r="N73" s="14"/>
    </row>
    <row r="74" spans="1:15" s="2" customFormat="1" ht="16.5" customHeight="1" thickBot="1">
      <c r="A74" s="18" t="s">
        <v>907</v>
      </c>
      <c r="B74" s="47" t="s">
        <v>753</v>
      </c>
      <c r="C74" s="10">
        <v>296</v>
      </c>
      <c r="D74" s="10">
        <v>298</v>
      </c>
      <c r="E74" s="10" t="s">
        <v>20</v>
      </c>
      <c r="I74" s="13"/>
      <c r="J74" s="24"/>
      <c r="K74" s="14"/>
    </row>
    <row r="75" spans="1:15" s="2" customFormat="1" ht="16.5" customHeight="1" thickBot="1">
      <c r="A75" s="18" t="s">
        <v>384</v>
      </c>
      <c r="B75" s="22" t="s">
        <v>16</v>
      </c>
      <c r="C75" s="10">
        <v>105</v>
      </c>
      <c r="D75" s="10" t="s">
        <v>20</v>
      </c>
      <c r="I75" s="13"/>
      <c r="J75" s="24"/>
      <c r="K75" s="14"/>
    </row>
    <row r="77" spans="1:15" s="2" customFormat="1" ht="17.45" customHeight="1">
      <c r="A77" s="1" t="s">
        <v>911</v>
      </c>
    </row>
    <row r="78" spans="1:15" s="2" customFormat="1" ht="10.5" customHeight="1" thickBot="1">
      <c r="A78" s="1"/>
    </row>
    <row r="79" spans="1:15" s="2" customFormat="1" ht="16.5" customHeight="1" thickBot="1">
      <c r="A79" s="4" t="s">
        <v>0</v>
      </c>
      <c r="B79" s="5" t="s">
        <v>1</v>
      </c>
      <c r="C79" s="5" t="s">
        <v>2</v>
      </c>
      <c r="D79" s="5">
        <v>2</v>
      </c>
      <c r="E79" s="5">
        <v>3</v>
      </c>
      <c r="F79" s="5">
        <v>4</v>
      </c>
      <c r="G79" s="5">
        <v>5</v>
      </c>
      <c r="H79" s="5">
        <v>6</v>
      </c>
      <c r="I79" s="6"/>
      <c r="J79" s="13" t="s">
        <v>9</v>
      </c>
      <c r="K79" s="14">
        <f>(7894/17976)</f>
        <v>0.43914107699154425</v>
      </c>
    </row>
    <row r="80" spans="1:15" s="2" customFormat="1" ht="16.5" customHeight="1" thickBot="1">
      <c r="A80" s="7" t="s">
        <v>912</v>
      </c>
      <c r="B80" s="43" t="s">
        <v>16</v>
      </c>
      <c r="C80" s="10">
        <v>1328</v>
      </c>
      <c r="D80" s="10">
        <v>1352</v>
      </c>
      <c r="E80" s="10">
        <v>1411</v>
      </c>
      <c r="F80" s="10">
        <v>1464</v>
      </c>
      <c r="G80" s="10">
        <v>1513</v>
      </c>
      <c r="H80" s="9">
        <v>1735</v>
      </c>
      <c r="I80" s="11" t="s">
        <v>4</v>
      </c>
      <c r="K80" s="13" t="s">
        <v>11</v>
      </c>
      <c r="L80" s="13" t="s">
        <v>12</v>
      </c>
      <c r="M80" s="13" t="s">
        <v>13</v>
      </c>
    </row>
    <row r="81" spans="1:23" s="2" customFormat="1" ht="16.5" customHeight="1" thickBot="1">
      <c r="A81" s="7" t="s">
        <v>913</v>
      </c>
      <c r="B81" s="12" t="s">
        <v>5</v>
      </c>
      <c r="C81" s="10">
        <v>1228</v>
      </c>
      <c r="D81" s="10">
        <v>1243</v>
      </c>
      <c r="E81" s="10">
        <v>1266</v>
      </c>
      <c r="F81" s="10">
        <v>1268</v>
      </c>
      <c r="G81" s="10">
        <v>1458</v>
      </c>
      <c r="H81" s="9">
        <v>1505</v>
      </c>
      <c r="I81" s="11" t="s">
        <v>7</v>
      </c>
      <c r="J81" s="16" t="s">
        <v>5</v>
      </c>
      <c r="K81" s="17">
        <f>(C81+C82+C85)</f>
        <v>2985</v>
      </c>
      <c r="L81" s="14">
        <f>SUM(K81/K86)</f>
        <v>0.38054563997960222</v>
      </c>
      <c r="M81" s="2">
        <v>2</v>
      </c>
    </row>
    <row r="82" spans="1:23" s="2" customFormat="1" ht="16.5" customHeight="1" thickBot="1">
      <c r="A82" s="7" t="s">
        <v>732</v>
      </c>
      <c r="B82" s="12" t="s">
        <v>5</v>
      </c>
      <c r="C82" s="10">
        <v>1211</v>
      </c>
      <c r="D82" s="10">
        <v>1234</v>
      </c>
      <c r="E82" s="10">
        <v>1276</v>
      </c>
      <c r="F82" s="10">
        <v>1293</v>
      </c>
      <c r="G82" s="10">
        <v>1557</v>
      </c>
      <c r="H82" s="9">
        <v>1638</v>
      </c>
      <c r="I82" s="11" t="s">
        <v>8</v>
      </c>
      <c r="J82" s="20" t="s">
        <v>3</v>
      </c>
      <c r="K82" s="17">
        <f>(C83+C84+C86)</f>
        <v>2492</v>
      </c>
      <c r="L82" s="14">
        <f>SUM(K82/K86)</f>
        <v>0.31769505354411015</v>
      </c>
      <c r="M82" s="2">
        <v>1</v>
      </c>
    </row>
    <row r="83" spans="1:23" s="2" customFormat="1" ht="16.5" customHeight="1" thickBot="1">
      <c r="A83" s="7" t="s">
        <v>730</v>
      </c>
      <c r="B83" s="8" t="s">
        <v>3</v>
      </c>
      <c r="C83" s="10">
        <v>1013</v>
      </c>
      <c r="D83" s="10">
        <v>1035</v>
      </c>
      <c r="E83" s="10">
        <v>1073</v>
      </c>
      <c r="F83" s="10">
        <v>1356</v>
      </c>
      <c r="G83" s="10">
        <v>1393</v>
      </c>
      <c r="H83" s="9">
        <v>1489</v>
      </c>
      <c r="I83" s="11" t="s">
        <v>6</v>
      </c>
      <c r="J83" s="21" t="s">
        <v>16</v>
      </c>
      <c r="K83" s="17">
        <v>1328</v>
      </c>
      <c r="L83" s="14">
        <f>SUM(K83/K86)</f>
        <v>0.16930137684854665</v>
      </c>
      <c r="M83" s="2">
        <v>1</v>
      </c>
    </row>
    <row r="84" spans="1:23" s="2" customFormat="1" ht="16.5" customHeight="1" thickBot="1">
      <c r="A84" s="18" t="s">
        <v>917</v>
      </c>
      <c r="B84" s="28" t="s">
        <v>3</v>
      </c>
      <c r="C84" s="10">
        <v>942</v>
      </c>
      <c r="D84" s="10">
        <v>957</v>
      </c>
      <c r="E84" s="10">
        <v>1002</v>
      </c>
      <c r="F84" s="10">
        <v>1190</v>
      </c>
      <c r="G84" s="10">
        <v>1210</v>
      </c>
      <c r="H84" s="10">
        <v>1266</v>
      </c>
      <c r="I84" s="11"/>
      <c r="J84" s="48" t="s">
        <v>753</v>
      </c>
      <c r="K84" s="17">
        <v>429</v>
      </c>
      <c r="L84" s="14">
        <f>SUM(K84/K86)</f>
        <v>5.4691483936766955E-2</v>
      </c>
    </row>
    <row r="85" spans="1:23" s="2" customFormat="1" ht="16.5" customHeight="1" thickBot="1">
      <c r="A85" s="18" t="s">
        <v>735</v>
      </c>
      <c r="B85" s="19" t="s">
        <v>5</v>
      </c>
      <c r="C85" s="10">
        <v>546</v>
      </c>
      <c r="D85" s="10">
        <v>558</v>
      </c>
      <c r="E85" s="10">
        <v>591</v>
      </c>
      <c r="F85" s="10">
        <v>598</v>
      </c>
      <c r="G85" s="10" t="s">
        <v>20</v>
      </c>
      <c r="J85" s="13" t="s">
        <v>17</v>
      </c>
      <c r="K85" s="17">
        <f>(C88+C89)</f>
        <v>610</v>
      </c>
      <c r="L85" s="14">
        <f>SUM(K85/K86)</f>
        <v>7.776644569097399E-2</v>
      </c>
    </row>
    <row r="86" spans="1:23" s="2" customFormat="1" ht="16.5" customHeight="1" thickBot="1">
      <c r="A86" s="18" t="s">
        <v>918</v>
      </c>
      <c r="B86" s="28" t="s">
        <v>3</v>
      </c>
      <c r="C86" s="10">
        <v>537</v>
      </c>
      <c r="D86" s="10">
        <v>543</v>
      </c>
      <c r="E86" s="10">
        <v>571</v>
      </c>
      <c r="F86" s="10" t="s">
        <v>20</v>
      </c>
      <c r="J86" s="13"/>
      <c r="K86" s="24">
        <v>7844</v>
      </c>
      <c r="L86" s="14"/>
    </row>
    <row r="87" spans="1:23" s="2" customFormat="1" ht="16.5" customHeight="1" thickBot="1">
      <c r="A87" s="18" t="s">
        <v>914</v>
      </c>
      <c r="B87" s="47" t="s">
        <v>753</v>
      </c>
      <c r="C87" s="10">
        <v>429</v>
      </c>
      <c r="D87" s="10">
        <v>472</v>
      </c>
      <c r="E87" s="10">
        <v>607</v>
      </c>
      <c r="F87" s="10">
        <v>617</v>
      </c>
      <c r="G87" s="10">
        <v>638</v>
      </c>
      <c r="H87" s="10" t="s">
        <v>20</v>
      </c>
    </row>
    <row r="88" spans="1:23" s="2" customFormat="1" ht="16.5" customHeight="1" thickBot="1">
      <c r="A88" s="18" t="s">
        <v>916</v>
      </c>
      <c r="B88" s="23" t="s">
        <v>14</v>
      </c>
      <c r="C88" s="10">
        <v>391</v>
      </c>
      <c r="D88" s="10">
        <v>442</v>
      </c>
      <c r="E88" s="10" t="s">
        <v>20</v>
      </c>
      <c r="L88" s="24"/>
    </row>
    <row r="89" spans="1:23" s="2" customFormat="1" ht="16.5" customHeight="1" thickBot="1">
      <c r="A89" s="18" t="s">
        <v>915</v>
      </c>
      <c r="B89" s="23" t="s">
        <v>14</v>
      </c>
      <c r="C89" s="10">
        <v>219</v>
      </c>
      <c r="D89" s="10" t="s">
        <v>20</v>
      </c>
      <c r="L89" s="24"/>
    </row>
    <row r="90" spans="1:23" s="2" customFormat="1" ht="11.25" customHeight="1">
      <c r="A90" s="29"/>
      <c r="B90" s="30"/>
      <c r="C90" s="29"/>
      <c r="D90" s="29"/>
      <c r="E90" s="29"/>
      <c r="N90" s="14"/>
    </row>
    <row r="91" spans="1:23" s="2" customFormat="1" ht="17.45" customHeight="1">
      <c r="A91" s="1" t="s">
        <v>892</v>
      </c>
    </row>
    <row r="92" spans="1:23" s="2" customFormat="1" ht="8.25" customHeight="1" thickBot="1">
      <c r="A92" s="1"/>
    </row>
    <row r="93" spans="1:23" s="2" customFormat="1" ht="17.45" customHeight="1" thickBot="1">
      <c r="A93" s="4" t="s">
        <v>0</v>
      </c>
      <c r="B93" s="5" t="s">
        <v>1</v>
      </c>
      <c r="C93" s="5" t="s">
        <v>2</v>
      </c>
      <c r="D93" s="5">
        <v>2</v>
      </c>
      <c r="E93" s="5">
        <v>3</v>
      </c>
      <c r="F93" s="5">
        <v>4</v>
      </c>
      <c r="G93" s="5">
        <v>5</v>
      </c>
      <c r="H93" s="5">
        <v>6</v>
      </c>
      <c r="I93" s="5">
        <v>7</v>
      </c>
      <c r="J93" s="5">
        <v>8</v>
      </c>
      <c r="K93" s="5">
        <v>9</v>
      </c>
      <c r="L93" s="5">
        <v>10</v>
      </c>
      <c r="M93" s="5">
        <v>11</v>
      </c>
      <c r="N93" s="5">
        <v>12</v>
      </c>
      <c r="O93" s="5">
        <v>13</v>
      </c>
      <c r="P93" s="5">
        <v>14</v>
      </c>
      <c r="Q93" s="5">
        <v>15</v>
      </c>
      <c r="R93" s="5"/>
      <c r="S93" s="13" t="s">
        <v>9</v>
      </c>
      <c r="T93" s="14">
        <f>(12291/27482)</f>
        <v>0.44723819227130485</v>
      </c>
    </row>
    <row r="94" spans="1:23" s="2" customFormat="1" ht="17.45" customHeight="1" thickBot="1">
      <c r="A94" s="7" t="s">
        <v>893</v>
      </c>
      <c r="B94" s="8" t="s">
        <v>3</v>
      </c>
      <c r="C94" s="9">
        <v>2456</v>
      </c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1" t="s">
        <v>4</v>
      </c>
      <c r="T94" s="13" t="s">
        <v>11</v>
      </c>
      <c r="U94" s="13" t="s">
        <v>12</v>
      </c>
      <c r="V94" s="13" t="s">
        <v>13</v>
      </c>
      <c r="W94" s="13"/>
    </row>
    <row r="95" spans="1:23" s="2" customFormat="1" ht="17.45" customHeight="1" thickBot="1">
      <c r="A95" s="7" t="s">
        <v>894</v>
      </c>
      <c r="B95" s="12" t="s">
        <v>5</v>
      </c>
      <c r="C95" s="10">
        <v>1110</v>
      </c>
      <c r="D95" s="10">
        <v>1119</v>
      </c>
      <c r="E95" s="10">
        <v>1125</v>
      </c>
      <c r="F95" s="10">
        <v>1132</v>
      </c>
      <c r="G95" s="10">
        <v>1151</v>
      </c>
      <c r="H95" s="10">
        <v>1160</v>
      </c>
      <c r="I95" s="10">
        <v>1198</v>
      </c>
      <c r="J95" s="10">
        <v>1211</v>
      </c>
      <c r="K95" s="10">
        <v>1362</v>
      </c>
      <c r="L95" s="10">
        <v>1387</v>
      </c>
      <c r="M95" s="10">
        <v>1403</v>
      </c>
      <c r="N95" s="10">
        <v>1424</v>
      </c>
      <c r="O95" s="10">
        <v>1435</v>
      </c>
      <c r="P95" s="10">
        <v>1791</v>
      </c>
      <c r="Q95" s="9">
        <v>1873</v>
      </c>
      <c r="R95" s="11" t="s">
        <v>10</v>
      </c>
      <c r="S95" s="16" t="s">
        <v>5</v>
      </c>
      <c r="T95" s="17">
        <f>(C95+C97+C99+C104)</f>
        <v>3524</v>
      </c>
      <c r="U95" s="14">
        <f>SUM(T95/T102)</f>
        <v>0.28961209730440501</v>
      </c>
      <c r="V95" s="2">
        <v>2</v>
      </c>
    </row>
    <row r="96" spans="1:23" s="2" customFormat="1" ht="17.45" customHeight="1" thickBot="1">
      <c r="A96" s="18" t="s">
        <v>716</v>
      </c>
      <c r="B96" s="27" t="s">
        <v>18</v>
      </c>
      <c r="C96" s="10">
        <v>1063</v>
      </c>
      <c r="D96" s="10">
        <v>1070</v>
      </c>
      <c r="E96" s="10">
        <v>1077</v>
      </c>
      <c r="F96" s="10">
        <v>1080</v>
      </c>
      <c r="G96" s="10">
        <v>1086</v>
      </c>
      <c r="H96" s="10">
        <v>1098</v>
      </c>
      <c r="I96" s="10">
        <v>1112</v>
      </c>
      <c r="J96" s="10">
        <v>1235</v>
      </c>
      <c r="K96" s="10">
        <v>1266</v>
      </c>
      <c r="L96" s="10">
        <v>1307</v>
      </c>
      <c r="M96" s="10">
        <v>1321</v>
      </c>
      <c r="N96" s="10">
        <v>1342</v>
      </c>
      <c r="O96" s="10">
        <v>1345</v>
      </c>
      <c r="P96" s="10">
        <v>1387</v>
      </c>
      <c r="Q96" s="10">
        <v>1483</v>
      </c>
      <c r="R96" s="11"/>
      <c r="S96" s="20" t="s">
        <v>3</v>
      </c>
      <c r="T96" s="17">
        <f>(C94+C98+C102+C105)</f>
        <v>4323</v>
      </c>
      <c r="U96" s="14">
        <f>SUM(T96/T102)</f>
        <v>0.35527613412228798</v>
      </c>
      <c r="V96" s="2">
        <v>2</v>
      </c>
    </row>
    <row r="97" spans="1:23" s="2" customFormat="1" ht="17.45" customHeight="1" thickBot="1">
      <c r="A97" s="7" t="s">
        <v>712</v>
      </c>
      <c r="B97" s="12" t="s">
        <v>5</v>
      </c>
      <c r="C97" s="10">
        <v>1057</v>
      </c>
      <c r="D97" s="10">
        <v>1061</v>
      </c>
      <c r="E97" s="10">
        <v>1066</v>
      </c>
      <c r="F97" s="10">
        <v>1074</v>
      </c>
      <c r="G97" s="10">
        <v>1080</v>
      </c>
      <c r="H97" s="10">
        <v>1093</v>
      </c>
      <c r="I97" s="10">
        <v>1097</v>
      </c>
      <c r="J97" s="10">
        <v>1134</v>
      </c>
      <c r="K97" s="10">
        <v>1249</v>
      </c>
      <c r="L97" s="10">
        <v>1306</v>
      </c>
      <c r="M97" s="10">
        <v>1331</v>
      </c>
      <c r="N97" s="10">
        <v>1345</v>
      </c>
      <c r="O97" s="10">
        <v>1353</v>
      </c>
      <c r="P97" s="10">
        <v>1887</v>
      </c>
      <c r="Q97" s="9">
        <v>1993</v>
      </c>
      <c r="R97" s="11" t="s">
        <v>6</v>
      </c>
      <c r="S97" s="21" t="s">
        <v>16</v>
      </c>
      <c r="T97" s="17">
        <f>(C100+C101+C103+C110)</f>
        <v>2021</v>
      </c>
      <c r="U97" s="14">
        <f>SUM(T97/T102)</f>
        <v>0.1660913872452334</v>
      </c>
      <c r="V97" s="2">
        <v>1</v>
      </c>
    </row>
    <row r="98" spans="1:23" s="2" customFormat="1" ht="17.45" customHeight="1" thickBot="1">
      <c r="A98" s="7" t="s">
        <v>711</v>
      </c>
      <c r="B98" s="8" t="s">
        <v>3</v>
      </c>
      <c r="C98" s="10">
        <v>857</v>
      </c>
      <c r="D98" s="10">
        <v>951</v>
      </c>
      <c r="E98" s="10">
        <v>958</v>
      </c>
      <c r="F98" s="10">
        <v>966</v>
      </c>
      <c r="G98" s="10">
        <v>984</v>
      </c>
      <c r="H98" s="10">
        <v>998</v>
      </c>
      <c r="I98" s="10">
        <v>1023</v>
      </c>
      <c r="J98" s="10">
        <v>1037</v>
      </c>
      <c r="K98" s="10">
        <v>1057</v>
      </c>
      <c r="L98" s="10">
        <v>1160</v>
      </c>
      <c r="M98" s="10">
        <v>1503</v>
      </c>
      <c r="N98" s="9">
        <v>2243</v>
      </c>
      <c r="O98" s="10"/>
      <c r="P98" s="10"/>
      <c r="Q98" s="9"/>
      <c r="R98" s="11" t="s">
        <v>8</v>
      </c>
      <c r="S98" s="48" t="s">
        <v>753</v>
      </c>
      <c r="T98" s="17">
        <v>287</v>
      </c>
      <c r="U98" s="14">
        <f>SUM(T98/T102)</f>
        <v>2.3586456278763972E-2</v>
      </c>
    </row>
    <row r="99" spans="1:23" s="2" customFormat="1" ht="17.45" customHeight="1" thickBot="1">
      <c r="A99" s="18" t="s">
        <v>899</v>
      </c>
      <c r="B99" s="19" t="s">
        <v>5</v>
      </c>
      <c r="C99" s="10">
        <v>854</v>
      </c>
      <c r="D99" s="10">
        <v>859</v>
      </c>
      <c r="E99" s="10">
        <v>865</v>
      </c>
      <c r="F99" s="10">
        <v>867</v>
      </c>
      <c r="G99" s="10">
        <v>870</v>
      </c>
      <c r="H99" s="10">
        <v>877</v>
      </c>
      <c r="I99" s="10">
        <v>887</v>
      </c>
      <c r="J99" s="10">
        <v>905</v>
      </c>
      <c r="K99" s="10">
        <v>1052</v>
      </c>
      <c r="L99" s="10">
        <v>1074</v>
      </c>
      <c r="M99" s="10">
        <v>1080</v>
      </c>
      <c r="N99" s="10">
        <v>1098</v>
      </c>
      <c r="O99" s="10">
        <v>1111</v>
      </c>
      <c r="P99" s="10" t="s">
        <v>20</v>
      </c>
      <c r="S99" s="83" t="s">
        <v>31</v>
      </c>
      <c r="T99" s="17">
        <v>406</v>
      </c>
      <c r="U99" s="14">
        <f>SUM(T99/T102)</f>
        <v>3.3366206443129522E-2</v>
      </c>
      <c r="W99" s="14"/>
    </row>
    <row r="100" spans="1:23" s="2" customFormat="1" ht="17.45" customHeight="1" thickBot="1">
      <c r="A100" s="7" t="s">
        <v>89</v>
      </c>
      <c r="B100" s="43" t="s">
        <v>16</v>
      </c>
      <c r="C100" s="10">
        <v>700</v>
      </c>
      <c r="D100" s="10">
        <v>715</v>
      </c>
      <c r="E100" s="10">
        <v>727</v>
      </c>
      <c r="F100" s="10">
        <v>760</v>
      </c>
      <c r="G100" s="10">
        <v>787</v>
      </c>
      <c r="H100" s="10">
        <v>837</v>
      </c>
      <c r="I100" s="10">
        <v>932</v>
      </c>
      <c r="J100" s="10">
        <v>994</v>
      </c>
      <c r="K100" s="10">
        <v>1007</v>
      </c>
      <c r="L100" s="10">
        <v>1179</v>
      </c>
      <c r="M100" s="10">
        <v>1238</v>
      </c>
      <c r="N100" s="10">
        <v>1310</v>
      </c>
      <c r="O100" s="10">
        <v>1408</v>
      </c>
      <c r="P100" s="10">
        <v>1471</v>
      </c>
      <c r="Q100" s="9">
        <v>2041</v>
      </c>
      <c r="R100" s="11" t="s">
        <v>7</v>
      </c>
      <c r="S100" s="26" t="s">
        <v>18</v>
      </c>
      <c r="T100" s="17">
        <v>1063</v>
      </c>
      <c r="U100" s="14">
        <f>SUM(T100/T102)</f>
        <v>8.7360289283366213E-2</v>
      </c>
    </row>
    <row r="101" spans="1:23" s="2" customFormat="1" ht="17.45" customHeight="1" thickBot="1">
      <c r="A101" s="18" t="s">
        <v>900</v>
      </c>
      <c r="B101" s="22" t="s">
        <v>16</v>
      </c>
      <c r="C101" s="10">
        <v>663</v>
      </c>
      <c r="D101" s="10">
        <v>679</v>
      </c>
      <c r="E101" s="10">
        <v>684</v>
      </c>
      <c r="F101" s="10">
        <v>701</v>
      </c>
      <c r="G101" s="10">
        <v>707</v>
      </c>
      <c r="H101" s="10">
        <v>723</v>
      </c>
      <c r="I101" s="10">
        <v>755</v>
      </c>
      <c r="J101" s="10">
        <v>814</v>
      </c>
      <c r="K101" s="10">
        <v>831</v>
      </c>
      <c r="L101" s="10">
        <v>974</v>
      </c>
      <c r="M101" s="10">
        <v>1001</v>
      </c>
      <c r="N101" s="10">
        <v>1052</v>
      </c>
      <c r="O101" s="10">
        <v>1133</v>
      </c>
      <c r="P101" s="10">
        <v>1169</v>
      </c>
      <c r="Q101" s="10" t="s">
        <v>20</v>
      </c>
      <c r="S101" s="13" t="s">
        <v>17</v>
      </c>
      <c r="T101" s="17">
        <f>(C109+C108+C111)</f>
        <v>544</v>
      </c>
      <c r="U101" s="14">
        <f>SUM(T101/T102)</f>
        <v>4.4707429322813935E-2</v>
      </c>
    </row>
    <row r="102" spans="1:23" s="2" customFormat="1" ht="17.45" customHeight="1" thickBot="1">
      <c r="A102" s="18" t="s">
        <v>904</v>
      </c>
      <c r="B102" s="28" t="s">
        <v>3</v>
      </c>
      <c r="C102" s="10">
        <v>575</v>
      </c>
      <c r="D102" s="10">
        <v>623</v>
      </c>
      <c r="E102" s="10">
        <v>623</v>
      </c>
      <c r="F102" s="10">
        <v>636</v>
      </c>
      <c r="G102" s="10">
        <v>648</v>
      </c>
      <c r="H102" s="10">
        <v>661</v>
      </c>
      <c r="I102" s="10">
        <v>685</v>
      </c>
      <c r="J102" s="10">
        <v>696</v>
      </c>
      <c r="K102" s="10">
        <v>699</v>
      </c>
      <c r="L102" s="10">
        <v>735</v>
      </c>
      <c r="M102" s="10" t="s">
        <v>20</v>
      </c>
      <c r="S102" s="13"/>
      <c r="T102" s="24">
        <v>12168</v>
      </c>
      <c r="U102" s="14"/>
    </row>
    <row r="103" spans="1:23" s="2" customFormat="1" ht="17.45" customHeight="1" thickBot="1">
      <c r="A103" s="18" t="s">
        <v>902</v>
      </c>
      <c r="B103" s="22" t="s">
        <v>16</v>
      </c>
      <c r="C103" s="10">
        <v>524</v>
      </c>
      <c r="D103" s="10">
        <v>531</v>
      </c>
      <c r="E103" s="10">
        <v>534</v>
      </c>
      <c r="F103" s="10">
        <v>564</v>
      </c>
      <c r="G103" s="10">
        <v>566</v>
      </c>
      <c r="H103" s="10">
        <v>584</v>
      </c>
      <c r="I103" s="10">
        <v>600</v>
      </c>
      <c r="J103" s="10">
        <v>670</v>
      </c>
      <c r="K103" s="10">
        <v>683</v>
      </c>
      <c r="L103" s="10" t="s">
        <v>20</v>
      </c>
    </row>
    <row r="104" spans="1:23" s="2" customFormat="1" ht="17.45" customHeight="1" thickBot="1">
      <c r="A104" s="18" t="s">
        <v>895</v>
      </c>
      <c r="B104" s="19" t="s">
        <v>5</v>
      </c>
      <c r="C104" s="10">
        <v>503</v>
      </c>
      <c r="D104" s="10">
        <v>508</v>
      </c>
      <c r="E104" s="10">
        <v>510</v>
      </c>
      <c r="F104" s="10">
        <v>510</v>
      </c>
      <c r="G104" s="10">
        <v>515</v>
      </c>
      <c r="H104" s="10">
        <v>518</v>
      </c>
      <c r="I104" s="10">
        <v>529</v>
      </c>
      <c r="J104" s="10">
        <v>552</v>
      </c>
      <c r="K104" s="10" t="s">
        <v>20</v>
      </c>
      <c r="N104" s="24"/>
    </row>
    <row r="105" spans="1:23" s="2" customFormat="1" ht="17.45" customHeight="1" thickBot="1">
      <c r="A105" s="18" t="s">
        <v>901</v>
      </c>
      <c r="B105" s="28" t="s">
        <v>3</v>
      </c>
      <c r="C105" s="10">
        <v>435</v>
      </c>
      <c r="D105" s="10">
        <v>642</v>
      </c>
      <c r="E105" s="10">
        <v>646</v>
      </c>
      <c r="F105" s="10">
        <v>650</v>
      </c>
      <c r="G105" s="10">
        <v>679</v>
      </c>
      <c r="H105" s="10">
        <v>687</v>
      </c>
      <c r="I105" s="10">
        <v>725</v>
      </c>
      <c r="J105" s="10">
        <v>741</v>
      </c>
      <c r="K105" s="10">
        <v>766</v>
      </c>
      <c r="L105" s="10">
        <v>784</v>
      </c>
      <c r="M105" s="10">
        <v>998</v>
      </c>
      <c r="N105" s="10" t="s">
        <v>20</v>
      </c>
    </row>
    <row r="106" spans="1:23" s="2" customFormat="1" ht="17.45" customHeight="1" thickBot="1">
      <c r="A106" s="18" t="s">
        <v>896</v>
      </c>
      <c r="B106" s="76" t="s">
        <v>31</v>
      </c>
      <c r="C106" s="10">
        <v>406</v>
      </c>
      <c r="D106" s="10">
        <v>409</v>
      </c>
      <c r="E106" s="10">
        <v>415</v>
      </c>
      <c r="F106" s="10">
        <v>416</v>
      </c>
      <c r="G106" s="10">
        <v>423</v>
      </c>
      <c r="H106" s="10">
        <v>471</v>
      </c>
      <c r="I106" s="10">
        <v>520</v>
      </c>
      <c r="J106" s="10" t="s">
        <v>20</v>
      </c>
    </row>
    <row r="107" spans="1:23" s="2" customFormat="1" ht="17.45" customHeight="1" thickBot="1">
      <c r="A107" s="18" t="s">
        <v>897</v>
      </c>
      <c r="B107" s="47" t="s">
        <v>753</v>
      </c>
      <c r="C107" s="10">
        <v>287</v>
      </c>
      <c r="D107" s="10">
        <v>289</v>
      </c>
      <c r="E107" s="10">
        <v>305</v>
      </c>
      <c r="F107" s="10">
        <v>310</v>
      </c>
      <c r="G107" s="10">
        <v>357</v>
      </c>
      <c r="H107" s="10">
        <v>401</v>
      </c>
      <c r="I107" s="10" t="s">
        <v>20</v>
      </c>
      <c r="J107" s="17"/>
    </row>
    <row r="108" spans="1:23" s="2" customFormat="1" ht="17.45" customHeight="1" thickBot="1">
      <c r="A108" s="18" t="s">
        <v>898</v>
      </c>
      <c r="B108" s="89" t="s">
        <v>826</v>
      </c>
      <c r="C108" s="10">
        <v>241</v>
      </c>
      <c r="D108" s="10">
        <v>242</v>
      </c>
      <c r="E108" s="10">
        <v>250</v>
      </c>
      <c r="F108" s="10">
        <v>254</v>
      </c>
      <c r="G108" s="10">
        <v>263</v>
      </c>
      <c r="H108" s="10" t="s">
        <v>20</v>
      </c>
      <c r="N108" s="24"/>
    </row>
    <row r="109" spans="1:23" s="2" customFormat="1" ht="17.45" customHeight="1" thickBot="1">
      <c r="A109" s="18" t="s">
        <v>49</v>
      </c>
      <c r="B109" s="23" t="s">
        <v>14</v>
      </c>
      <c r="C109" s="10">
        <v>202</v>
      </c>
      <c r="D109" s="10">
        <v>202</v>
      </c>
      <c r="E109" s="10">
        <v>212</v>
      </c>
      <c r="F109" s="10">
        <v>212</v>
      </c>
      <c r="G109" s="10" t="s">
        <v>20</v>
      </c>
    </row>
    <row r="110" spans="1:23" s="2" customFormat="1" ht="17.45" customHeight="1" thickBot="1">
      <c r="A110" s="18" t="s">
        <v>903</v>
      </c>
      <c r="B110" s="22" t="s">
        <v>16</v>
      </c>
      <c r="C110" s="10">
        <v>134</v>
      </c>
      <c r="D110" s="10">
        <v>136</v>
      </c>
      <c r="E110" s="10">
        <v>136</v>
      </c>
      <c r="F110" s="10" t="s">
        <v>20</v>
      </c>
    </row>
    <row r="111" spans="1:23" s="2" customFormat="1" ht="17.45" customHeight="1" thickBot="1">
      <c r="A111" s="18" t="s">
        <v>905</v>
      </c>
      <c r="B111" s="23" t="s">
        <v>14</v>
      </c>
      <c r="C111" s="10">
        <v>101</v>
      </c>
      <c r="D111" s="10">
        <v>102</v>
      </c>
      <c r="E111" s="10" t="s">
        <v>20</v>
      </c>
    </row>
    <row r="113" spans="1:20" s="32" customFormat="1" ht="15" customHeight="1">
      <c r="B113" s="36" t="s">
        <v>19</v>
      </c>
      <c r="C113" s="38" t="s">
        <v>5</v>
      </c>
      <c r="D113" s="39" t="s">
        <v>3</v>
      </c>
      <c r="E113" s="40" t="s">
        <v>16</v>
      </c>
      <c r="F113" s="72" t="s">
        <v>31</v>
      </c>
      <c r="G113" s="49" t="s">
        <v>753</v>
      </c>
      <c r="H113" s="41" t="s">
        <v>18</v>
      </c>
      <c r="I113" s="36" t="s">
        <v>17</v>
      </c>
      <c r="R113" s="33"/>
      <c r="S113" s="34"/>
      <c r="T113" s="35"/>
    </row>
    <row r="114" spans="1:20" s="32" customFormat="1" ht="15" customHeight="1">
      <c r="A114" s="32" t="s">
        <v>11</v>
      </c>
      <c r="B114" s="37">
        <f>SUM(R12+M72+K30+K86+T102+M59+L44)</f>
        <v>57791</v>
      </c>
      <c r="C114" s="34">
        <f>SUM(T95+K81+K25+M67+M52+R5+L39)</f>
        <v>22006</v>
      </c>
      <c r="D114" s="34">
        <f>SUM(T96+K82+K26+M68+M53+R6+L40)</f>
        <v>19711</v>
      </c>
      <c r="E114" s="34">
        <f>SUM(T97+K83+K27+M69+M54+R7+L41)</f>
        <v>6989</v>
      </c>
      <c r="F114" s="34">
        <f>(T99+M71+M55+L43+K28+R10)</f>
        <v>2669</v>
      </c>
      <c r="G114" s="34">
        <f>(T98+K84+M70+M56+L42+K29+R9)</f>
        <v>2304</v>
      </c>
      <c r="H114" s="34">
        <f>(T100+M57+R8)</f>
        <v>1830</v>
      </c>
      <c r="I114" s="34">
        <f>(T101+K85+M58+R11)</f>
        <v>2282</v>
      </c>
      <c r="R114" s="36"/>
      <c r="S114" s="37"/>
      <c r="T114" s="35"/>
    </row>
    <row r="115" spans="1:20" s="32" customFormat="1" ht="15" customHeight="1">
      <c r="A115" s="32" t="s">
        <v>12</v>
      </c>
      <c r="B115" s="42">
        <v>1</v>
      </c>
      <c r="C115" s="35">
        <f t="shared" ref="C115:I115" si="0">SUM(C114/$B$114)</f>
        <v>0.38078593552629303</v>
      </c>
      <c r="D115" s="35">
        <f t="shared" si="0"/>
        <v>0.34107386963367997</v>
      </c>
      <c r="E115" s="35">
        <f t="shared" si="0"/>
        <v>0.12093578584900763</v>
      </c>
      <c r="F115" s="35">
        <f t="shared" si="0"/>
        <v>4.6183661815853677E-2</v>
      </c>
      <c r="G115" s="35">
        <f t="shared" si="0"/>
        <v>3.9867799484348772E-2</v>
      </c>
      <c r="H115" s="35">
        <f t="shared" si="0"/>
        <v>3.1665830319599936E-2</v>
      </c>
      <c r="I115" s="35">
        <f t="shared" si="0"/>
        <v>3.9487117371216969E-2</v>
      </c>
    </row>
    <row r="116" spans="1:20" s="32" customFormat="1" ht="15" customHeight="1">
      <c r="A116" s="32" t="s">
        <v>13</v>
      </c>
      <c r="B116" s="36">
        <v>28</v>
      </c>
      <c r="C116" s="32">
        <v>13</v>
      </c>
      <c r="D116" s="32">
        <v>11</v>
      </c>
      <c r="E116" s="32">
        <v>3</v>
      </c>
      <c r="F116" s="32">
        <v>1</v>
      </c>
      <c r="G116" s="32">
        <v>0</v>
      </c>
      <c r="H116" s="32">
        <v>0</v>
      </c>
      <c r="I116" s="32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"/>
  <dimension ref="A1:T100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8" s="2" customFormat="1" ht="16.5" customHeight="1">
      <c r="A1" s="1" t="s">
        <v>561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(7463/15777)</f>
        <v>0.47303036065158144</v>
      </c>
    </row>
    <row r="4" spans="1:18" s="2" customFormat="1" ht="16.5" customHeight="1" thickBot="1">
      <c r="A4" s="7" t="s">
        <v>416</v>
      </c>
      <c r="B4" s="15" t="s">
        <v>14</v>
      </c>
      <c r="C4" s="10">
        <v>1378</v>
      </c>
      <c r="D4" s="10">
        <v>1396</v>
      </c>
      <c r="E4" s="10">
        <v>1412</v>
      </c>
      <c r="F4" s="10">
        <v>1446</v>
      </c>
      <c r="G4" s="9">
        <v>1523</v>
      </c>
      <c r="H4" s="10"/>
      <c r="I4" s="10"/>
      <c r="J4" s="10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563</v>
      </c>
      <c r="B5" s="8" t="s">
        <v>3</v>
      </c>
      <c r="C5" s="10">
        <v>1172</v>
      </c>
      <c r="D5" s="10">
        <v>1213</v>
      </c>
      <c r="E5" s="10">
        <v>1217</v>
      </c>
      <c r="F5" s="10">
        <v>1228</v>
      </c>
      <c r="G5" s="10">
        <v>1249</v>
      </c>
      <c r="H5" s="10">
        <v>1259</v>
      </c>
      <c r="I5" s="10">
        <v>1333</v>
      </c>
      <c r="J5" s="10">
        <v>1338</v>
      </c>
      <c r="K5" s="9">
        <v>1814</v>
      </c>
      <c r="L5" s="10"/>
      <c r="M5" s="9"/>
      <c r="N5" s="11" t="s">
        <v>8</v>
      </c>
      <c r="O5" s="16" t="s">
        <v>5</v>
      </c>
      <c r="P5" s="17">
        <f>(C7+C9+C10)</f>
        <v>1998</v>
      </c>
      <c r="Q5" s="14">
        <f>SUM(P5/P12)</f>
        <v>0.26876513317191281</v>
      </c>
      <c r="R5" s="2">
        <v>1</v>
      </c>
    </row>
    <row r="6" spans="1:18" s="2" customFormat="1" ht="16.5" customHeight="1" thickBot="1">
      <c r="A6" s="7" t="s">
        <v>562</v>
      </c>
      <c r="B6" s="81" t="s">
        <v>30</v>
      </c>
      <c r="C6" s="10">
        <v>1093</v>
      </c>
      <c r="D6" s="10">
        <v>1099</v>
      </c>
      <c r="E6" s="10">
        <v>1106</v>
      </c>
      <c r="F6" s="10">
        <v>1121</v>
      </c>
      <c r="G6" s="10">
        <v>1172</v>
      </c>
      <c r="H6" s="10">
        <v>1214</v>
      </c>
      <c r="I6" s="10">
        <v>1401</v>
      </c>
      <c r="J6" s="10">
        <v>1417</v>
      </c>
      <c r="K6" s="9">
        <v>1683</v>
      </c>
      <c r="L6" s="10"/>
      <c r="M6" s="9"/>
      <c r="N6" s="11" t="s">
        <v>7</v>
      </c>
      <c r="O6" s="20" t="s">
        <v>3</v>
      </c>
      <c r="P6" s="17">
        <f>(C5+C8+C15)</f>
        <v>2075</v>
      </c>
      <c r="Q6" s="14">
        <f>SUM(P6/P12)</f>
        <v>0.27912294861447406</v>
      </c>
      <c r="R6" s="2">
        <v>1</v>
      </c>
    </row>
    <row r="7" spans="1:18" s="2" customFormat="1" ht="16.5" customHeight="1" thickBot="1">
      <c r="A7" s="7" t="s">
        <v>568</v>
      </c>
      <c r="B7" s="12" t="s">
        <v>5</v>
      </c>
      <c r="C7" s="10">
        <v>807</v>
      </c>
      <c r="D7" s="10">
        <v>812</v>
      </c>
      <c r="E7" s="10">
        <v>815</v>
      </c>
      <c r="F7" s="10">
        <v>818</v>
      </c>
      <c r="G7" s="10">
        <v>823</v>
      </c>
      <c r="H7" s="10">
        <v>942</v>
      </c>
      <c r="I7" s="10">
        <v>978</v>
      </c>
      <c r="J7" s="10">
        <v>981</v>
      </c>
      <c r="K7" s="10">
        <v>1049</v>
      </c>
      <c r="L7" s="10">
        <v>1124</v>
      </c>
      <c r="M7" s="9">
        <v>1181</v>
      </c>
      <c r="N7" s="11" t="s">
        <v>6</v>
      </c>
      <c r="O7" s="21" t="s">
        <v>16</v>
      </c>
      <c r="P7" s="17">
        <f>(C13+C14)</f>
        <v>303</v>
      </c>
      <c r="Q7" s="14">
        <f>SUM(P7/P12)</f>
        <v>4.0758676351896693E-2</v>
      </c>
    </row>
    <row r="8" spans="1:18" s="2" customFormat="1" ht="16.5" customHeight="1" thickBot="1">
      <c r="A8" s="18" t="s">
        <v>565</v>
      </c>
      <c r="B8" s="28" t="s">
        <v>3</v>
      </c>
      <c r="C8" s="10">
        <v>780</v>
      </c>
      <c r="D8" s="10">
        <v>825</v>
      </c>
      <c r="E8" s="10">
        <v>829</v>
      </c>
      <c r="F8" s="10">
        <v>833</v>
      </c>
      <c r="G8" s="10">
        <v>853</v>
      </c>
      <c r="H8" s="10">
        <v>878</v>
      </c>
      <c r="I8" s="10">
        <v>950</v>
      </c>
      <c r="J8" s="10">
        <v>958</v>
      </c>
      <c r="K8" s="10" t="s">
        <v>20</v>
      </c>
      <c r="O8" s="48" t="s">
        <v>21</v>
      </c>
      <c r="P8" s="17">
        <v>391</v>
      </c>
      <c r="Q8" s="14">
        <f>SUM(P8/P12)</f>
        <v>5.2596179714823783E-2</v>
      </c>
    </row>
    <row r="9" spans="1:18" s="2" customFormat="1" ht="16.5" customHeight="1" thickBot="1">
      <c r="A9" s="18" t="s">
        <v>569</v>
      </c>
      <c r="B9" s="19" t="s">
        <v>5</v>
      </c>
      <c r="C9" s="10">
        <v>752</v>
      </c>
      <c r="D9" s="10">
        <v>753</v>
      </c>
      <c r="E9" s="10">
        <v>761</v>
      </c>
      <c r="F9" s="10">
        <v>768</v>
      </c>
      <c r="G9" s="10">
        <v>770</v>
      </c>
      <c r="H9" s="10">
        <v>954</v>
      </c>
      <c r="I9" s="10">
        <v>989</v>
      </c>
      <c r="J9" s="10">
        <v>993</v>
      </c>
      <c r="K9" s="10">
        <v>1037</v>
      </c>
      <c r="L9" s="10">
        <v>1112</v>
      </c>
      <c r="M9" s="10">
        <v>1164</v>
      </c>
      <c r="N9" s="11"/>
      <c r="O9" s="78" t="s">
        <v>30</v>
      </c>
      <c r="P9" s="17">
        <v>1093</v>
      </c>
      <c r="Q9" s="14">
        <f>SUM(P9/P12)</f>
        <v>0.14702717245090127</v>
      </c>
      <c r="R9" s="2">
        <v>1</v>
      </c>
    </row>
    <row r="10" spans="1:18" s="2" customFormat="1" ht="16.5" customHeight="1" thickBot="1">
      <c r="A10" s="18" t="s">
        <v>434</v>
      </c>
      <c r="B10" s="19" t="s">
        <v>5</v>
      </c>
      <c r="C10" s="10">
        <v>439</v>
      </c>
      <c r="D10" s="10">
        <v>442</v>
      </c>
      <c r="E10" s="10">
        <v>446</v>
      </c>
      <c r="F10" s="10">
        <v>450</v>
      </c>
      <c r="G10" s="10">
        <v>455</v>
      </c>
      <c r="H10" s="10" t="s">
        <v>20</v>
      </c>
      <c r="O10" s="83" t="s">
        <v>31</v>
      </c>
      <c r="P10" s="17">
        <v>196</v>
      </c>
      <c r="Q10" s="14">
        <f>SUM(P10/P12)</f>
        <v>2.6365348399246705E-2</v>
      </c>
    </row>
    <row r="11" spans="1:18" s="2" customFormat="1" ht="16.5" customHeight="1" thickBot="1">
      <c r="A11" s="18" t="s">
        <v>456</v>
      </c>
      <c r="B11" s="47" t="s">
        <v>21</v>
      </c>
      <c r="C11" s="10">
        <v>391</v>
      </c>
      <c r="D11" s="10">
        <v>391</v>
      </c>
      <c r="E11" s="10">
        <v>394</v>
      </c>
      <c r="F11" s="10">
        <v>448</v>
      </c>
      <c r="G11" s="10">
        <v>549</v>
      </c>
      <c r="H11" s="10">
        <v>576</v>
      </c>
      <c r="I11" s="10" t="s">
        <v>20</v>
      </c>
      <c r="O11" s="13" t="s">
        <v>17</v>
      </c>
      <c r="P11" s="17">
        <v>1378</v>
      </c>
      <c r="Q11" s="14">
        <f>SUM(P11/P12)</f>
        <v>0.18536454129674468</v>
      </c>
      <c r="R11" s="2">
        <v>1</v>
      </c>
    </row>
    <row r="12" spans="1:18" s="2" customFormat="1" ht="16.5" customHeight="1" thickBot="1">
      <c r="A12" s="18" t="s">
        <v>566</v>
      </c>
      <c r="B12" s="76" t="s">
        <v>31</v>
      </c>
      <c r="C12" s="10">
        <v>196</v>
      </c>
      <c r="D12" s="10">
        <v>197</v>
      </c>
      <c r="E12" s="10">
        <v>213</v>
      </c>
      <c r="F12" s="10" t="s">
        <v>20</v>
      </c>
      <c r="P12" s="24">
        <v>7434</v>
      </c>
    </row>
    <row r="13" spans="1:18" s="2" customFormat="1" ht="16.5" customHeight="1" thickBot="1">
      <c r="A13" s="18" t="s">
        <v>457</v>
      </c>
      <c r="B13" s="22" t="s">
        <v>16</v>
      </c>
      <c r="C13" s="10">
        <v>167</v>
      </c>
      <c r="D13" s="10">
        <v>169</v>
      </c>
      <c r="E13" s="10">
        <v>239</v>
      </c>
      <c r="F13" s="10">
        <v>316</v>
      </c>
      <c r="G13" s="10" t="s">
        <v>20</v>
      </c>
    </row>
    <row r="14" spans="1:18" s="2" customFormat="1" ht="16.5" customHeight="1" thickBot="1">
      <c r="A14" s="18" t="s">
        <v>564</v>
      </c>
      <c r="B14" s="22" t="s">
        <v>16</v>
      </c>
      <c r="C14" s="10">
        <v>136</v>
      </c>
      <c r="D14" s="10">
        <v>137</v>
      </c>
      <c r="E14" s="10" t="s">
        <v>20</v>
      </c>
    </row>
    <row r="15" spans="1:18" s="2" customFormat="1" ht="16.5" customHeight="1" thickBot="1">
      <c r="A15" s="18" t="s">
        <v>567</v>
      </c>
      <c r="B15" s="28" t="s">
        <v>3</v>
      </c>
      <c r="C15" s="10">
        <v>123</v>
      </c>
      <c r="D15" s="10" t="s">
        <v>20</v>
      </c>
    </row>
    <row r="16" spans="1:18" s="2" customFormat="1" ht="10.5" customHeight="1">
      <c r="A16" s="1"/>
    </row>
    <row r="17" spans="1:15" s="2" customFormat="1" ht="17.45" customHeight="1">
      <c r="A17" s="1" t="s">
        <v>588</v>
      </c>
    </row>
    <row r="18" spans="1:15" s="2" customFormat="1" ht="10.5" customHeight="1" thickBot="1">
      <c r="A18" s="1"/>
    </row>
    <row r="19" spans="1:15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5">
        <v>8</v>
      </c>
      <c r="K19" s="6"/>
      <c r="L19" s="13" t="s">
        <v>9</v>
      </c>
      <c r="M19" s="14">
        <f>(6592/13768)</f>
        <v>0.47879140034863449</v>
      </c>
    </row>
    <row r="20" spans="1:15" s="2" customFormat="1" ht="16.5" customHeight="1" thickBot="1">
      <c r="A20" s="7" t="s">
        <v>106</v>
      </c>
      <c r="B20" s="15" t="s">
        <v>14</v>
      </c>
      <c r="C20" s="10">
        <v>1281</v>
      </c>
      <c r="D20" s="10">
        <v>1294</v>
      </c>
      <c r="E20" s="10">
        <v>1316</v>
      </c>
      <c r="F20" s="10">
        <v>1347</v>
      </c>
      <c r="G20" s="10">
        <v>1464</v>
      </c>
      <c r="H20" s="10">
        <v>1581</v>
      </c>
      <c r="I20" s="9">
        <v>1652</v>
      </c>
      <c r="J20" s="10"/>
      <c r="K20" s="11" t="s">
        <v>4</v>
      </c>
      <c r="M20" s="13" t="s">
        <v>11</v>
      </c>
      <c r="N20" s="13" t="s">
        <v>12</v>
      </c>
      <c r="O20" s="13" t="s">
        <v>13</v>
      </c>
    </row>
    <row r="21" spans="1:15" s="2" customFormat="1" ht="16.5" customHeight="1" thickBot="1">
      <c r="A21" s="18" t="s">
        <v>757</v>
      </c>
      <c r="B21" s="28" t="s">
        <v>3</v>
      </c>
      <c r="C21" s="10">
        <v>906</v>
      </c>
      <c r="D21" s="10">
        <v>920</v>
      </c>
      <c r="E21" s="10">
        <v>933</v>
      </c>
      <c r="F21" s="10">
        <v>1020</v>
      </c>
      <c r="G21" s="10">
        <v>1025</v>
      </c>
      <c r="H21" s="10">
        <v>1151</v>
      </c>
      <c r="I21" s="10">
        <v>1200</v>
      </c>
      <c r="J21" s="10">
        <v>1289</v>
      </c>
      <c r="K21" s="11"/>
      <c r="L21" s="16" t="s">
        <v>5</v>
      </c>
      <c r="M21" s="17">
        <f>(C22+C25+C30)</f>
        <v>1646</v>
      </c>
      <c r="N21" s="14">
        <f>SUM(M21/M28)</f>
        <v>0.25245398773006134</v>
      </c>
      <c r="O21" s="2">
        <v>1</v>
      </c>
    </row>
    <row r="22" spans="1:15" s="2" customFormat="1" ht="16.5" customHeight="1" thickBot="1">
      <c r="A22" s="7" t="s">
        <v>758</v>
      </c>
      <c r="B22" s="12" t="s">
        <v>5</v>
      </c>
      <c r="C22" s="10">
        <v>903</v>
      </c>
      <c r="D22" s="10">
        <v>955</v>
      </c>
      <c r="E22" s="10">
        <v>969</v>
      </c>
      <c r="F22" s="10">
        <v>1031</v>
      </c>
      <c r="G22" s="10">
        <v>1054</v>
      </c>
      <c r="H22" s="10">
        <v>1099</v>
      </c>
      <c r="I22" s="10">
        <v>1536</v>
      </c>
      <c r="J22" s="9">
        <v>1642</v>
      </c>
      <c r="K22" s="11" t="s">
        <v>8</v>
      </c>
      <c r="L22" s="20" t="s">
        <v>3</v>
      </c>
      <c r="M22" s="17">
        <f>(C21+C28)</f>
        <v>1160</v>
      </c>
      <c r="N22" s="14">
        <f>SUM(M22/M28)</f>
        <v>0.17791411042944785</v>
      </c>
    </row>
    <row r="23" spans="1:15" s="2" customFormat="1" ht="16.5" customHeight="1" thickBot="1">
      <c r="A23" s="7" t="s">
        <v>409</v>
      </c>
      <c r="B23" s="43" t="s">
        <v>16</v>
      </c>
      <c r="C23" s="10">
        <v>844</v>
      </c>
      <c r="D23" s="10">
        <v>856</v>
      </c>
      <c r="E23" s="10">
        <v>887</v>
      </c>
      <c r="F23" s="10">
        <v>916</v>
      </c>
      <c r="G23" s="10">
        <v>934</v>
      </c>
      <c r="H23" s="10">
        <v>1018</v>
      </c>
      <c r="I23" s="10">
        <v>1074</v>
      </c>
      <c r="J23" s="9">
        <v>1499</v>
      </c>
      <c r="K23" s="11" t="s">
        <v>7</v>
      </c>
      <c r="L23" s="21" t="s">
        <v>16</v>
      </c>
      <c r="M23" s="17">
        <v>844</v>
      </c>
      <c r="N23" s="14">
        <f>SUM(M23/M28)</f>
        <v>0.1294478527607362</v>
      </c>
      <c r="O23" s="2">
        <v>1</v>
      </c>
    </row>
    <row r="24" spans="1:15" s="2" customFormat="1" ht="16.5" customHeight="1" thickBot="1">
      <c r="A24" s="18" t="s">
        <v>595</v>
      </c>
      <c r="B24" s="76" t="s">
        <v>31</v>
      </c>
      <c r="C24" s="10">
        <v>672</v>
      </c>
      <c r="D24" s="10">
        <v>682</v>
      </c>
      <c r="E24" s="10">
        <v>706</v>
      </c>
      <c r="F24" s="10">
        <v>718</v>
      </c>
      <c r="G24" s="10">
        <v>771</v>
      </c>
      <c r="H24" s="10">
        <v>837</v>
      </c>
      <c r="I24" s="10">
        <v>868</v>
      </c>
      <c r="J24" s="10" t="s">
        <v>20</v>
      </c>
      <c r="L24" s="26" t="s">
        <v>18</v>
      </c>
      <c r="M24" s="17">
        <v>264</v>
      </c>
      <c r="N24" s="14">
        <f>SUM(M24/M28)</f>
        <v>4.0490797546012272E-2</v>
      </c>
    </row>
    <row r="25" spans="1:15" s="2" customFormat="1" ht="16.5" customHeight="1" thickBot="1">
      <c r="A25" s="18" t="s">
        <v>760</v>
      </c>
      <c r="B25" s="19" t="s">
        <v>5</v>
      </c>
      <c r="C25" s="10">
        <v>620</v>
      </c>
      <c r="D25" s="10">
        <v>651</v>
      </c>
      <c r="E25" s="10">
        <v>662</v>
      </c>
      <c r="F25" s="10">
        <v>670</v>
      </c>
      <c r="G25" s="10">
        <v>685</v>
      </c>
      <c r="H25" s="10">
        <v>730</v>
      </c>
      <c r="I25" s="10" t="s">
        <v>20</v>
      </c>
      <c r="L25" s="48" t="s">
        <v>21</v>
      </c>
      <c r="M25" s="17">
        <v>168</v>
      </c>
      <c r="N25" s="14">
        <f>SUM(M25/M28)</f>
        <v>2.5766871165644172E-2</v>
      </c>
    </row>
    <row r="26" spans="1:15" s="2" customFormat="1" ht="16.5" customHeight="1" thickBot="1">
      <c r="A26" s="18" t="s">
        <v>590</v>
      </c>
      <c r="B26" s="23" t="s">
        <v>14</v>
      </c>
      <c r="C26" s="10">
        <v>450</v>
      </c>
      <c r="D26" s="10">
        <v>459</v>
      </c>
      <c r="E26" s="10">
        <v>491</v>
      </c>
      <c r="F26" s="10">
        <v>507</v>
      </c>
      <c r="G26" s="10">
        <v>527</v>
      </c>
      <c r="H26" s="10" t="s">
        <v>20</v>
      </c>
      <c r="L26" s="83" t="s">
        <v>31</v>
      </c>
      <c r="M26" s="17">
        <v>672</v>
      </c>
      <c r="N26" s="14">
        <f>SUM(M26/M28)</f>
        <v>0.10306748466257669</v>
      </c>
    </row>
    <row r="27" spans="1:15" s="2" customFormat="1" ht="16.5" customHeight="1" thickBot="1">
      <c r="A27" s="18" t="s">
        <v>589</v>
      </c>
      <c r="B27" s="27" t="s">
        <v>18</v>
      </c>
      <c r="C27" s="10">
        <v>264</v>
      </c>
      <c r="D27" s="10">
        <v>267</v>
      </c>
      <c r="E27" s="10">
        <v>275</v>
      </c>
      <c r="F27" s="10">
        <v>282</v>
      </c>
      <c r="G27" s="10" t="s">
        <v>20</v>
      </c>
      <c r="L27" s="13" t="s">
        <v>17</v>
      </c>
      <c r="M27" s="17">
        <f>(C20+C26+C31)</f>
        <v>1766</v>
      </c>
      <c r="N27" s="14">
        <f>SUM(M27/M28)</f>
        <v>0.27085889570552146</v>
      </c>
      <c r="O27" s="2">
        <v>1</v>
      </c>
    </row>
    <row r="28" spans="1:15" s="2" customFormat="1" ht="16.5" customHeight="1" thickBot="1">
      <c r="A28" s="18" t="s">
        <v>594</v>
      </c>
      <c r="B28" s="28" t="s">
        <v>3</v>
      </c>
      <c r="C28" s="10">
        <v>254</v>
      </c>
      <c r="D28" s="10">
        <v>255</v>
      </c>
      <c r="E28" s="10">
        <v>268</v>
      </c>
      <c r="F28" s="10" t="s">
        <v>20</v>
      </c>
      <c r="M28" s="24">
        <v>6520</v>
      </c>
    </row>
    <row r="29" spans="1:15" s="2" customFormat="1" ht="16.5" customHeight="1" thickBot="1">
      <c r="A29" s="18" t="s">
        <v>1139</v>
      </c>
      <c r="B29" s="47" t="s">
        <v>21</v>
      </c>
      <c r="C29" s="10">
        <v>168</v>
      </c>
      <c r="D29" s="10">
        <v>177</v>
      </c>
      <c r="E29" s="10" t="s">
        <v>20</v>
      </c>
      <c r="F29" s="17"/>
    </row>
    <row r="30" spans="1:15" s="2" customFormat="1" ht="16.5" customHeight="1" thickBot="1">
      <c r="A30" s="18" t="s">
        <v>593</v>
      </c>
      <c r="B30" s="19" t="s">
        <v>5</v>
      </c>
      <c r="C30" s="10">
        <v>123</v>
      </c>
      <c r="D30" s="10" t="s">
        <v>20</v>
      </c>
    </row>
    <row r="31" spans="1:15" s="2" customFormat="1" ht="16.5" customHeight="1" thickBot="1">
      <c r="A31" s="18" t="s">
        <v>438</v>
      </c>
      <c r="B31" s="23" t="s">
        <v>14</v>
      </c>
      <c r="C31" s="10">
        <v>35</v>
      </c>
      <c r="D31" s="10" t="s">
        <v>20</v>
      </c>
    </row>
    <row r="32" spans="1:15" s="2" customFormat="1" ht="11.25" customHeight="1">
      <c r="A32" s="29"/>
      <c r="B32" s="30"/>
      <c r="C32" s="45"/>
      <c r="D32" s="45"/>
      <c r="E32" s="45"/>
      <c r="F32" s="17"/>
      <c r="G32" s="17"/>
      <c r="H32" s="17"/>
      <c r="I32" s="17"/>
      <c r="J32" s="17"/>
      <c r="K32" s="17"/>
      <c r="L32" s="17"/>
      <c r="M32" s="17"/>
      <c r="N32" s="44"/>
    </row>
    <row r="33" spans="1:16" s="2" customFormat="1" ht="17.45" customHeight="1">
      <c r="A33" s="1" t="s">
        <v>596</v>
      </c>
    </row>
    <row r="34" spans="1:16" s="2" customFormat="1" ht="10.5" customHeight="1" thickBot="1">
      <c r="A34" s="1"/>
    </row>
    <row r="35" spans="1:16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6"/>
      <c r="M35" s="13" t="s">
        <v>9</v>
      </c>
      <c r="N35" s="14">
        <f>(7738/17053)</f>
        <v>0.45376180144256145</v>
      </c>
    </row>
    <row r="36" spans="1:16" s="2" customFormat="1" ht="16.5" customHeight="1" thickBot="1">
      <c r="A36" s="7" t="s">
        <v>440</v>
      </c>
      <c r="B36" s="43" t="s">
        <v>16</v>
      </c>
      <c r="C36" s="9">
        <v>2667</v>
      </c>
      <c r="D36" s="10"/>
      <c r="E36" s="9"/>
      <c r="F36" s="10"/>
      <c r="G36" s="10"/>
      <c r="H36" s="10"/>
      <c r="I36" s="10"/>
      <c r="J36" s="10"/>
      <c r="K36" s="10"/>
      <c r="L36" s="11" t="s">
        <v>4</v>
      </c>
      <c r="N36" s="13" t="s">
        <v>11</v>
      </c>
      <c r="O36" s="13" t="s">
        <v>12</v>
      </c>
      <c r="P36" s="13" t="s">
        <v>13</v>
      </c>
    </row>
    <row r="37" spans="1:16" s="2" customFormat="1" ht="16.5" customHeight="1" thickBot="1">
      <c r="A37" s="7" t="s">
        <v>598</v>
      </c>
      <c r="B37" s="12" t="s">
        <v>5</v>
      </c>
      <c r="C37" s="10">
        <v>872</v>
      </c>
      <c r="D37" s="10">
        <v>963</v>
      </c>
      <c r="E37" s="10">
        <v>998</v>
      </c>
      <c r="F37" s="10">
        <v>1003</v>
      </c>
      <c r="G37" s="10">
        <v>1046</v>
      </c>
      <c r="H37" s="10">
        <v>1496</v>
      </c>
      <c r="I37" s="9">
        <v>1562</v>
      </c>
      <c r="J37" s="10"/>
      <c r="K37" s="10"/>
      <c r="L37" s="11" t="s">
        <v>7</v>
      </c>
      <c r="M37" s="16" t="s">
        <v>5</v>
      </c>
      <c r="N37" s="17">
        <f>(C37+C38+C39)</f>
        <v>2408</v>
      </c>
      <c r="O37" s="14">
        <f>SUM(N37/N43)</f>
        <v>0.31337844872462262</v>
      </c>
      <c r="P37" s="2">
        <v>1</v>
      </c>
    </row>
    <row r="38" spans="1:16" s="2" customFormat="1" ht="16.5" customHeight="1" thickBot="1">
      <c r="A38" s="18" t="s">
        <v>599</v>
      </c>
      <c r="B38" s="19" t="s">
        <v>5</v>
      </c>
      <c r="C38" s="10">
        <v>809</v>
      </c>
      <c r="D38" s="10">
        <v>846</v>
      </c>
      <c r="E38" s="10">
        <v>854</v>
      </c>
      <c r="F38" s="10">
        <v>917</v>
      </c>
      <c r="G38" s="10">
        <v>963</v>
      </c>
      <c r="H38" s="10">
        <v>1177</v>
      </c>
      <c r="I38" s="10">
        <v>1285</v>
      </c>
      <c r="J38" s="10">
        <v>1299</v>
      </c>
      <c r="K38" s="10">
        <v>1316</v>
      </c>
      <c r="L38" s="11"/>
      <c r="M38" s="20" t="s">
        <v>3</v>
      </c>
      <c r="N38" s="17">
        <f>(C40+C45)</f>
        <v>822</v>
      </c>
      <c r="O38" s="14">
        <f>SUM(N38/N43)</f>
        <v>0.10697553357626237</v>
      </c>
      <c r="P38" s="2">
        <v>1</v>
      </c>
    </row>
    <row r="39" spans="1:16" s="2" customFormat="1" ht="16.5" customHeight="1" thickBot="1">
      <c r="A39" s="18" t="s">
        <v>600</v>
      </c>
      <c r="B39" s="19" t="s">
        <v>5</v>
      </c>
      <c r="C39" s="10">
        <v>727</v>
      </c>
      <c r="D39" s="10">
        <v>821</v>
      </c>
      <c r="E39" s="10">
        <v>840</v>
      </c>
      <c r="F39" s="10">
        <v>857</v>
      </c>
      <c r="G39" s="10">
        <v>887</v>
      </c>
      <c r="H39" s="10" t="s">
        <v>20</v>
      </c>
      <c r="M39" s="21" t="s">
        <v>16</v>
      </c>
      <c r="N39" s="17">
        <f>(C36+C42)</f>
        <v>3120</v>
      </c>
      <c r="O39" s="14">
        <f>SUM(N39/N43)</f>
        <v>0.40603852160333159</v>
      </c>
      <c r="P39" s="2">
        <v>2</v>
      </c>
    </row>
    <row r="40" spans="1:16" s="2" customFormat="1" ht="16.5" customHeight="1" thickBot="1">
      <c r="A40" s="7" t="s">
        <v>127</v>
      </c>
      <c r="B40" s="8" t="s">
        <v>3</v>
      </c>
      <c r="C40" s="10">
        <v>689</v>
      </c>
      <c r="D40" s="10">
        <v>783</v>
      </c>
      <c r="E40" s="10">
        <v>875</v>
      </c>
      <c r="F40" s="10">
        <v>893</v>
      </c>
      <c r="G40" s="10">
        <v>988</v>
      </c>
      <c r="H40" s="10">
        <v>1065</v>
      </c>
      <c r="I40" s="10">
        <v>1268</v>
      </c>
      <c r="J40" s="10">
        <v>1316</v>
      </c>
      <c r="K40" s="9">
        <v>1324</v>
      </c>
      <c r="L40" s="11" t="s">
        <v>6</v>
      </c>
      <c r="M40" s="48" t="s">
        <v>21</v>
      </c>
      <c r="N40" s="17">
        <v>514</v>
      </c>
      <c r="O40" s="14">
        <f>SUM(N40/N43)</f>
        <v>6.6892243623112968E-2</v>
      </c>
    </row>
    <row r="41" spans="1:16" s="2" customFormat="1" ht="16.5" customHeight="1" thickBot="1">
      <c r="A41" s="18" t="s">
        <v>603</v>
      </c>
      <c r="B41" s="47" t="s">
        <v>21</v>
      </c>
      <c r="C41" s="10">
        <v>514</v>
      </c>
      <c r="D41" s="10">
        <v>608</v>
      </c>
      <c r="E41" s="10">
        <v>640</v>
      </c>
      <c r="F41" s="10">
        <v>718</v>
      </c>
      <c r="G41" s="10">
        <v>893</v>
      </c>
      <c r="H41" s="10">
        <v>937</v>
      </c>
      <c r="I41" s="10" t="s">
        <v>20</v>
      </c>
      <c r="M41" s="83" t="s">
        <v>31</v>
      </c>
      <c r="N41" s="17">
        <v>306</v>
      </c>
      <c r="O41" s="14">
        <f>SUM(N41/N43)</f>
        <v>3.9823008849557522E-2</v>
      </c>
    </row>
    <row r="42" spans="1:16" s="2" customFormat="1" ht="16.5" customHeight="1" thickBot="1">
      <c r="A42" s="7" t="s">
        <v>597</v>
      </c>
      <c r="B42" s="43" t="s">
        <v>16</v>
      </c>
      <c r="C42" s="10">
        <v>453</v>
      </c>
      <c r="D42" s="10">
        <v>1006</v>
      </c>
      <c r="E42" s="10">
        <v>1034</v>
      </c>
      <c r="F42" s="10">
        <v>1154</v>
      </c>
      <c r="G42" s="10">
        <v>1251</v>
      </c>
      <c r="H42" s="10">
        <v>1287</v>
      </c>
      <c r="I42" s="9">
        <v>1599</v>
      </c>
      <c r="J42" s="10"/>
      <c r="K42" s="9"/>
      <c r="L42" s="11" t="s">
        <v>8</v>
      </c>
      <c r="M42" s="13" t="s">
        <v>17</v>
      </c>
      <c r="N42" s="17">
        <f>(C43+C46)</f>
        <v>514</v>
      </c>
      <c r="O42" s="14">
        <f>SUM(N42/N43)</f>
        <v>6.6892243623112968E-2</v>
      </c>
    </row>
    <row r="43" spans="1:16" s="2" customFormat="1" ht="16.5" customHeight="1" thickBot="1">
      <c r="A43" s="18" t="s">
        <v>604</v>
      </c>
      <c r="B43" s="23" t="s">
        <v>14</v>
      </c>
      <c r="C43" s="10">
        <v>406</v>
      </c>
      <c r="D43" s="10">
        <v>466</v>
      </c>
      <c r="E43" s="10">
        <v>507</v>
      </c>
      <c r="F43" s="10">
        <v>562</v>
      </c>
      <c r="G43" s="10" t="s">
        <v>20</v>
      </c>
      <c r="N43" s="24">
        <v>7684</v>
      </c>
    </row>
    <row r="44" spans="1:16" s="2" customFormat="1" ht="16.5" customHeight="1" thickBot="1">
      <c r="A44" s="18" t="s">
        <v>601</v>
      </c>
      <c r="B44" s="76" t="s">
        <v>31</v>
      </c>
      <c r="C44" s="10">
        <v>306</v>
      </c>
      <c r="D44" s="10">
        <v>366</v>
      </c>
      <c r="E44" s="10">
        <v>380</v>
      </c>
      <c r="F44" s="10" t="s">
        <v>20</v>
      </c>
      <c r="L44" s="24"/>
    </row>
    <row r="45" spans="1:16" s="2" customFormat="1" ht="16.5" customHeight="1" thickBot="1">
      <c r="A45" s="18" t="s">
        <v>602</v>
      </c>
      <c r="B45" s="28" t="s">
        <v>3</v>
      </c>
      <c r="C45" s="10">
        <v>133</v>
      </c>
      <c r="D45" s="10">
        <v>162</v>
      </c>
      <c r="E45" s="10" t="s">
        <v>20</v>
      </c>
      <c r="G45" s="17"/>
      <c r="H45" s="17"/>
      <c r="I45" s="17"/>
      <c r="J45" s="44"/>
    </row>
    <row r="46" spans="1:16" s="2" customFormat="1" ht="16.5" customHeight="1" thickBot="1">
      <c r="A46" s="18" t="s">
        <v>605</v>
      </c>
      <c r="B46" s="23" t="s">
        <v>14</v>
      </c>
      <c r="C46" s="10">
        <v>108</v>
      </c>
      <c r="D46" s="10">
        <v>126</v>
      </c>
      <c r="E46" s="10" t="s">
        <v>20</v>
      </c>
      <c r="G46" s="17"/>
      <c r="H46" s="24"/>
      <c r="I46" s="46"/>
      <c r="J46" s="46"/>
      <c r="K46"/>
    </row>
    <row r="48" spans="1:16" s="2" customFormat="1" ht="17.45" customHeight="1">
      <c r="A48" s="1" t="s">
        <v>546</v>
      </c>
    </row>
    <row r="49" spans="1:18" s="2" customFormat="1" ht="10.5" customHeight="1" thickBot="1">
      <c r="A49" s="1"/>
    </row>
    <row r="50" spans="1:18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5">
        <v>6</v>
      </c>
      <c r="I50" s="5">
        <v>7</v>
      </c>
      <c r="J50" s="5">
        <v>8</v>
      </c>
      <c r="K50" s="5">
        <v>9</v>
      </c>
      <c r="L50" s="5">
        <v>10</v>
      </c>
      <c r="M50" s="5">
        <v>11</v>
      </c>
      <c r="N50" s="6"/>
      <c r="O50" s="13" t="s">
        <v>9</v>
      </c>
      <c r="P50" s="14">
        <f>(10753/19705)</f>
        <v>0.54569906115199185</v>
      </c>
    </row>
    <row r="51" spans="1:18" s="2" customFormat="1" ht="16.5" customHeight="1" thickBot="1">
      <c r="A51" s="7" t="s">
        <v>557</v>
      </c>
      <c r="B51" s="43" t="s">
        <v>16</v>
      </c>
      <c r="C51" s="9">
        <v>1865</v>
      </c>
      <c r="D51" s="10"/>
      <c r="E51" s="10"/>
      <c r="F51" s="10"/>
      <c r="G51" s="10"/>
      <c r="H51" s="9"/>
      <c r="I51" s="10"/>
      <c r="J51" s="10"/>
      <c r="K51" s="10"/>
      <c r="L51" s="9"/>
      <c r="M51" s="10"/>
      <c r="N51" s="11" t="s">
        <v>4</v>
      </c>
      <c r="P51" s="13" t="s">
        <v>11</v>
      </c>
      <c r="Q51" s="13" t="s">
        <v>12</v>
      </c>
      <c r="R51" s="13" t="s">
        <v>13</v>
      </c>
    </row>
    <row r="52" spans="1:18" s="2" customFormat="1" ht="16.5" customHeight="1" thickBot="1">
      <c r="A52" s="7" t="s">
        <v>549</v>
      </c>
      <c r="B52" s="80" t="s">
        <v>21</v>
      </c>
      <c r="C52" s="10">
        <v>1405</v>
      </c>
      <c r="D52" s="10">
        <v>1413</v>
      </c>
      <c r="E52" s="10">
        <v>1464</v>
      </c>
      <c r="F52" s="10">
        <v>1507</v>
      </c>
      <c r="G52" s="10">
        <v>1532</v>
      </c>
      <c r="H52" s="10">
        <v>1730</v>
      </c>
      <c r="I52" s="9">
        <v>1957</v>
      </c>
      <c r="J52" s="10"/>
      <c r="K52" s="10"/>
      <c r="L52" s="10"/>
      <c r="M52" s="9"/>
      <c r="N52" s="11" t="s">
        <v>8</v>
      </c>
      <c r="O52" s="16" t="s">
        <v>5</v>
      </c>
      <c r="P52" s="17">
        <f>(C53+C54+C56+C57+C62)</f>
        <v>3770</v>
      </c>
      <c r="Q52" s="14">
        <f>SUM(P52/P59)</f>
        <v>0.35389092274476674</v>
      </c>
      <c r="R52" s="2">
        <v>2</v>
      </c>
    </row>
    <row r="53" spans="1:18" s="2" customFormat="1" ht="16.5" customHeight="1" thickBot="1">
      <c r="A53" s="7" t="s">
        <v>558</v>
      </c>
      <c r="B53" s="12" t="s">
        <v>5</v>
      </c>
      <c r="C53" s="10">
        <v>1104</v>
      </c>
      <c r="D53" s="10">
        <v>1107</v>
      </c>
      <c r="E53" s="10">
        <v>1114</v>
      </c>
      <c r="F53" s="10">
        <v>1126</v>
      </c>
      <c r="G53" s="10">
        <v>1204</v>
      </c>
      <c r="H53" s="10">
        <v>1267</v>
      </c>
      <c r="I53" s="10">
        <v>1306</v>
      </c>
      <c r="J53" s="10">
        <v>1318</v>
      </c>
      <c r="K53" s="10">
        <v>1463</v>
      </c>
      <c r="L53" s="10">
        <v>1554</v>
      </c>
      <c r="M53" s="9">
        <v>1671</v>
      </c>
      <c r="N53" s="11" t="s">
        <v>6</v>
      </c>
      <c r="O53" s="20" t="s">
        <v>3</v>
      </c>
      <c r="P53" s="17">
        <f>(C55+C63)</f>
        <v>1184</v>
      </c>
      <c r="Q53" s="14">
        <f>SUM(P53/P59)</f>
        <v>0.11114240120153947</v>
      </c>
      <c r="R53" s="2">
        <v>1</v>
      </c>
    </row>
    <row r="54" spans="1:18" s="2" customFormat="1" ht="16.5" customHeight="1" thickBot="1">
      <c r="A54" s="18" t="s">
        <v>559</v>
      </c>
      <c r="B54" s="19" t="s">
        <v>5</v>
      </c>
      <c r="C54" s="10">
        <v>916</v>
      </c>
      <c r="D54" s="10">
        <v>922</v>
      </c>
      <c r="E54" s="10">
        <v>923</v>
      </c>
      <c r="F54" s="10">
        <v>925</v>
      </c>
      <c r="G54" s="10">
        <v>1017</v>
      </c>
      <c r="H54" s="10">
        <v>1072</v>
      </c>
      <c r="I54" s="10">
        <v>1100</v>
      </c>
      <c r="J54" s="10">
        <v>1103</v>
      </c>
      <c r="K54" s="10">
        <v>1190</v>
      </c>
      <c r="L54" s="10">
        <v>1222</v>
      </c>
      <c r="M54" s="10">
        <v>1260</v>
      </c>
      <c r="N54" s="11"/>
      <c r="O54" s="21" t="s">
        <v>16</v>
      </c>
      <c r="P54" s="17">
        <f>(C51+C58)</f>
        <v>2473</v>
      </c>
      <c r="Q54" s="14">
        <f>SUM(P54/P59)</f>
        <v>0.23214118088801278</v>
      </c>
      <c r="R54" s="2">
        <v>1</v>
      </c>
    </row>
    <row r="55" spans="1:18" s="2" customFormat="1" ht="16.5" customHeight="1" thickBot="1">
      <c r="A55" s="7" t="s">
        <v>402</v>
      </c>
      <c r="B55" s="8" t="s">
        <v>3</v>
      </c>
      <c r="C55" s="10">
        <v>871</v>
      </c>
      <c r="D55" s="10">
        <v>878</v>
      </c>
      <c r="E55" s="10">
        <v>882</v>
      </c>
      <c r="F55" s="10">
        <v>1015</v>
      </c>
      <c r="G55" s="10">
        <v>1037</v>
      </c>
      <c r="H55" s="10">
        <v>1137</v>
      </c>
      <c r="I55" s="10">
        <v>1168</v>
      </c>
      <c r="J55" s="10">
        <v>1191</v>
      </c>
      <c r="K55" s="10">
        <v>1266</v>
      </c>
      <c r="L55" s="10">
        <v>1457</v>
      </c>
      <c r="M55" s="9">
        <v>1679</v>
      </c>
      <c r="N55" s="11" t="s">
        <v>7</v>
      </c>
      <c r="O55" s="48" t="s">
        <v>21</v>
      </c>
      <c r="P55" s="17">
        <v>1405</v>
      </c>
      <c r="Q55" s="14">
        <f>SUM(P55/P59)</f>
        <v>0.13188773115554303</v>
      </c>
      <c r="R55" s="2">
        <v>1</v>
      </c>
    </row>
    <row r="56" spans="1:18" s="2" customFormat="1" ht="16.5" customHeight="1" thickBot="1">
      <c r="A56" s="7" t="s">
        <v>560</v>
      </c>
      <c r="B56" s="12" t="s">
        <v>5</v>
      </c>
      <c r="C56" s="10">
        <v>711</v>
      </c>
      <c r="D56" s="10">
        <v>712</v>
      </c>
      <c r="E56" s="10">
        <v>727</v>
      </c>
      <c r="F56" s="10">
        <v>744</v>
      </c>
      <c r="G56" s="10">
        <v>789</v>
      </c>
      <c r="H56" s="10">
        <v>796</v>
      </c>
      <c r="I56" s="10">
        <v>862</v>
      </c>
      <c r="J56" s="10">
        <v>880</v>
      </c>
      <c r="K56" s="10">
        <v>1167</v>
      </c>
      <c r="L56" s="10">
        <v>1309</v>
      </c>
      <c r="M56" s="9">
        <v>1489</v>
      </c>
      <c r="N56" s="11" t="s">
        <v>10</v>
      </c>
      <c r="O56" s="78" t="s">
        <v>30</v>
      </c>
      <c r="P56" s="17">
        <v>585</v>
      </c>
      <c r="Q56" s="14">
        <f>SUM(P56/P59)</f>
        <v>5.4914108701774149E-2</v>
      </c>
    </row>
    <row r="57" spans="1:18" s="2" customFormat="1" ht="16.5" customHeight="1" thickBot="1">
      <c r="A57" s="18" t="s">
        <v>556</v>
      </c>
      <c r="B57" s="19" t="s">
        <v>5</v>
      </c>
      <c r="C57" s="10">
        <v>665</v>
      </c>
      <c r="D57" s="10">
        <v>666</v>
      </c>
      <c r="E57" s="10">
        <v>668</v>
      </c>
      <c r="F57" s="10">
        <v>674</v>
      </c>
      <c r="G57" s="10">
        <v>731</v>
      </c>
      <c r="H57" s="10">
        <v>732</v>
      </c>
      <c r="I57" s="10">
        <v>747</v>
      </c>
      <c r="J57" s="10">
        <v>752</v>
      </c>
      <c r="K57" s="10" t="s">
        <v>20</v>
      </c>
      <c r="O57" s="83" t="s">
        <v>31</v>
      </c>
      <c r="P57" s="17">
        <v>123</v>
      </c>
      <c r="Q57" s="14">
        <f>SUM(P57/P59)</f>
        <v>1.1546043368065334E-2</v>
      </c>
    </row>
    <row r="58" spans="1:18" s="2" customFormat="1" ht="16.5" customHeight="1" thickBot="1">
      <c r="A58" s="18" t="s">
        <v>550</v>
      </c>
      <c r="B58" s="22" t="s">
        <v>16</v>
      </c>
      <c r="C58" s="10">
        <v>608</v>
      </c>
      <c r="D58" s="10">
        <v>653</v>
      </c>
      <c r="E58" s="10">
        <v>695</v>
      </c>
      <c r="F58" s="10">
        <v>722</v>
      </c>
      <c r="G58" s="10">
        <v>738</v>
      </c>
      <c r="H58" s="10">
        <v>754</v>
      </c>
      <c r="I58" s="10">
        <v>855</v>
      </c>
      <c r="J58" s="10">
        <v>897</v>
      </c>
      <c r="K58" s="10">
        <v>924</v>
      </c>
      <c r="L58" s="10">
        <v>1108</v>
      </c>
      <c r="M58" s="10" t="s">
        <v>20</v>
      </c>
      <c r="O58" s="13" t="s">
        <v>17</v>
      </c>
      <c r="P58" s="17">
        <f>(C60+C61+C65)</f>
        <v>1113</v>
      </c>
      <c r="Q58" s="14">
        <f>SUM(P58/P59)</f>
        <v>0.1044776119402985</v>
      </c>
    </row>
    <row r="59" spans="1:18" s="2" customFormat="1" ht="16.5" customHeight="1" thickBot="1">
      <c r="A59" s="18" t="s">
        <v>553</v>
      </c>
      <c r="B59" s="79" t="s">
        <v>30</v>
      </c>
      <c r="C59" s="10">
        <v>585</v>
      </c>
      <c r="D59" s="10">
        <v>587</v>
      </c>
      <c r="E59" s="10">
        <v>595</v>
      </c>
      <c r="F59" s="10">
        <v>638</v>
      </c>
      <c r="G59" s="10">
        <v>648</v>
      </c>
      <c r="H59" s="10">
        <v>681</v>
      </c>
      <c r="I59" s="10">
        <v>766</v>
      </c>
      <c r="J59" s="10">
        <v>830</v>
      </c>
      <c r="K59" s="10">
        <v>879</v>
      </c>
      <c r="L59" s="10" t="s">
        <v>20</v>
      </c>
      <c r="P59" s="24">
        <v>10653</v>
      </c>
    </row>
    <row r="60" spans="1:18" s="2" customFormat="1" ht="16.5" customHeight="1" thickBot="1">
      <c r="A60" s="18" t="s">
        <v>552</v>
      </c>
      <c r="B60" s="23" t="s">
        <v>14</v>
      </c>
      <c r="C60" s="10">
        <v>532</v>
      </c>
      <c r="D60" s="10">
        <v>535</v>
      </c>
      <c r="E60" s="10">
        <v>553</v>
      </c>
      <c r="F60" s="10">
        <v>557</v>
      </c>
      <c r="G60" s="10">
        <v>563</v>
      </c>
      <c r="H60" s="10" t="s">
        <v>20</v>
      </c>
    </row>
    <row r="61" spans="1:18" s="2" customFormat="1" ht="16.5" customHeight="1" thickBot="1">
      <c r="A61" s="18" t="s">
        <v>547</v>
      </c>
      <c r="B61" s="23" t="s">
        <v>14</v>
      </c>
      <c r="C61" s="10">
        <v>503</v>
      </c>
      <c r="D61" s="10">
        <v>506</v>
      </c>
      <c r="E61" s="10">
        <v>534</v>
      </c>
      <c r="F61" s="10">
        <v>565</v>
      </c>
      <c r="G61" s="10">
        <v>572</v>
      </c>
      <c r="H61" s="10">
        <v>634</v>
      </c>
      <c r="I61" s="10" t="s">
        <v>20</v>
      </c>
      <c r="O61" s="83"/>
      <c r="P61" s="17"/>
      <c r="Q61" s="14"/>
    </row>
    <row r="62" spans="1:18" s="2" customFormat="1" ht="16.5" customHeight="1" thickBot="1">
      <c r="A62" s="18" t="s">
        <v>554</v>
      </c>
      <c r="B62" s="19" t="s">
        <v>5</v>
      </c>
      <c r="C62" s="10">
        <v>374</v>
      </c>
      <c r="D62" s="10">
        <v>381</v>
      </c>
      <c r="E62" s="10">
        <v>386</v>
      </c>
      <c r="F62" s="10">
        <v>387</v>
      </c>
      <c r="G62" s="10" t="s">
        <v>20</v>
      </c>
      <c r="O62" s="13"/>
      <c r="P62" s="17"/>
      <c r="Q62" s="14"/>
    </row>
    <row r="63" spans="1:18" s="2" customFormat="1" ht="16.5" customHeight="1" thickBot="1">
      <c r="A63" s="18" t="s">
        <v>548</v>
      </c>
      <c r="B63" s="28" t="s">
        <v>3</v>
      </c>
      <c r="C63" s="10">
        <v>313</v>
      </c>
      <c r="D63" s="10">
        <v>314</v>
      </c>
      <c r="E63" s="10">
        <v>324</v>
      </c>
      <c r="F63" s="10" t="s">
        <v>20</v>
      </c>
      <c r="P63" s="24"/>
    </row>
    <row r="64" spans="1:18" s="2" customFormat="1" ht="16.5" customHeight="1" thickBot="1">
      <c r="A64" s="18" t="s">
        <v>551</v>
      </c>
      <c r="B64" s="76" t="s">
        <v>31</v>
      </c>
      <c r="C64" s="10">
        <v>123</v>
      </c>
      <c r="D64" s="10">
        <v>125</v>
      </c>
      <c r="E64" s="10" t="s">
        <v>20</v>
      </c>
    </row>
    <row r="65" spans="1:16" s="2" customFormat="1" ht="16.5" customHeight="1" thickBot="1">
      <c r="A65" s="18" t="s">
        <v>555</v>
      </c>
      <c r="B65" s="23" t="s">
        <v>14</v>
      </c>
      <c r="C65" s="10">
        <v>78</v>
      </c>
      <c r="D65" s="10">
        <v>78</v>
      </c>
      <c r="E65" s="10" t="s">
        <v>20</v>
      </c>
    </row>
    <row r="66" spans="1:16" s="2" customFormat="1" ht="11.25" customHeight="1">
      <c r="A66" s="29"/>
      <c r="B66" s="30"/>
      <c r="C66" s="29"/>
      <c r="D66" s="29"/>
      <c r="E66" s="29"/>
      <c r="N66" s="14"/>
    </row>
    <row r="67" spans="1:16" s="2" customFormat="1" ht="17.45" customHeight="1">
      <c r="A67" s="1" t="s">
        <v>577</v>
      </c>
    </row>
    <row r="68" spans="1:16" s="2" customFormat="1" ht="8.25" customHeight="1" thickBot="1">
      <c r="A68" s="1"/>
    </row>
    <row r="69" spans="1:16" s="2" customFormat="1" ht="17.45" customHeight="1" thickBot="1">
      <c r="A69" s="4" t="s">
        <v>0</v>
      </c>
      <c r="B69" s="5" t="s">
        <v>1</v>
      </c>
      <c r="C69" s="5" t="s">
        <v>2</v>
      </c>
      <c r="D69" s="5">
        <v>2</v>
      </c>
      <c r="E69" s="5">
        <v>3</v>
      </c>
      <c r="F69" s="5">
        <v>4</v>
      </c>
      <c r="G69" s="5">
        <v>5</v>
      </c>
      <c r="H69" s="5">
        <v>6</v>
      </c>
      <c r="I69" s="5">
        <v>7</v>
      </c>
      <c r="J69" s="5">
        <v>8</v>
      </c>
      <c r="K69" s="5"/>
      <c r="L69" s="13" t="s">
        <v>9</v>
      </c>
      <c r="M69" s="14">
        <f>(8385/16431)</f>
        <v>0.51031586635019166</v>
      </c>
    </row>
    <row r="70" spans="1:16" s="2" customFormat="1" ht="17.45" customHeight="1" thickBot="1">
      <c r="A70" s="7" t="s">
        <v>421</v>
      </c>
      <c r="B70" s="12" t="s">
        <v>5</v>
      </c>
      <c r="C70" s="9">
        <v>1929</v>
      </c>
      <c r="D70" s="10"/>
      <c r="E70" s="10"/>
      <c r="F70" s="10"/>
      <c r="G70" s="10"/>
      <c r="H70" s="10"/>
      <c r="I70" s="10"/>
      <c r="J70" s="10"/>
      <c r="K70" s="11" t="s">
        <v>4</v>
      </c>
      <c r="M70" s="13" t="s">
        <v>11</v>
      </c>
      <c r="N70" s="13" t="s">
        <v>12</v>
      </c>
      <c r="O70" s="13" t="s">
        <v>13</v>
      </c>
      <c r="P70" s="13"/>
    </row>
    <row r="71" spans="1:16" s="2" customFormat="1" ht="17.45" customHeight="1" thickBot="1">
      <c r="A71" s="7" t="s">
        <v>578</v>
      </c>
      <c r="B71" s="43" t="s">
        <v>16</v>
      </c>
      <c r="C71" s="10">
        <v>1198</v>
      </c>
      <c r="D71" s="10">
        <v>1217</v>
      </c>
      <c r="E71" s="10">
        <v>1268</v>
      </c>
      <c r="F71" s="10">
        <v>1298</v>
      </c>
      <c r="G71" s="10">
        <v>1363</v>
      </c>
      <c r="H71" s="10">
        <v>1475</v>
      </c>
      <c r="I71" s="10">
        <v>1527</v>
      </c>
      <c r="J71" s="9">
        <v>1702</v>
      </c>
      <c r="K71" s="11" t="s">
        <v>6</v>
      </c>
      <c r="L71" s="16" t="s">
        <v>5</v>
      </c>
      <c r="M71" s="17">
        <f>(C70+C73+C76)</f>
        <v>3324</v>
      </c>
      <c r="N71" s="14">
        <f>SUM(M71/M77)</f>
        <v>0.39827462257368801</v>
      </c>
      <c r="O71" s="2">
        <v>2</v>
      </c>
    </row>
    <row r="72" spans="1:16" s="2" customFormat="1" ht="17.45" customHeight="1" thickBot="1">
      <c r="A72" s="7" t="s">
        <v>580</v>
      </c>
      <c r="B72" s="8" t="s">
        <v>3</v>
      </c>
      <c r="C72" s="10">
        <v>1148</v>
      </c>
      <c r="D72" s="10">
        <v>1185</v>
      </c>
      <c r="E72" s="10">
        <v>1225</v>
      </c>
      <c r="F72" s="10">
        <v>1243</v>
      </c>
      <c r="G72" s="10">
        <v>1279</v>
      </c>
      <c r="H72" s="10">
        <v>1469</v>
      </c>
      <c r="I72" s="10">
        <v>1533</v>
      </c>
      <c r="J72" s="9">
        <v>1830</v>
      </c>
      <c r="K72" s="11" t="s">
        <v>8</v>
      </c>
      <c r="L72" s="20" t="s">
        <v>3</v>
      </c>
      <c r="M72" s="17">
        <f>(C72+C75+C80)</f>
        <v>2029</v>
      </c>
      <c r="N72" s="14">
        <f>SUM(M72/M77)</f>
        <v>0.24311047208243469</v>
      </c>
      <c r="O72" s="2">
        <v>1</v>
      </c>
    </row>
    <row r="73" spans="1:16" s="2" customFormat="1" ht="17.45" customHeight="1" thickBot="1">
      <c r="A73" s="7" t="s">
        <v>581</v>
      </c>
      <c r="B73" s="12" t="s">
        <v>5</v>
      </c>
      <c r="C73" s="10">
        <v>923</v>
      </c>
      <c r="D73" s="10">
        <v>986</v>
      </c>
      <c r="E73" s="10">
        <v>1005</v>
      </c>
      <c r="F73" s="10">
        <v>1049</v>
      </c>
      <c r="G73" s="10">
        <v>1094</v>
      </c>
      <c r="H73" s="10">
        <v>1106</v>
      </c>
      <c r="I73" s="10">
        <v>1525</v>
      </c>
      <c r="J73" s="9">
        <v>1732</v>
      </c>
      <c r="K73" s="11" t="s">
        <v>7</v>
      </c>
      <c r="L73" s="21" t="s">
        <v>16</v>
      </c>
      <c r="M73" s="17">
        <v>1198</v>
      </c>
      <c r="N73" s="14">
        <f>SUM(M73/M77)</f>
        <v>0.1435418164390127</v>
      </c>
      <c r="O73" s="2">
        <v>1</v>
      </c>
    </row>
    <row r="74" spans="1:16" s="2" customFormat="1" ht="17.45" customHeight="1" thickBot="1">
      <c r="A74" s="18" t="s">
        <v>579</v>
      </c>
      <c r="B74" s="47" t="s">
        <v>21</v>
      </c>
      <c r="C74" s="10">
        <v>813</v>
      </c>
      <c r="D74" s="10">
        <v>827</v>
      </c>
      <c r="E74" s="10">
        <v>856</v>
      </c>
      <c r="F74" s="10">
        <v>915</v>
      </c>
      <c r="G74" s="10">
        <v>957</v>
      </c>
      <c r="H74" s="10">
        <v>1047</v>
      </c>
      <c r="I74" s="10">
        <v>1082</v>
      </c>
      <c r="J74" s="10">
        <v>1222</v>
      </c>
      <c r="K74" s="11"/>
      <c r="L74" s="48" t="s">
        <v>21</v>
      </c>
      <c r="M74" s="17">
        <v>813</v>
      </c>
      <c r="N74" s="14">
        <f>SUM(M74/M77)</f>
        <v>9.7411933860531985E-2</v>
      </c>
    </row>
    <row r="75" spans="1:16" s="2" customFormat="1" ht="17.45" customHeight="1" thickBot="1">
      <c r="A75" s="18" t="s">
        <v>582</v>
      </c>
      <c r="B75" s="28" t="s">
        <v>3</v>
      </c>
      <c r="C75" s="10">
        <v>670</v>
      </c>
      <c r="D75" s="10">
        <v>672</v>
      </c>
      <c r="E75" s="10">
        <v>705</v>
      </c>
      <c r="F75" s="10">
        <v>732</v>
      </c>
      <c r="G75" s="10">
        <v>826</v>
      </c>
      <c r="H75" s="10">
        <v>848</v>
      </c>
      <c r="I75" s="10">
        <v>870</v>
      </c>
      <c r="J75" s="10" t="s">
        <v>20</v>
      </c>
      <c r="L75" s="78" t="s">
        <v>30</v>
      </c>
      <c r="M75" s="17">
        <f>(C77+C78)</f>
        <v>741</v>
      </c>
      <c r="N75" s="14">
        <f>SUM(M75/M77)</f>
        <v>8.8785046728971959E-2</v>
      </c>
      <c r="P75" s="14"/>
    </row>
    <row r="76" spans="1:16" s="2" customFormat="1" ht="17.45" customHeight="1" thickBot="1">
      <c r="A76" s="18" t="s">
        <v>585</v>
      </c>
      <c r="B76" s="19" t="s">
        <v>5</v>
      </c>
      <c r="C76" s="10">
        <v>472</v>
      </c>
      <c r="D76" s="10">
        <v>581</v>
      </c>
      <c r="E76" s="10">
        <v>603</v>
      </c>
      <c r="F76" s="10">
        <v>622</v>
      </c>
      <c r="G76" s="10">
        <v>629</v>
      </c>
      <c r="H76" s="10">
        <v>650</v>
      </c>
      <c r="I76" s="10" t="s">
        <v>20</v>
      </c>
      <c r="L76" s="13" t="s">
        <v>17</v>
      </c>
      <c r="M76" s="17">
        <v>241</v>
      </c>
      <c r="N76" s="14">
        <f>SUM(M76/M77)</f>
        <v>2.8876108315360652E-2</v>
      </c>
    </row>
    <row r="77" spans="1:16" s="2" customFormat="1" ht="17.45" customHeight="1" thickBot="1">
      <c r="A77" s="18" t="s">
        <v>586</v>
      </c>
      <c r="B77" s="79" t="s">
        <v>30</v>
      </c>
      <c r="C77" s="10">
        <v>394</v>
      </c>
      <c r="D77" s="10">
        <v>401</v>
      </c>
      <c r="E77" s="10">
        <v>405</v>
      </c>
      <c r="F77" s="10">
        <v>415</v>
      </c>
      <c r="G77" s="10">
        <v>493</v>
      </c>
      <c r="H77" s="10" t="s">
        <v>20</v>
      </c>
      <c r="L77" s="13"/>
      <c r="M77" s="24">
        <v>8346</v>
      </c>
      <c r="N77" s="14"/>
    </row>
    <row r="78" spans="1:16" s="2" customFormat="1" ht="17.45" customHeight="1" thickBot="1">
      <c r="A78" s="18" t="s">
        <v>583</v>
      </c>
      <c r="B78" s="79" t="s">
        <v>30</v>
      </c>
      <c r="C78" s="10">
        <v>347</v>
      </c>
      <c r="D78" s="10">
        <v>350</v>
      </c>
      <c r="E78" s="10">
        <v>353</v>
      </c>
      <c r="F78" s="10">
        <v>374</v>
      </c>
      <c r="G78" s="10" t="s">
        <v>20</v>
      </c>
      <c r="I78" s="13"/>
      <c r="J78" s="17"/>
      <c r="K78" s="14"/>
      <c r="M78" s="14"/>
    </row>
    <row r="79" spans="1:16" s="2" customFormat="1" ht="17.45" customHeight="1" thickBot="1">
      <c r="A79" s="18" t="s">
        <v>427</v>
      </c>
      <c r="B79" s="23" t="s">
        <v>14</v>
      </c>
      <c r="C79" s="10">
        <v>241</v>
      </c>
      <c r="D79" s="10">
        <v>244</v>
      </c>
      <c r="E79" s="10">
        <v>252</v>
      </c>
      <c r="F79" s="10" t="s">
        <v>20</v>
      </c>
      <c r="I79" s="13"/>
      <c r="J79" s="24"/>
      <c r="K79" s="14"/>
    </row>
    <row r="80" spans="1:16" s="2" customFormat="1" ht="17.45" customHeight="1" thickBot="1">
      <c r="A80" s="18" t="s">
        <v>584</v>
      </c>
      <c r="B80" s="28" t="s">
        <v>3</v>
      </c>
      <c r="C80" s="10">
        <v>211</v>
      </c>
      <c r="D80" s="10">
        <v>213</v>
      </c>
      <c r="E80" s="10" t="s">
        <v>20</v>
      </c>
    </row>
    <row r="82" spans="1:17" s="2" customFormat="1" ht="17.45" customHeight="1">
      <c r="A82" s="1" t="s">
        <v>570</v>
      </c>
    </row>
    <row r="83" spans="1:17" s="2" customFormat="1" ht="8.25" customHeight="1" thickBot="1">
      <c r="A83" s="1"/>
    </row>
    <row r="84" spans="1:17" s="2" customFormat="1" ht="17.45" customHeight="1" thickBot="1">
      <c r="A84" s="4" t="s">
        <v>0</v>
      </c>
      <c r="B84" s="5" t="s">
        <v>1</v>
      </c>
      <c r="C84" s="5" t="s">
        <v>2</v>
      </c>
      <c r="D84" s="5">
        <v>2</v>
      </c>
      <c r="E84" s="5">
        <v>3</v>
      </c>
      <c r="F84" s="5">
        <v>4</v>
      </c>
      <c r="G84" s="5">
        <v>5</v>
      </c>
      <c r="H84" s="5">
        <v>6</v>
      </c>
      <c r="I84" s="5">
        <v>7</v>
      </c>
      <c r="J84" s="5">
        <v>8</v>
      </c>
      <c r="K84" s="5">
        <v>9</v>
      </c>
      <c r="L84" s="5"/>
      <c r="M84" s="13" t="s">
        <v>9</v>
      </c>
      <c r="N84" s="14">
        <f>(7649/16807)</f>
        <v>0.45510799071815317</v>
      </c>
    </row>
    <row r="85" spans="1:17" s="2" customFormat="1" ht="17.45" customHeight="1" thickBot="1">
      <c r="A85" s="7" t="s">
        <v>281</v>
      </c>
      <c r="B85" s="8" t="s">
        <v>3</v>
      </c>
      <c r="C85" s="10">
        <v>1342</v>
      </c>
      <c r="D85" s="10">
        <v>1401</v>
      </c>
      <c r="E85" s="10">
        <v>1457</v>
      </c>
      <c r="F85" s="10">
        <v>1502</v>
      </c>
      <c r="G85" s="9">
        <v>1545</v>
      </c>
      <c r="H85" s="10"/>
      <c r="I85" s="9"/>
      <c r="J85" s="10"/>
      <c r="K85" s="10"/>
      <c r="L85" s="11" t="s">
        <v>4</v>
      </c>
      <c r="N85" s="13" t="s">
        <v>11</v>
      </c>
      <c r="O85" s="13" t="s">
        <v>12</v>
      </c>
      <c r="P85" s="13" t="s">
        <v>13</v>
      </c>
      <c r="Q85" s="13"/>
    </row>
    <row r="86" spans="1:17" s="2" customFormat="1" ht="17.45" customHeight="1" thickBot="1">
      <c r="A86" s="7" t="s">
        <v>156</v>
      </c>
      <c r="B86" s="8" t="s">
        <v>3</v>
      </c>
      <c r="C86" s="10">
        <v>1141</v>
      </c>
      <c r="D86" s="10">
        <v>1155</v>
      </c>
      <c r="E86" s="10">
        <v>1204</v>
      </c>
      <c r="F86" s="10">
        <v>1255</v>
      </c>
      <c r="G86" s="10">
        <v>1300</v>
      </c>
      <c r="H86" s="10">
        <v>1301</v>
      </c>
      <c r="I86" s="9">
        <v>1541</v>
      </c>
      <c r="J86" s="10"/>
      <c r="K86" s="10"/>
      <c r="L86" s="11" t="s">
        <v>8</v>
      </c>
      <c r="M86" s="16" t="s">
        <v>5</v>
      </c>
      <c r="N86" s="17">
        <f>(C88+C90+C91+C95)</f>
        <v>2118</v>
      </c>
      <c r="O86" s="14">
        <f>SUM(N86/N92)</f>
        <v>0.27894112998814696</v>
      </c>
      <c r="P86" s="2">
        <v>1</v>
      </c>
    </row>
    <row r="87" spans="1:17" s="2" customFormat="1" ht="17.45" customHeight="1" thickBot="1">
      <c r="A87" s="7" t="s">
        <v>286</v>
      </c>
      <c r="B87" s="80" t="s">
        <v>21</v>
      </c>
      <c r="C87" s="10">
        <v>789</v>
      </c>
      <c r="D87" s="10">
        <v>797</v>
      </c>
      <c r="E87" s="10">
        <v>869</v>
      </c>
      <c r="F87" s="10">
        <v>914</v>
      </c>
      <c r="G87" s="10">
        <v>938</v>
      </c>
      <c r="H87" s="10">
        <v>943</v>
      </c>
      <c r="I87" s="10">
        <v>1155</v>
      </c>
      <c r="J87" s="10">
        <v>1275</v>
      </c>
      <c r="K87" s="9">
        <v>1454</v>
      </c>
      <c r="L87" s="11" t="s">
        <v>6</v>
      </c>
      <c r="M87" s="20" t="s">
        <v>3</v>
      </c>
      <c r="N87" s="17">
        <f>(C85+C86)</f>
        <v>2483</v>
      </c>
      <c r="O87" s="14">
        <f>SUM(N87/N92)</f>
        <v>0.32701172132227052</v>
      </c>
      <c r="P87" s="2">
        <v>2</v>
      </c>
    </row>
    <row r="88" spans="1:17" s="2" customFormat="1" ht="17.45" customHeight="1" thickBot="1">
      <c r="A88" s="7" t="s">
        <v>282</v>
      </c>
      <c r="B88" s="12" t="s">
        <v>5</v>
      </c>
      <c r="C88" s="10">
        <v>704</v>
      </c>
      <c r="D88" s="10">
        <v>822</v>
      </c>
      <c r="E88" s="10">
        <v>841</v>
      </c>
      <c r="F88" s="10">
        <v>877</v>
      </c>
      <c r="G88" s="10">
        <v>1053</v>
      </c>
      <c r="H88" s="10">
        <v>1060</v>
      </c>
      <c r="I88" s="10">
        <v>1166</v>
      </c>
      <c r="J88" s="9">
        <v>1784</v>
      </c>
      <c r="K88" s="10"/>
      <c r="L88" s="11" t="s">
        <v>7</v>
      </c>
      <c r="M88" s="21" t="s">
        <v>16</v>
      </c>
      <c r="N88" s="17">
        <v>497</v>
      </c>
      <c r="O88" s="14">
        <f>SUM(N88/N92)</f>
        <v>6.5455024364546296E-2</v>
      </c>
    </row>
    <row r="89" spans="1:17" s="2" customFormat="1" ht="17.45" customHeight="1" thickBot="1">
      <c r="A89" s="18" t="s">
        <v>576</v>
      </c>
      <c r="B89" s="76" t="s">
        <v>31</v>
      </c>
      <c r="C89" s="10">
        <v>695</v>
      </c>
      <c r="D89" s="10">
        <v>711</v>
      </c>
      <c r="E89" s="10">
        <v>908</v>
      </c>
      <c r="F89" s="10">
        <v>923</v>
      </c>
      <c r="G89" s="10">
        <v>953</v>
      </c>
      <c r="H89" s="10">
        <v>955</v>
      </c>
      <c r="I89" s="10">
        <v>1091</v>
      </c>
      <c r="J89" s="10">
        <v>1131</v>
      </c>
      <c r="K89" s="10">
        <v>1190</v>
      </c>
      <c r="L89" s="11"/>
      <c r="M89" s="48" t="s">
        <v>21</v>
      </c>
      <c r="N89" s="17">
        <v>789</v>
      </c>
      <c r="O89" s="14">
        <f>SUM(N89/N92)</f>
        <v>0.10391149743184512</v>
      </c>
      <c r="P89" s="2">
        <v>1</v>
      </c>
    </row>
    <row r="90" spans="1:17" s="2" customFormat="1" ht="17.45" customHeight="1" thickBot="1">
      <c r="A90" s="18" t="s">
        <v>571</v>
      </c>
      <c r="B90" s="19" t="s">
        <v>5</v>
      </c>
      <c r="C90" s="10">
        <v>550</v>
      </c>
      <c r="D90" s="10">
        <v>589</v>
      </c>
      <c r="E90" s="10">
        <v>597</v>
      </c>
      <c r="F90" s="10">
        <v>625</v>
      </c>
      <c r="G90" s="10">
        <v>893</v>
      </c>
      <c r="H90" s="10">
        <v>901</v>
      </c>
      <c r="I90" s="10">
        <v>964</v>
      </c>
      <c r="J90" s="10" t="s">
        <v>20</v>
      </c>
      <c r="M90" s="78" t="s">
        <v>30</v>
      </c>
      <c r="N90" s="17">
        <f>(C92+C93)</f>
        <v>1011</v>
      </c>
      <c r="O90" s="14">
        <f>SUM(N90/N92)</f>
        <v>0.13314895298301066</v>
      </c>
      <c r="Q90" s="14"/>
    </row>
    <row r="91" spans="1:17" s="2" customFormat="1" ht="17.45" customHeight="1" thickBot="1">
      <c r="A91" s="18" t="s">
        <v>572</v>
      </c>
      <c r="B91" s="19" t="s">
        <v>5</v>
      </c>
      <c r="C91" s="10">
        <v>519</v>
      </c>
      <c r="D91" s="10">
        <v>569</v>
      </c>
      <c r="E91" s="10">
        <v>611</v>
      </c>
      <c r="F91" s="10">
        <v>617</v>
      </c>
      <c r="G91" s="10" t="s">
        <v>20</v>
      </c>
      <c r="H91" s="16"/>
      <c r="I91" s="17"/>
      <c r="J91" s="14"/>
      <c r="M91" s="83" t="s">
        <v>31</v>
      </c>
      <c r="N91" s="17">
        <v>695</v>
      </c>
      <c r="O91" s="14">
        <f>SUM(N91/N92)</f>
        <v>9.1531673910180425E-2</v>
      </c>
    </row>
    <row r="92" spans="1:17" s="2" customFormat="1" ht="17.45" customHeight="1" thickBot="1">
      <c r="A92" s="18" t="s">
        <v>574</v>
      </c>
      <c r="B92" s="79" t="s">
        <v>30</v>
      </c>
      <c r="C92" s="10">
        <v>511</v>
      </c>
      <c r="D92" s="10">
        <v>540</v>
      </c>
      <c r="E92" s="10">
        <v>570</v>
      </c>
      <c r="F92" s="10">
        <v>864</v>
      </c>
      <c r="G92" s="10">
        <v>885</v>
      </c>
      <c r="H92" s="10">
        <v>888</v>
      </c>
      <c r="I92" s="10" t="s">
        <v>20</v>
      </c>
      <c r="J92" s="14"/>
      <c r="M92" s="78"/>
      <c r="N92" s="24">
        <v>7593</v>
      </c>
      <c r="O92" s="14"/>
    </row>
    <row r="93" spans="1:17" s="2" customFormat="1" ht="17.45" customHeight="1" thickBot="1">
      <c r="A93" s="18" t="s">
        <v>575</v>
      </c>
      <c r="B93" s="79" t="s">
        <v>30</v>
      </c>
      <c r="C93" s="10">
        <v>500</v>
      </c>
      <c r="D93" s="10">
        <v>503</v>
      </c>
      <c r="E93" s="10">
        <v>522</v>
      </c>
      <c r="F93" s="10" t="s">
        <v>20</v>
      </c>
      <c r="H93" s="21"/>
      <c r="I93" s="17"/>
      <c r="J93" s="14"/>
    </row>
    <row r="94" spans="1:17" s="2" customFormat="1" ht="17.45" customHeight="1" thickBot="1">
      <c r="A94" s="18" t="s">
        <v>419</v>
      </c>
      <c r="B94" s="22" t="s">
        <v>16</v>
      </c>
      <c r="C94" s="10">
        <v>497</v>
      </c>
      <c r="D94" s="10">
        <v>502</v>
      </c>
      <c r="E94" s="10" t="s">
        <v>20</v>
      </c>
      <c r="H94" s="48"/>
      <c r="I94" s="17"/>
      <c r="J94" s="14"/>
    </row>
    <row r="95" spans="1:17" s="2" customFormat="1" ht="17.45" customHeight="1" thickBot="1">
      <c r="A95" s="18" t="s">
        <v>573</v>
      </c>
      <c r="B95" s="19" t="s">
        <v>5</v>
      </c>
      <c r="C95" s="10">
        <v>345</v>
      </c>
      <c r="D95" s="10" t="s">
        <v>20</v>
      </c>
      <c r="H95" s="78"/>
      <c r="I95" s="24"/>
      <c r="J95" s="14"/>
      <c r="L95" s="14"/>
    </row>
    <row r="97" spans="1:20" s="32" customFormat="1" ht="15" customHeight="1">
      <c r="B97" s="36" t="s">
        <v>19</v>
      </c>
      <c r="C97" s="38" t="s">
        <v>5</v>
      </c>
      <c r="D97" s="39" t="s">
        <v>3</v>
      </c>
      <c r="E97" s="40" t="s">
        <v>16</v>
      </c>
      <c r="F97" s="82" t="s">
        <v>30</v>
      </c>
      <c r="G97" s="41" t="s">
        <v>18</v>
      </c>
      <c r="H97" s="49" t="s">
        <v>21</v>
      </c>
      <c r="I97" s="84" t="s">
        <v>31</v>
      </c>
      <c r="J97" s="36" t="s">
        <v>17</v>
      </c>
      <c r="R97" s="33"/>
      <c r="S97" s="34"/>
      <c r="T97" s="35"/>
    </row>
    <row r="98" spans="1:20" s="32" customFormat="1" ht="15" customHeight="1">
      <c r="A98" s="32" t="s">
        <v>11</v>
      </c>
      <c r="B98" s="37">
        <f>SUM(P12+N43+P59+N92+M28+M77)</f>
        <v>48230</v>
      </c>
      <c r="C98" s="34">
        <f>SUM(N86+P52+N37+M21+P5+M71)</f>
        <v>15264</v>
      </c>
      <c r="D98" s="34">
        <f>SUM(N87+P53+N38+M22+P6+M72)</f>
        <v>9753</v>
      </c>
      <c r="E98" s="34">
        <f>SUM(N88+P54+N39+M23+P7+M73)</f>
        <v>8435</v>
      </c>
      <c r="F98" s="34">
        <f>(N90+M75+P56+P9)</f>
        <v>3430</v>
      </c>
      <c r="G98" s="34">
        <v>264</v>
      </c>
      <c r="H98" s="34">
        <f>(N89+P55+N40+P8+M74+M25)</f>
        <v>4080</v>
      </c>
      <c r="I98" s="34">
        <f>(N91+P57+N41+M26+P10)</f>
        <v>1992</v>
      </c>
      <c r="J98" s="34">
        <f>SUM(P58+N42+M27+P11+M76)</f>
        <v>5012</v>
      </c>
      <c r="L98" s="34"/>
      <c r="R98" s="36"/>
      <c r="S98" s="37"/>
      <c r="T98" s="35"/>
    </row>
    <row r="99" spans="1:20" s="32" customFormat="1" ht="15" customHeight="1">
      <c r="A99" s="32" t="s">
        <v>12</v>
      </c>
      <c r="B99" s="42">
        <v>1</v>
      </c>
      <c r="C99" s="35">
        <f t="shared" ref="C99:J99" si="0">SUM(C98/$B$98)</f>
        <v>0.31648351648351647</v>
      </c>
      <c r="D99" s="35">
        <f t="shared" si="0"/>
        <v>0.20221853618080032</v>
      </c>
      <c r="E99" s="35">
        <f t="shared" si="0"/>
        <v>0.1748911465892598</v>
      </c>
      <c r="F99" s="35">
        <f>SUM(F98/$B$98)</f>
        <v>7.1117561683599423E-2</v>
      </c>
      <c r="G99" s="35">
        <f t="shared" si="0"/>
        <v>5.4737715115073604E-3</v>
      </c>
      <c r="H99" s="35">
        <f t="shared" si="0"/>
        <v>8.4594650632386484E-2</v>
      </c>
      <c r="I99" s="35">
        <f>SUM(I98/$B$98)</f>
        <v>4.1302094132282814E-2</v>
      </c>
      <c r="J99" s="35">
        <f t="shared" si="0"/>
        <v>0.10391872278664732</v>
      </c>
      <c r="L99" s="34"/>
    </row>
    <row r="100" spans="1:20" s="32" customFormat="1" ht="15" customHeight="1">
      <c r="A100" s="32" t="s">
        <v>13</v>
      </c>
      <c r="B100" s="36">
        <v>24</v>
      </c>
      <c r="C100" s="32">
        <v>8</v>
      </c>
      <c r="D100" s="32">
        <v>6</v>
      </c>
      <c r="E100" s="32">
        <v>5</v>
      </c>
      <c r="F100" s="32">
        <v>1</v>
      </c>
      <c r="G100" s="32">
        <v>0</v>
      </c>
      <c r="H100" s="32">
        <v>2</v>
      </c>
      <c r="I100" s="32">
        <v>0</v>
      </c>
      <c r="J100" s="32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"/>
  <dimension ref="A1:T112"/>
  <sheetViews>
    <sheetView workbookViewId="0">
      <selection activeCell="M16" sqref="M16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8" s="2" customFormat="1" ht="16.5" customHeight="1">
      <c r="A1" s="1" t="s">
        <v>623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(9970/20266)</f>
        <v>0.49195697226882462</v>
      </c>
    </row>
    <row r="4" spans="1:18" s="2" customFormat="1" ht="16.5" customHeight="1" thickBot="1">
      <c r="A4" s="7" t="s">
        <v>308</v>
      </c>
      <c r="B4" s="15" t="s">
        <v>14</v>
      </c>
      <c r="C4" s="10">
        <v>1406</v>
      </c>
      <c r="D4" s="10">
        <v>1477</v>
      </c>
      <c r="E4" s="10">
        <v>1532</v>
      </c>
      <c r="F4" s="10">
        <v>1649</v>
      </c>
      <c r="G4" s="10">
        <v>1894</v>
      </c>
      <c r="H4" s="9">
        <v>2032</v>
      </c>
      <c r="I4" s="10"/>
      <c r="J4" s="10"/>
      <c r="K4" s="9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311</v>
      </c>
      <c r="B5" s="8" t="s">
        <v>3</v>
      </c>
      <c r="C5" s="10">
        <v>1336</v>
      </c>
      <c r="D5" s="10">
        <v>1346</v>
      </c>
      <c r="E5" s="10">
        <v>1472</v>
      </c>
      <c r="F5" s="10">
        <v>1549</v>
      </c>
      <c r="G5" s="10">
        <v>1587</v>
      </c>
      <c r="H5" s="10">
        <v>1612</v>
      </c>
      <c r="I5" s="10">
        <v>1619</v>
      </c>
      <c r="J5" s="10">
        <v>1775</v>
      </c>
      <c r="K5" s="10">
        <v>1812</v>
      </c>
      <c r="L5" s="9">
        <v>1987</v>
      </c>
      <c r="M5" s="9"/>
      <c r="N5" s="11" t="s">
        <v>7</v>
      </c>
      <c r="O5" s="16" t="s">
        <v>5</v>
      </c>
      <c r="P5" s="17">
        <f>(C6+C7+C12)</f>
        <v>2604</v>
      </c>
      <c r="Q5" s="14">
        <f>SUM(P5/P12)</f>
        <v>0.26316321374431528</v>
      </c>
      <c r="R5" s="2">
        <v>1</v>
      </c>
    </row>
    <row r="6" spans="1:18" s="2" customFormat="1" ht="16.5" customHeight="1" thickBot="1">
      <c r="A6" s="7" t="s">
        <v>628</v>
      </c>
      <c r="B6" s="12" t="s">
        <v>5</v>
      </c>
      <c r="C6" s="10">
        <v>1119</v>
      </c>
      <c r="D6" s="10">
        <v>1126</v>
      </c>
      <c r="E6" s="10">
        <v>1145</v>
      </c>
      <c r="F6" s="10">
        <v>1182</v>
      </c>
      <c r="G6" s="10">
        <v>1215</v>
      </c>
      <c r="H6" s="10">
        <v>1440</v>
      </c>
      <c r="I6" s="10">
        <v>1459</v>
      </c>
      <c r="J6" s="10">
        <v>1514</v>
      </c>
      <c r="K6" s="10">
        <v>1607</v>
      </c>
      <c r="L6" s="9">
        <v>2362</v>
      </c>
      <c r="M6" s="10"/>
      <c r="N6" s="11" t="s">
        <v>8</v>
      </c>
      <c r="O6" s="20" t="s">
        <v>3</v>
      </c>
      <c r="P6" s="17">
        <f>(C5+C15)</f>
        <v>1647</v>
      </c>
      <c r="Q6" s="14">
        <f>SUM(P6/P12)</f>
        <v>0.16644770085901972</v>
      </c>
      <c r="R6" s="2">
        <v>1</v>
      </c>
    </row>
    <row r="7" spans="1:18" s="2" customFormat="1" ht="16.5" customHeight="1" thickBot="1">
      <c r="A7" s="18" t="s">
        <v>451</v>
      </c>
      <c r="B7" s="19" t="s">
        <v>5</v>
      </c>
      <c r="C7" s="10">
        <v>905</v>
      </c>
      <c r="D7" s="10">
        <v>910</v>
      </c>
      <c r="E7" s="10">
        <v>919</v>
      </c>
      <c r="F7" s="10">
        <v>934</v>
      </c>
      <c r="G7" s="10">
        <v>950</v>
      </c>
      <c r="H7" s="10">
        <v>1110</v>
      </c>
      <c r="I7" s="10">
        <v>1123</v>
      </c>
      <c r="J7" s="10">
        <v>1173</v>
      </c>
      <c r="K7" s="10">
        <v>1246</v>
      </c>
      <c r="L7" s="10" t="s">
        <v>20</v>
      </c>
      <c r="O7" s="21" t="s">
        <v>16</v>
      </c>
      <c r="P7" s="17">
        <f>(C8+C10+C13)</f>
        <v>2098</v>
      </c>
      <c r="Q7" s="14">
        <f>SUM(P7/P12)</f>
        <v>0.21202627589691764</v>
      </c>
      <c r="R7" s="2">
        <v>1</v>
      </c>
    </row>
    <row r="8" spans="1:18" s="2" customFormat="1" ht="16.5" customHeight="1" thickBot="1">
      <c r="A8" s="18" t="s">
        <v>626</v>
      </c>
      <c r="B8" s="22" t="s">
        <v>16</v>
      </c>
      <c r="C8" s="10">
        <v>826</v>
      </c>
      <c r="D8" s="10">
        <v>829</v>
      </c>
      <c r="E8" s="10">
        <v>834</v>
      </c>
      <c r="F8" s="10">
        <v>927</v>
      </c>
      <c r="G8" s="10">
        <v>1000</v>
      </c>
      <c r="H8" s="10">
        <v>1026</v>
      </c>
      <c r="I8" s="10">
        <v>1030</v>
      </c>
      <c r="J8" s="10">
        <v>1211</v>
      </c>
      <c r="K8" s="10">
        <v>1263</v>
      </c>
      <c r="L8" s="10">
        <v>1315</v>
      </c>
      <c r="M8" s="10">
        <v>1430</v>
      </c>
      <c r="N8" s="11"/>
      <c r="O8" s="83" t="s">
        <v>31</v>
      </c>
      <c r="P8" s="17">
        <v>665</v>
      </c>
      <c r="Q8" s="14">
        <f>SUM(P8/P12)</f>
        <v>6.7205659423951486E-2</v>
      </c>
    </row>
    <row r="9" spans="1:18" s="2" customFormat="1" ht="16.5" customHeight="1" thickBot="1">
      <c r="A9" s="18" t="s">
        <v>193</v>
      </c>
      <c r="B9" s="27" t="s">
        <v>18</v>
      </c>
      <c r="C9" s="10">
        <v>783</v>
      </c>
      <c r="D9" s="10">
        <v>789</v>
      </c>
      <c r="E9" s="10">
        <v>797</v>
      </c>
      <c r="F9" s="10">
        <v>808</v>
      </c>
      <c r="G9" s="10">
        <v>815</v>
      </c>
      <c r="H9" s="10">
        <v>828</v>
      </c>
      <c r="I9" s="10">
        <v>830</v>
      </c>
      <c r="J9" s="10">
        <v>919</v>
      </c>
      <c r="K9" s="10" t="s">
        <v>20</v>
      </c>
      <c r="O9" s="26" t="s">
        <v>18</v>
      </c>
      <c r="P9" s="17">
        <v>783</v>
      </c>
      <c r="Q9" s="14">
        <f>SUM(P9/P12)</f>
        <v>7.9130874178878222E-2</v>
      </c>
    </row>
    <row r="10" spans="1:18" s="2" customFormat="1" ht="16.5" customHeight="1" thickBot="1">
      <c r="A10" s="7" t="s">
        <v>625</v>
      </c>
      <c r="B10" s="43" t="s">
        <v>16</v>
      </c>
      <c r="C10" s="10">
        <v>775</v>
      </c>
      <c r="D10" s="10">
        <v>781</v>
      </c>
      <c r="E10" s="10">
        <v>795</v>
      </c>
      <c r="F10" s="10">
        <v>815</v>
      </c>
      <c r="G10" s="10">
        <v>884</v>
      </c>
      <c r="H10" s="10">
        <v>898</v>
      </c>
      <c r="I10" s="10">
        <v>901</v>
      </c>
      <c r="J10" s="10">
        <v>1058</v>
      </c>
      <c r="K10" s="10">
        <v>1379</v>
      </c>
      <c r="L10" s="10">
        <v>1467</v>
      </c>
      <c r="M10" s="9">
        <v>1553</v>
      </c>
      <c r="N10" s="11" t="s">
        <v>6</v>
      </c>
      <c r="O10" s="48" t="s">
        <v>21</v>
      </c>
      <c r="P10" s="17">
        <v>492</v>
      </c>
      <c r="Q10" s="14">
        <f>SUM(P10/P12)</f>
        <v>4.9722081859525015E-2</v>
      </c>
    </row>
    <row r="11" spans="1:18" s="2" customFormat="1" ht="16.5" customHeight="1" thickBot="1">
      <c r="A11" s="18" t="s">
        <v>458</v>
      </c>
      <c r="B11" s="76" t="s">
        <v>31</v>
      </c>
      <c r="C11" s="10">
        <v>665</v>
      </c>
      <c r="D11" s="10">
        <v>671</v>
      </c>
      <c r="E11" s="10">
        <v>677</v>
      </c>
      <c r="F11" s="10">
        <v>748</v>
      </c>
      <c r="G11" s="10">
        <v>777</v>
      </c>
      <c r="H11" s="10">
        <v>799</v>
      </c>
      <c r="I11" s="10">
        <v>803</v>
      </c>
      <c r="J11" s="10" t="s">
        <v>20</v>
      </c>
      <c r="O11" s="13" t="s">
        <v>17</v>
      </c>
      <c r="P11" s="17">
        <f>(C4+C16)</f>
        <v>1606</v>
      </c>
      <c r="Q11" s="14">
        <f>SUM(P11/P12)</f>
        <v>0.16230419403739263</v>
      </c>
      <c r="R11" s="2">
        <v>1</v>
      </c>
    </row>
    <row r="12" spans="1:18" s="2" customFormat="1" ht="16.5" customHeight="1" thickBot="1">
      <c r="A12" s="18" t="s">
        <v>629</v>
      </c>
      <c r="B12" s="19" t="s">
        <v>5</v>
      </c>
      <c r="C12" s="10">
        <v>580</v>
      </c>
      <c r="D12" s="10">
        <v>591</v>
      </c>
      <c r="E12" s="10">
        <v>609</v>
      </c>
      <c r="F12" s="10">
        <v>630</v>
      </c>
      <c r="G12" s="10">
        <v>675</v>
      </c>
      <c r="H12" s="10" t="s">
        <v>20</v>
      </c>
      <c r="P12" s="24">
        <v>9895</v>
      </c>
    </row>
    <row r="13" spans="1:18" s="2" customFormat="1" ht="16.5" customHeight="1" thickBot="1">
      <c r="A13" s="18" t="s">
        <v>631</v>
      </c>
      <c r="B13" s="22" t="s">
        <v>16</v>
      </c>
      <c r="C13" s="10">
        <v>497</v>
      </c>
      <c r="D13" s="10">
        <v>534</v>
      </c>
      <c r="E13" s="10">
        <v>563</v>
      </c>
      <c r="F13" s="10">
        <v>598</v>
      </c>
      <c r="G13" s="10" t="s">
        <v>20</v>
      </c>
      <c r="K13" s="48"/>
      <c r="L13" s="17"/>
      <c r="M13" s="14"/>
    </row>
    <row r="14" spans="1:18" s="2" customFormat="1" ht="16.5" customHeight="1" thickBot="1">
      <c r="A14" s="18" t="s">
        <v>630</v>
      </c>
      <c r="B14" s="47" t="s">
        <v>21</v>
      </c>
      <c r="C14" s="10">
        <v>492</v>
      </c>
      <c r="D14" s="10">
        <v>512</v>
      </c>
      <c r="E14" s="10">
        <v>531</v>
      </c>
      <c r="F14" s="10" t="s">
        <v>20</v>
      </c>
      <c r="K14" s="78"/>
      <c r="L14" s="17"/>
      <c r="M14" s="14"/>
    </row>
    <row r="15" spans="1:18" s="2" customFormat="1" ht="16.5" customHeight="1" thickBot="1">
      <c r="A15" s="18" t="s">
        <v>627</v>
      </c>
      <c r="B15" s="28" t="s">
        <v>3</v>
      </c>
      <c r="C15" s="10">
        <v>311</v>
      </c>
      <c r="D15" s="10">
        <v>316</v>
      </c>
      <c r="E15" s="10" t="s">
        <v>20</v>
      </c>
      <c r="K15" s="13"/>
      <c r="L15" s="17"/>
      <c r="M15" s="14"/>
    </row>
    <row r="16" spans="1:18" s="2" customFormat="1" ht="16.5" customHeight="1" thickBot="1">
      <c r="A16" s="18" t="s">
        <v>624</v>
      </c>
      <c r="B16" s="23" t="s">
        <v>14</v>
      </c>
      <c r="C16" s="10">
        <v>200</v>
      </c>
      <c r="D16" s="10" t="s">
        <v>20</v>
      </c>
      <c r="L16" s="24"/>
    </row>
    <row r="17" spans="1:14" s="2" customFormat="1" ht="10.5" customHeight="1">
      <c r="A17" s="1"/>
    </row>
    <row r="18" spans="1:14" s="2" customFormat="1" ht="17.45" customHeight="1">
      <c r="A18" s="1" t="s">
        <v>606</v>
      </c>
    </row>
    <row r="19" spans="1:14" s="2" customFormat="1" ht="10.5" customHeight="1" thickBot="1">
      <c r="A19" s="1"/>
    </row>
    <row r="20" spans="1:14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6"/>
      <c r="K20" s="13" t="s">
        <v>9</v>
      </c>
      <c r="L20" s="14">
        <f>(7607/20425)</f>
        <v>0.37243574051407591</v>
      </c>
    </row>
    <row r="21" spans="1:14" s="2" customFormat="1" ht="16.5" customHeight="1" thickBot="1">
      <c r="A21" s="7" t="s">
        <v>187</v>
      </c>
      <c r="B21" s="8" t="s">
        <v>3</v>
      </c>
      <c r="C21" s="10">
        <v>1378</v>
      </c>
      <c r="D21" s="10">
        <v>1431</v>
      </c>
      <c r="E21" s="10">
        <v>1459</v>
      </c>
      <c r="F21" s="10">
        <v>1497</v>
      </c>
      <c r="G21" s="10">
        <v>1563</v>
      </c>
      <c r="H21" s="10">
        <v>1733</v>
      </c>
      <c r="I21" s="9">
        <v>1883</v>
      </c>
      <c r="J21" s="11" t="s">
        <v>8</v>
      </c>
      <c r="L21" s="13" t="s">
        <v>11</v>
      </c>
      <c r="M21" s="13" t="s">
        <v>12</v>
      </c>
      <c r="N21" s="13" t="s">
        <v>13</v>
      </c>
    </row>
    <row r="22" spans="1:14" s="2" customFormat="1" ht="16.5" customHeight="1" thickBot="1">
      <c r="A22" s="7" t="s">
        <v>607</v>
      </c>
      <c r="B22" s="81" t="s">
        <v>30</v>
      </c>
      <c r="C22" s="10">
        <v>1332</v>
      </c>
      <c r="D22" s="10">
        <v>1355</v>
      </c>
      <c r="E22" s="10">
        <v>1375</v>
      </c>
      <c r="F22" s="10">
        <v>1447</v>
      </c>
      <c r="G22" s="10">
        <v>1544</v>
      </c>
      <c r="H22" s="10">
        <v>1647</v>
      </c>
      <c r="I22" s="9">
        <v>1863</v>
      </c>
      <c r="J22" s="11" t="s">
        <v>7</v>
      </c>
      <c r="K22" s="16" t="s">
        <v>5</v>
      </c>
      <c r="L22" s="17">
        <f>(C23+C24+C27)</f>
        <v>2521</v>
      </c>
      <c r="M22" s="14">
        <f>SUM(L22/L30)</f>
        <v>0.33417285259809121</v>
      </c>
      <c r="N22" s="2">
        <v>1</v>
      </c>
    </row>
    <row r="23" spans="1:14" s="2" customFormat="1" ht="16.5" customHeight="1" thickBot="1">
      <c r="A23" s="7" t="s">
        <v>305</v>
      </c>
      <c r="B23" s="12" t="s">
        <v>5</v>
      </c>
      <c r="C23" s="10">
        <v>1104</v>
      </c>
      <c r="D23" s="10">
        <v>1112</v>
      </c>
      <c r="E23" s="10">
        <v>1136</v>
      </c>
      <c r="F23" s="10">
        <v>1257</v>
      </c>
      <c r="G23" s="10">
        <v>1280</v>
      </c>
      <c r="H23" s="10">
        <v>1316</v>
      </c>
      <c r="I23" s="9">
        <v>2027</v>
      </c>
      <c r="J23" s="11" t="s">
        <v>4</v>
      </c>
      <c r="K23" s="20" t="s">
        <v>3</v>
      </c>
      <c r="L23" s="17">
        <v>1378</v>
      </c>
      <c r="M23" s="14">
        <f>SUM(L23/L30)</f>
        <v>0.18266171792152705</v>
      </c>
      <c r="N23" s="2">
        <v>1</v>
      </c>
    </row>
    <row r="24" spans="1:14" s="2" customFormat="1" ht="16.5" customHeight="1" thickBot="1">
      <c r="A24" s="18" t="s">
        <v>610</v>
      </c>
      <c r="B24" s="19" t="s">
        <v>5</v>
      </c>
      <c r="C24" s="10">
        <v>986</v>
      </c>
      <c r="D24" s="10">
        <v>1004</v>
      </c>
      <c r="E24" s="10">
        <v>1028</v>
      </c>
      <c r="F24" s="10">
        <v>1182</v>
      </c>
      <c r="G24" s="10">
        <v>1229</v>
      </c>
      <c r="H24" s="10">
        <v>1259</v>
      </c>
      <c r="I24" s="10" t="s">
        <v>20</v>
      </c>
      <c r="K24" s="21" t="s">
        <v>16</v>
      </c>
      <c r="L24" s="17">
        <v>626</v>
      </c>
      <c r="M24" s="14">
        <f>SUM(L24/L30)</f>
        <v>8.297985153764581E-2</v>
      </c>
    </row>
    <row r="25" spans="1:14" s="2" customFormat="1" ht="16.5" customHeight="1" thickBot="1">
      <c r="A25" s="18" t="s">
        <v>612</v>
      </c>
      <c r="B25" s="76" t="s">
        <v>31</v>
      </c>
      <c r="C25" s="10">
        <v>671</v>
      </c>
      <c r="D25" s="10">
        <v>729</v>
      </c>
      <c r="E25" s="10">
        <v>809</v>
      </c>
      <c r="F25" s="10">
        <v>813</v>
      </c>
      <c r="G25" s="10">
        <v>943</v>
      </c>
      <c r="H25" s="10">
        <v>1292</v>
      </c>
      <c r="I25" s="10">
        <v>1356</v>
      </c>
      <c r="J25" s="11"/>
      <c r="K25" s="26" t="s">
        <v>18</v>
      </c>
      <c r="L25" s="17">
        <v>315</v>
      </c>
      <c r="M25" s="14">
        <f>SUM(L25/L30)</f>
        <v>4.1755037115588547E-2</v>
      </c>
    </row>
    <row r="26" spans="1:14" s="2" customFormat="1" ht="16.5" customHeight="1" thickBot="1">
      <c r="A26" s="18" t="s">
        <v>447</v>
      </c>
      <c r="B26" s="22" t="s">
        <v>16</v>
      </c>
      <c r="C26" s="10">
        <v>626</v>
      </c>
      <c r="D26" s="10">
        <v>679</v>
      </c>
      <c r="E26" s="10">
        <v>711</v>
      </c>
      <c r="F26" s="10">
        <v>721</v>
      </c>
      <c r="G26" s="10">
        <v>794</v>
      </c>
      <c r="H26" s="10" t="s">
        <v>20</v>
      </c>
      <c r="K26" s="78" t="s">
        <v>30</v>
      </c>
      <c r="L26" s="17">
        <v>1332</v>
      </c>
      <c r="M26" s="14">
        <f>SUM(L26/L30)</f>
        <v>0.17656415694591729</v>
      </c>
      <c r="N26" s="2">
        <v>1</v>
      </c>
    </row>
    <row r="27" spans="1:14" s="2" customFormat="1" ht="16.5" customHeight="1" thickBot="1">
      <c r="A27" s="18" t="s">
        <v>611</v>
      </c>
      <c r="B27" s="19" t="s">
        <v>5</v>
      </c>
      <c r="C27" s="10">
        <v>431</v>
      </c>
      <c r="D27" s="10">
        <v>436</v>
      </c>
      <c r="E27" s="10">
        <v>441</v>
      </c>
      <c r="F27" s="10" t="s">
        <v>20</v>
      </c>
      <c r="K27" s="48" t="s">
        <v>21</v>
      </c>
      <c r="L27" s="17">
        <v>400</v>
      </c>
      <c r="M27" s="14">
        <f>SUM(L27/L30)</f>
        <v>5.3022269353128315E-2</v>
      </c>
    </row>
    <row r="28" spans="1:14" s="2" customFormat="1" ht="16.5" customHeight="1" thickBot="1">
      <c r="A28" s="18" t="s">
        <v>613</v>
      </c>
      <c r="B28" s="47" t="s">
        <v>21</v>
      </c>
      <c r="C28" s="10">
        <v>400</v>
      </c>
      <c r="D28" s="10">
        <v>436</v>
      </c>
      <c r="E28" s="10">
        <v>496</v>
      </c>
      <c r="F28" s="10">
        <v>518</v>
      </c>
      <c r="G28" s="10" t="s">
        <v>20</v>
      </c>
      <c r="K28" s="83" t="s">
        <v>31</v>
      </c>
      <c r="L28" s="17">
        <v>671</v>
      </c>
      <c r="M28" s="14">
        <f>SUM(L28/L30)</f>
        <v>8.8944856839872743E-2</v>
      </c>
    </row>
    <row r="29" spans="1:14" s="2" customFormat="1" ht="16.5" customHeight="1" thickBot="1">
      <c r="A29" s="18" t="s">
        <v>609</v>
      </c>
      <c r="B29" s="27" t="s">
        <v>18</v>
      </c>
      <c r="C29" s="10">
        <v>315</v>
      </c>
      <c r="D29" s="10">
        <v>340</v>
      </c>
      <c r="E29" s="10" t="s">
        <v>20</v>
      </c>
      <c r="J29"/>
      <c r="K29" s="13" t="s">
        <v>17</v>
      </c>
      <c r="L29" s="17">
        <f>(C31+C30)</f>
        <v>301</v>
      </c>
      <c r="M29" s="14">
        <f>SUM(L29/L30)</f>
        <v>3.9899257688229058E-2</v>
      </c>
    </row>
    <row r="30" spans="1:14" s="2" customFormat="1" ht="16.5" customHeight="1" thickBot="1">
      <c r="A30" s="18" t="s">
        <v>608</v>
      </c>
      <c r="B30" s="23" t="s">
        <v>14</v>
      </c>
      <c r="C30" s="10">
        <v>178</v>
      </c>
      <c r="D30" s="10" t="s">
        <v>20</v>
      </c>
      <c r="L30" s="24">
        <v>7544</v>
      </c>
    </row>
    <row r="31" spans="1:14" s="2" customFormat="1" ht="16.5" customHeight="1" thickBot="1">
      <c r="A31" s="18" t="s">
        <v>614</v>
      </c>
      <c r="B31" s="23" t="s">
        <v>14</v>
      </c>
      <c r="C31" s="10">
        <v>123</v>
      </c>
      <c r="D31" s="10" t="s">
        <v>20</v>
      </c>
    </row>
    <row r="33" spans="1:15" s="2" customFormat="1" ht="17.45" customHeight="1">
      <c r="A33" s="1" t="s">
        <v>662</v>
      </c>
    </row>
    <row r="34" spans="1:15" s="2" customFormat="1" ht="10.5" customHeight="1" thickBot="1">
      <c r="A34" s="1"/>
    </row>
    <row r="35" spans="1:15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6"/>
      <c r="L35" s="13" t="s">
        <v>9</v>
      </c>
      <c r="M35" s="14">
        <f>(10418/24148)</f>
        <v>0.43142289216498259</v>
      </c>
    </row>
    <row r="36" spans="1:15" s="2" customFormat="1" ht="16.5" customHeight="1" thickBot="1">
      <c r="A36" s="7" t="s">
        <v>342</v>
      </c>
      <c r="B36" s="8" t="s">
        <v>3</v>
      </c>
      <c r="C36" s="10">
        <v>1488</v>
      </c>
      <c r="D36" s="10">
        <v>1503</v>
      </c>
      <c r="E36" s="10">
        <v>1541</v>
      </c>
      <c r="F36" s="10">
        <v>1566</v>
      </c>
      <c r="G36" s="10">
        <v>1585</v>
      </c>
      <c r="H36" s="10">
        <v>1630</v>
      </c>
      <c r="I36" s="10">
        <v>1685</v>
      </c>
      <c r="J36" s="9">
        <v>1768</v>
      </c>
      <c r="K36" s="11" t="s">
        <v>6</v>
      </c>
      <c r="M36" s="13" t="s">
        <v>11</v>
      </c>
      <c r="N36" s="13" t="s">
        <v>12</v>
      </c>
      <c r="O36" s="13" t="s">
        <v>13</v>
      </c>
    </row>
    <row r="37" spans="1:15" s="2" customFormat="1" ht="16.5" customHeight="1" thickBot="1">
      <c r="A37" s="7" t="s">
        <v>341</v>
      </c>
      <c r="B37" s="43" t="s">
        <v>16</v>
      </c>
      <c r="C37" s="10">
        <v>1278</v>
      </c>
      <c r="D37" s="10">
        <v>1382</v>
      </c>
      <c r="E37" s="10">
        <v>1384</v>
      </c>
      <c r="F37" s="10">
        <v>1527</v>
      </c>
      <c r="G37" s="10">
        <v>1625</v>
      </c>
      <c r="H37" s="10">
        <v>1656</v>
      </c>
      <c r="I37" s="10">
        <v>1678</v>
      </c>
      <c r="J37" s="9">
        <v>1845</v>
      </c>
      <c r="K37" s="11" t="s">
        <v>8</v>
      </c>
      <c r="L37" s="16" t="s">
        <v>5</v>
      </c>
      <c r="M37" s="17">
        <f>(C40+C43+C44+C46)</f>
        <v>2645</v>
      </c>
      <c r="N37" s="14">
        <f>SUM(M37/M44)</f>
        <v>0.25597599922578146</v>
      </c>
      <c r="O37" s="2">
        <v>1</v>
      </c>
    </row>
    <row r="38" spans="1:15" s="2" customFormat="1" ht="16.5" customHeight="1" thickBot="1">
      <c r="A38" s="7" t="s">
        <v>669</v>
      </c>
      <c r="B38" s="43" t="s">
        <v>16</v>
      </c>
      <c r="C38" s="10">
        <v>1169</v>
      </c>
      <c r="D38" s="10">
        <v>1309</v>
      </c>
      <c r="E38" s="10">
        <v>1352</v>
      </c>
      <c r="F38" s="10">
        <v>1424</v>
      </c>
      <c r="G38" s="10">
        <v>1454</v>
      </c>
      <c r="H38" s="10">
        <v>1492</v>
      </c>
      <c r="I38" s="10">
        <v>1520</v>
      </c>
      <c r="J38" s="9">
        <v>1780</v>
      </c>
      <c r="K38" s="11" t="s">
        <v>7</v>
      </c>
      <c r="L38" s="20" t="s">
        <v>3</v>
      </c>
      <c r="M38" s="17">
        <f>(C36+C41)</f>
        <v>2469</v>
      </c>
      <c r="N38" s="14">
        <f>SUM(M38/M44)</f>
        <v>0.23894319171586181</v>
      </c>
      <c r="O38" s="2">
        <v>1</v>
      </c>
    </row>
    <row r="39" spans="1:15" s="2" customFormat="1" ht="16.5" customHeight="1" thickBot="1">
      <c r="A39" s="7" t="s">
        <v>663</v>
      </c>
      <c r="B39" s="81" t="s">
        <v>30</v>
      </c>
      <c r="C39" s="10">
        <v>1128</v>
      </c>
      <c r="D39" s="10">
        <v>1159</v>
      </c>
      <c r="E39" s="10">
        <v>1173</v>
      </c>
      <c r="F39" s="10">
        <v>1218</v>
      </c>
      <c r="G39" s="10">
        <v>1267</v>
      </c>
      <c r="H39" s="10">
        <v>1317</v>
      </c>
      <c r="I39" s="10">
        <v>1376</v>
      </c>
      <c r="J39" s="9">
        <v>1542</v>
      </c>
      <c r="K39" s="11" t="s">
        <v>10</v>
      </c>
      <c r="L39" s="21" t="s">
        <v>16</v>
      </c>
      <c r="M39" s="17">
        <f>(C37+C38)</f>
        <v>2447</v>
      </c>
      <c r="N39" s="14">
        <f>SUM(M39/M44)</f>
        <v>0.23681409077712184</v>
      </c>
      <c r="O39" s="2">
        <v>2</v>
      </c>
    </row>
    <row r="40" spans="1:15" s="2" customFormat="1" ht="16.5" customHeight="1" thickBot="1">
      <c r="A40" s="7" t="s">
        <v>670</v>
      </c>
      <c r="B40" s="12" t="s">
        <v>5</v>
      </c>
      <c r="C40" s="10">
        <v>1070</v>
      </c>
      <c r="D40" s="10">
        <v>1075</v>
      </c>
      <c r="E40" s="10">
        <v>1268</v>
      </c>
      <c r="F40" s="10">
        <v>1311</v>
      </c>
      <c r="G40" s="10">
        <v>1540</v>
      </c>
      <c r="H40" s="9">
        <v>2082</v>
      </c>
      <c r="I40" s="10"/>
      <c r="J40" s="10"/>
      <c r="K40" s="11" t="s">
        <v>4</v>
      </c>
      <c r="L40" s="83" t="s">
        <v>31</v>
      </c>
      <c r="M40" s="17">
        <v>430</v>
      </c>
      <c r="N40" s="14">
        <f>SUM(M40/M44)</f>
        <v>4.1614245620826482E-2</v>
      </c>
    </row>
    <row r="41" spans="1:15" s="2" customFormat="1" ht="16.5" customHeight="1" thickBot="1">
      <c r="A41" s="18" t="s">
        <v>667</v>
      </c>
      <c r="B41" s="28" t="s">
        <v>3</v>
      </c>
      <c r="C41" s="10">
        <v>981</v>
      </c>
      <c r="D41" s="10">
        <v>992</v>
      </c>
      <c r="E41" s="10">
        <v>1014</v>
      </c>
      <c r="F41" s="10">
        <v>1037</v>
      </c>
      <c r="G41" s="10">
        <v>1051</v>
      </c>
      <c r="H41" s="10">
        <v>1081</v>
      </c>
      <c r="I41" s="10">
        <v>1096</v>
      </c>
      <c r="J41" s="10">
        <v>1163</v>
      </c>
      <c r="K41" s="11"/>
      <c r="L41" s="48" t="s">
        <v>21</v>
      </c>
      <c r="M41" s="17">
        <v>682</v>
      </c>
      <c r="N41" s="14">
        <f>SUM(M41/M44)</f>
        <v>6.6002129100938736E-2</v>
      </c>
    </row>
    <row r="42" spans="1:15" s="2" customFormat="1" ht="16.5" customHeight="1" thickBot="1">
      <c r="A42" s="18" t="s">
        <v>666</v>
      </c>
      <c r="B42" s="47" t="s">
        <v>21</v>
      </c>
      <c r="C42" s="10">
        <v>682</v>
      </c>
      <c r="D42" s="10">
        <v>751</v>
      </c>
      <c r="E42" s="10">
        <v>761</v>
      </c>
      <c r="F42" s="10">
        <v>851</v>
      </c>
      <c r="G42" s="10">
        <v>880</v>
      </c>
      <c r="H42" s="10">
        <v>904</v>
      </c>
      <c r="I42" s="10">
        <v>940</v>
      </c>
      <c r="J42" s="10" t="s">
        <v>20</v>
      </c>
      <c r="L42" s="78" t="s">
        <v>30</v>
      </c>
      <c r="M42" s="17">
        <v>1128</v>
      </c>
      <c r="N42" s="14">
        <f>SUM(M42/M44)</f>
        <v>0.10916481176812155</v>
      </c>
      <c r="O42" s="2">
        <v>1</v>
      </c>
    </row>
    <row r="43" spans="1:15" s="2" customFormat="1" ht="16.5" customHeight="1" thickBot="1">
      <c r="A43" s="18" t="s">
        <v>672</v>
      </c>
      <c r="B43" s="19" t="s">
        <v>5</v>
      </c>
      <c r="C43" s="10">
        <v>555</v>
      </c>
      <c r="D43" s="10">
        <v>564</v>
      </c>
      <c r="E43" s="10">
        <v>641</v>
      </c>
      <c r="F43" s="10">
        <v>675</v>
      </c>
      <c r="G43" s="10">
        <v>848</v>
      </c>
      <c r="H43" s="10" t="s">
        <v>20</v>
      </c>
      <c r="L43" s="13" t="s">
        <v>17</v>
      </c>
      <c r="M43" s="17">
        <v>532</v>
      </c>
      <c r="N43" s="14">
        <f>SUM(M43/M44)</f>
        <v>5.1485531791348106E-2</v>
      </c>
    </row>
    <row r="44" spans="1:15" s="2" customFormat="1" ht="16.5" customHeight="1" thickBot="1">
      <c r="A44" s="18" t="s">
        <v>664</v>
      </c>
      <c r="B44" s="19" t="s">
        <v>5</v>
      </c>
      <c r="C44" s="10">
        <v>550</v>
      </c>
      <c r="D44" s="10">
        <v>559</v>
      </c>
      <c r="E44" s="10">
        <v>615</v>
      </c>
      <c r="F44" s="10">
        <v>671</v>
      </c>
      <c r="G44" s="10" t="s">
        <v>20</v>
      </c>
      <c r="M44" s="24">
        <v>10333</v>
      </c>
    </row>
    <row r="45" spans="1:15" s="2" customFormat="1" ht="16.5" customHeight="1" thickBot="1">
      <c r="A45" s="18" t="s">
        <v>665</v>
      </c>
      <c r="B45" s="23" t="s">
        <v>14</v>
      </c>
      <c r="C45" s="10">
        <v>532</v>
      </c>
      <c r="D45" s="10">
        <v>561</v>
      </c>
      <c r="E45" s="10">
        <v>566</v>
      </c>
      <c r="F45" s="10" t="s">
        <v>20</v>
      </c>
    </row>
    <row r="46" spans="1:15" s="2" customFormat="1" ht="16.5" customHeight="1" thickBot="1">
      <c r="A46" s="18" t="s">
        <v>671</v>
      </c>
      <c r="B46" s="19" t="s">
        <v>5</v>
      </c>
      <c r="C46" s="10">
        <v>470</v>
      </c>
      <c r="D46" s="10">
        <v>472</v>
      </c>
      <c r="E46" s="10" t="s">
        <v>20</v>
      </c>
      <c r="K46" s="14"/>
    </row>
    <row r="47" spans="1:15" s="2" customFormat="1" ht="16.5" customHeight="1" thickBot="1">
      <c r="A47" s="18" t="s">
        <v>668</v>
      </c>
      <c r="B47" s="76" t="s">
        <v>31</v>
      </c>
      <c r="C47" s="10">
        <v>430</v>
      </c>
      <c r="D47" s="10" t="s">
        <v>20</v>
      </c>
    </row>
    <row r="48" spans="1:15" s="2" customFormat="1" ht="11.25" customHeight="1">
      <c r="A48" s="29"/>
      <c r="B48" s="30"/>
      <c r="C48" s="45"/>
      <c r="D48" s="45"/>
      <c r="E48" s="45"/>
      <c r="F48" s="17"/>
      <c r="G48" s="17"/>
      <c r="H48" s="17"/>
      <c r="I48" s="17"/>
      <c r="J48" s="17"/>
      <c r="K48" s="17"/>
      <c r="L48" s="17"/>
      <c r="M48" s="17"/>
      <c r="N48" s="44"/>
    </row>
    <row r="49" spans="1:14" s="2" customFormat="1" ht="17.45" customHeight="1">
      <c r="A49" s="1" t="s">
        <v>632</v>
      </c>
    </row>
    <row r="50" spans="1:14" s="2" customFormat="1" ht="10.5" customHeight="1" thickBot="1">
      <c r="A50" s="1"/>
    </row>
    <row r="51" spans="1:14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6"/>
      <c r="K51" s="13" t="s">
        <v>9</v>
      </c>
      <c r="L51" s="14">
        <f>(8353/20175)</f>
        <v>0.4140272614622057</v>
      </c>
    </row>
    <row r="52" spans="1:14" s="2" customFormat="1" ht="16.5" customHeight="1" thickBot="1">
      <c r="A52" s="7" t="s">
        <v>490</v>
      </c>
      <c r="B52" s="12" t="s">
        <v>5</v>
      </c>
      <c r="C52" s="10">
        <v>1582</v>
      </c>
      <c r="D52" s="10">
        <v>1584</v>
      </c>
      <c r="E52" s="10">
        <v>1601</v>
      </c>
      <c r="F52" s="9">
        <v>1872</v>
      </c>
      <c r="G52" s="10"/>
      <c r="H52" s="9"/>
      <c r="I52" s="10"/>
      <c r="J52" s="11" t="s">
        <v>4</v>
      </c>
      <c r="L52" s="13" t="s">
        <v>11</v>
      </c>
      <c r="M52" s="13" t="s">
        <v>12</v>
      </c>
      <c r="N52" s="13" t="s">
        <v>13</v>
      </c>
    </row>
    <row r="53" spans="1:14" s="2" customFormat="1" ht="16.5" customHeight="1" thickBot="1">
      <c r="A53" s="7" t="s">
        <v>633</v>
      </c>
      <c r="B53" s="8" t="s">
        <v>3</v>
      </c>
      <c r="C53" s="10">
        <v>1191</v>
      </c>
      <c r="D53" s="10">
        <v>1202</v>
      </c>
      <c r="E53" s="10">
        <v>1241</v>
      </c>
      <c r="F53" s="10">
        <v>1286</v>
      </c>
      <c r="G53" s="10">
        <v>1303</v>
      </c>
      <c r="H53" s="10">
        <v>1538</v>
      </c>
      <c r="I53" s="9">
        <v>1671</v>
      </c>
      <c r="J53" s="11" t="s">
        <v>7</v>
      </c>
      <c r="K53" s="16" t="s">
        <v>5</v>
      </c>
      <c r="L53" s="17">
        <f>(C52+C56+C59)</f>
        <v>2923</v>
      </c>
      <c r="M53" s="14">
        <f>SUM(L53/L59)</f>
        <v>0.35140658812214476</v>
      </c>
      <c r="N53" s="2">
        <v>1</v>
      </c>
    </row>
    <row r="54" spans="1:14" s="2" customFormat="1" ht="16.5" customHeight="1" thickBot="1">
      <c r="A54" s="7" t="s">
        <v>637</v>
      </c>
      <c r="B54" s="80" t="s">
        <v>21</v>
      </c>
      <c r="C54" s="10">
        <v>1163</v>
      </c>
      <c r="D54" s="10">
        <v>1176</v>
      </c>
      <c r="E54" s="10">
        <v>1289</v>
      </c>
      <c r="F54" s="10">
        <v>1313</v>
      </c>
      <c r="G54" s="10">
        <v>1327</v>
      </c>
      <c r="H54" s="10">
        <v>1511</v>
      </c>
      <c r="I54" s="9">
        <v>1877</v>
      </c>
      <c r="J54" s="11" t="s">
        <v>8</v>
      </c>
      <c r="K54" s="20" t="s">
        <v>3</v>
      </c>
      <c r="L54" s="17">
        <f>(C53+C55)</f>
        <v>2352</v>
      </c>
      <c r="M54" s="14">
        <f>SUM(L54/L59)</f>
        <v>0.28276027891320027</v>
      </c>
      <c r="N54" s="2">
        <v>2</v>
      </c>
    </row>
    <row r="55" spans="1:14" s="2" customFormat="1" ht="16.5" customHeight="1" thickBot="1">
      <c r="A55" s="7" t="s">
        <v>639</v>
      </c>
      <c r="B55" s="8" t="s">
        <v>3</v>
      </c>
      <c r="C55" s="10">
        <v>1161</v>
      </c>
      <c r="D55" s="10">
        <v>1166</v>
      </c>
      <c r="E55" s="10">
        <v>1194</v>
      </c>
      <c r="F55" s="10">
        <v>1206</v>
      </c>
      <c r="G55" s="10">
        <v>1213</v>
      </c>
      <c r="H55" s="10">
        <v>1355</v>
      </c>
      <c r="I55" s="9">
        <v>1622</v>
      </c>
      <c r="J55" s="11" t="s">
        <v>6</v>
      </c>
      <c r="K55" s="21" t="s">
        <v>16</v>
      </c>
      <c r="L55" s="17">
        <f>(C60+C61)</f>
        <v>381</v>
      </c>
      <c r="M55" s="14">
        <f>SUM(L55/L59)</f>
        <v>4.5804279874969947E-2</v>
      </c>
    </row>
    <row r="56" spans="1:14" s="2" customFormat="1" ht="16.5" customHeight="1" thickBot="1">
      <c r="A56" s="18" t="s">
        <v>634</v>
      </c>
      <c r="B56" s="19" t="s">
        <v>5</v>
      </c>
      <c r="C56" s="10">
        <v>862</v>
      </c>
      <c r="D56" s="10">
        <v>884</v>
      </c>
      <c r="E56" s="10">
        <v>897</v>
      </c>
      <c r="F56" s="10">
        <v>989</v>
      </c>
      <c r="G56" s="10">
        <v>1142</v>
      </c>
      <c r="H56" s="10">
        <v>1223</v>
      </c>
      <c r="I56" s="10">
        <v>1325</v>
      </c>
      <c r="J56" s="11"/>
      <c r="K56" s="48" t="s">
        <v>21</v>
      </c>
      <c r="L56" s="17">
        <v>1163</v>
      </c>
      <c r="M56" s="14">
        <f>SUM(L56/L59)</f>
        <v>0.13981726376532821</v>
      </c>
      <c r="N56" s="2">
        <v>1</v>
      </c>
    </row>
    <row r="57" spans="1:14" s="2" customFormat="1" ht="16.5" customHeight="1" thickBot="1">
      <c r="A57" s="18" t="s">
        <v>205</v>
      </c>
      <c r="B57" s="23" t="s">
        <v>14</v>
      </c>
      <c r="C57" s="10">
        <v>760</v>
      </c>
      <c r="D57" s="10">
        <v>767</v>
      </c>
      <c r="E57" s="10">
        <v>832</v>
      </c>
      <c r="F57" s="10">
        <v>842</v>
      </c>
      <c r="G57" s="10">
        <v>849</v>
      </c>
      <c r="H57" s="10">
        <v>944</v>
      </c>
      <c r="I57" s="10" t="s">
        <v>20</v>
      </c>
      <c r="K57" s="78" t="s">
        <v>30</v>
      </c>
      <c r="L57" s="17">
        <v>719</v>
      </c>
      <c r="M57" s="14">
        <f>SUM(L57/L59)</f>
        <v>8.6439047848040393E-2</v>
      </c>
    </row>
    <row r="58" spans="1:14" s="2" customFormat="1" ht="16.5" customHeight="1" thickBot="1">
      <c r="A58" s="18" t="s">
        <v>635</v>
      </c>
      <c r="B58" s="79" t="s">
        <v>30</v>
      </c>
      <c r="C58" s="10">
        <v>719</v>
      </c>
      <c r="D58" s="10">
        <v>721</v>
      </c>
      <c r="E58" s="10">
        <v>760</v>
      </c>
      <c r="F58" s="10">
        <v>778</v>
      </c>
      <c r="G58" s="10">
        <v>788</v>
      </c>
      <c r="H58" s="10" t="s">
        <v>20</v>
      </c>
      <c r="K58" s="13" t="s">
        <v>17</v>
      </c>
      <c r="L58" s="17">
        <v>760</v>
      </c>
      <c r="M58" s="14">
        <f>SUM(L58/L59)</f>
        <v>9.1368117335898058E-2</v>
      </c>
    </row>
    <row r="59" spans="1:14" s="2" customFormat="1" ht="16.5" customHeight="1" thickBot="1">
      <c r="A59" s="18" t="s">
        <v>636</v>
      </c>
      <c r="B59" s="19" t="s">
        <v>5</v>
      </c>
      <c r="C59" s="10">
        <v>479</v>
      </c>
      <c r="D59" s="10">
        <v>479</v>
      </c>
      <c r="E59" s="10">
        <v>485</v>
      </c>
      <c r="F59" s="10" t="s">
        <v>20</v>
      </c>
      <c r="L59" s="24">
        <v>8318</v>
      </c>
    </row>
    <row r="60" spans="1:14" s="2" customFormat="1" ht="16.5" customHeight="1" thickBot="1">
      <c r="A60" s="18" t="s">
        <v>640</v>
      </c>
      <c r="B60" s="22" t="s">
        <v>16</v>
      </c>
      <c r="C60" s="10">
        <v>227</v>
      </c>
      <c r="D60" s="10">
        <v>339</v>
      </c>
      <c r="E60" s="10" t="s">
        <v>20</v>
      </c>
    </row>
    <row r="61" spans="1:14" s="2" customFormat="1" ht="16.5" customHeight="1" thickBot="1">
      <c r="A61" s="18" t="s">
        <v>638</v>
      </c>
      <c r="B61" s="22" t="s">
        <v>16</v>
      </c>
      <c r="C61" s="10">
        <v>154</v>
      </c>
      <c r="D61" s="10" t="s">
        <v>20</v>
      </c>
    </row>
    <row r="62" spans="1:14" s="2" customFormat="1" ht="11.25" customHeight="1">
      <c r="A62" s="29"/>
      <c r="B62" s="30"/>
      <c r="C62" s="45"/>
      <c r="D62" s="45"/>
      <c r="E62" s="45"/>
      <c r="F62" s="17"/>
      <c r="G62" s="17"/>
      <c r="H62" s="17"/>
      <c r="I62" s="17"/>
      <c r="J62" s="17"/>
      <c r="K62" s="17"/>
      <c r="L62" s="17"/>
      <c r="M62" s="17"/>
      <c r="N62" s="44"/>
    </row>
    <row r="63" spans="1:14" s="2" customFormat="1" ht="17.45" customHeight="1">
      <c r="A63" s="1" t="s">
        <v>615</v>
      </c>
    </row>
    <row r="64" spans="1:14" s="2" customFormat="1" ht="10.5" customHeight="1" thickBot="1">
      <c r="A64" s="1"/>
    </row>
    <row r="65" spans="1:16" s="2" customFormat="1" ht="16.5" customHeight="1" thickBot="1">
      <c r="A65" s="4" t="s">
        <v>0</v>
      </c>
      <c r="B65" s="5" t="s">
        <v>1</v>
      </c>
      <c r="C65" s="5" t="s">
        <v>2</v>
      </c>
      <c r="D65" s="5">
        <v>2</v>
      </c>
      <c r="E65" s="5">
        <v>3</v>
      </c>
      <c r="F65" s="5">
        <v>4</v>
      </c>
      <c r="G65" s="5">
        <v>5</v>
      </c>
      <c r="H65" s="5">
        <v>6</v>
      </c>
      <c r="I65" s="5">
        <v>7</v>
      </c>
      <c r="J65" s="5">
        <v>8</v>
      </c>
      <c r="K65" s="5">
        <v>9</v>
      </c>
      <c r="L65" s="6"/>
      <c r="M65" s="13" t="s">
        <v>9</v>
      </c>
      <c r="N65" s="14">
        <f>(6590/16819)</f>
        <v>0.3918187763838516</v>
      </c>
    </row>
    <row r="66" spans="1:16" s="2" customFormat="1" ht="16.5" customHeight="1" thickBot="1">
      <c r="A66" s="7" t="s">
        <v>619</v>
      </c>
      <c r="B66" s="43" t="s">
        <v>16</v>
      </c>
      <c r="C66" s="9">
        <v>1576</v>
      </c>
      <c r="D66" s="10"/>
      <c r="E66" s="9"/>
      <c r="F66" s="10"/>
      <c r="G66" s="10"/>
      <c r="H66" s="9"/>
      <c r="I66" s="10"/>
      <c r="J66" s="10"/>
      <c r="K66" s="10"/>
      <c r="L66" s="11" t="s">
        <v>4</v>
      </c>
      <c r="N66" s="13" t="s">
        <v>11</v>
      </c>
      <c r="O66" s="13" t="s">
        <v>12</v>
      </c>
      <c r="P66" s="13" t="s">
        <v>13</v>
      </c>
    </row>
    <row r="67" spans="1:16" s="2" customFormat="1" ht="16.5" customHeight="1" thickBot="1">
      <c r="A67" s="7" t="s">
        <v>323</v>
      </c>
      <c r="B67" s="85" t="s">
        <v>31</v>
      </c>
      <c r="C67" s="10">
        <v>912</v>
      </c>
      <c r="D67" s="10">
        <v>966</v>
      </c>
      <c r="E67" s="10">
        <v>995</v>
      </c>
      <c r="F67" s="10">
        <v>1020</v>
      </c>
      <c r="G67" s="10">
        <v>1107</v>
      </c>
      <c r="H67" s="10">
        <v>1138</v>
      </c>
      <c r="I67" s="10">
        <v>1306</v>
      </c>
      <c r="J67" s="9">
        <v>1357</v>
      </c>
      <c r="K67" s="9"/>
      <c r="L67" s="11" t="s">
        <v>7</v>
      </c>
      <c r="M67" s="16" t="s">
        <v>5</v>
      </c>
      <c r="N67" s="17">
        <f>(C70+C71+C73)</f>
        <v>1570</v>
      </c>
      <c r="O67" s="14">
        <f>SUM(N67/N74)</f>
        <v>0.2400611620795107</v>
      </c>
      <c r="P67" s="2">
        <v>1</v>
      </c>
    </row>
    <row r="68" spans="1:16" s="2" customFormat="1" ht="16.5" customHeight="1" thickBot="1">
      <c r="A68" s="7" t="s">
        <v>617</v>
      </c>
      <c r="B68" s="8" t="s">
        <v>3</v>
      </c>
      <c r="C68" s="10">
        <v>720</v>
      </c>
      <c r="D68" s="10">
        <v>745</v>
      </c>
      <c r="E68" s="10">
        <v>754</v>
      </c>
      <c r="F68" s="10">
        <v>875</v>
      </c>
      <c r="G68" s="10">
        <v>919</v>
      </c>
      <c r="H68" s="10">
        <v>946</v>
      </c>
      <c r="I68" s="10">
        <v>1066</v>
      </c>
      <c r="J68" s="10">
        <v>1126</v>
      </c>
      <c r="K68" s="9">
        <v>1170</v>
      </c>
      <c r="L68" s="11" t="s">
        <v>6</v>
      </c>
      <c r="M68" s="20" t="s">
        <v>3</v>
      </c>
      <c r="N68" s="17">
        <f>(C68+C75)</f>
        <v>944</v>
      </c>
      <c r="O68" s="14">
        <f>SUM(N68/N74)</f>
        <v>0.14434250764525994</v>
      </c>
      <c r="P68" s="2">
        <v>1</v>
      </c>
    </row>
    <row r="69" spans="1:16" s="2" customFormat="1" ht="16.5" customHeight="1" thickBot="1">
      <c r="A69" s="18" t="s">
        <v>618</v>
      </c>
      <c r="B69" s="23" t="s">
        <v>14</v>
      </c>
      <c r="C69" s="10">
        <v>611</v>
      </c>
      <c r="D69" s="10">
        <v>628</v>
      </c>
      <c r="E69" s="10">
        <v>645</v>
      </c>
      <c r="F69" s="10">
        <v>651</v>
      </c>
      <c r="G69" s="10">
        <v>713</v>
      </c>
      <c r="H69" s="10">
        <v>736</v>
      </c>
      <c r="I69" s="10" t="s">
        <v>20</v>
      </c>
      <c r="M69" s="21" t="s">
        <v>16</v>
      </c>
      <c r="N69" s="17">
        <f>(C66+C72)</f>
        <v>2098</v>
      </c>
      <c r="O69" s="14">
        <f>SUM(N69/N74)</f>
        <v>0.32079510703363917</v>
      </c>
      <c r="P69" s="2">
        <v>1</v>
      </c>
    </row>
    <row r="70" spans="1:16" s="2" customFormat="1" ht="16.5" customHeight="1" thickBot="1">
      <c r="A70" s="18" t="s">
        <v>620</v>
      </c>
      <c r="B70" s="19" t="s">
        <v>5</v>
      </c>
      <c r="C70" s="10">
        <v>577</v>
      </c>
      <c r="D70" s="10">
        <v>584</v>
      </c>
      <c r="E70" s="10">
        <v>586</v>
      </c>
      <c r="F70" s="10">
        <v>607</v>
      </c>
      <c r="G70" s="10">
        <v>626</v>
      </c>
      <c r="H70" s="10">
        <v>767</v>
      </c>
      <c r="I70" s="10">
        <v>819</v>
      </c>
      <c r="J70" s="10" t="s">
        <v>20</v>
      </c>
      <c r="M70" s="26" t="s">
        <v>18</v>
      </c>
      <c r="N70" s="17">
        <v>157</v>
      </c>
      <c r="O70" s="14">
        <f>SUM(N70/N74)</f>
        <v>2.4006116207951071E-2</v>
      </c>
    </row>
    <row r="71" spans="1:16" s="2" customFormat="1" ht="16.5" customHeight="1" thickBot="1">
      <c r="A71" s="7" t="s">
        <v>326</v>
      </c>
      <c r="B71" s="12" t="s">
        <v>5</v>
      </c>
      <c r="C71" s="10">
        <v>525</v>
      </c>
      <c r="D71" s="10">
        <v>537</v>
      </c>
      <c r="E71" s="10">
        <v>549</v>
      </c>
      <c r="F71" s="10">
        <v>555</v>
      </c>
      <c r="G71" s="10">
        <v>580</v>
      </c>
      <c r="H71" s="10">
        <v>828</v>
      </c>
      <c r="I71" s="10">
        <v>943</v>
      </c>
      <c r="J71" s="9">
        <v>1412</v>
      </c>
      <c r="K71" s="10"/>
      <c r="L71" s="11" t="s">
        <v>8</v>
      </c>
      <c r="M71" s="48" t="s">
        <v>21</v>
      </c>
      <c r="N71" s="17">
        <v>298</v>
      </c>
      <c r="O71" s="14">
        <f>SUM(N71/N74)</f>
        <v>4.5565749235474004E-2</v>
      </c>
    </row>
    <row r="72" spans="1:16" s="2" customFormat="1" ht="16.5" customHeight="1" thickBot="1">
      <c r="A72" s="18" t="s">
        <v>322</v>
      </c>
      <c r="B72" s="22" t="s">
        <v>16</v>
      </c>
      <c r="C72" s="10">
        <v>522</v>
      </c>
      <c r="D72" s="10">
        <v>634</v>
      </c>
      <c r="E72" s="10">
        <v>648</v>
      </c>
      <c r="F72" s="10">
        <v>667</v>
      </c>
      <c r="G72" s="10">
        <v>737</v>
      </c>
      <c r="H72" s="10">
        <v>755</v>
      </c>
      <c r="I72" s="10">
        <v>881</v>
      </c>
      <c r="J72" s="10">
        <v>1040</v>
      </c>
      <c r="K72" s="10">
        <v>1089</v>
      </c>
      <c r="L72" s="11"/>
      <c r="M72" s="83" t="s">
        <v>31</v>
      </c>
      <c r="N72" s="17">
        <v>912</v>
      </c>
      <c r="O72" s="14">
        <f>SUM(N72/N74)</f>
        <v>0.13944954128440368</v>
      </c>
      <c r="P72" s="2">
        <v>1</v>
      </c>
    </row>
    <row r="73" spans="1:16" s="2" customFormat="1" ht="16.5" customHeight="1" thickBot="1">
      <c r="A73" s="18" t="s">
        <v>621</v>
      </c>
      <c r="B73" s="19" t="s">
        <v>5</v>
      </c>
      <c r="C73" s="10">
        <v>468</v>
      </c>
      <c r="D73" s="10">
        <v>479</v>
      </c>
      <c r="E73" s="10">
        <v>505</v>
      </c>
      <c r="F73" s="10">
        <v>511</v>
      </c>
      <c r="G73" s="10">
        <v>523</v>
      </c>
      <c r="H73" s="10" t="s">
        <v>20</v>
      </c>
      <c r="M73" s="13" t="s">
        <v>17</v>
      </c>
      <c r="N73" s="17">
        <v>611</v>
      </c>
      <c r="O73" s="14">
        <f>SUM(N73/N74)</f>
        <v>9.3425076452599384E-2</v>
      </c>
    </row>
    <row r="74" spans="1:16" s="2" customFormat="1" ht="16.5" customHeight="1" thickBot="1">
      <c r="A74" s="18" t="s">
        <v>622</v>
      </c>
      <c r="B74" s="47" t="s">
        <v>21</v>
      </c>
      <c r="C74" s="10">
        <v>298</v>
      </c>
      <c r="D74" s="10">
        <v>308</v>
      </c>
      <c r="E74" s="10">
        <v>345</v>
      </c>
      <c r="F74" s="10">
        <v>363</v>
      </c>
      <c r="G74" s="10" t="s">
        <v>20</v>
      </c>
      <c r="K74" s="17"/>
      <c r="N74" s="24">
        <v>6540</v>
      </c>
    </row>
    <row r="75" spans="1:16" s="2" customFormat="1" ht="16.5" customHeight="1" thickBot="1">
      <c r="A75" s="18" t="s">
        <v>293</v>
      </c>
      <c r="B75" s="28" t="s">
        <v>3</v>
      </c>
      <c r="C75" s="10">
        <v>224</v>
      </c>
      <c r="D75" s="10">
        <v>228</v>
      </c>
      <c r="E75" s="10">
        <v>228</v>
      </c>
      <c r="F75" s="10" t="s">
        <v>20</v>
      </c>
    </row>
    <row r="76" spans="1:16" s="2" customFormat="1" ht="16.5" customHeight="1" thickBot="1">
      <c r="A76" s="18" t="s">
        <v>616</v>
      </c>
      <c r="B76" s="27" t="s">
        <v>18</v>
      </c>
      <c r="C76" s="10">
        <v>157</v>
      </c>
      <c r="D76" s="10">
        <v>162</v>
      </c>
      <c r="E76" s="10" t="s">
        <v>20</v>
      </c>
      <c r="I76" s="17"/>
      <c r="J76" s="17"/>
      <c r="K76" s="17"/>
      <c r="L76" s="17"/>
      <c r="M76" s="17"/>
    </row>
    <row r="77" spans="1:16" s="2" customFormat="1" ht="11.25" customHeight="1">
      <c r="A77" s="29"/>
      <c r="B77" s="30"/>
      <c r="C77" s="29"/>
      <c r="D77" s="29"/>
      <c r="N77" s="14"/>
    </row>
    <row r="78" spans="1:16" s="2" customFormat="1" ht="17.45" customHeight="1">
      <c r="A78" s="1" t="s">
        <v>641</v>
      </c>
    </row>
    <row r="79" spans="1:16" s="2" customFormat="1" ht="10.5" customHeight="1" thickBot="1">
      <c r="A79" s="1"/>
    </row>
    <row r="80" spans="1:16" s="2" customFormat="1" ht="16.5" customHeight="1" thickBot="1">
      <c r="A80" s="4" t="s">
        <v>0</v>
      </c>
      <c r="B80" s="5" t="s">
        <v>1</v>
      </c>
      <c r="C80" s="5" t="s">
        <v>2</v>
      </c>
      <c r="D80" s="5">
        <v>2</v>
      </c>
      <c r="E80" s="5">
        <v>3</v>
      </c>
      <c r="F80" s="5">
        <v>4</v>
      </c>
      <c r="G80" s="5">
        <v>5</v>
      </c>
      <c r="H80" s="5">
        <v>6</v>
      </c>
      <c r="I80" s="5">
        <v>7</v>
      </c>
      <c r="J80" s="5">
        <v>8</v>
      </c>
      <c r="K80" s="5">
        <v>9</v>
      </c>
      <c r="L80" s="5">
        <v>10</v>
      </c>
      <c r="M80" s="6"/>
      <c r="N80" s="13" t="s">
        <v>9</v>
      </c>
      <c r="O80" s="14">
        <f>(7096/18163)</f>
        <v>0.39068435831085174</v>
      </c>
    </row>
    <row r="81" spans="1:17" s="2" customFormat="1" ht="16.5" customHeight="1" thickBot="1">
      <c r="A81" s="7" t="s">
        <v>224</v>
      </c>
      <c r="B81" s="12" t="s">
        <v>5</v>
      </c>
      <c r="C81" s="10">
        <v>1572</v>
      </c>
      <c r="D81" s="10">
        <v>1579</v>
      </c>
      <c r="E81" s="10">
        <v>1590</v>
      </c>
      <c r="F81" s="10">
        <v>1663</v>
      </c>
      <c r="G81" s="10">
        <v>1684</v>
      </c>
      <c r="H81" s="9">
        <v>1915</v>
      </c>
      <c r="I81" s="10"/>
      <c r="J81" s="10"/>
      <c r="K81" s="10"/>
      <c r="L81" s="10"/>
      <c r="M81" s="11" t="s">
        <v>4</v>
      </c>
      <c r="O81" s="13" t="s">
        <v>11</v>
      </c>
      <c r="P81" s="13" t="s">
        <v>12</v>
      </c>
      <c r="Q81" s="13" t="s">
        <v>13</v>
      </c>
    </row>
    <row r="82" spans="1:17" s="2" customFormat="1" ht="16.5" customHeight="1" thickBot="1">
      <c r="A82" s="7" t="s">
        <v>642</v>
      </c>
      <c r="B82" s="85" t="s">
        <v>31</v>
      </c>
      <c r="C82" s="10">
        <v>947</v>
      </c>
      <c r="D82" s="10">
        <v>967</v>
      </c>
      <c r="E82" s="10">
        <v>980</v>
      </c>
      <c r="F82" s="10">
        <v>994</v>
      </c>
      <c r="G82" s="10">
        <v>1066</v>
      </c>
      <c r="H82" s="10">
        <v>1102</v>
      </c>
      <c r="I82" s="10">
        <v>1125</v>
      </c>
      <c r="J82" s="10">
        <v>1255</v>
      </c>
      <c r="K82" s="10">
        <v>1472</v>
      </c>
      <c r="L82" s="9">
        <v>1736</v>
      </c>
      <c r="M82" s="11" t="s">
        <v>7</v>
      </c>
      <c r="N82" s="16" t="s">
        <v>5</v>
      </c>
      <c r="O82" s="17">
        <f>(C81+C88+C90)</f>
        <v>2139</v>
      </c>
      <c r="P82" s="14">
        <f>SUM(O82/O90)</f>
        <v>0.30392156862745096</v>
      </c>
      <c r="Q82" s="2">
        <v>1</v>
      </c>
    </row>
    <row r="83" spans="1:17" s="2" customFormat="1" ht="16.5" customHeight="1" thickBot="1">
      <c r="A83" s="7" t="s">
        <v>643</v>
      </c>
      <c r="B83" s="81" t="s">
        <v>30</v>
      </c>
      <c r="C83" s="10">
        <v>892</v>
      </c>
      <c r="D83" s="10">
        <v>900</v>
      </c>
      <c r="E83" s="10">
        <v>916</v>
      </c>
      <c r="F83" s="10">
        <v>920</v>
      </c>
      <c r="G83" s="10">
        <v>969</v>
      </c>
      <c r="H83" s="10">
        <v>998</v>
      </c>
      <c r="I83" s="10">
        <v>1021</v>
      </c>
      <c r="J83" s="10">
        <v>1062</v>
      </c>
      <c r="K83" s="10">
        <v>1131</v>
      </c>
      <c r="L83" s="9">
        <v>1501</v>
      </c>
      <c r="M83" s="11" t="s">
        <v>8</v>
      </c>
      <c r="N83" s="20" t="s">
        <v>3</v>
      </c>
      <c r="O83" s="17">
        <f>(C85+C91)</f>
        <v>825</v>
      </c>
      <c r="P83" s="14">
        <f>SUM(O83/O90)</f>
        <v>0.11722080136402387</v>
      </c>
    </row>
    <row r="84" spans="1:17" s="2" customFormat="1" ht="16.5" customHeight="1" thickBot="1">
      <c r="A84" s="18" t="s">
        <v>644</v>
      </c>
      <c r="B84" s="28" t="s">
        <v>3</v>
      </c>
      <c r="C84" s="10">
        <v>789</v>
      </c>
      <c r="D84" s="10">
        <v>799</v>
      </c>
      <c r="E84" s="10">
        <v>889</v>
      </c>
      <c r="F84" s="10">
        <v>912</v>
      </c>
      <c r="G84" s="10">
        <v>942</v>
      </c>
      <c r="H84" s="10">
        <v>964</v>
      </c>
      <c r="I84" s="10">
        <v>988</v>
      </c>
      <c r="J84" s="10">
        <v>1009</v>
      </c>
      <c r="K84" s="10">
        <v>1083</v>
      </c>
      <c r="L84" s="88" t="s">
        <v>20</v>
      </c>
      <c r="N84" s="21" t="s">
        <v>16</v>
      </c>
      <c r="O84" s="17">
        <f>(C84+C86)</f>
        <v>1452</v>
      </c>
      <c r="P84" s="14">
        <f>SUM(O84/O90)</f>
        <v>0.20630861040068202</v>
      </c>
    </row>
    <row r="85" spans="1:17" s="2" customFormat="1" ht="16.5" customHeight="1" thickBot="1">
      <c r="A85" s="18" t="s">
        <v>319</v>
      </c>
      <c r="B85" s="22" t="s">
        <v>16</v>
      </c>
      <c r="C85" s="10">
        <v>667</v>
      </c>
      <c r="D85" s="10">
        <v>677</v>
      </c>
      <c r="E85" s="10">
        <v>689</v>
      </c>
      <c r="F85" s="10">
        <v>703</v>
      </c>
      <c r="G85" s="10">
        <v>741</v>
      </c>
      <c r="H85" s="10">
        <v>748</v>
      </c>
      <c r="I85" s="10">
        <v>756</v>
      </c>
      <c r="J85" s="10">
        <v>801</v>
      </c>
      <c r="K85" s="10" t="s">
        <v>20</v>
      </c>
      <c r="N85" s="26" t="s">
        <v>18</v>
      </c>
      <c r="O85" s="17">
        <v>399</v>
      </c>
      <c r="P85" s="14">
        <f>SUM(O85/O90)</f>
        <v>5.6692242114236999E-2</v>
      </c>
    </row>
    <row r="86" spans="1:17" s="2" customFormat="1" ht="16.5" customHeight="1" thickBot="1">
      <c r="A86" s="18" t="s">
        <v>645</v>
      </c>
      <c r="B86" s="22" t="s">
        <v>16</v>
      </c>
      <c r="C86" s="10">
        <v>663</v>
      </c>
      <c r="D86" s="10">
        <v>667</v>
      </c>
      <c r="E86" s="10">
        <v>673</v>
      </c>
      <c r="F86" s="10">
        <v>676</v>
      </c>
      <c r="G86" s="10">
        <v>706</v>
      </c>
      <c r="H86" s="10">
        <v>762</v>
      </c>
      <c r="I86" s="10">
        <v>775</v>
      </c>
      <c r="J86" s="10">
        <v>885</v>
      </c>
      <c r="K86" s="10">
        <v>1271</v>
      </c>
      <c r="L86" s="10">
        <v>1415</v>
      </c>
      <c r="M86" s="11"/>
      <c r="N86" s="48" t="s">
        <v>21</v>
      </c>
      <c r="O86" s="17">
        <v>259</v>
      </c>
      <c r="P86" s="14">
        <f>SUM(O86/O90)</f>
        <v>3.6800227337311739E-2</v>
      </c>
    </row>
    <row r="87" spans="1:17" s="2" customFormat="1" ht="16.5" customHeight="1" thickBot="1">
      <c r="A87" s="18" t="s">
        <v>474</v>
      </c>
      <c r="B87" s="27" t="s">
        <v>18</v>
      </c>
      <c r="C87" s="10">
        <v>399</v>
      </c>
      <c r="D87" s="10">
        <v>436</v>
      </c>
      <c r="E87" s="10">
        <v>438</v>
      </c>
      <c r="F87" s="10">
        <v>441</v>
      </c>
      <c r="G87" s="10">
        <v>461</v>
      </c>
      <c r="H87" s="10">
        <v>480</v>
      </c>
      <c r="I87" s="10">
        <v>496</v>
      </c>
      <c r="J87" s="10" t="s">
        <v>20</v>
      </c>
      <c r="N87" s="78" t="s">
        <v>30</v>
      </c>
      <c r="O87" s="17">
        <v>892</v>
      </c>
      <c r="P87" s="14">
        <f>SUM(O87/O90)</f>
        <v>0.12674055129298095</v>
      </c>
      <c r="Q87" s="2">
        <v>1</v>
      </c>
    </row>
    <row r="88" spans="1:17" s="2" customFormat="1" ht="16.5" customHeight="1" thickBot="1">
      <c r="A88" s="18" t="s">
        <v>646</v>
      </c>
      <c r="B88" s="19" t="s">
        <v>5</v>
      </c>
      <c r="C88" s="10">
        <v>389</v>
      </c>
      <c r="D88" s="10">
        <v>394</v>
      </c>
      <c r="E88" s="10">
        <v>395</v>
      </c>
      <c r="F88" s="10">
        <v>430</v>
      </c>
      <c r="G88" s="10">
        <v>434</v>
      </c>
      <c r="H88" s="10" t="s">
        <v>20</v>
      </c>
      <c r="N88" s="83" t="s">
        <v>31</v>
      </c>
      <c r="O88" s="17">
        <v>947</v>
      </c>
      <c r="P88" s="14">
        <f>SUM(O88/O90)</f>
        <v>0.13455527138391588</v>
      </c>
      <c r="Q88" s="2">
        <v>1</v>
      </c>
    </row>
    <row r="89" spans="1:17" s="2" customFormat="1" ht="16.5" customHeight="1" thickBot="1">
      <c r="A89" s="18" t="s">
        <v>648</v>
      </c>
      <c r="B89" s="47" t="s">
        <v>21</v>
      </c>
      <c r="C89" s="10">
        <v>259</v>
      </c>
      <c r="D89" s="10">
        <v>271</v>
      </c>
      <c r="E89" s="10">
        <v>279</v>
      </c>
      <c r="F89" s="10">
        <v>280</v>
      </c>
      <c r="G89" s="10" t="s">
        <v>20</v>
      </c>
      <c r="K89" s="17"/>
      <c r="N89" s="87" t="s">
        <v>650</v>
      </c>
      <c r="O89" s="17">
        <v>125</v>
      </c>
      <c r="P89" s="14">
        <f>SUM(O89/O90)</f>
        <v>1.7760727479397557E-2</v>
      </c>
    </row>
    <row r="90" spans="1:17" s="2" customFormat="1" ht="16.5" customHeight="1" thickBot="1">
      <c r="A90" s="18" t="s">
        <v>647</v>
      </c>
      <c r="B90" s="19" t="s">
        <v>5</v>
      </c>
      <c r="C90" s="10">
        <v>178</v>
      </c>
      <c r="D90" s="10">
        <v>179</v>
      </c>
      <c r="E90" s="10">
        <v>179</v>
      </c>
      <c r="F90" s="10" t="s">
        <v>20</v>
      </c>
      <c r="O90" s="24">
        <v>7038</v>
      </c>
    </row>
    <row r="91" spans="1:17" s="2" customFormat="1" ht="16.5" customHeight="1" thickBot="1">
      <c r="A91" s="18" t="s">
        <v>473</v>
      </c>
      <c r="B91" s="28" t="s">
        <v>3</v>
      </c>
      <c r="C91" s="10">
        <v>158</v>
      </c>
      <c r="D91" s="10">
        <v>159</v>
      </c>
      <c r="E91" s="10" t="s">
        <v>20</v>
      </c>
      <c r="I91" s="17"/>
      <c r="J91" s="17"/>
      <c r="K91" s="17"/>
      <c r="L91" s="17"/>
      <c r="M91" s="17"/>
      <c r="N91" s="17"/>
    </row>
    <row r="92" spans="1:17" s="2" customFormat="1" ht="16.5" customHeight="1" thickBot="1">
      <c r="A92" s="18" t="s">
        <v>649</v>
      </c>
      <c r="B92" s="86" t="s">
        <v>650</v>
      </c>
      <c r="C92" s="10">
        <v>125</v>
      </c>
      <c r="D92" s="10" t="s">
        <v>20</v>
      </c>
      <c r="I92" s="17"/>
      <c r="J92" s="17"/>
      <c r="K92" s="17"/>
      <c r="L92" s="17"/>
      <c r="M92" s="17"/>
      <c r="N92" s="17"/>
    </row>
    <row r="93" spans="1:17" s="2" customFormat="1" ht="11.25" customHeight="1">
      <c r="A93" s="29"/>
      <c r="B93" s="30"/>
      <c r="C93" s="29"/>
      <c r="D93" s="29"/>
      <c r="E93" s="29"/>
      <c r="N93" s="14"/>
    </row>
    <row r="94" spans="1:17" s="2" customFormat="1" ht="17.45" customHeight="1">
      <c r="A94" s="1" t="s">
        <v>651</v>
      </c>
    </row>
    <row r="95" spans="1:17" s="2" customFormat="1" ht="8.25" customHeight="1" thickBot="1">
      <c r="A95" s="1"/>
    </row>
    <row r="96" spans="1:17" s="2" customFormat="1" ht="17.45" customHeight="1" thickBot="1">
      <c r="A96" s="4" t="s">
        <v>0</v>
      </c>
      <c r="B96" s="5" t="s">
        <v>1</v>
      </c>
      <c r="C96" s="5" t="s">
        <v>2</v>
      </c>
      <c r="D96" s="5">
        <v>2</v>
      </c>
      <c r="E96" s="5">
        <v>3</v>
      </c>
      <c r="F96" s="5">
        <v>4</v>
      </c>
      <c r="G96" s="5">
        <v>5</v>
      </c>
      <c r="H96" s="5">
        <v>6</v>
      </c>
      <c r="I96" s="5">
        <v>7</v>
      </c>
      <c r="J96" s="5">
        <v>8</v>
      </c>
      <c r="K96" s="5">
        <v>9</v>
      </c>
      <c r="L96" s="5"/>
      <c r="M96" s="13" t="s">
        <v>9</v>
      </c>
      <c r="N96" s="14">
        <f>(6083/15744)</f>
        <v>0.38636941056910568</v>
      </c>
    </row>
    <row r="97" spans="1:20" s="2" customFormat="1" ht="17.45" customHeight="1" thickBot="1">
      <c r="A97" s="7" t="s">
        <v>655</v>
      </c>
      <c r="B97" s="85" t="s">
        <v>31</v>
      </c>
      <c r="C97" s="10">
        <v>1217</v>
      </c>
      <c r="D97" s="10">
        <v>1228</v>
      </c>
      <c r="E97" s="10">
        <v>1264</v>
      </c>
      <c r="F97" s="10">
        <v>1306</v>
      </c>
      <c r="G97" s="10">
        <v>1368</v>
      </c>
      <c r="H97" s="10">
        <v>1488</v>
      </c>
      <c r="I97" s="9">
        <v>1554</v>
      </c>
      <c r="J97" s="9"/>
      <c r="K97" s="10"/>
      <c r="L97" s="11" t="s">
        <v>4</v>
      </c>
      <c r="N97" s="13" t="s">
        <v>11</v>
      </c>
      <c r="O97" s="13" t="s">
        <v>12</v>
      </c>
      <c r="P97" s="13" t="s">
        <v>13</v>
      </c>
      <c r="Q97" s="13"/>
    </row>
    <row r="98" spans="1:20" s="2" customFormat="1" ht="17.45" customHeight="1" thickBot="1">
      <c r="A98" s="7" t="s">
        <v>652</v>
      </c>
      <c r="B98" s="12" t="s">
        <v>5</v>
      </c>
      <c r="C98" s="10">
        <v>922</v>
      </c>
      <c r="D98" s="10">
        <v>987</v>
      </c>
      <c r="E98" s="10">
        <v>996</v>
      </c>
      <c r="F98" s="10">
        <v>1019</v>
      </c>
      <c r="G98" s="10">
        <v>1144</v>
      </c>
      <c r="H98" s="10">
        <v>1182</v>
      </c>
      <c r="I98" s="10">
        <v>1216</v>
      </c>
      <c r="J98" s="10">
        <v>1220</v>
      </c>
      <c r="K98" s="9">
        <v>1656</v>
      </c>
      <c r="L98" s="11" t="s">
        <v>8</v>
      </c>
      <c r="M98" s="16" t="s">
        <v>5</v>
      </c>
      <c r="N98" s="17">
        <f>(C98+C100+C107)</f>
        <v>1777</v>
      </c>
      <c r="O98" s="14">
        <f>SUM(N98/N105)</f>
        <v>0.29601865733799765</v>
      </c>
      <c r="P98" s="2">
        <v>1</v>
      </c>
    </row>
    <row r="99" spans="1:20" s="2" customFormat="1" ht="17.45" customHeight="1" thickBot="1">
      <c r="A99" s="7" t="s">
        <v>654</v>
      </c>
      <c r="B99" s="81" t="s">
        <v>30</v>
      </c>
      <c r="C99" s="10">
        <v>785</v>
      </c>
      <c r="D99" s="10">
        <v>786</v>
      </c>
      <c r="E99" s="10">
        <v>796</v>
      </c>
      <c r="F99" s="10">
        <v>889</v>
      </c>
      <c r="G99" s="10">
        <v>934</v>
      </c>
      <c r="H99" s="10">
        <v>982</v>
      </c>
      <c r="I99" s="10">
        <v>1199</v>
      </c>
      <c r="J99" s="10">
        <v>1208</v>
      </c>
      <c r="K99" s="9">
        <v>1421</v>
      </c>
      <c r="L99" s="11" t="s">
        <v>7</v>
      </c>
      <c r="M99" s="20" t="s">
        <v>3</v>
      </c>
      <c r="N99" s="17">
        <f>(C103+C106)</f>
        <v>561</v>
      </c>
      <c r="O99" s="14">
        <f>SUM(N99/N105)</f>
        <v>9.3453273363318337E-2</v>
      </c>
    </row>
    <row r="100" spans="1:20" s="2" customFormat="1" ht="17.45" customHeight="1" thickBot="1">
      <c r="A100" s="18" t="s">
        <v>22</v>
      </c>
      <c r="B100" s="19" t="s">
        <v>5</v>
      </c>
      <c r="C100" s="10">
        <v>741</v>
      </c>
      <c r="D100" s="10">
        <v>757</v>
      </c>
      <c r="E100" s="10">
        <v>759</v>
      </c>
      <c r="F100" s="10">
        <v>764</v>
      </c>
      <c r="G100" s="10">
        <v>783</v>
      </c>
      <c r="H100" s="10">
        <v>832</v>
      </c>
      <c r="I100" s="10">
        <v>904</v>
      </c>
      <c r="J100" s="10">
        <v>914</v>
      </c>
      <c r="K100" s="10" t="s">
        <v>20</v>
      </c>
      <c r="M100" s="21" t="s">
        <v>16</v>
      </c>
      <c r="N100" s="17">
        <v>694</v>
      </c>
      <c r="O100" s="14">
        <f>SUM(N100/N105)</f>
        <v>0.11560886223554889</v>
      </c>
    </row>
    <row r="101" spans="1:20" s="2" customFormat="1" ht="17.45" customHeight="1" thickBot="1">
      <c r="A101" s="18" t="s">
        <v>656</v>
      </c>
      <c r="B101" s="22" t="s">
        <v>16</v>
      </c>
      <c r="C101" s="10">
        <v>694</v>
      </c>
      <c r="D101" s="10">
        <v>700</v>
      </c>
      <c r="E101" s="10">
        <v>712</v>
      </c>
      <c r="F101" s="10">
        <v>741</v>
      </c>
      <c r="G101" s="10">
        <v>815</v>
      </c>
      <c r="H101" s="10">
        <v>886</v>
      </c>
      <c r="I101" s="10">
        <v>936</v>
      </c>
      <c r="J101" s="10">
        <v>954</v>
      </c>
      <c r="K101" s="10">
        <v>1028</v>
      </c>
      <c r="L101" s="11"/>
      <c r="M101" s="26" t="s">
        <v>18</v>
      </c>
      <c r="N101" s="17">
        <v>386</v>
      </c>
      <c r="O101" s="14">
        <f>SUM(N101/N105)</f>
        <v>6.4301182741962351E-2</v>
      </c>
    </row>
    <row r="102" spans="1:20" s="2" customFormat="1" ht="17.45" customHeight="1" thickBot="1">
      <c r="A102" s="18" t="s">
        <v>653</v>
      </c>
      <c r="B102" s="27" t="s">
        <v>18</v>
      </c>
      <c r="C102" s="10">
        <v>386</v>
      </c>
      <c r="D102" s="10">
        <v>390</v>
      </c>
      <c r="E102" s="10">
        <v>397</v>
      </c>
      <c r="F102" s="10">
        <v>409</v>
      </c>
      <c r="G102" s="10">
        <v>429</v>
      </c>
      <c r="H102" s="10" t="s">
        <v>20</v>
      </c>
      <c r="M102" s="83" t="s">
        <v>31</v>
      </c>
      <c r="N102" s="17">
        <v>1217</v>
      </c>
      <c r="O102" s="14">
        <f>SUM(N102/N105)</f>
        <v>0.20273196734965851</v>
      </c>
      <c r="P102" s="2">
        <v>1</v>
      </c>
      <c r="Q102" s="14"/>
    </row>
    <row r="103" spans="1:20" s="2" customFormat="1" ht="17.45" customHeight="1" thickBot="1">
      <c r="A103" s="18" t="s">
        <v>657</v>
      </c>
      <c r="B103" s="28" t="s">
        <v>3</v>
      </c>
      <c r="C103" s="10">
        <v>384</v>
      </c>
      <c r="D103" s="10">
        <v>388</v>
      </c>
      <c r="E103" s="10">
        <v>451</v>
      </c>
      <c r="F103" s="10">
        <v>463</v>
      </c>
      <c r="G103" s="10">
        <v>484</v>
      </c>
      <c r="H103" s="10">
        <v>519</v>
      </c>
      <c r="I103" s="10" t="s">
        <v>20</v>
      </c>
      <c r="M103" s="78" t="s">
        <v>30</v>
      </c>
      <c r="N103" s="17">
        <f>(C99+C105)</f>
        <v>1009</v>
      </c>
      <c r="O103" s="14">
        <f>SUM(N103/N105)</f>
        <v>0.16808262535398968</v>
      </c>
      <c r="P103" s="2">
        <v>1</v>
      </c>
    </row>
    <row r="104" spans="1:20" s="2" customFormat="1" ht="17.45" customHeight="1" thickBot="1">
      <c r="A104" s="18" t="s">
        <v>660</v>
      </c>
      <c r="B104" s="23" t="s">
        <v>14</v>
      </c>
      <c r="C104" s="10">
        <v>359</v>
      </c>
      <c r="D104" s="10">
        <v>363</v>
      </c>
      <c r="E104" s="10">
        <v>374</v>
      </c>
      <c r="F104" s="10">
        <v>389</v>
      </c>
      <c r="G104" s="10" t="s">
        <v>20</v>
      </c>
      <c r="M104" s="13" t="s">
        <v>17</v>
      </c>
      <c r="N104" s="17">
        <v>359</v>
      </c>
      <c r="O104" s="14">
        <f>SUM(N104/N105)</f>
        <v>5.980343161752457E-2</v>
      </c>
    </row>
    <row r="105" spans="1:20" s="2" customFormat="1" ht="17.45" customHeight="1" thickBot="1">
      <c r="A105" s="18" t="s">
        <v>661</v>
      </c>
      <c r="B105" s="79" t="s">
        <v>30</v>
      </c>
      <c r="C105" s="10">
        <v>224</v>
      </c>
      <c r="D105" s="10">
        <v>226</v>
      </c>
      <c r="E105" s="10">
        <v>248</v>
      </c>
      <c r="F105" s="10" t="s">
        <v>20</v>
      </c>
      <c r="J105" s="13"/>
      <c r="N105" s="24">
        <v>6003</v>
      </c>
    </row>
    <row r="106" spans="1:20" s="2" customFormat="1" ht="17.45" customHeight="1" thickBot="1">
      <c r="A106" s="18" t="s">
        <v>658</v>
      </c>
      <c r="B106" s="28" t="s">
        <v>3</v>
      </c>
      <c r="C106" s="10">
        <v>177</v>
      </c>
      <c r="D106" s="10">
        <v>178</v>
      </c>
      <c r="E106" s="10" t="s">
        <v>20</v>
      </c>
      <c r="K106" s="13"/>
      <c r="M106" s="14"/>
    </row>
    <row r="107" spans="1:20" s="2" customFormat="1" ht="17.45" customHeight="1" thickBot="1">
      <c r="A107" s="18" t="s">
        <v>659</v>
      </c>
      <c r="B107" s="19" t="s">
        <v>5</v>
      </c>
      <c r="C107" s="10">
        <v>114</v>
      </c>
      <c r="D107" s="10" t="s">
        <v>20</v>
      </c>
      <c r="E107" s="17"/>
      <c r="J107" s="13"/>
      <c r="L107" s="14"/>
    </row>
    <row r="109" spans="1:20" s="32" customFormat="1" ht="15" customHeight="1">
      <c r="B109" s="36" t="s">
        <v>19</v>
      </c>
      <c r="C109" s="38" t="s">
        <v>5</v>
      </c>
      <c r="D109" s="39" t="s">
        <v>3</v>
      </c>
      <c r="E109" s="40" t="s">
        <v>16</v>
      </c>
      <c r="F109" s="82" t="s">
        <v>30</v>
      </c>
      <c r="G109" s="72" t="s">
        <v>31</v>
      </c>
      <c r="H109" s="41" t="s">
        <v>18</v>
      </c>
      <c r="I109" s="49" t="s">
        <v>21</v>
      </c>
      <c r="J109" s="36" t="s">
        <v>17</v>
      </c>
      <c r="R109" s="33"/>
      <c r="S109" s="34"/>
      <c r="T109" s="35"/>
    </row>
    <row r="110" spans="1:20" s="32" customFormat="1" ht="15" customHeight="1">
      <c r="A110" s="32" t="s">
        <v>11</v>
      </c>
      <c r="B110" s="37">
        <f>(O90+M44+L30+P12+N105+N74+L59)</f>
        <v>55671</v>
      </c>
      <c r="C110" s="34">
        <f>(N98+O82+M37+L22+P5+N67+L53)</f>
        <v>16179</v>
      </c>
      <c r="D110" s="34">
        <f>(N99+O83+M38+L23+P6+N68+L54)</f>
        <v>10176</v>
      </c>
      <c r="E110" s="34">
        <f>(N100+O84+M39+L24+P7+N69+L55)</f>
        <v>9796</v>
      </c>
      <c r="F110" s="34">
        <f>(L26+M42+O87+N103+L57)</f>
        <v>5080</v>
      </c>
      <c r="G110" s="34">
        <f>(N102+O88+N72+M40+L28+P8)</f>
        <v>4842</v>
      </c>
      <c r="H110" s="34">
        <f>(N101+O85+N70+L25+P9)</f>
        <v>2040</v>
      </c>
      <c r="I110" s="34">
        <f>(O86+N71+L56+M41+L27+P10)</f>
        <v>3294</v>
      </c>
      <c r="J110" s="34">
        <f>(N104+O89+M43+L29+P11+N73+L58)</f>
        <v>4294</v>
      </c>
      <c r="R110" s="36"/>
      <c r="S110" s="37"/>
      <c r="T110" s="35"/>
    </row>
    <row r="111" spans="1:20" s="32" customFormat="1" ht="15" customHeight="1">
      <c r="A111" s="32" t="s">
        <v>12</v>
      </c>
      <c r="B111" s="42">
        <v>1</v>
      </c>
      <c r="C111" s="35">
        <f t="shared" ref="C111:J111" si="0">SUM(C110/$B$110)</f>
        <v>0.29061809559734869</v>
      </c>
      <c r="D111" s="35">
        <f t="shared" si="0"/>
        <v>0.18278816619065583</v>
      </c>
      <c r="E111" s="35">
        <f t="shared" si="0"/>
        <v>0.17596235023620915</v>
      </c>
      <c r="F111" s="35">
        <f>SUM(F110/$B$110)</f>
        <v>9.1250381706813238E-2</v>
      </c>
      <c r="G111" s="35">
        <f>SUM(G110/$B$110)</f>
        <v>8.6975265398501908E-2</v>
      </c>
      <c r="H111" s="35">
        <f t="shared" si="0"/>
        <v>3.6643854071239962E-2</v>
      </c>
      <c r="I111" s="35">
        <f t="shared" si="0"/>
        <v>5.9169046720913943E-2</v>
      </c>
      <c r="J111" s="35">
        <f t="shared" si="0"/>
        <v>7.7131720285247257E-2</v>
      </c>
    </row>
    <row r="112" spans="1:20" s="32" customFormat="1" ht="15" customHeight="1">
      <c r="A112" s="32" t="s">
        <v>13</v>
      </c>
      <c r="B112" s="36">
        <v>26</v>
      </c>
      <c r="C112" s="32">
        <v>7</v>
      </c>
      <c r="D112" s="32">
        <v>6</v>
      </c>
      <c r="E112" s="32">
        <v>4</v>
      </c>
      <c r="F112" s="32">
        <v>4</v>
      </c>
      <c r="G112" s="32">
        <v>3</v>
      </c>
      <c r="H112" s="32">
        <v>0</v>
      </c>
      <c r="I112" s="32">
        <v>1</v>
      </c>
      <c r="J112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"/>
  <dimension ref="A1:T104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7" width="8.7109375" customWidth="1"/>
  </cols>
  <sheetData>
    <row r="1" spans="1:17" s="2" customFormat="1" ht="16.5" customHeight="1">
      <c r="A1" s="1" t="s">
        <v>1140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(10040/24024)</f>
        <v>0.41791541791541792</v>
      </c>
    </row>
    <row r="4" spans="1:17" s="2" customFormat="1" ht="16.5" customHeight="1" thickBot="1">
      <c r="A4" s="7" t="s">
        <v>527</v>
      </c>
      <c r="B4" s="85" t="s">
        <v>31</v>
      </c>
      <c r="C4" s="9">
        <v>2104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34</v>
      </c>
      <c r="B5" s="81" t="s">
        <v>30</v>
      </c>
      <c r="C5" s="10">
        <v>1035</v>
      </c>
      <c r="D5" s="10">
        <v>1050</v>
      </c>
      <c r="E5" s="10">
        <v>1065</v>
      </c>
      <c r="F5" s="10">
        <v>1096</v>
      </c>
      <c r="G5" s="10">
        <v>1140</v>
      </c>
      <c r="H5" s="10">
        <v>1173</v>
      </c>
      <c r="I5" s="10">
        <v>1240</v>
      </c>
      <c r="J5" s="10">
        <v>1298</v>
      </c>
      <c r="K5" s="10">
        <v>1428</v>
      </c>
      <c r="L5" s="9">
        <v>1531</v>
      </c>
      <c r="M5" s="11" t="s">
        <v>10</v>
      </c>
      <c r="N5" s="16" t="s">
        <v>5</v>
      </c>
      <c r="O5" s="17">
        <f>(C8+C12+C14+C15)</f>
        <v>2108</v>
      </c>
      <c r="P5" s="14">
        <f>SUM(O5/O11)</f>
        <v>0.21185929648241206</v>
      </c>
      <c r="Q5" s="2">
        <v>1</v>
      </c>
    </row>
    <row r="6" spans="1:17" s="2" customFormat="1" ht="16.5" customHeight="1" thickBot="1">
      <c r="A6" s="7" t="s">
        <v>674</v>
      </c>
      <c r="B6" s="43" t="s">
        <v>16</v>
      </c>
      <c r="C6" s="10">
        <v>995</v>
      </c>
      <c r="D6" s="10">
        <v>1068</v>
      </c>
      <c r="E6" s="10">
        <v>1106</v>
      </c>
      <c r="F6" s="10">
        <v>1148</v>
      </c>
      <c r="G6" s="10">
        <v>1197</v>
      </c>
      <c r="H6" s="10">
        <v>1395</v>
      </c>
      <c r="I6" s="10">
        <v>1428</v>
      </c>
      <c r="J6" s="10">
        <v>1464</v>
      </c>
      <c r="K6" s="10">
        <v>1531</v>
      </c>
      <c r="L6" s="9">
        <v>1613</v>
      </c>
      <c r="M6" s="11" t="s">
        <v>6</v>
      </c>
      <c r="N6" s="20" t="s">
        <v>3</v>
      </c>
      <c r="O6" s="17">
        <f>(C7+C9+C11)</f>
        <v>2235</v>
      </c>
      <c r="P6" s="14">
        <f>SUM(O6/O11)</f>
        <v>0.22462311557788944</v>
      </c>
      <c r="Q6" s="2">
        <v>1</v>
      </c>
    </row>
    <row r="7" spans="1:17" s="2" customFormat="1" ht="16.5" customHeight="1" thickBot="1">
      <c r="A7" s="7" t="s">
        <v>36</v>
      </c>
      <c r="B7" s="8" t="s">
        <v>3</v>
      </c>
      <c r="C7" s="10">
        <v>972</v>
      </c>
      <c r="D7" s="10">
        <v>999</v>
      </c>
      <c r="E7" s="10">
        <v>1020</v>
      </c>
      <c r="F7" s="10">
        <v>1053</v>
      </c>
      <c r="G7" s="10">
        <v>1076</v>
      </c>
      <c r="H7" s="10">
        <v>1118</v>
      </c>
      <c r="I7" s="10">
        <v>1376</v>
      </c>
      <c r="J7" s="10">
        <v>1422</v>
      </c>
      <c r="K7" s="9">
        <v>1931</v>
      </c>
      <c r="L7" s="9"/>
      <c r="M7" s="11" t="s">
        <v>8</v>
      </c>
      <c r="N7" s="21" t="s">
        <v>16</v>
      </c>
      <c r="O7" s="17">
        <v>995</v>
      </c>
      <c r="P7" s="14">
        <f>SUM(O7/O11)</f>
        <v>0.1</v>
      </c>
      <c r="Q7" s="2">
        <v>1</v>
      </c>
    </row>
    <row r="8" spans="1:17" s="2" customFormat="1" ht="16.5" customHeight="1" thickBot="1">
      <c r="A8" s="7" t="s">
        <v>673</v>
      </c>
      <c r="B8" s="12" t="s">
        <v>5</v>
      </c>
      <c r="C8" s="10">
        <v>784</v>
      </c>
      <c r="D8" s="10">
        <v>796</v>
      </c>
      <c r="E8" s="10">
        <v>865</v>
      </c>
      <c r="F8" s="10">
        <v>1056</v>
      </c>
      <c r="G8" s="10">
        <v>1077</v>
      </c>
      <c r="H8" s="10">
        <v>1097</v>
      </c>
      <c r="I8" s="10">
        <v>1119</v>
      </c>
      <c r="J8" s="10">
        <v>1600</v>
      </c>
      <c r="K8" s="9">
        <v>1670</v>
      </c>
      <c r="L8" s="9"/>
      <c r="M8" s="11" t="s">
        <v>7</v>
      </c>
      <c r="N8" s="78" t="s">
        <v>30</v>
      </c>
      <c r="O8" s="17">
        <v>1035</v>
      </c>
      <c r="P8" s="14">
        <f>SUM(O8/O11)</f>
        <v>0.10402010050251256</v>
      </c>
      <c r="Q8" s="2">
        <v>1</v>
      </c>
    </row>
    <row r="9" spans="1:17" s="2" customFormat="1" ht="16.5" customHeight="1" thickBot="1">
      <c r="A9" s="18" t="s">
        <v>675</v>
      </c>
      <c r="B9" s="28" t="s">
        <v>3</v>
      </c>
      <c r="C9" s="10">
        <v>684</v>
      </c>
      <c r="D9" s="10">
        <v>698</v>
      </c>
      <c r="E9" s="10">
        <v>711</v>
      </c>
      <c r="F9" s="10">
        <v>721</v>
      </c>
      <c r="G9" s="10">
        <v>740</v>
      </c>
      <c r="H9" s="10">
        <v>762</v>
      </c>
      <c r="I9" s="10">
        <v>926</v>
      </c>
      <c r="J9" s="10">
        <v>947</v>
      </c>
      <c r="K9" s="10" t="s">
        <v>20</v>
      </c>
      <c r="N9" s="48" t="s">
        <v>21</v>
      </c>
      <c r="O9" s="17">
        <f>(C10+C13)</f>
        <v>1140</v>
      </c>
      <c r="P9" s="14">
        <f>SUM(O9/O11)</f>
        <v>0.11457286432160804</v>
      </c>
    </row>
    <row r="10" spans="1:17" s="2" customFormat="1" ht="16.5" customHeight="1" thickBot="1">
      <c r="A10" s="18" t="s">
        <v>678</v>
      </c>
      <c r="B10" s="47" t="s">
        <v>21</v>
      </c>
      <c r="C10" s="10">
        <v>640</v>
      </c>
      <c r="D10" s="10">
        <v>656</v>
      </c>
      <c r="E10" s="10">
        <v>674</v>
      </c>
      <c r="F10" s="10">
        <v>693</v>
      </c>
      <c r="G10" s="10">
        <v>1003</v>
      </c>
      <c r="H10" s="10">
        <v>1169</v>
      </c>
      <c r="I10" s="10">
        <v>1226</v>
      </c>
      <c r="J10" s="10">
        <v>1290</v>
      </c>
      <c r="K10" s="10">
        <v>1390</v>
      </c>
      <c r="L10" s="10">
        <v>1477</v>
      </c>
      <c r="M10" s="11"/>
      <c r="N10" s="83" t="s">
        <v>31</v>
      </c>
      <c r="O10" s="17">
        <f>(C4+C16)</f>
        <v>2437</v>
      </c>
      <c r="P10" s="14">
        <f>SUM(O10/O11)</f>
        <v>0.24492462311557789</v>
      </c>
      <c r="Q10" s="2">
        <v>1</v>
      </c>
    </row>
    <row r="11" spans="1:17" s="2" customFormat="1" ht="16.5" customHeight="1" thickBot="1">
      <c r="A11" s="18" t="s">
        <v>682</v>
      </c>
      <c r="B11" s="28" t="s">
        <v>3</v>
      </c>
      <c r="C11" s="10">
        <v>579</v>
      </c>
      <c r="D11" s="10">
        <v>589</v>
      </c>
      <c r="E11" s="10">
        <v>597</v>
      </c>
      <c r="F11" s="10">
        <v>613</v>
      </c>
      <c r="G11" s="10">
        <v>635</v>
      </c>
      <c r="H11" s="10">
        <v>647</v>
      </c>
      <c r="I11" s="10" t="s">
        <v>20</v>
      </c>
      <c r="N11" s="13"/>
      <c r="O11" s="24">
        <v>9950</v>
      </c>
      <c r="P11" s="14"/>
    </row>
    <row r="12" spans="1:17" s="2" customFormat="1" ht="16.5" customHeight="1" thickBot="1">
      <c r="A12" s="18" t="s">
        <v>677</v>
      </c>
      <c r="B12" s="19" t="s">
        <v>5</v>
      </c>
      <c r="C12" s="10">
        <v>534</v>
      </c>
      <c r="D12" s="10">
        <v>540</v>
      </c>
      <c r="E12" s="10">
        <v>611</v>
      </c>
      <c r="F12" s="10">
        <v>717</v>
      </c>
      <c r="G12" s="10">
        <v>738</v>
      </c>
      <c r="H12" s="10">
        <v>756</v>
      </c>
      <c r="I12" s="10">
        <v>776</v>
      </c>
      <c r="J12" s="10" t="s">
        <v>20</v>
      </c>
    </row>
    <row r="13" spans="1:17" s="2" customFormat="1" ht="16.5" customHeight="1" thickBot="1">
      <c r="A13" s="18" t="s">
        <v>679</v>
      </c>
      <c r="B13" s="47" t="s">
        <v>21</v>
      </c>
      <c r="C13" s="10">
        <v>500</v>
      </c>
      <c r="D13" s="10">
        <v>516</v>
      </c>
      <c r="E13" s="10">
        <v>530</v>
      </c>
      <c r="F13" s="10">
        <v>551</v>
      </c>
      <c r="G13" s="10" t="s">
        <v>20</v>
      </c>
    </row>
    <row r="14" spans="1:17" s="2" customFormat="1" ht="16.5" customHeight="1" thickBot="1">
      <c r="A14" s="18" t="s">
        <v>680</v>
      </c>
      <c r="B14" s="19" t="s">
        <v>5</v>
      </c>
      <c r="C14" s="10">
        <v>428</v>
      </c>
      <c r="D14" s="10">
        <v>444</v>
      </c>
      <c r="E14" s="10">
        <v>526</v>
      </c>
      <c r="F14" s="10" t="s">
        <v>20</v>
      </c>
      <c r="L14" s="13"/>
      <c r="M14" s="17"/>
      <c r="N14" s="14"/>
    </row>
    <row r="15" spans="1:17" s="2" customFormat="1" ht="16.5" customHeight="1" thickBot="1">
      <c r="A15" s="18" t="s">
        <v>681</v>
      </c>
      <c r="B15" s="19" t="s">
        <v>5</v>
      </c>
      <c r="C15" s="10">
        <v>362</v>
      </c>
      <c r="D15" s="10">
        <v>379</v>
      </c>
      <c r="E15" s="10" t="s">
        <v>20</v>
      </c>
      <c r="M15" s="24"/>
    </row>
    <row r="16" spans="1:17" s="2" customFormat="1" ht="16.5" customHeight="1" thickBot="1">
      <c r="A16" s="18" t="s">
        <v>676</v>
      </c>
      <c r="B16" s="76" t="s">
        <v>31</v>
      </c>
      <c r="C16" s="10">
        <v>333</v>
      </c>
      <c r="D16" s="10">
        <v>556</v>
      </c>
      <c r="E16" s="10">
        <v>568</v>
      </c>
      <c r="F16" s="10">
        <v>587</v>
      </c>
      <c r="G16" s="10">
        <v>609</v>
      </c>
      <c r="H16" s="10" t="s">
        <v>20</v>
      </c>
      <c r="J16" s="24"/>
    </row>
    <row r="17" spans="1:16" s="2" customFormat="1" ht="10.5" customHeight="1">
      <c r="A17" s="1"/>
      <c r="C17" s="17"/>
    </row>
    <row r="18" spans="1:16" s="2" customFormat="1" ht="17.45" customHeight="1">
      <c r="A18" s="1" t="s">
        <v>1141</v>
      </c>
    </row>
    <row r="19" spans="1:16" s="2" customFormat="1" ht="10.5" customHeight="1" thickBot="1">
      <c r="A19" s="1"/>
    </row>
    <row r="20" spans="1:16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6"/>
      <c r="M20" s="13" t="s">
        <v>9</v>
      </c>
      <c r="N20" s="14">
        <f>(8160/19450)</f>
        <v>0.41953727506426736</v>
      </c>
    </row>
    <row r="21" spans="1:16" s="2" customFormat="1" ht="16.5" customHeight="1" thickBot="1">
      <c r="A21" s="7" t="s">
        <v>503</v>
      </c>
      <c r="B21" s="43" t="s">
        <v>16</v>
      </c>
      <c r="C21" s="10">
        <v>1303</v>
      </c>
      <c r="D21" s="10">
        <v>1317</v>
      </c>
      <c r="E21" s="10">
        <v>1354</v>
      </c>
      <c r="F21" s="10">
        <v>1390</v>
      </c>
      <c r="G21" s="10">
        <v>1538</v>
      </c>
      <c r="H21" s="9">
        <v>1939</v>
      </c>
      <c r="I21" s="10"/>
      <c r="J21" s="10"/>
      <c r="K21" s="10"/>
      <c r="L21" s="11" t="s">
        <v>4</v>
      </c>
      <c r="N21" s="13" t="s">
        <v>11</v>
      </c>
      <c r="O21" s="13" t="s">
        <v>12</v>
      </c>
      <c r="P21" s="13" t="s">
        <v>13</v>
      </c>
    </row>
    <row r="22" spans="1:16" s="2" customFormat="1" ht="16.5" customHeight="1" thickBot="1">
      <c r="A22" s="7" t="s">
        <v>683</v>
      </c>
      <c r="B22" s="12" t="s">
        <v>5</v>
      </c>
      <c r="C22" s="10">
        <v>1089</v>
      </c>
      <c r="D22" s="10">
        <v>1101</v>
      </c>
      <c r="E22" s="10">
        <v>1139</v>
      </c>
      <c r="F22" s="10">
        <v>1336</v>
      </c>
      <c r="G22" s="10">
        <v>1393</v>
      </c>
      <c r="H22" s="10">
        <v>1496</v>
      </c>
      <c r="I22" s="10">
        <v>1524</v>
      </c>
      <c r="J22" s="10">
        <v>1580</v>
      </c>
      <c r="K22" s="9">
        <v>1605</v>
      </c>
      <c r="L22" s="11" t="s">
        <v>6</v>
      </c>
      <c r="M22" s="16" t="s">
        <v>5</v>
      </c>
      <c r="N22" s="17">
        <f>(C22+C26+C28)</f>
        <v>2514</v>
      </c>
      <c r="O22" s="14">
        <f>SUM(N22/N29)</f>
        <v>0.31002589715131335</v>
      </c>
      <c r="P22" s="2">
        <v>1</v>
      </c>
    </row>
    <row r="23" spans="1:16" s="2" customFormat="1" ht="16.5" customHeight="1" thickBot="1">
      <c r="A23" s="7" t="s">
        <v>684</v>
      </c>
      <c r="B23" s="8" t="s">
        <v>3</v>
      </c>
      <c r="C23" s="10">
        <v>839</v>
      </c>
      <c r="D23" s="10">
        <v>846</v>
      </c>
      <c r="E23" s="10">
        <v>869</v>
      </c>
      <c r="F23" s="10">
        <v>888</v>
      </c>
      <c r="G23" s="10">
        <v>1024</v>
      </c>
      <c r="H23" s="10">
        <v>1065</v>
      </c>
      <c r="I23" s="10">
        <v>1098</v>
      </c>
      <c r="J23" s="9">
        <v>1789</v>
      </c>
      <c r="K23" s="9"/>
      <c r="L23" s="11" t="s">
        <v>8</v>
      </c>
      <c r="M23" s="20" t="s">
        <v>3</v>
      </c>
      <c r="N23" s="17">
        <f>(C23+C25)</f>
        <v>1637</v>
      </c>
      <c r="O23" s="14">
        <f>SUM(N23/N29)</f>
        <v>0.20187446047601432</v>
      </c>
      <c r="P23" s="2">
        <v>1</v>
      </c>
    </row>
    <row r="24" spans="1:16" s="2" customFormat="1" ht="16.5" customHeight="1" thickBot="1">
      <c r="A24" s="18" t="s">
        <v>509</v>
      </c>
      <c r="B24" s="76" t="s">
        <v>31</v>
      </c>
      <c r="C24" s="10">
        <v>833</v>
      </c>
      <c r="D24" s="10">
        <v>850</v>
      </c>
      <c r="E24" s="10">
        <v>884</v>
      </c>
      <c r="F24" s="10">
        <v>909</v>
      </c>
      <c r="G24" s="10">
        <v>941</v>
      </c>
      <c r="H24" s="10" t="s">
        <v>20</v>
      </c>
      <c r="M24" s="21" t="s">
        <v>16</v>
      </c>
      <c r="N24" s="17">
        <v>1303</v>
      </c>
      <c r="O24" s="14">
        <f>SUM(N24/N29)</f>
        <v>0.16068565791096312</v>
      </c>
      <c r="P24" s="2">
        <v>1</v>
      </c>
    </row>
    <row r="25" spans="1:16" s="2" customFormat="1" ht="16.5" customHeight="1" thickBot="1">
      <c r="A25" s="18" t="s">
        <v>685</v>
      </c>
      <c r="B25" s="28" t="s">
        <v>3</v>
      </c>
      <c r="C25" s="10">
        <v>798</v>
      </c>
      <c r="D25" s="10">
        <v>806</v>
      </c>
      <c r="E25" s="10">
        <v>835</v>
      </c>
      <c r="F25" s="10">
        <v>849</v>
      </c>
      <c r="G25" s="10">
        <v>969</v>
      </c>
      <c r="H25" s="10">
        <v>1052</v>
      </c>
      <c r="I25" s="10">
        <v>1096</v>
      </c>
      <c r="J25" s="10" t="s">
        <v>20</v>
      </c>
      <c r="M25" s="78" t="s">
        <v>30</v>
      </c>
      <c r="N25" s="17">
        <v>697</v>
      </c>
      <c r="O25" s="14">
        <f>SUM(N25/N29)</f>
        <v>8.5953878406708595E-2</v>
      </c>
    </row>
    <row r="26" spans="1:16" s="2" customFormat="1" ht="16.5" customHeight="1" thickBot="1">
      <c r="A26" s="18" t="s">
        <v>687</v>
      </c>
      <c r="B26" s="19" t="s">
        <v>5</v>
      </c>
      <c r="C26" s="10">
        <v>784</v>
      </c>
      <c r="D26" s="10">
        <v>791</v>
      </c>
      <c r="E26" s="10">
        <v>827</v>
      </c>
      <c r="F26" s="10">
        <v>1132</v>
      </c>
      <c r="G26" s="10">
        <v>1187</v>
      </c>
      <c r="H26" s="10">
        <v>1221</v>
      </c>
      <c r="I26" s="10">
        <v>1246</v>
      </c>
      <c r="J26" s="10">
        <v>1370</v>
      </c>
      <c r="K26" s="10">
        <v>1399</v>
      </c>
      <c r="L26" s="9"/>
      <c r="M26" s="83" t="s">
        <v>31</v>
      </c>
      <c r="N26" s="17">
        <v>833</v>
      </c>
      <c r="O26" s="14">
        <f>SUM(N26/N29)</f>
        <v>0.10272536687631027</v>
      </c>
    </row>
    <row r="27" spans="1:16" s="2" customFormat="1" ht="16.5" customHeight="1" thickBot="1">
      <c r="A27" s="18" t="s">
        <v>686</v>
      </c>
      <c r="B27" s="79" t="s">
        <v>30</v>
      </c>
      <c r="C27" s="10">
        <v>697</v>
      </c>
      <c r="D27" s="10">
        <v>708</v>
      </c>
      <c r="E27" s="10">
        <v>736</v>
      </c>
      <c r="F27" s="10">
        <v>761</v>
      </c>
      <c r="G27" s="10" t="s">
        <v>20</v>
      </c>
      <c r="L27"/>
      <c r="M27" s="48" t="s">
        <v>21</v>
      </c>
      <c r="N27" s="17">
        <f>(C29+C31)</f>
        <v>801</v>
      </c>
      <c r="O27" s="14">
        <f>SUM(N27/N29)</f>
        <v>9.8779134295227528E-2</v>
      </c>
      <c r="P27" s="2">
        <v>1</v>
      </c>
    </row>
    <row r="28" spans="1:16" s="2" customFormat="1" ht="16.5" customHeight="1" thickBot="1">
      <c r="A28" s="18" t="s">
        <v>689</v>
      </c>
      <c r="B28" s="19" t="s">
        <v>5</v>
      </c>
      <c r="C28" s="10">
        <v>641</v>
      </c>
      <c r="D28" s="10">
        <v>647</v>
      </c>
      <c r="E28" s="10">
        <v>661</v>
      </c>
      <c r="F28" s="10" t="s">
        <v>20</v>
      </c>
      <c r="M28" s="13" t="s">
        <v>17</v>
      </c>
      <c r="N28" s="17">
        <v>324</v>
      </c>
      <c r="O28" s="14">
        <f>SUM(N28/N29)</f>
        <v>3.9955604883462822E-2</v>
      </c>
    </row>
    <row r="29" spans="1:16" s="2" customFormat="1" ht="16.5" customHeight="1" thickBot="1">
      <c r="A29" s="7" t="s">
        <v>688</v>
      </c>
      <c r="B29" s="80" t="s">
        <v>21</v>
      </c>
      <c r="C29" s="10">
        <v>492</v>
      </c>
      <c r="D29" s="10">
        <v>711</v>
      </c>
      <c r="E29" s="10">
        <v>786</v>
      </c>
      <c r="F29" s="10">
        <v>808</v>
      </c>
      <c r="G29" s="10">
        <v>982</v>
      </c>
      <c r="H29" s="10">
        <v>1191</v>
      </c>
      <c r="I29" s="10">
        <v>1370</v>
      </c>
      <c r="J29" s="10">
        <v>1514</v>
      </c>
      <c r="K29" s="9">
        <v>1627</v>
      </c>
      <c r="L29" s="11" t="s">
        <v>7</v>
      </c>
      <c r="M29" s="13"/>
      <c r="N29" s="24">
        <v>8109</v>
      </c>
      <c r="O29" s="14"/>
    </row>
    <row r="30" spans="1:16" s="2" customFormat="1" ht="16.5" customHeight="1" thickBot="1">
      <c r="A30" s="18" t="s">
        <v>690</v>
      </c>
      <c r="B30" s="23" t="s">
        <v>14</v>
      </c>
      <c r="C30" s="10">
        <v>324</v>
      </c>
      <c r="D30" s="10">
        <v>327</v>
      </c>
      <c r="E30" s="10" t="s">
        <v>20</v>
      </c>
      <c r="F30" s="17"/>
      <c r="G30" s="17"/>
      <c r="H30"/>
      <c r="I30"/>
    </row>
    <row r="31" spans="1:16" s="2" customFormat="1" ht="16.5" customHeight="1" thickBot="1">
      <c r="A31" s="18" t="s">
        <v>691</v>
      </c>
      <c r="B31" s="47" t="s">
        <v>21</v>
      </c>
      <c r="C31" s="10">
        <v>309</v>
      </c>
      <c r="D31" s="10" t="s">
        <v>20</v>
      </c>
      <c r="F31" s="17"/>
      <c r="G31" s="17"/>
      <c r="H31"/>
      <c r="I31"/>
    </row>
    <row r="32" spans="1:16">
      <c r="C32" s="46"/>
    </row>
    <row r="33" spans="1:14" s="2" customFormat="1" ht="17.45" customHeight="1">
      <c r="A33" s="1" t="s">
        <v>692</v>
      </c>
    </row>
    <row r="34" spans="1:14" s="2" customFormat="1" ht="10.5" customHeight="1" thickBot="1">
      <c r="A34" s="1"/>
    </row>
    <row r="35" spans="1:14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6"/>
      <c r="I35" s="13" t="s">
        <v>9</v>
      </c>
      <c r="J35" s="14">
        <f>(5935/14294)</f>
        <v>0.4152091786763677</v>
      </c>
    </row>
    <row r="36" spans="1:14" s="2" customFormat="1" ht="16.5" customHeight="1" thickBot="1">
      <c r="A36" s="7" t="s">
        <v>693</v>
      </c>
      <c r="B36" s="8" t="s">
        <v>3</v>
      </c>
      <c r="C36" s="10">
        <v>1443</v>
      </c>
      <c r="D36" s="9">
        <v>1482</v>
      </c>
      <c r="E36" s="10"/>
      <c r="F36" s="10"/>
      <c r="G36" s="9"/>
      <c r="H36" s="11" t="s">
        <v>4</v>
      </c>
      <c r="J36" s="13" t="s">
        <v>11</v>
      </c>
      <c r="K36" s="13" t="s">
        <v>12</v>
      </c>
      <c r="L36" s="13" t="s">
        <v>13</v>
      </c>
    </row>
    <row r="37" spans="1:14" s="2" customFormat="1" ht="16.5" customHeight="1" thickBot="1">
      <c r="A37" s="7" t="s">
        <v>700</v>
      </c>
      <c r="B37" s="12" t="s">
        <v>5</v>
      </c>
      <c r="C37" s="10">
        <v>956</v>
      </c>
      <c r="D37" s="10">
        <v>970</v>
      </c>
      <c r="E37" s="10">
        <v>979</v>
      </c>
      <c r="F37" s="10">
        <v>1058</v>
      </c>
      <c r="G37" s="9">
        <v>1580</v>
      </c>
      <c r="H37" s="11" t="s">
        <v>7</v>
      </c>
      <c r="I37" s="16" t="s">
        <v>5</v>
      </c>
      <c r="J37" s="17">
        <f>(C37+C40)</f>
        <v>1650</v>
      </c>
      <c r="K37" s="14">
        <f>SUM(J37/J43)</f>
        <v>0.27999321228576279</v>
      </c>
      <c r="L37" s="2">
        <v>1</v>
      </c>
    </row>
    <row r="38" spans="1:14" s="2" customFormat="1" ht="16.5" customHeight="1" thickBot="1">
      <c r="A38" s="7" t="s">
        <v>696</v>
      </c>
      <c r="B38" s="80" t="s">
        <v>21</v>
      </c>
      <c r="C38" s="10">
        <v>876</v>
      </c>
      <c r="D38" s="10">
        <v>939</v>
      </c>
      <c r="E38" s="10">
        <v>1045</v>
      </c>
      <c r="F38" s="10">
        <v>1405</v>
      </c>
      <c r="G38" s="9">
        <v>1517</v>
      </c>
      <c r="H38" s="11" t="s">
        <v>8</v>
      </c>
      <c r="I38" s="20" t="s">
        <v>3</v>
      </c>
      <c r="J38" s="17">
        <f>(C36+C39)</f>
        <v>2252</v>
      </c>
      <c r="K38" s="14">
        <f>SUM(J38/J43)</f>
        <v>0.38214831155608348</v>
      </c>
      <c r="L38" s="2">
        <v>1</v>
      </c>
    </row>
    <row r="39" spans="1:14" s="2" customFormat="1" ht="16.5" customHeight="1" thickBot="1">
      <c r="A39" s="18" t="s">
        <v>699</v>
      </c>
      <c r="B39" s="28" t="s">
        <v>3</v>
      </c>
      <c r="C39" s="10">
        <v>809</v>
      </c>
      <c r="D39" s="10">
        <v>823</v>
      </c>
      <c r="E39" s="10">
        <v>937</v>
      </c>
      <c r="F39" s="10">
        <v>1094</v>
      </c>
      <c r="G39" s="10">
        <v>1163</v>
      </c>
      <c r="H39" s="11"/>
      <c r="I39" s="21" t="s">
        <v>16</v>
      </c>
      <c r="J39" s="17">
        <v>547</v>
      </c>
      <c r="K39" s="14">
        <f>SUM(J39/J43)</f>
        <v>9.2821992194128622E-2</v>
      </c>
    </row>
    <row r="40" spans="1:14" s="2" customFormat="1" ht="16.5" customHeight="1" thickBot="1">
      <c r="A40" s="18" t="s">
        <v>694</v>
      </c>
      <c r="B40" s="19" t="s">
        <v>5</v>
      </c>
      <c r="C40" s="10">
        <v>694</v>
      </c>
      <c r="D40" s="10">
        <v>701</v>
      </c>
      <c r="E40" s="10">
        <v>721</v>
      </c>
      <c r="F40" s="10">
        <v>755</v>
      </c>
      <c r="G40" s="10" t="s">
        <v>20</v>
      </c>
      <c r="I40" s="48" t="s">
        <v>21</v>
      </c>
      <c r="J40" s="17">
        <v>876</v>
      </c>
      <c r="K40" s="14">
        <f>SUM(J40/J43)</f>
        <v>0.14865094179535041</v>
      </c>
      <c r="L40" s="2">
        <v>1</v>
      </c>
    </row>
    <row r="41" spans="1:14" s="2" customFormat="1" ht="16.5" customHeight="1" thickBot="1">
      <c r="A41" s="18" t="s">
        <v>695</v>
      </c>
      <c r="B41" s="22" t="s">
        <v>16</v>
      </c>
      <c r="C41" s="10">
        <v>547</v>
      </c>
      <c r="D41" s="10">
        <v>675</v>
      </c>
      <c r="E41" s="10">
        <v>705</v>
      </c>
      <c r="F41" s="10" t="s">
        <v>20</v>
      </c>
      <c r="I41" s="83" t="s">
        <v>31</v>
      </c>
      <c r="J41" s="17">
        <v>280</v>
      </c>
      <c r="K41" s="14">
        <f>SUM(J41/J43)</f>
        <v>4.7513999660614287E-2</v>
      </c>
    </row>
    <row r="42" spans="1:14" s="2" customFormat="1" ht="16.5" customHeight="1" thickBot="1">
      <c r="A42" s="18" t="s">
        <v>698</v>
      </c>
      <c r="B42" s="23" t="s">
        <v>14</v>
      </c>
      <c r="C42" s="10">
        <v>288</v>
      </c>
      <c r="D42" s="10">
        <v>298</v>
      </c>
      <c r="E42" s="10" t="s">
        <v>20</v>
      </c>
      <c r="I42" s="13" t="s">
        <v>17</v>
      </c>
      <c r="J42" s="17">
        <v>288</v>
      </c>
      <c r="K42" s="14">
        <f>SUM(J42/J43)</f>
        <v>4.887154250806041E-2</v>
      </c>
    </row>
    <row r="43" spans="1:14" s="2" customFormat="1" ht="16.5" customHeight="1" thickBot="1">
      <c r="A43" s="18" t="s">
        <v>697</v>
      </c>
      <c r="B43" s="76" t="s">
        <v>31</v>
      </c>
      <c r="C43" s="10">
        <v>280</v>
      </c>
      <c r="D43" s="10" t="s">
        <v>20</v>
      </c>
      <c r="J43" s="24">
        <v>5893</v>
      </c>
    </row>
    <row r="44" spans="1:14" s="2" customFormat="1" ht="11.25" customHeight="1">
      <c r="A44" s="29"/>
      <c r="B44" s="30"/>
      <c r="C44" s="45"/>
      <c r="D44" s="45"/>
      <c r="E44" s="45"/>
      <c r="F44" s="17"/>
      <c r="G44" s="17"/>
      <c r="H44" s="17"/>
      <c r="I44" s="17"/>
      <c r="J44" s="17"/>
      <c r="K44" s="17"/>
      <c r="L44" s="17"/>
      <c r="M44" s="17"/>
      <c r="N44" s="44"/>
    </row>
    <row r="45" spans="1:14" s="2" customFormat="1" ht="17.45" customHeight="1">
      <c r="A45" s="1" t="s">
        <v>701</v>
      </c>
    </row>
    <row r="46" spans="1:14" s="2" customFormat="1" ht="10.5" customHeight="1" thickBot="1">
      <c r="A46" s="1"/>
    </row>
    <row r="47" spans="1:14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6"/>
      <c r="J47" s="13" t="s">
        <v>9</v>
      </c>
      <c r="K47" s="14">
        <f>(7944/17467)</f>
        <v>0.45480048090685293</v>
      </c>
    </row>
    <row r="48" spans="1:14" s="2" customFormat="1" ht="16.5" customHeight="1" thickBot="1">
      <c r="A48" s="7" t="s">
        <v>702</v>
      </c>
      <c r="B48" s="12" t="s">
        <v>5</v>
      </c>
      <c r="C48" s="9">
        <v>2203</v>
      </c>
      <c r="D48" s="10"/>
      <c r="E48" s="10"/>
      <c r="F48" s="10"/>
      <c r="G48" s="9"/>
      <c r="H48" s="10"/>
      <c r="I48" s="11" t="s">
        <v>4</v>
      </c>
      <c r="K48" s="13" t="s">
        <v>11</v>
      </c>
      <c r="L48" s="13" t="s">
        <v>12</v>
      </c>
      <c r="M48" s="13" t="s">
        <v>13</v>
      </c>
    </row>
    <row r="49" spans="1:15" s="2" customFormat="1" ht="16.5" customHeight="1" thickBot="1">
      <c r="A49" s="7" t="s">
        <v>59</v>
      </c>
      <c r="B49" s="12" t="s">
        <v>5</v>
      </c>
      <c r="C49" s="10">
        <v>1273</v>
      </c>
      <c r="D49" s="10">
        <v>1537</v>
      </c>
      <c r="E49" s="10">
        <v>1571</v>
      </c>
      <c r="F49" s="9">
        <v>1916</v>
      </c>
      <c r="G49" s="9"/>
      <c r="H49" s="10"/>
      <c r="I49" s="11" t="s">
        <v>8</v>
      </c>
      <c r="J49" s="16" t="s">
        <v>5</v>
      </c>
      <c r="K49" s="17">
        <f>(C48+C49+C55)</f>
        <v>3843</v>
      </c>
      <c r="L49" s="14">
        <f>SUM(K49/K54)</f>
        <v>0.48713398402839397</v>
      </c>
      <c r="M49" s="2">
        <v>2</v>
      </c>
    </row>
    <row r="50" spans="1:15" s="2" customFormat="1" ht="16.5" customHeight="1" thickBot="1">
      <c r="A50" s="7" t="s">
        <v>514</v>
      </c>
      <c r="B50" s="8" t="s">
        <v>3</v>
      </c>
      <c r="C50" s="10">
        <v>1231</v>
      </c>
      <c r="D50" s="10">
        <v>1306</v>
      </c>
      <c r="E50" s="10">
        <v>1340</v>
      </c>
      <c r="F50" s="10">
        <v>1399</v>
      </c>
      <c r="G50" s="9">
        <v>1818</v>
      </c>
      <c r="H50" s="9"/>
      <c r="I50" s="11" t="s">
        <v>7</v>
      </c>
      <c r="J50" s="20" t="s">
        <v>3</v>
      </c>
      <c r="K50" s="17">
        <f>(C50+C53)</f>
        <v>1759</v>
      </c>
      <c r="L50" s="14">
        <f>SUM(K50/K54)</f>
        <v>0.22296869058182278</v>
      </c>
      <c r="M50" s="2">
        <v>1</v>
      </c>
    </row>
    <row r="51" spans="1:15" s="2" customFormat="1" ht="16.5" customHeight="1" thickBot="1">
      <c r="A51" s="7" t="s">
        <v>704</v>
      </c>
      <c r="B51" s="43" t="s">
        <v>16</v>
      </c>
      <c r="C51" s="10">
        <v>1055</v>
      </c>
      <c r="D51" s="10">
        <v>1100</v>
      </c>
      <c r="E51" s="10">
        <v>1371</v>
      </c>
      <c r="F51" s="10">
        <v>1402</v>
      </c>
      <c r="G51" s="10">
        <v>1488</v>
      </c>
      <c r="H51" s="9">
        <v>1543</v>
      </c>
      <c r="I51" s="11" t="s">
        <v>6</v>
      </c>
      <c r="J51" s="21" t="s">
        <v>16</v>
      </c>
      <c r="K51" s="17">
        <v>1055</v>
      </c>
      <c r="L51" s="14">
        <f>SUM(K51/K54)</f>
        <v>0.13373051083787552</v>
      </c>
      <c r="M51" s="2">
        <v>1</v>
      </c>
    </row>
    <row r="52" spans="1:15" s="2" customFormat="1" ht="16.5" customHeight="1" thickBot="1">
      <c r="A52" s="18" t="s">
        <v>706</v>
      </c>
      <c r="B52" s="47" t="s">
        <v>21</v>
      </c>
      <c r="C52" s="10">
        <v>768</v>
      </c>
      <c r="D52" s="10">
        <v>806</v>
      </c>
      <c r="E52" s="10">
        <v>910</v>
      </c>
      <c r="F52" s="10">
        <v>969</v>
      </c>
      <c r="G52" s="10">
        <v>1029</v>
      </c>
      <c r="H52" s="10">
        <v>1108</v>
      </c>
      <c r="I52" s="11"/>
      <c r="J52" s="83" t="s">
        <v>31</v>
      </c>
      <c r="K52" s="17">
        <v>464</v>
      </c>
      <c r="L52" s="14">
        <f>SUM(K52/K54)</f>
        <v>5.8816073013056157E-2</v>
      </c>
    </row>
    <row r="53" spans="1:15" s="2" customFormat="1" ht="16.5" customHeight="1" thickBot="1">
      <c r="A53" s="18" t="s">
        <v>703</v>
      </c>
      <c r="B53" s="28" t="s">
        <v>3</v>
      </c>
      <c r="C53" s="10">
        <v>528</v>
      </c>
      <c r="D53" s="10">
        <v>561</v>
      </c>
      <c r="E53" s="10">
        <v>579</v>
      </c>
      <c r="F53" s="10">
        <v>600</v>
      </c>
      <c r="G53" s="10" t="s">
        <v>20</v>
      </c>
      <c r="J53" s="48" t="s">
        <v>21</v>
      </c>
      <c r="K53" s="17">
        <v>768</v>
      </c>
      <c r="L53" s="14">
        <f>SUM(K53/K54)</f>
        <v>9.7350741538851565E-2</v>
      </c>
    </row>
    <row r="54" spans="1:15" s="2" customFormat="1" ht="16.5" customHeight="1" thickBot="1">
      <c r="A54" s="18" t="s">
        <v>707</v>
      </c>
      <c r="B54" s="76" t="s">
        <v>31</v>
      </c>
      <c r="C54" s="10">
        <v>464</v>
      </c>
      <c r="D54" s="10">
        <v>475</v>
      </c>
      <c r="E54" s="10" t="s">
        <v>20</v>
      </c>
      <c r="J54" s="13"/>
      <c r="K54" s="24">
        <v>7889</v>
      </c>
      <c r="L54" s="14"/>
    </row>
    <row r="55" spans="1:15" s="2" customFormat="1" ht="16.5" customHeight="1" thickBot="1">
      <c r="A55" s="18" t="s">
        <v>705</v>
      </c>
      <c r="B55" s="19" t="s">
        <v>5</v>
      </c>
      <c r="C55" s="10">
        <v>367</v>
      </c>
      <c r="D55" s="10">
        <v>526</v>
      </c>
      <c r="E55" s="10">
        <v>534</v>
      </c>
      <c r="F55" s="10" t="s">
        <v>20</v>
      </c>
    </row>
    <row r="56" spans="1:15" s="2" customFormat="1" ht="11.25" customHeight="1">
      <c r="A56" s="29"/>
      <c r="B56" s="30"/>
      <c r="C56" s="45"/>
      <c r="D56" s="45"/>
      <c r="E56" s="45"/>
      <c r="F56" s="17"/>
      <c r="G56" s="17"/>
      <c r="H56" s="17"/>
      <c r="I56" s="17"/>
      <c r="J56" s="17"/>
      <c r="K56" s="17"/>
      <c r="L56" s="17"/>
      <c r="M56" s="17"/>
      <c r="N56" s="44"/>
    </row>
    <row r="57" spans="1:15" s="2" customFormat="1" ht="17.45" customHeight="1">
      <c r="A57" s="1" t="s">
        <v>719</v>
      </c>
    </row>
    <row r="58" spans="1:15" s="2" customFormat="1" ht="10.5" customHeight="1" thickBot="1">
      <c r="A58" s="1"/>
    </row>
    <row r="59" spans="1:15" s="2" customFormat="1" ht="16.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5">
        <v>8</v>
      </c>
      <c r="K59" s="6"/>
      <c r="L59" s="13" t="s">
        <v>9</v>
      </c>
      <c r="M59" s="14">
        <f>(7601/18775)</f>
        <v>0.40484687083888149</v>
      </c>
    </row>
    <row r="60" spans="1:15" s="2" customFormat="1" ht="16.5" customHeight="1" thickBot="1">
      <c r="A60" s="7" t="s">
        <v>720</v>
      </c>
      <c r="B60" s="8" t="s">
        <v>3</v>
      </c>
      <c r="C60" s="10">
        <v>1272</v>
      </c>
      <c r="D60" s="10">
        <v>1295</v>
      </c>
      <c r="E60" s="10">
        <v>1602</v>
      </c>
      <c r="F60" s="10">
        <v>1718</v>
      </c>
      <c r="G60" s="9">
        <v>1987</v>
      </c>
      <c r="H60" s="10"/>
      <c r="I60" s="10"/>
      <c r="J60" s="10"/>
      <c r="K60" s="11" t="s">
        <v>4</v>
      </c>
      <c r="M60" s="13" t="s">
        <v>11</v>
      </c>
      <c r="N60" s="13" t="s">
        <v>12</v>
      </c>
      <c r="O60" s="13" t="s">
        <v>13</v>
      </c>
    </row>
    <row r="61" spans="1:15" s="2" customFormat="1" ht="16.5" customHeight="1" thickBot="1">
      <c r="A61" s="7" t="s">
        <v>721</v>
      </c>
      <c r="B61" s="12" t="s">
        <v>5</v>
      </c>
      <c r="C61" s="10">
        <v>1239</v>
      </c>
      <c r="D61" s="10">
        <v>1379</v>
      </c>
      <c r="E61" s="10">
        <v>1437</v>
      </c>
      <c r="F61" s="10">
        <v>1477</v>
      </c>
      <c r="G61" s="10">
        <v>1600</v>
      </c>
      <c r="H61" s="10">
        <v>1626</v>
      </c>
      <c r="I61" s="9">
        <v>2415</v>
      </c>
      <c r="J61" s="9"/>
      <c r="K61" s="11" t="s">
        <v>8</v>
      </c>
      <c r="L61" s="16" t="s">
        <v>5</v>
      </c>
      <c r="M61" s="17">
        <f>(C61+C63+C68)</f>
        <v>2600</v>
      </c>
      <c r="N61" s="14">
        <f>SUM(M61/M67)</f>
        <v>0.34405187243615193</v>
      </c>
      <c r="O61" s="2">
        <v>1</v>
      </c>
    </row>
    <row r="62" spans="1:15" s="2" customFormat="1" ht="16.5" customHeight="1" thickBot="1">
      <c r="A62" s="7" t="s">
        <v>728</v>
      </c>
      <c r="B62" s="85" t="s">
        <v>31</v>
      </c>
      <c r="C62" s="10">
        <v>1149</v>
      </c>
      <c r="D62" s="10">
        <v>1159</v>
      </c>
      <c r="E62" s="10">
        <v>1174</v>
      </c>
      <c r="F62" s="10">
        <v>1389</v>
      </c>
      <c r="G62" s="10">
        <v>1442</v>
      </c>
      <c r="H62" s="10">
        <v>1459</v>
      </c>
      <c r="I62" s="10">
        <v>1560</v>
      </c>
      <c r="J62" s="9">
        <v>1622</v>
      </c>
      <c r="K62" s="11" t="s">
        <v>7</v>
      </c>
      <c r="L62" s="20" t="s">
        <v>3</v>
      </c>
      <c r="M62" s="17">
        <f>(C60+C67)</f>
        <v>1781</v>
      </c>
      <c r="N62" s="14">
        <f>SUM(M62/M67)</f>
        <v>0.23567553261876406</v>
      </c>
      <c r="O62" s="2">
        <v>1</v>
      </c>
    </row>
    <row r="63" spans="1:15" s="2" customFormat="1" ht="16.5" customHeight="1" thickBot="1">
      <c r="A63" s="18" t="s">
        <v>722</v>
      </c>
      <c r="B63" s="19" t="s">
        <v>5</v>
      </c>
      <c r="C63" s="10">
        <v>1094</v>
      </c>
      <c r="D63" s="10">
        <v>1160</v>
      </c>
      <c r="E63" s="10">
        <v>1178</v>
      </c>
      <c r="F63" s="10">
        <v>1194</v>
      </c>
      <c r="G63" s="10">
        <v>1237</v>
      </c>
      <c r="H63" s="10">
        <v>1244</v>
      </c>
      <c r="I63" s="10" t="s">
        <v>20</v>
      </c>
      <c r="L63" s="21" t="s">
        <v>16</v>
      </c>
      <c r="M63" s="17">
        <v>588</v>
      </c>
      <c r="N63" s="14">
        <f>SUM(M63/M67)</f>
        <v>7.7808654227868201E-2</v>
      </c>
    </row>
    <row r="64" spans="1:15" s="2" customFormat="1" ht="16.5" customHeight="1" thickBot="1">
      <c r="A64" s="18" t="s">
        <v>724</v>
      </c>
      <c r="B64" s="47" t="s">
        <v>21</v>
      </c>
      <c r="C64" s="10">
        <v>809</v>
      </c>
      <c r="D64" s="10">
        <v>818</v>
      </c>
      <c r="E64" s="10">
        <v>853</v>
      </c>
      <c r="F64" s="10">
        <v>1004</v>
      </c>
      <c r="G64" s="10">
        <v>1216</v>
      </c>
      <c r="H64" s="10">
        <v>1263</v>
      </c>
      <c r="I64" s="10">
        <v>1412</v>
      </c>
      <c r="J64" s="10">
        <v>1594</v>
      </c>
      <c r="K64" s="11"/>
      <c r="L64" s="48" t="s">
        <v>21</v>
      </c>
      <c r="M64" s="17">
        <v>809</v>
      </c>
      <c r="N64" s="14">
        <f>SUM(M64/M67)</f>
        <v>0.10705306338494111</v>
      </c>
    </row>
    <row r="65" spans="1:15" s="2" customFormat="1" ht="16.5" customHeight="1" thickBot="1">
      <c r="A65" s="18" t="s">
        <v>726</v>
      </c>
      <c r="B65" s="79" t="s">
        <v>30</v>
      </c>
      <c r="C65" s="10">
        <v>630</v>
      </c>
      <c r="D65" s="10">
        <v>633</v>
      </c>
      <c r="E65" s="10">
        <v>688</v>
      </c>
      <c r="F65" s="10">
        <v>752</v>
      </c>
      <c r="G65" s="10" t="s">
        <v>20</v>
      </c>
      <c r="L65" s="83" t="s">
        <v>31</v>
      </c>
      <c r="M65" s="17">
        <v>1149</v>
      </c>
      <c r="N65" s="14">
        <f>SUM(M65/M67)</f>
        <v>0.15204446208813022</v>
      </c>
      <c r="O65" s="2">
        <v>1</v>
      </c>
    </row>
    <row r="66" spans="1:15" s="2" customFormat="1" ht="16.5" customHeight="1" thickBot="1">
      <c r="A66" s="18" t="s">
        <v>723</v>
      </c>
      <c r="B66" s="22" t="s">
        <v>16</v>
      </c>
      <c r="C66" s="10">
        <v>588</v>
      </c>
      <c r="D66" s="10">
        <v>591</v>
      </c>
      <c r="E66" s="10">
        <v>615</v>
      </c>
      <c r="F66" s="10" t="s">
        <v>20</v>
      </c>
      <c r="L66" s="78" t="s">
        <v>30</v>
      </c>
      <c r="M66" s="17">
        <v>630</v>
      </c>
      <c r="N66" s="14">
        <f>SUM(M66/M67)</f>
        <v>8.3366415244144496E-2</v>
      </c>
    </row>
    <row r="67" spans="1:15" s="2" customFormat="1" ht="16.5" customHeight="1" thickBot="1">
      <c r="A67" s="18" t="s">
        <v>725</v>
      </c>
      <c r="B67" s="28" t="s">
        <v>3</v>
      </c>
      <c r="C67" s="10">
        <v>509</v>
      </c>
      <c r="D67" s="10">
        <v>521</v>
      </c>
      <c r="E67" s="10" t="s">
        <v>20</v>
      </c>
      <c r="I67" s="13"/>
      <c r="J67" s="17"/>
      <c r="K67" s="14"/>
      <c r="L67" s="13"/>
      <c r="M67" s="24">
        <v>7557</v>
      </c>
      <c r="N67" s="14"/>
    </row>
    <row r="68" spans="1:15" s="2" customFormat="1" ht="16.5" customHeight="1" thickBot="1">
      <c r="A68" s="18" t="s">
        <v>727</v>
      </c>
      <c r="B68" s="19" t="s">
        <v>5</v>
      </c>
      <c r="C68" s="10">
        <v>267</v>
      </c>
      <c r="D68" s="10" t="s">
        <v>20</v>
      </c>
      <c r="I68" s="13"/>
      <c r="J68" s="24"/>
      <c r="K68" s="14"/>
    </row>
    <row r="70" spans="1:15" s="2" customFormat="1" ht="17.45" customHeight="1">
      <c r="A70" s="1" t="s">
        <v>729</v>
      </c>
    </row>
    <row r="71" spans="1:15" s="2" customFormat="1" ht="10.5" customHeight="1" thickBot="1">
      <c r="A71" s="1"/>
    </row>
    <row r="72" spans="1:15" s="2" customFormat="1" ht="16.5" customHeight="1" thickBot="1">
      <c r="A72" s="4" t="s">
        <v>0</v>
      </c>
      <c r="B72" s="5" t="s">
        <v>1</v>
      </c>
      <c r="C72" s="5" t="s">
        <v>2</v>
      </c>
      <c r="D72" s="5">
        <v>2</v>
      </c>
      <c r="E72" s="5">
        <v>3</v>
      </c>
      <c r="F72" s="5">
        <v>4</v>
      </c>
      <c r="G72" s="5">
        <v>5</v>
      </c>
      <c r="H72" s="5">
        <v>6</v>
      </c>
      <c r="I72" s="5">
        <v>7</v>
      </c>
      <c r="J72" s="5">
        <v>8</v>
      </c>
      <c r="K72" s="6"/>
      <c r="L72" s="13" t="s">
        <v>9</v>
      </c>
      <c r="M72" s="14">
        <f>(8152/19000)</f>
        <v>0.42905263157894735</v>
      </c>
    </row>
    <row r="73" spans="1:15" s="2" customFormat="1" ht="16.5" customHeight="1" thickBot="1">
      <c r="A73" s="7" t="s">
        <v>912</v>
      </c>
      <c r="B73" s="43" t="s">
        <v>16</v>
      </c>
      <c r="C73" s="9">
        <v>1800</v>
      </c>
      <c r="D73" s="10"/>
      <c r="E73" s="10"/>
      <c r="F73" s="10"/>
      <c r="G73" s="10"/>
      <c r="H73" s="10"/>
      <c r="I73" s="10"/>
      <c r="J73" s="10"/>
      <c r="K73" s="11" t="s">
        <v>4</v>
      </c>
      <c r="M73" s="13" t="s">
        <v>11</v>
      </c>
      <c r="N73" s="13" t="s">
        <v>12</v>
      </c>
      <c r="O73" s="13" t="s">
        <v>13</v>
      </c>
    </row>
    <row r="74" spans="1:15" s="2" customFormat="1" ht="16.5" customHeight="1" thickBot="1">
      <c r="A74" s="7" t="s">
        <v>533</v>
      </c>
      <c r="B74" s="8" t="s">
        <v>3</v>
      </c>
      <c r="C74" s="10">
        <v>1387</v>
      </c>
      <c r="D74" s="10">
        <v>1441</v>
      </c>
      <c r="E74" s="9">
        <v>1773</v>
      </c>
      <c r="F74" s="10"/>
      <c r="G74" s="10"/>
      <c r="H74" s="10"/>
      <c r="I74" s="10"/>
      <c r="J74" s="10"/>
      <c r="K74" s="11" t="s">
        <v>8</v>
      </c>
      <c r="L74" s="16" t="s">
        <v>5</v>
      </c>
      <c r="M74" s="17">
        <f>(C76+C77+C80)</f>
        <v>2326</v>
      </c>
      <c r="N74" s="14">
        <f>SUM(M74/M79)</f>
        <v>0.28687715836211147</v>
      </c>
      <c r="O74" s="2">
        <v>1</v>
      </c>
    </row>
    <row r="75" spans="1:15" s="2" customFormat="1" ht="16.5" customHeight="1" thickBot="1">
      <c r="A75" s="7" t="s">
        <v>733</v>
      </c>
      <c r="B75" s="80" t="s">
        <v>21</v>
      </c>
      <c r="C75" s="10">
        <v>1032</v>
      </c>
      <c r="D75" s="10">
        <v>1093</v>
      </c>
      <c r="E75" s="10">
        <v>1117</v>
      </c>
      <c r="F75" s="10">
        <v>1154</v>
      </c>
      <c r="G75" s="10">
        <v>1181</v>
      </c>
      <c r="H75" s="10">
        <v>1289</v>
      </c>
      <c r="I75" s="9">
        <v>1781</v>
      </c>
      <c r="J75" s="10"/>
      <c r="K75" s="11" t="s">
        <v>7</v>
      </c>
      <c r="L75" s="20" t="s">
        <v>3</v>
      </c>
      <c r="M75" s="17">
        <f>(C74+C81)</f>
        <v>1835</v>
      </c>
      <c r="N75" s="14">
        <f>SUM(M75/M79)</f>
        <v>0.22631968426245683</v>
      </c>
      <c r="O75" s="2">
        <v>1</v>
      </c>
    </row>
    <row r="76" spans="1:15" s="2" customFormat="1" ht="16.5" customHeight="1" thickBot="1">
      <c r="A76" s="18" t="s">
        <v>913</v>
      </c>
      <c r="B76" s="19" t="s">
        <v>5</v>
      </c>
      <c r="C76" s="10">
        <v>940</v>
      </c>
      <c r="D76" s="10">
        <v>951</v>
      </c>
      <c r="E76" s="10">
        <v>961</v>
      </c>
      <c r="F76" s="10">
        <v>967</v>
      </c>
      <c r="G76" s="10">
        <v>1130</v>
      </c>
      <c r="H76" s="10">
        <v>1164</v>
      </c>
      <c r="I76" s="10">
        <v>1280</v>
      </c>
      <c r="J76" s="10">
        <v>1363</v>
      </c>
      <c r="K76" s="11"/>
      <c r="L76" s="21" t="s">
        <v>16</v>
      </c>
      <c r="M76" s="17">
        <v>1800</v>
      </c>
      <c r="N76" s="14">
        <f>SUM(M76/M79)</f>
        <v>0.22200296003946721</v>
      </c>
      <c r="O76" s="2">
        <v>1</v>
      </c>
    </row>
    <row r="77" spans="1:15" s="2" customFormat="1" ht="16.5" customHeight="1" thickBot="1">
      <c r="A77" s="7" t="s">
        <v>538</v>
      </c>
      <c r="B77" s="12" t="s">
        <v>5</v>
      </c>
      <c r="C77" s="10">
        <v>924</v>
      </c>
      <c r="D77" s="10">
        <v>934</v>
      </c>
      <c r="E77" s="10">
        <v>958</v>
      </c>
      <c r="F77" s="10">
        <v>965</v>
      </c>
      <c r="G77" s="10">
        <v>1170</v>
      </c>
      <c r="H77" s="10">
        <v>1204</v>
      </c>
      <c r="I77" s="10">
        <v>1399</v>
      </c>
      <c r="J77" s="9">
        <v>1475</v>
      </c>
      <c r="K77" s="11" t="s">
        <v>6</v>
      </c>
      <c r="L77" s="78" t="s">
        <v>30</v>
      </c>
      <c r="M77" s="17">
        <f>(C78+C79)</f>
        <v>1115</v>
      </c>
      <c r="N77" s="14">
        <f>SUM(M77/M79)</f>
        <v>0.13751850024666995</v>
      </c>
    </row>
    <row r="78" spans="1:15" s="2" customFormat="1" ht="16.5" customHeight="1" thickBot="1">
      <c r="A78" s="18" t="s">
        <v>731</v>
      </c>
      <c r="B78" s="79" t="s">
        <v>30</v>
      </c>
      <c r="C78" s="10">
        <v>582</v>
      </c>
      <c r="D78" s="10">
        <v>596</v>
      </c>
      <c r="E78" s="10">
        <v>622</v>
      </c>
      <c r="F78" s="10">
        <v>671</v>
      </c>
      <c r="G78" s="10">
        <v>709</v>
      </c>
      <c r="H78" s="10">
        <v>1134</v>
      </c>
      <c r="I78" s="10" t="s">
        <v>20</v>
      </c>
      <c r="L78" s="48" t="s">
        <v>21</v>
      </c>
      <c r="M78" s="17">
        <v>1032</v>
      </c>
      <c r="N78" s="14">
        <f>SUM(M78/M79)</f>
        <v>0.12728169708929452</v>
      </c>
      <c r="O78" s="2">
        <v>1</v>
      </c>
    </row>
    <row r="79" spans="1:15" s="2" customFormat="1" ht="16.5" customHeight="1" thickBot="1">
      <c r="A79" s="18" t="s">
        <v>49</v>
      </c>
      <c r="B79" s="79" t="s">
        <v>30</v>
      </c>
      <c r="C79" s="10">
        <v>533</v>
      </c>
      <c r="D79" s="10">
        <v>545</v>
      </c>
      <c r="E79" s="10">
        <v>574</v>
      </c>
      <c r="F79" s="10">
        <v>622</v>
      </c>
      <c r="G79" s="10">
        <v>646</v>
      </c>
      <c r="H79" s="10" t="s">
        <v>20</v>
      </c>
      <c r="L79" s="13"/>
      <c r="M79" s="24">
        <v>8108</v>
      </c>
      <c r="N79" s="14"/>
    </row>
    <row r="80" spans="1:15" s="2" customFormat="1" ht="16.5" customHeight="1" thickBot="1">
      <c r="A80" s="18" t="s">
        <v>735</v>
      </c>
      <c r="B80" s="19" t="s">
        <v>5</v>
      </c>
      <c r="C80" s="10">
        <v>462</v>
      </c>
      <c r="D80" s="10">
        <v>470</v>
      </c>
      <c r="E80" s="10">
        <v>473</v>
      </c>
      <c r="F80" s="10">
        <v>477</v>
      </c>
      <c r="G80" s="10" t="s">
        <v>20</v>
      </c>
    </row>
    <row r="81" spans="1:17" s="2" customFormat="1" ht="16.5" customHeight="1" thickBot="1">
      <c r="A81" s="18" t="s">
        <v>734</v>
      </c>
      <c r="B81" s="28" t="s">
        <v>3</v>
      </c>
      <c r="C81" s="10">
        <v>448</v>
      </c>
      <c r="D81" s="10">
        <v>456</v>
      </c>
      <c r="E81" s="10" t="s">
        <v>20</v>
      </c>
      <c r="L81" s="24"/>
    </row>
    <row r="82" spans="1:17" s="2" customFormat="1" ht="11.25" customHeight="1">
      <c r="A82" s="29"/>
      <c r="B82" s="30"/>
      <c r="C82" s="29"/>
      <c r="D82" s="29"/>
      <c r="E82" s="29"/>
      <c r="N82" s="14"/>
    </row>
    <row r="83" spans="1:17" s="2" customFormat="1" ht="17.45" customHeight="1">
      <c r="A83" s="1" t="s">
        <v>708</v>
      </c>
    </row>
    <row r="84" spans="1:17" s="2" customFormat="1" ht="8.25" customHeight="1" thickBot="1">
      <c r="A84" s="1"/>
    </row>
    <row r="85" spans="1:17" s="2" customFormat="1" ht="17.45" customHeight="1" thickBot="1">
      <c r="A85" s="4" t="s">
        <v>0</v>
      </c>
      <c r="B85" s="5" t="s">
        <v>1</v>
      </c>
      <c r="C85" s="5" t="s">
        <v>2</v>
      </c>
      <c r="D85" s="5">
        <v>2</v>
      </c>
      <c r="E85" s="5">
        <v>3</v>
      </c>
      <c r="F85" s="5">
        <v>4</v>
      </c>
      <c r="G85" s="5">
        <v>5</v>
      </c>
      <c r="H85" s="5">
        <v>6</v>
      </c>
      <c r="I85" s="5">
        <v>7</v>
      </c>
      <c r="J85" s="5">
        <v>8</v>
      </c>
      <c r="K85" s="5">
        <v>9</v>
      </c>
      <c r="L85" s="5"/>
      <c r="M85" s="13" t="s">
        <v>9</v>
      </c>
      <c r="N85" s="14">
        <f>(11474/27220)</f>
        <v>0.42152828802351211</v>
      </c>
    </row>
    <row r="86" spans="1:17" s="2" customFormat="1" ht="17.45" customHeight="1" thickBot="1">
      <c r="A86" s="7" t="s">
        <v>522</v>
      </c>
      <c r="B86" s="8" t="s">
        <v>3</v>
      </c>
      <c r="C86" s="10">
        <v>1759</v>
      </c>
      <c r="D86" s="10">
        <v>1859</v>
      </c>
      <c r="E86" s="10">
        <v>1887</v>
      </c>
      <c r="F86" s="9">
        <v>1903</v>
      </c>
      <c r="G86" s="10"/>
      <c r="H86" s="10"/>
      <c r="I86" s="10"/>
      <c r="J86" s="10"/>
      <c r="K86" s="10"/>
      <c r="L86" s="11" t="s">
        <v>4</v>
      </c>
      <c r="N86" s="13" t="s">
        <v>11</v>
      </c>
      <c r="O86" s="13" t="s">
        <v>12</v>
      </c>
      <c r="P86" s="13" t="s">
        <v>13</v>
      </c>
      <c r="Q86" s="13"/>
    </row>
    <row r="87" spans="1:17" s="2" customFormat="1" ht="17.45" customHeight="1" thickBot="1">
      <c r="A87" s="7" t="s">
        <v>525</v>
      </c>
      <c r="B87" s="12" t="s">
        <v>5</v>
      </c>
      <c r="C87" s="10">
        <v>1547</v>
      </c>
      <c r="D87" s="10">
        <v>1550</v>
      </c>
      <c r="E87" s="10">
        <v>1568</v>
      </c>
      <c r="F87" s="10">
        <v>1762</v>
      </c>
      <c r="G87" s="10">
        <v>1819</v>
      </c>
      <c r="H87" s="9">
        <v>1958</v>
      </c>
      <c r="I87" s="10"/>
      <c r="J87" s="9"/>
      <c r="K87" s="9"/>
      <c r="L87" s="11" t="s">
        <v>8</v>
      </c>
      <c r="M87" s="16" t="s">
        <v>5</v>
      </c>
      <c r="N87" s="17">
        <f>(C87+C91+C96)</f>
        <v>2792</v>
      </c>
      <c r="O87" s="14">
        <f>SUM(N87/N95)</f>
        <v>0.24586121873899261</v>
      </c>
      <c r="P87" s="2">
        <v>1</v>
      </c>
    </row>
    <row r="88" spans="1:17" s="2" customFormat="1" ht="17.45" customHeight="1" thickBot="1">
      <c r="A88" s="7" t="s">
        <v>710</v>
      </c>
      <c r="B88" s="81" t="s">
        <v>30</v>
      </c>
      <c r="C88" s="10">
        <v>1346</v>
      </c>
      <c r="D88" s="10">
        <v>1380</v>
      </c>
      <c r="E88" s="10">
        <v>1420</v>
      </c>
      <c r="F88" s="10">
        <v>1431</v>
      </c>
      <c r="G88" s="10">
        <v>1580</v>
      </c>
      <c r="H88" s="10">
        <v>1599</v>
      </c>
      <c r="I88" s="10">
        <v>1602</v>
      </c>
      <c r="J88" s="10">
        <v>1690</v>
      </c>
      <c r="K88" s="9">
        <v>1847</v>
      </c>
      <c r="L88" s="11" t="s">
        <v>7</v>
      </c>
      <c r="M88" s="20" t="s">
        <v>3</v>
      </c>
      <c r="N88" s="17">
        <f>(C86+C95+C98)</f>
        <v>2508</v>
      </c>
      <c r="O88" s="14">
        <f>SUM(N88/N95)</f>
        <v>0.22085241282141599</v>
      </c>
      <c r="P88" s="2">
        <v>1</v>
      </c>
    </row>
    <row r="89" spans="1:17" s="2" customFormat="1" ht="17.45" customHeight="1" thickBot="1">
      <c r="A89" s="7" t="s">
        <v>709</v>
      </c>
      <c r="B89" s="85" t="s">
        <v>31</v>
      </c>
      <c r="C89" s="10">
        <v>1227</v>
      </c>
      <c r="D89" s="10">
        <v>1232</v>
      </c>
      <c r="E89" s="10">
        <v>1244</v>
      </c>
      <c r="F89" s="10">
        <v>1253</v>
      </c>
      <c r="G89" s="10">
        <v>1271</v>
      </c>
      <c r="H89" s="10">
        <v>1495</v>
      </c>
      <c r="I89" s="10">
        <v>1512</v>
      </c>
      <c r="J89" s="10">
        <v>1576</v>
      </c>
      <c r="K89" s="9">
        <v>1669</v>
      </c>
      <c r="L89" s="11" t="s">
        <v>6</v>
      </c>
      <c r="M89" s="21" t="s">
        <v>16</v>
      </c>
      <c r="N89" s="17">
        <v>1149</v>
      </c>
      <c r="O89" s="14">
        <f>SUM(N89/N95)</f>
        <v>0.10117999295526593</v>
      </c>
      <c r="P89" s="2">
        <v>1</v>
      </c>
    </row>
    <row r="90" spans="1:17" s="2" customFormat="1" ht="17.45" customHeight="1" thickBot="1">
      <c r="A90" s="7" t="s">
        <v>89</v>
      </c>
      <c r="B90" s="43" t="s">
        <v>16</v>
      </c>
      <c r="C90" s="10">
        <v>1149</v>
      </c>
      <c r="D90" s="10">
        <v>1170</v>
      </c>
      <c r="E90" s="10">
        <v>1210</v>
      </c>
      <c r="F90" s="10">
        <v>1224</v>
      </c>
      <c r="G90" s="10">
        <v>1302</v>
      </c>
      <c r="H90" s="10">
        <v>1361</v>
      </c>
      <c r="I90" s="10">
        <v>1372</v>
      </c>
      <c r="J90" s="10">
        <v>1453</v>
      </c>
      <c r="K90" s="9">
        <v>1595</v>
      </c>
      <c r="L90" s="11" t="s">
        <v>10</v>
      </c>
      <c r="M90" s="78" t="s">
        <v>30</v>
      </c>
      <c r="N90" s="17">
        <v>1346</v>
      </c>
      <c r="O90" s="14">
        <f>SUM(N90/N95)</f>
        <v>0.11852765058119057</v>
      </c>
      <c r="P90" s="2">
        <v>1</v>
      </c>
    </row>
    <row r="91" spans="1:17" s="2" customFormat="1" ht="17.45" customHeight="1" thickBot="1">
      <c r="A91" s="18" t="s">
        <v>712</v>
      </c>
      <c r="B91" s="19" t="s">
        <v>5</v>
      </c>
      <c r="C91" s="10">
        <v>861</v>
      </c>
      <c r="D91" s="10">
        <v>861</v>
      </c>
      <c r="E91" s="10">
        <v>870</v>
      </c>
      <c r="F91" s="10">
        <v>976</v>
      </c>
      <c r="G91" s="10">
        <v>1019</v>
      </c>
      <c r="H91" s="10">
        <v>1070</v>
      </c>
      <c r="I91" s="10">
        <v>1097</v>
      </c>
      <c r="J91" s="10">
        <v>1120</v>
      </c>
      <c r="K91" s="10" t="s">
        <v>20</v>
      </c>
      <c r="M91" s="48" t="s">
        <v>21</v>
      </c>
      <c r="N91" s="17">
        <f>(C92+C94)</f>
        <v>1311</v>
      </c>
      <c r="O91" s="14">
        <f>SUM(N91/N95)</f>
        <v>0.11544557942937654</v>
      </c>
      <c r="Q91" s="14"/>
    </row>
    <row r="92" spans="1:17" s="2" customFormat="1" ht="17.45" customHeight="1" thickBot="1">
      <c r="A92" s="18" t="s">
        <v>526</v>
      </c>
      <c r="B92" s="47" t="s">
        <v>21</v>
      </c>
      <c r="C92" s="10">
        <v>700</v>
      </c>
      <c r="D92" s="10">
        <v>708</v>
      </c>
      <c r="E92" s="10">
        <v>791</v>
      </c>
      <c r="F92" s="10">
        <v>801</v>
      </c>
      <c r="G92" s="10">
        <v>856</v>
      </c>
      <c r="H92" s="10">
        <v>922</v>
      </c>
      <c r="I92" s="10">
        <v>926</v>
      </c>
      <c r="J92" s="10">
        <v>1440</v>
      </c>
      <c r="K92" s="10">
        <v>1566</v>
      </c>
      <c r="L92" s="11"/>
      <c r="M92" s="83" t="s">
        <v>31</v>
      </c>
      <c r="N92" s="17">
        <v>1227</v>
      </c>
      <c r="O92" s="14">
        <f>SUM(N92/N95)</f>
        <v>0.1080486086650229</v>
      </c>
      <c r="P92" s="2">
        <v>1</v>
      </c>
    </row>
    <row r="93" spans="1:17" s="2" customFormat="1" ht="17.45" customHeight="1" thickBot="1">
      <c r="A93" s="18" t="s">
        <v>716</v>
      </c>
      <c r="B93" s="27" t="s">
        <v>18</v>
      </c>
      <c r="C93" s="10">
        <v>688</v>
      </c>
      <c r="D93" s="10">
        <v>695</v>
      </c>
      <c r="E93" s="10">
        <v>700</v>
      </c>
      <c r="F93" s="10">
        <v>712</v>
      </c>
      <c r="G93" s="10">
        <v>716</v>
      </c>
      <c r="H93" s="10" t="s">
        <v>20</v>
      </c>
      <c r="M93" s="26" t="s">
        <v>18</v>
      </c>
      <c r="N93" s="17">
        <v>688</v>
      </c>
      <c r="O93" s="14">
        <f>SUM(N93/N95)</f>
        <v>6.0584712927087003E-2</v>
      </c>
    </row>
    <row r="94" spans="1:17" s="2" customFormat="1" ht="17.45" customHeight="1" thickBot="1">
      <c r="A94" s="18" t="s">
        <v>715</v>
      </c>
      <c r="B94" s="47" t="s">
        <v>21</v>
      </c>
      <c r="C94" s="10">
        <v>611</v>
      </c>
      <c r="D94" s="10">
        <v>637</v>
      </c>
      <c r="E94" s="10">
        <v>690</v>
      </c>
      <c r="F94" s="10">
        <v>703</v>
      </c>
      <c r="G94" s="10">
        <v>778</v>
      </c>
      <c r="H94" s="10">
        <v>838</v>
      </c>
      <c r="I94" s="10">
        <v>841</v>
      </c>
      <c r="J94" s="10" t="s">
        <v>20</v>
      </c>
      <c r="M94" s="13" t="s">
        <v>17</v>
      </c>
      <c r="N94" s="17">
        <f>(C97+C99)</f>
        <v>335</v>
      </c>
      <c r="O94" s="14">
        <f>SUM(N94/N95)</f>
        <v>2.9499823881648467E-2</v>
      </c>
    </row>
    <row r="95" spans="1:17" s="2" customFormat="1" ht="17.45" customHeight="1" thickBot="1">
      <c r="A95" s="18" t="s">
        <v>711</v>
      </c>
      <c r="B95" s="28" t="s">
        <v>3</v>
      </c>
      <c r="C95" s="10">
        <v>474</v>
      </c>
      <c r="D95" s="10">
        <v>547</v>
      </c>
      <c r="E95" s="10">
        <v>569</v>
      </c>
      <c r="F95" s="10">
        <v>570</v>
      </c>
      <c r="G95" s="10" t="s">
        <v>20</v>
      </c>
      <c r="M95" s="13"/>
      <c r="N95" s="24">
        <v>11356</v>
      </c>
      <c r="O95" s="14"/>
    </row>
    <row r="96" spans="1:17" s="2" customFormat="1" ht="17.45" customHeight="1" thickBot="1">
      <c r="A96" s="18" t="s">
        <v>714</v>
      </c>
      <c r="B96" s="19" t="s">
        <v>5</v>
      </c>
      <c r="C96" s="10">
        <v>384</v>
      </c>
      <c r="D96" s="10">
        <v>385</v>
      </c>
      <c r="E96" s="10">
        <v>393</v>
      </c>
      <c r="F96" s="10" t="s">
        <v>20</v>
      </c>
      <c r="N96" s="24"/>
    </row>
    <row r="97" spans="1:20" s="2" customFormat="1" ht="17.45" customHeight="1" thickBot="1">
      <c r="A97" s="18" t="s">
        <v>717</v>
      </c>
      <c r="B97" s="23" t="s">
        <v>14</v>
      </c>
      <c r="C97" s="10">
        <v>320</v>
      </c>
      <c r="D97" s="10">
        <v>330</v>
      </c>
      <c r="E97" s="10" t="s">
        <v>20</v>
      </c>
    </row>
    <row r="98" spans="1:20" s="2" customFormat="1" ht="17.45" customHeight="1" thickBot="1">
      <c r="A98" s="18" t="s">
        <v>713</v>
      </c>
      <c r="B98" s="28" t="s">
        <v>3</v>
      </c>
      <c r="C98" s="10">
        <v>275</v>
      </c>
      <c r="D98" s="10" t="s">
        <v>20</v>
      </c>
    </row>
    <row r="99" spans="1:20" s="2" customFormat="1" ht="17.45" customHeight="1" thickBot="1">
      <c r="A99" s="18" t="s">
        <v>718</v>
      </c>
      <c r="B99" s="23" t="s">
        <v>14</v>
      </c>
      <c r="C99" s="10">
        <v>15</v>
      </c>
      <c r="D99" s="10" t="s">
        <v>20</v>
      </c>
    </row>
    <row r="101" spans="1:20" s="32" customFormat="1" ht="15" customHeight="1">
      <c r="B101" s="36" t="s">
        <v>19</v>
      </c>
      <c r="C101" s="38" t="s">
        <v>5</v>
      </c>
      <c r="D101" s="39" t="s">
        <v>3</v>
      </c>
      <c r="E101" s="40" t="s">
        <v>16</v>
      </c>
      <c r="F101" s="82" t="s">
        <v>30</v>
      </c>
      <c r="G101" s="72" t="s">
        <v>31</v>
      </c>
      <c r="H101" s="49" t="s">
        <v>21</v>
      </c>
      <c r="I101" s="41" t="s">
        <v>18</v>
      </c>
      <c r="J101" s="36" t="s">
        <v>17</v>
      </c>
      <c r="R101" s="33"/>
      <c r="S101" s="34"/>
      <c r="T101" s="35"/>
    </row>
    <row r="102" spans="1:20" s="32" customFormat="1" ht="15" customHeight="1">
      <c r="A102" s="32" t="s">
        <v>11</v>
      </c>
      <c r="B102" s="37">
        <f>SUM(O11+M67+N29+M79+N95+K54+J43)</f>
        <v>58862</v>
      </c>
      <c r="C102" s="34">
        <f>SUM(N87+M74+N22+M61+K49+O5+J37)</f>
        <v>17833</v>
      </c>
      <c r="D102" s="34">
        <f>SUM(N88+M75+N23+M62+K50+O6+J38)</f>
        <v>14007</v>
      </c>
      <c r="E102" s="34">
        <f>SUM(N89+M76+N24+M63+K51+O7+J39)</f>
        <v>7437</v>
      </c>
      <c r="F102" s="34">
        <f>(N90+M77+M66+N25+O8)</f>
        <v>4823</v>
      </c>
      <c r="G102" s="34">
        <f>(N92+M65+K52+J41+N26+O10)</f>
        <v>6390</v>
      </c>
      <c r="H102" s="34">
        <f>SUM(N91+M78+N27+M64+K53+O9+J40)</f>
        <v>6737</v>
      </c>
      <c r="I102" s="34">
        <v>688</v>
      </c>
      <c r="J102" s="34">
        <f>(N94+J42+N28)</f>
        <v>947</v>
      </c>
      <c r="K102" s="34"/>
      <c r="R102" s="36"/>
      <c r="S102" s="37"/>
      <c r="T102" s="35"/>
    </row>
    <row r="103" spans="1:20" s="32" customFormat="1" ht="15" customHeight="1">
      <c r="A103" s="32" t="s">
        <v>12</v>
      </c>
      <c r="B103" s="42">
        <v>1</v>
      </c>
      <c r="C103" s="35">
        <f t="shared" ref="C103:J103" si="0">SUM(C102/$B$102)</f>
        <v>0.30296286228806363</v>
      </c>
      <c r="D103" s="35">
        <f t="shared" si="0"/>
        <v>0.2379633719547416</v>
      </c>
      <c r="E103" s="35">
        <f t="shared" si="0"/>
        <v>0.12634636947436376</v>
      </c>
      <c r="F103" s="35">
        <f>SUM(F102/$B$102)</f>
        <v>8.193741293194251E-2</v>
      </c>
      <c r="G103" s="35">
        <f>SUM(G102/$B$102)</f>
        <v>0.10855900241242228</v>
      </c>
      <c r="H103" s="35">
        <f>SUM(H102/$B$102)</f>
        <v>0.11445414698786993</v>
      </c>
      <c r="I103" s="35">
        <f t="shared" si="0"/>
        <v>1.1688355815296796E-2</v>
      </c>
      <c r="J103" s="35">
        <f t="shared" si="0"/>
        <v>1.6088478135299514E-2</v>
      </c>
    </row>
    <row r="104" spans="1:20" s="32" customFormat="1" ht="15" customHeight="1">
      <c r="A104" s="32" t="s">
        <v>13</v>
      </c>
      <c r="B104" s="36">
        <v>28</v>
      </c>
      <c r="C104" s="32">
        <v>8</v>
      </c>
      <c r="D104" s="32">
        <v>7</v>
      </c>
      <c r="E104" s="32">
        <v>5</v>
      </c>
      <c r="F104" s="32">
        <v>2</v>
      </c>
      <c r="G104" s="32">
        <v>3</v>
      </c>
      <c r="H104" s="32">
        <v>3</v>
      </c>
      <c r="I104" s="32">
        <v>0</v>
      </c>
      <c r="J104" s="32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4"/>
  <dimension ref="A1:S86"/>
  <sheetViews>
    <sheetView workbookViewId="0">
      <selection activeCell="K14" sqref="K14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4" s="2" customFormat="1" ht="16.5" customHeight="1">
      <c r="A1" s="1" t="s">
        <v>407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(8695/20480)</f>
        <v>0.424560546875</v>
      </c>
    </row>
    <row r="4" spans="1:14" s="2" customFormat="1" ht="16.5" customHeight="1" thickBot="1">
      <c r="A4" s="7" t="s">
        <v>415</v>
      </c>
      <c r="B4" s="15" t="s">
        <v>14</v>
      </c>
      <c r="C4" s="9">
        <v>2057</v>
      </c>
      <c r="D4" s="10"/>
      <c r="E4" s="9"/>
      <c r="F4" s="10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411</v>
      </c>
      <c r="B5" s="81" t="s">
        <v>30</v>
      </c>
      <c r="C5" s="10">
        <v>1218</v>
      </c>
      <c r="D5" s="10">
        <v>1266</v>
      </c>
      <c r="E5" s="10">
        <v>1303</v>
      </c>
      <c r="F5" s="10">
        <v>1329</v>
      </c>
      <c r="G5" s="10">
        <v>1445</v>
      </c>
      <c r="H5" s="10">
        <v>1601</v>
      </c>
      <c r="I5" s="9">
        <v>1801</v>
      </c>
      <c r="J5" s="11" t="s">
        <v>8</v>
      </c>
      <c r="K5" s="16" t="s">
        <v>5</v>
      </c>
      <c r="L5" s="17">
        <f>(C7+C8+C11)</f>
        <v>2253</v>
      </c>
      <c r="M5" s="14">
        <f>SUM(L5/L11)</f>
        <v>0.26127797750202947</v>
      </c>
      <c r="N5" s="2">
        <v>1</v>
      </c>
    </row>
    <row r="6" spans="1:14" s="2" customFormat="1" ht="16.5" customHeight="1" thickBot="1">
      <c r="A6" s="7" t="s">
        <v>409</v>
      </c>
      <c r="B6" s="43" t="s">
        <v>16</v>
      </c>
      <c r="C6" s="10">
        <v>1074</v>
      </c>
      <c r="D6" s="10">
        <v>1142</v>
      </c>
      <c r="E6" s="10">
        <v>1207</v>
      </c>
      <c r="F6" s="10">
        <v>1298</v>
      </c>
      <c r="G6" s="10">
        <v>1329</v>
      </c>
      <c r="H6" s="10">
        <v>1598</v>
      </c>
      <c r="I6" s="9">
        <v>1781</v>
      </c>
      <c r="J6" s="11" t="s">
        <v>7</v>
      </c>
      <c r="K6" s="20" t="s">
        <v>3</v>
      </c>
      <c r="L6" s="17">
        <v>722</v>
      </c>
      <c r="M6" s="14">
        <f>SUM(L6/L11)</f>
        <v>8.3729560477791953E-2</v>
      </c>
    </row>
    <row r="7" spans="1:14" s="2" customFormat="1" ht="16.5" customHeight="1" thickBot="1">
      <c r="A7" s="18" t="s">
        <v>316</v>
      </c>
      <c r="B7" s="19" t="s">
        <v>5</v>
      </c>
      <c r="C7" s="10">
        <v>896</v>
      </c>
      <c r="D7" s="10">
        <v>923</v>
      </c>
      <c r="E7" s="10">
        <v>935</v>
      </c>
      <c r="F7" s="10">
        <v>948</v>
      </c>
      <c r="G7" s="10">
        <v>1083</v>
      </c>
      <c r="H7" s="10">
        <v>1151</v>
      </c>
      <c r="I7" s="10" t="s">
        <v>20</v>
      </c>
      <c r="K7" s="21" t="s">
        <v>16</v>
      </c>
      <c r="L7" s="17">
        <v>1074</v>
      </c>
      <c r="M7" s="14">
        <f>SUM(L7/L11)</f>
        <v>0.12455062043372377</v>
      </c>
      <c r="N7" s="2">
        <v>1</v>
      </c>
    </row>
    <row r="8" spans="1:14" s="2" customFormat="1" ht="16.5" customHeight="1" thickBot="1">
      <c r="A8" s="7" t="s">
        <v>410</v>
      </c>
      <c r="B8" s="12" t="s">
        <v>5</v>
      </c>
      <c r="C8" s="10">
        <v>894</v>
      </c>
      <c r="D8" s="10">
        <v>935</v>
      </c>
      <c r="E8" s="10">
        <v>945</v>
      </c>
      <c r="F8" s="10">
        <v>960</v>
      </c>
      <c r="G8" s="10">
        <v>1091</v>
      </c>
      <c r="H8" s="10">
        <v>1159</v>
      </c>
      <c r="I8" s="9">
        <v>1637</v>
      </c>
      <c r="J8" s="11" t="s">
        <v>6</v>
      </c>
      <c r="K8" s="48" t="s">
        <v>21</v>
      </c>
      <c r="L8" s="17">
        <v>229</v>
      </c>
      <c r="M8" s="14">
        <f>SUM(L8/L11)</f>
        <v>2.6556882755421549E-2</v>
      </c>
    </row>
    <row r="9" spans="1:14" s="2" customFormat="1" ht="16.5" customHeight="1" thickBot="1">
      <c r="A9" s="18" t="s">
        <v>416</v>
      </c>
      <c r="B9" s="23" t="s">
        <v>14</v>
      </c>
      <c r="C9" s="10">
        <v>817</v>
      </c>
      <c r="D9" s="10">
        <v>881</v>
      </c>
      <c r="E9" s="10">
        <v>934</v>
      </c>
      <c r="F9" s="10">
        <v>1020</v>
      </c>
      <c r="G9" s="10">
        <v>1056</v>
      </c>
      <c r="H9" s="10">
        <v>1221</v>
      </c>
      <c r="I9" s="10">
        <v>1353</v>
      </c>
      <c r="J9" s="11"/>
      <c r="K9" s="78" t="s">
        <v>30</v>
      </c>
      <c r="L9" s="17">
        <v>1218</v>
      </c>
      <c r="M9" s="14">
        <f>SUM(L9/L11)</f>
        <v>0.1412501449611504</v>
      </c>
      <c r="N9" s="2">
        <v>1</v>
      </c>
    </row>
    <row r="10" spans="1:14" s="2" customFormat="1" ht="16.5" customHeight="1" thickBot="1">
      <c r="A10" s="18" t="s">
        <v>408</v>
      </c>
      <c r="B10" s="28" t="s">
        <v>3</v>
      </c>
      <c r="C10" s="10">
        <v>722</v>
      </c>
      <c r="D10" s="10">
        <v>763</v>
      </c>
      <c r="E10" s="10">
        <v>775</v>
      </c>
      <c r="F10" s="10">
        <v>784</v>
      </c>
      <c r="G10" s="10">
        <v>801</v>
      </c>
      <c r="H10" s="10" t="s">
        <v>20</v>
      </c>
      <c r="K10" s="13" t="s">
        <v>17</v>
      </c>
      <c r="L10" s="17">
        <f>(C4+C9+C12)</f>
        <v>3127</v>
      </c>
      <c r="M10" s="14">
        <f>SUM(L10/L11)</f>
        <v>0.36263481386988289</v>
      </c>
      <c r="N10" s="2">
        <v>1</v>
      </c>
    </row>
    <row r="11" spans="1:14" s="2" customFormat="1" ht="16.5" customHeight="1" thickBot="1">
      <c r="A11" s="18" t="s">
        <v>414</v>
      </c>
      <c r="B11" s="19" t="s">
        <v>5</v>
      </c>
      <c r="C11" s="10">
        <v>463</v>
      </c>
      <c r="D11" s="10">
        <v>476</v>
      </c>
      <c r="E11" s="10">
        <v>482</v>
      </c>
      <c r="F11" s="10">
        <v>487</v>
      </c>
      <c r="G11" s="10" t="s">
        <v>20</v>
      </c>
      <c r="L11" s="24">
        <v>8623</v>
      </c>
    </row>
    <row r="12" spans="1:14" s="2" customFormat="1" ht="16.5" customHeight="1" thickBot="1">
      <c r="A12" s="18" t="s">
        <v>413</v>
      </c>
      <c r="B12" s="23" t="s">
        <v>107</v>
      </c>
      <c r="C12" s="10">
        <v>253</v>
      </c>
      <c r="D12" s="10">
        <v>259</v>
      </c>
      <c r="E12" s="10">
        <v>294</v>
      </c>
      <c r="F12" s="10" t="s">
        <v>20</v>
      </c>
    </row>
    <row r="13" spans="1:14" s="2" customFormat="1" ht="16.5" customHeight="1" thickBot="1">
      <c r="A13" s="18" t="s">
        <v>412</v>
      </c>
      <c r="B13" s="47" t="s">
        <v>21</v>
      </c>
      <c r="C13" s="10">
        <v>229</v>
      </c>
      <c r="D13" s="10">
        <v>253</v>
      </c>
      <c r="E13" s="10" t="s">
        <v>20</v>
      </c>
    </row>
    <row r="14" spans="1:14" s="2" customFormat="1" ht="10.5" customHeight="1">
      <c r="A14" s="1"/>
    </row>
    <row r="15" spans="1:14" s="2" customFormat="1" ht="17.45" customHeight="1">
      <c r="A15" s="1" t="s">
        <v>429</v>
      </c>
    </row>
    <row r="16" spans="1:14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6"/>
      <c r="N17" s="13" t="s">
        <v>9</v>
      </c>
      <c r="O17" s="14">
        <f>(5426/18257)</f>
        <v>0.29720107356082598</v>
      </c>
    </row>
    <row r="18" spans="1:17" s="2" customFormat="1" ht="16.5" customHeight="1" thickBot="1">
      <c r="A18" s="7" t="s">
        <v>431</v>
      </c>
      <c r="B18" s="15" t="s">
        <v>107</v>
      </c>
      <c r="C18" s="9">
        <v>1392</v>
      </c>
      <c r="D18" s="10"/>
      <c r="E18" s="10"/>
      <c r="F18" s="10"/>
      <c r="G18" s="10"/>
      <c r="H18" s="10"/>
      <c r="I18" s="10"/>
      <c r="J18" s="10"/>
      <c r="K18" s="9"/>
      <c r="L18" s="9"/>
      <c r="M18" s="11" t="s">
        <v>4</v>
      </c>
      <c r="O18" s="13" t="s">
        <v>11</v>
      </c>
      <c r="P18" s="13" t="s">
        <v>12</v>
      </c>
      <c r="Q18" s="13" t="s">
        <v>13</v>
      </c>
    </row>
    <row r="19" spans="1:17" s="2" customFormat="1" ht="16.5" customHeight="1" thickBot="1">
      <c r="A19" s="18" t="s">
        <v>430</v>
      </c>
      <c r="B19" s="27" t="s">
        <v>18</v>
      </c>
      <c r="C19" s="10">
        <v>675</v>
      </c>
      <c r="D19" s="10">
        <v>709</v>
      </c>
      <c r="E19" s="10">
        <v>709</v>
      </c>
      <c r="F19" s="10">
        <v>710</v>
      </c>
      <c r="G19" s="10">
        <v>721</v>
      </c>
      <c r="H19" s="10">
        <v>733</v>
      </c>
      <c r="I19" s="10">
        <v>744</v>
      </c>
      <c r="J19" s="10">
        <v>852</v>
      </c>
      <c r="K19" s="10">
        <v>876</v>
      </c>
      <c r="L19" s="10">
        <v>903</v>
      </c>
      <c r="M19" s="11"/>
      <c r="N19" s="16" t="s">
        <v>5</v>
      </c>
      <c r="O19" s="17">
        <f>(C22+C24+C26)</f>
        <v>1046</v>
      </c>
      <c r="P19" s="14">
        <f>SUM(O19/O26)</f>
        <v>0.19496738117427773</v>
      </c>
      <c r="Q19" s="2">
        <v>1</v>
      </c>
    </row>
    <row r="20" spans="1:17" s="2" customFormat="1" ht="16.5" customHeight="1" thickBot="1">
      <c r="A20" s="7" t="s">
        <v>121</v>
      </c>
      <c r="B20" s="43" t="s">
        <v>16</v>
      </c>
      <c r="C20" s="10">
        <v>603</v>
      </c>
      <c r="D20" s="10">
        <v>642</v>
      </c>
      <c r="E20" s="10">
        <v>646</v>
      </c>
      <c r="F20" s="10">
        <v>660</v>
      </c>
      <c r="G20" s="10">
        <v>672</v>
      </c>
      <c r="H20" s="10">
        <v>714</v>
      </c>
      <c r="I20" s="10">
        <v>725</v>
      </c>
      <c r="J20" s="10">
        <v>805</v>
      </c>
      <c r="K20" s="10">
        <v>857</v>
      </c>
      <c r="L20" s="9">
        <v>1054</v>
      </c>
      <c r="M20" s="11" t="s">
        <v>8</v>
      </c>
      <c r="N20" s="20" t="s">
        <v>3</v>
      </c>
      <c r="O20" s="17">
        <v>380</v>
      </c>
      <c r="P20" s="14">
        <f>SUM(O20/O26)</f>
        <v>7.0829450139794969E-2</v>
      </c>
    </row>
    <row r="21" spans="1:17" s="2" customFormat="1" ht="16.5" customHeight="1" thickBot="1">
      <c r="A21" s="7" t="s">
        <v>433</v>
      </c>
      <c r="B21" s="15" t="s">
        <v>14</v>
      </c>
      <c r="C21" s="10">
        <v>547</v>
      </c>
      <c r="D21" s="10">
        <v>584</v>
      </c>
      <c r="E21" s="10">
        <v>590</v>
      </c>
      <c r="F21" s="10">
        <v>602</v>
      </c>
      <c r="G21" s="10">
        <v>616</v>
      </c>
      <c r="H21" s="10">
        <v>656</v>
      </c>
      <c r="I21" s="10">
        <v>704</v>
      </c>
      <c r="J21" s="10">
        <v>792</v>
      </c>
      <c r="K21" s="10">
        <v>846</v>
      </c>
      <c r="L21" s="9">
        <v>976</v>
      </c>
      <c r="M21" s="11" t="s">
        <v>7</v>
      </c>
      <c r="N21" s="21" t="s">
        <v>16</v>
      </c>
      <c r="O21" s="17">
        <v>603</v>
      </c>
      <c r="P21" s="14">
        <f>SUM(O21/O26)</f>
        <v>0.11239515377446412</v>
      </c>
      <c r="Q21" s="2">
        <v>1</v>
      </c>
    </row>
    <row r="22" spans="1:17" s="2" customFormat="1" ht="16.5" customHeight="1" thickBot="1">
      <c r="A22" s="7" t="s">
        <v>265</v>
      </c>
      <c r="B22" s="12" t="s">
        <v>5</v>
      </c>
      <c r="C22" s="10">
        <v>453</v>
      </c>
      <c r="D22" s="10">
        <v>466</v>
      </c>
      <c r="E22" s="10">
        <v>468</v>
      </c>
      <c r="F22" s="10">
        <v>473</v>
      </c>
      <c r="G22" s="10">
        <v>479</v>
      </c>
      <c r="H22" s="10">
        <v>503</v>
      </c>
      <c r="I22" s="10">
        <v>575</v>
      </c>
      <c r="J22" s="10">
        <v>596</v>
      </c>
      <c r="K22" s="10">
        <v>854</v>
      </c>
      <c r="L22" s="9">
        <v>929</v>
      </c>
      <c r="M22" s="11" t="s">
        <v>6</v>
      </c>
      <c r="N22" s="26" t="s">
        <v>18</v>
      </c>
      <c r="O22" s="17">
        <v>675</v>
      </c>
      <c r="P22" s="14">
        <f>SUM(O22/O26)</f>
        <v>0.12581547064305684</v>
      </c>
    </row>
    <row r="23" spans="1:17" s="2" customFormat="1" ht="16.5" customHeight="1" thickBot="1">
      <c r="A23" s="18" t="s">
        <v>432</v>
      </c>
      <c r="B23" s="28" t="s">
        <v>3</v>
      </c>
      <c r="C23" s="10">
        <v>380</v>
      </c>
      <c r="D23" s="10">
        <v>401</v>
      </c>
      <c r="E23" s="10">
        <v>401</v>
      </c>
      <c r="F23" s="10">
        <v>424</v>
      </c>
      <c r="G23" s="10">
        <v>443</v>
      </c>
      <c r="H23" s="10">
        <v>484</v>
      </c>
      <c r="I23" s="10">
        <v>495</v>
      </c>
      <c r="J23" s="10">
        <v>529</v>
      </c>
      <c r="K23" s="10">
        <v>580</v>
      </c>
      <c r="L23" s="10" t="s">
        <v>20</v>
      </c>
      <c r="N23" s="48" t="s">
        <v>21</v>
      </c>
      <c r="O23" s="17">
        <v>102</v>
      </c>
      <c r="P23" s="14">
        <f>SUM(O23/O26)</f>
        <v>1.90121155638397E-2</v>
      </c>
    </row>
    <row r="24" spans="1:17" s="2" customFormat="1" ht="16.5" customHeight="1" thickBot="1">
      <c r="A24" s="18" t="s">
        <v>435</v>
      </c>
      <c r="B24" s="19" t="s">
        <v>5</v>
      </c>
      <c r="C24" s="10">
        <v>315</v>
      </c>
      <c r="D24" s="10">
        <v>327</v>
      </c>
      <c r="E24" s="10">
        <v>330</v>
      </c>
      <c r="F24" s="10">
        <v>346</v>
      </c>
      <c r="G24" s="10">
        <v>352</v>
      </c>
      <c r="H24" s="10">
        <v>364</v>
      </c>
      <c r="I24" s="10">
        <v>495</v>
      </c>
      <c r="J24" s="10">
        <v>512</v>
      </c>
      <c r="K24" s="10" t="s">
        <v>20</v>
      </c>
      <c r="N24" s="78" t="s">
        <v>30</v>
      </c>
      <c r="O24" s="17">
        <v>97</v>
      </c>
      <c r="P24" s="14">
        <f>SUM(O24/O26)</f>
        <v>1.8080149114631874E-2</v>
      </c>
    </row>
    <row r="25" spans="1:17" s="2" customFormat="1" ht="16.5" customHeight="1" thickBot="1">
      <c r="A25" s="18" t="s">
        <v>437</v>
      </c>
      <c r="B25" s="23" t="s">
        <v>107</v>
      </c>
      <c r="C25" s="10">
        <v>315</v>
      </c>
      <c r="D25" s="10">
        <v>424</v>
      </c>
      <c r="E25" s="10">
        <v>428</v>
      </c>
      <c r="F25" s="10">
        <v>430</v>
      </c>
      <c r="G25" s="10">
        <v>447</v>
      </c>
      <c r="H25" s="10">
        <v>463</v>
      </c>
      <c r="I25" s="10">
        <v>464</v>
      </c>
      <c r="J25" s="10" t="s">
        <v>20</v>
      </c>
      <c r="N25" s="13" t="s">
        <v>17</v>
      </c>
      <c r="O25" s="17">
        <f>(C18+C21+C25+C27+C30)</f>
        <v>2462</v>
      </c>
      <c r="P25" s="14">
        <f>SUM(O25/O26)</f>
        <v>0.45890027958993479</v>
      </c>
      <c r="Q25" s="2">
        <v>2</v>
      </c>
    </row>
    <row r="26" spans="1:17" s="2" customFormat="1" ht="16.5" customHeight="1" thickBot="1">
      <c r="A26" s="18" t="s">
        <v>434</v>
      </c>
      <c r="B26" s="19" t="s">
        <v>5</v>
      </c>
      <c r="C26" s="10">
        <v>278</v>
      </c>
      <c r="D26" s="10">
        <v>288</v>
      </c>
      <c r="E26" s="10">
        <v>289</v>
      </c>
      <c r="F26" s="10">
        <v>295</v>
      </c>
      <c r="G26" s="10">
        <v>298</v>
      </c>
      <c r="H26" s="10">
        <v>310</v>
      </c>
      <c r="I26" s="10" t="s">
        <v>20</v>
      </c>
      <c r="O26" s="24">
        <v>5365</v>
      </c>
    </row>
    <row r="27" spans="1:17" s="2" customFormat="1" ht="16.5" customHeight="1" thickBot="1">
      <c r="A27" s="18" t="s">
        <v>416</v>
      </c>
      <c r="B27" s="23" t="s">
        <v>14</v>
      </c>
      <c r="C27" s="10">
        <v>176</v>
      </c>
      <c r="D27" s="10">
        <v>197</v>
      </c>
      <c r="E27" s="10">
        <v>201</v>
      </c>
      <c r="F27" s="10">
        <v>209</v>
      </c>
      <c r="G27" s="10">
        <v>227</v>
      </c>
      <c r="H27" s="10" t="s">
        <v>20</v>
      </c>
    </row>
    <row r="28" spans="1:17" s="2" customFormat="1" ht="16.5" customHeight="1" thickBot="1">
      <c r="A28" s="18" t="s">
        <v>269</v>
      </c>
      <c r="B28" s="47" t="s">
        <v>21</v>
      </c>
      <c r="C28" s="10">
        <v>102</v>
      </c>
      <c r="D28" s="10">
        <v>116</v>
      </c>
      <c r="E28" s="10">
        <v>126</v>
      </c>
      <c r="F28" s="10">
        <v>132</v>
      </c>
      <c r="G28" s="10" t="s">
        <v>20</v>
      </c>
    </row>
    <row r="29" spans="1:17" s="2" customFormat="1" ht="16.5" customHeight="1" thickBot="1">
      <c r="A29" s="18" t="s">
        <v>436</v>
      </c>
      <c r="B29" s="79" t="s">
        <v>30</v>
      </c>
      <c r="C29" s="10">
        <v>97</v>
      </c>
      <c r="D29" s="10">
        <v>99</v>
      </c>
      <c r="E29" s="10">
        <v>99</v>
      </c>
      <c r="F29" s="10" t="s">
        <v>20</v>
      </c>
      <c r="G29" s="17"/>
    </row>
    <row r="30" spans="1:17" s="2" customFormat="1" ht="16.5" customHeight="1" thickBot="1">
      <c r="A30" s="18" t="s">
        <v>438</v>
      </c>
      <c r="B30" s="23" t="s">
        <v>14</v>
      </c>
      <c r="C30" s="10">
        <v>32</v>
      </c>
      <c r="D30" s="10">
        <v>38</v>
      </c>
      <c r="E30" s="10" t="s">
        <v>20</v>
      </c>
      <c r="G30" s="17"/>
    </row>
    <row r="31" spans="1:17" s="2" customFormat="1" ht="11.25" customHeight="1">
      <c r="A31" s="29"/>
      <c r="B31" s="30"/>
      <c r="C31" s="45"/>
      <c r="D31" s="45"/>
      <c r="E31" s="45"/>
      <c r="F31" s="17"/>
      <c r="G31" s="17"/>
      <c r="H31" s="17"/>
      <c r="I31" s="17"/>
      <c r="J31" s="17"/>
      <c r="K31" s="17"/>
      <c r="L31" s="17"/>
      <c r="M31" s="17"/>
      <c r="N31" s="44"/>
    </row>
    <row r="32" spans="1:17" s="2" customFormat="1" ht="17.45" customHeight="1">
      <c r="A32" s="1" t="s">
        <v>445</v>
      </c>
    </row>
    <row r="33" spans="1:15" s="2" customFormat="1" ht="10.5" customHeight="1" thickBot="1">
      <c r="A33" s="1"/>
    </row>
    <row r="34" spans="1:15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6"/>
      <c r="L34" s="13" t="s">
        <v>9</v>
      </c>
      <c r="M34" s="14">
        <f>(9182/25970)</f>
        <v>0.35356180207932231</v>
      </c>
    </row>
    <row r="35" spans="1:15" s="2" customFormat="1" ht="16.5" customHeight="1" thickBot="1">
      <c r="A35" s="7" t="s">
        <v>440</v>
      </c>
      <c r="B35" s="43" t="s">
        <v>16</v>
      </c>
      <c r="C35" s="9">
        <v>2392</v>
      </c>
      <c r="D35" s="10"/>
      <c r="E35" s="9"/>
      <c r="F35" s="10"/>
      <c r="G35" s="10"/>
      <c r="H35" s="10"/>
      <c r="I35" s="10"/>
      <c r="J35" s="10"/>
      <c r="K35" s="11" t="s">
        <v>4</v>
      </c>
      <c r="M35" s="13" t="s">
        <v>11</v>
      </c>
      <c r="N35" s="13" t="s">
        <v>12</v>
      </c>
      <c r="O35" s="13" t="s">
        <v>13</v>
      </c>
    </row>
    <row r="36" spans="1:15" s="2" customFormat="1" ht="16.5" customHeight="1" thickBot="1">
      <c r="A36" s="7" t="s">
        <v>289</v>
      </c>
      <c r="B36" s="12" t="s">
        <v>5</v>
      </c>
      <c r="C36" s="10">
        <v>1390</v>
      </c>
      <c r="D36" s="10">
        <v>1480</v>
      </c>
      <c r="E36" s="10">
        <v>1500</v>
      </c>
      <c r="F36" s="9">
        <v>1536</v>
      </c>
      <c r="G36" s="10"/>
      <c r="H36" s="10"/>
      <c r="I36" s="10"/>
      <c r="J36" s="10"/>
      <c r="K36" s="11" t="s">
        <v>8</v>
      </c>
      <c r="L36" s="16" t="s">
        <v>5</v>
      </c>
      <c r="M36" s="17">
        <f>(C36+C41+C42)</f>
        <v>2408</v>
      </c>
      <c r="N36" s="14">
        <f>SUM(M36/M41)</f>
        <v>0.26461538461538464</v>
      </c>
      <c r="O36" s="2">
        <v>1</v>
      </c>
    </row>
    <row r="37" spans="1:15" s="2" customFormat="1" ht="16.5" customHeight="1" thickBot="1">
      <c r="A37" s="7" t="s">
        <v>439</v>
      </c>
      <c r="B37" s="15" t="s">
        <v>107</v>
      </c>
      <c r="C37" s="10">
        <v>1287</v>
      </c>
      <c r="D37" s="10">
        <v>1387</v>
      </c>
      <c r="E37" s="10">
        <v>1403</v>
      </c>
      <c r="F37" s="10">
        <v>1434</v>
      </c>
      <c r="G37" s="9">
        <v>1546</v>
      </c>
      <c r="H37" s="10"/>
      <c r="I37" s="10"/>
      <c r="J37" s="10"/>
      <c r="K37" s="11" t="s">
        <v>7</v>
      </c>
      <c r="L37" s="20" t="s">
        <v>3</v>
      </c>
      <c r="M37" s="17">
        <f>(C38+C45)</f>
        <v>1022</v>
      </c>
      <c r="N37" s="14">
        <f>SUM(M37/M41)</f>
        <v>0.1123076923076923</v>
      </c>
      <c r="O37" s="2">
        <v>1</v>
      </c>
    </row>
    <row r="38" spans="1:15" s="2" customFormat="1" ht="16.5" customHeight="1" thickBot="1">
      <c r="A38" s="7" t="s">
        <v>127</v>
      </c>
      <c r="B38" s="8" t="s">
        <v>3</v>
      </c>
      <c r="C38" s="10">
        <v>768</v>
      </c>
      <c r="D38" s="10">
        <v>850</v>
      </c>
      <c r="E38" s="10">
        <v>982</v>
      </c>
      <c r="F38" s="10">
        <v>1014</v>
      </c>
      <c r="G38" s="10">
        <v>1047</v>
      </c>
      <c r="H38" s="10">
        <v>1114</v>
      </c>
      <c r="I38" s="10">
        <v>1118</v>
      </c>
      <c r="J38" s="9">
        <v>1266</v>
      </c>
      <c r="K38" s="11" t="s">
        <v>10</v>
      </c>
      <c r="L38" s="21" t="s">
        <v>16</v>
      </c>
      <c r="M38" s="17">
        <f>(C35+C39)</f>
        <v>3083</v>
      </c>
      <c r="N38" s="14">
        <f>SUM(M38/M41)</f>
        <v>0.33879120879120878</v>
      </c>
      <c r="O38" s="2">
        <v>2</v>
      </c>
    </row>
    <row r="39" spans="1:15" s="2" customFormat="1" ht="16.5" customHeight="1" thickBot="1">
      <c r="A39" s="7" t="s">
        <v>135</v>
      </c>
      <c r="B39" s="43" t="s">
        <v>16</v>
      </c>
      <c r="C39" s="10">
        <v>691</v>
      </c>
      <c r="D39" s="10">
        <v>1025</v>
      </c>
      <c r="E39" s="10">
        <v>1047</v>
      </c>
      <c r="F39" s="10">
        <v>1074</v>
      </c>
      <c r="G39" s="10">
        <v>1143</v>
      </c>
      <c r="H39" s="10">
        <v>1190</v>
      </c>
      <c r="I39" s="10">
        <v>1203</v>
      </c>
      <c r="J39" s="9">
        <v>1485</v>
      </c>
      <c r="K39" s="11" t="s">
        <v>6</v>
      </c>
      <c r="L39" s="48" t="s">
        <v>21</v>
      </c>
      <c r="M39" s="17">
        <v>606</v>
      </c>
      <c r="N39" s="14">
        <f>SUM(M39/M41)</f>
        <v>6.6593406593406596E-2</v>
      </c>
    </row>
    <row r="40" spans="1:15" s="2" customFormat="1" ht="16.5" customHeight="1" thickBot="1">
      <c r="A40" s="18" t="s">
        <v>442</v>
      </c>
      <c r="B40" s="47" t="s">
        <v>21</v>
      </c>
      <c r="C40" s="10">
        <v>606</v>
      </c>
      <c r="D40" s="10">
        <v>699</v>
      </c>
      <c r="E40" s="10">
        <v>735</v>
      </c>
      <c r="F40" s="10">
        <v>784</v>
      </c>
      <c r="G40" s="10">
        <v>863</v>
      </c>
      <c r="H40" s="10">
        <v>933</v>
      </c>
      <c r="I40" s="10">
        <v>941</v>
      </c>
      <c r="J40" s="10" t="s">
        <v>20</v>
      </c>
      <c r="L40" s="13" t="s">
        <v>17</v>
      </c>
      <c r="M40" s="17">
        <f>(C37+C43+C44)</f>
        <v>1981</v>
      </c>
      <c r="N40" s="14">
        <f>SUM(M40/M41)</f>
        <v>0.21769230769230768</v>
      </c>
      <c r="O40" s="2">
        <v>1</v>
      </c>
    </row>
    <row r="41" spans="1:15" s="2" customFormat="1" ht="16.5" customHeight="1" thickBot="1">
      <c r="A41" s="18" t="s">
        <v>291</v>
      </c>
      <c r="B41" s="19" t="s">
        <v>5</v>
      </c>
      <c r="C41" s="10">
        <v>595</v>
      </c>
      <c r="D41" s="10">
        <v>626</v>
      </c>
      <c r="E41" s="10">
        <v>632</v>
      </c>
      <c r="F41" s="10">
        <v>662</v>
      </c>
      <c r="G41" s="10">
        <v>698</v>
      </c>
      <c r="H41" s="10">
        <v>978</v>
      </c>
      <c r="I41" s="10">
        <v>982</v>
      </c>
      <c r="J41" s="10">
        <v>1105</v>
      </c>
      <c r="K41" s="11"/>
      <c r="M41" s="24">
        <v>9100</v>
      </c>
    </row>
    <row r="42" spans="1:15" s="2" customFormat="1" ht="16.5" customHeight="1" thickBot="1">
      <c r="A42" s="18" t="s">
        <v>441</v>
      </c>
      <c r="B42" s="19" t="s">
        <v>5</v>
      </c>
      <c r="C42" s="10">
        <v>423</v>
      </c>
      <c r="D42" s="10">
        <v>487</v>
      </c>
      <c r="E42" s="10">
        <v>502</v>
      </c>
      <c r="F42" s="10">
        <v>580</v>
      </c>
      <c r="G42" s="10">
        <v>614</v>
      </c>
      <c r="H42" s="10" t="s">
        <v>20</v>
      </c>
    </row>
    <row r="43" spans="1:15" s="2" customFormat="1" ht="16.5" customHeight="1" thickBot="1">
      <c r="A43" s="18" t="s">
        <v>134</v>
      </c>
      <c r="B43" s="23" t="s">
        <v>14</v>
      </c>
      <c r="C43" s="10">
        <v>350</v>
      </c>
      <c r="D43" s="10">
        <v>379</v>
      </c>
      <c r="E43" s="10">
        <v>385</v>
      </c>
      <c r="F43" s="10">
        <v>429</v>
      </c>
      <c r="G43" s="10" t="s">
        <v>20</v>
      </c>
      <c r="L43" s="24"/>
    </row>
    <row r="44" spans="1:15" s="2" customFormat="1" ht="16.5" customHeight="1" thickBot="1">
      <c r="A44" s="18" t="s">
        <v>443</v>
      </c>
      <c r="B44" s="23" t="s">
        <v>428</v>
      </c>
      <c r="C44" s="10">
        <v>344</v>
      </c>
      <c r="D44" s="10">
        <v>369</v>
      </c>
      <c r="E44" s="10">
        <v>376</v>
      </c>
      <c r="F44" s="10" t="s">
        <v>20</v>
      </c>
      <c r="G44" s="17"/>
      <c r="H44" s="17"/>
      <c r="I44" s="17"/>
      <c r="J44" s="44"/>
    </row>
    <row r="45" spans="1:15" s="2" customFormat="1" ht="16.5" customHeight="1" thickBot="1">
      <c r="A45" s="18" t="s">
        <v>444</v>
      </c>
      <c r="B45" s="28" t="s">
        <v>3</v>
      </c>
      <c r="C45" s="10">
        <v>254</v>
      </c>
      <c r="D45" s="10">
        <v>281</v>
      </c>
      <c r="E45" s="10" t="s">
        <v>20</v>
      </c>
      <c r="G45" s="17"/>
      <c r="H45" s="24"/>
      <c r="I45" s="46"/>
      <c r="J45" s="46"/>
      <c r="K45"/>
    </row>
    <row r="47" spans="1:15" s="2" customFormat="1" ht="17.45" customHeight="1">
      <c r="A47" s="1" t="s">
        <v>399</v>
      </c>
    </row>
    <row r="48" spans="1:15" s="2" customFormat="1" ht="10.5" customHeight="1" thickBot="1">
      <c r="A48" s="1"/>
    </row>
    <row r="49" spans="1:14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6"/>
      <c r="K49" s="13" t="s">
        <v>9</v>
      </c>
      <c r="L49" s="14">
        <f>(9761/21725)</f>
        <v>0.44929804372842347</v>
      </c>
    </row>
    <row r="50" spans="1:14" s="2" customFormat="1" ht="16.5" customHeight="1" thickBot="1">
      <c r="A50" s="7" t="s">
        <v>400</v>
      </c>
      <c r="B50" s="15" t="s">
        <v>14</v>
      </c>
      <c r="C50" s="10">
        <v>1717</v>
      </c>
      <c r="D50" s="10">
        <v>1734</v>
      </c>
      <c r="E50" s="10">
        <v>1770</v>
      </c>
      <c r="F50" s="10">
        <v>1852</v>
      </c>
      <c r="G50" s="10">
        <v>1898</v>
      </c>
      <c r="H50" s="9">
        <v>2169</v>
      </c>
      <c r="I50" s="10"/>
      <c r="J50" s="11" t="s">
        <v>4</v>
      </c>
      <c r="L50" s="13" t="s">
        <v>11</v>
      </c>
      <c r="M50" s="13" t="s">
        <v>12</v>
      </c>
      <c r="N50" s="13" t="s">
        <v>13</v>
      </c>
    </row>
    <row r="51" spans="1:14" s="2" customFormat="1" ht="16.5" customHeight="1" thickBot="1">
      <c r="A51" s="7" t="s">
        <v>245</v>
      </c>
      <c r="B51" s="12" t="s">
        <v>5</v>
      </c>
      <c r="C51" s="10">
        <v>1142</v>
      </c>
      <c r="D51" s="10">
        <v>1152</v>
      </c>
      <c r="E51" s="10">
        <v>1287</v>
      </c>
      <c r="F51" s="10">
        <v>1473</v>
      </c>
      <c r="G51" s="10">
        <v>1526</v>
      </c>
      <c r="H51" s="10">
        <v>1700</v>
      </c>
      <c r="I51" s="9">
        <v>1725</v>
      </c>
      <c r="J51" s="11" t="s">
        <v>6</v>
      </c>
      <c r="K51" s="16" t="s">
        <v>5</v>
      </c>
      <c r="L51" s="17">
        <f>(C51+C52+C58)</f>
        <v>2849</v>
      </c>
      <c r="M51" s="14">
        <f>SUM(L51/L56)</f>
        <v>0.29517198508081227</v>
      </c>
      <c r="N51" s="2">
        <v>1</v>
      </c>
    </row>
    <row r="52" spans="1:14" s="2" customFormat="1" ht="16.5" customHeight="1" thickBot="1">
      <c r="A52" s="18" t="s">
        <v>405</v>
      </c>
      <c r="B52" s="19" t="s">
        <v>5</v>
      </c>
      <c r="C52" s="10">
        <v>1119</v>
      </c>
      <c r="D52" s="10">
        <v>1135</v>
      </c>
      <c r="E52" s="10">
        <v>1279</v>
      </c>
      <c r="F52" s="10">
        <v>1307</v>
      </c>
      <c r="G52" s="10">
        <v>1371</v>
      </c>
      <c r="H52" s="10">
        <v>1476</v>
      </c>
      <c r="I52" s="10">
        <v>1493</v>
      </c>
      <c r="J52" s="11"/>
      <c r="K52" s="20" t="s">
        <v>3</v>
      </c>
      <c r="L52" s="17">
        <f>(C53+C55)</f>
        <v>2020</v>
      </c>
      <c r="M52" s="14">
        <f>SUM(L52/L56)</f>
        <v>0.20928305014504767</v>
      </c>
      <c r="N52" s="2">
        <v>1</v>
      </c>
    </row>
    <row r="53" spans="1:14" s="2" customFormat="1" ht="16.5" customHeight="1" thickBot="1">
      <c r="A53" s="7" t="s">
        <v>402</v>
      </c>
      <c r="B53" s="8" t="s">
        <v>3</v>
      </c>
      <c r="C53" s="10">
        <v>1112</v>
      </c>
      <c r="D53" s="10">
        <v>1161</v>
      </c>
      <c r="E53" s="10">
        <v>1251</v>
      </c>
      <c r="F53" s="10">
        <v>1329</v>
      </c>
      <c r="G53" s="10">
        <v>1907</v>
      </c>
      <c r="H53" s="9">
        <v>2143</v>
      </c>
      <c r="I53" s="10"/>
      <c r="J53" s="11" t="s">
        <v>8</v>
      </c>
      <c r="K53" s="21" t="s">
        <v>16</v>
      </c>
      <c r="L53" s="17">
        <f>(C54+C57+C59)</f>
        <v>2186</v>
      </c>
      <c r="M53" s="14">
        <f>SUM(L53/L56)</f>
        <v>0.22648155822627436</v>
      </c>
      <c r="N53" s="2">
        <v>1</v>
      </c>
    </row>
    <row r="54" spans="1:14" s="2" customFormat="1" ht="16.5" customHeight="1" thickBot="1">
      <c r="A54" s="7" t="s">
        <v>403</v>
      </c>
      <c r="B54" s="43" t="s">
        <v>16</v>
      </c>
      <c r="C54" s="10">
        <v>997</v>
      </c>
      <c r="D54" s="10">
        <v>1071</v>
      </c>
      <c r="E54" s="10">
        <v>1089</v>
      </c>
      <c r="F54" s="10">
        <v>1346</v>
      </c>
      <c r="G54" s="10">
        <v>1439</v>
      </c>
      <c r="H54" s="10">
        <v>1654</v>
      </c>
      <c r="I54" s="9">
        <v>1759</v>
      </c>
      <c r="J54" s="11" t="s">
        <v>7</v>
      </c>
      <c r="K54" s="48" t="s">
        <v>21</v>
      </c>
      <c r="L54" s="17">
        <v>880</v>
      </c>
      <c r="M54" s="14">
        <f>SUM(L54/L56)</f>
        <v>9.1172813924575213E-2</v>
      </c>
    </row>
    <row r="55" spans="1:14" s="2" customFormat="1" ht="16.5" customHeight="1" thickBot="1">
      <c r="A55" s="18" t="s">
        <v>141</v>
      </c>
      <c r="B55" s="28" t="s">
        <v>3</v>
      </c>
      <c r="C55" s="10">
        <v>908</v>
      </c>
      <c r="D55" s="10">
        <v>963</v>
      </c>
      <c r="E55" s="10">
        <v>1076</v>
      </c>
      <c r="F55" s="10">
        <v>1103</v>
      </c>
      <c r="G55" s="10" t="s">
        <v>20</v>
      </c>
      <c r="K55" s="13" t="s">
        <v>17</v>
      </c>
      <c r="L55" s="17">
        <v>1717</v>
      </c>
      <c r="M55" s="14">
        <f>SUM(L55/L56)</f>
        <v>0.17789059262329052</v>
      </c>
      <c r="N55" s="2">
        <v>1</v>
      </c>
    </row>
    <row r="56" spans="1:14" s="2" customFormat="1" ht="16.5" customHeight="1" thickBot="1">
      <c r="A56" s="18" t="s">
        <v>401</v>
      </c>
      <c r="B56" s="47" t="s">
        <v>21</v>
      </c>
      <c r="C56" s="10">
        <v>880</v>
      </c>
      <c r="D56" s="10">
        <v>942</v>
      </c>
      <c r="E56" s="10">
        <v>973</v>
      </c>
      <c r="F56" s="10">
        <v>1106</v>
      </c>
      <c r="G56" s="10">
        <v>1228</v>
      </c>
      <c r="H56" s="10" t="s">
        <v>20</v>
      </c>
      <c r="L56" s="24">
        <v>9652</v>
      </c>
    </row>
    <row r="57" spans="1:14" s="2" customFormat="1" ht="16.5" customHeight="1" thickBot="1">
      <c r="A57" s="18" t="s">
        <v>250</v>
      </c>
      <c r="B57" s="22" t="s">
        <v>16</v>
      </c>
      <c r="C57" s="10">
        <v>732</v>
      </c>
      <c r="D57" s="10">
        <v>868</v>
      </c>
      <c r="E57" s="10">
        <v>881</v>
      </c>
      <c r="F57" s="10" t="s">
        <v>20</v>
      </c>
    </row>
    <row r="58" spans="1:14" s="2" customFormat="1" ht="16.5" customHeight="1" thickBot="1">
      <c r="A58" s="18" t="s">
        <v>406</v>
      </c>
      <c r="B58" s="19" t="s">
        <v>5</v>
      </c>
      <c r="C58" s="10">
        <v>588</v>
      </c>
      <c r="D58" s="10">
        <v>611</v>
      </c>
      <c r="E58" s="10" t="s">
        <v>20</v>
      </c>
    </row>
    <row r="59" spans="1:14" s="2" customFormat="1" ht="16.5" customHeight="1" thickBot="1">
      <c r="A59" s="18" t="s">
        <v>404</v>
      </c>
      <c r="B59" s="22" t="s">
        <v>16</v>
      </c>
      <c r="C59" s="10">
        <v>457</v>
      </c>
      <c r="D59" s="10" t="s">
        <v>20</v>
      </c>
    </row>
    <row r="60" spans="1:14" s="2" customFormat="1" ht="11.25" customHeight="1">
      <c r="A60" s="29"/>
      <c r="B60" s="30"/>
      <c r="C60" s="29"/>
      <c r="D60" s="29"/>
      <c r="E60" s="29"/>
      <c r="N60" s="14"/>
    </row>
    <row r="61" spans="1:14" s="2" customFormat="1" ht="17.45" customHeight="1">
      <c r="A61" s="1" t="s">
        <v>420</v>
      </c>
    </row>
    <row r="62" spans="1:14" s="2" customFormat="1" ht="8.25" customHeight="1" thickBot="1">
      <c r="A62" s="1"/>
    </row>
    <row r="63" spans="1:14" s="2" customFormat="1" ht="17.4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5">
        <v>5</v>
      </c>
      <c r="H63" s="5"/>
      <c r="I63" s="13" t="s">
        <v>9</v>
      </c>
      <c r="J63" s="14">
        <f>(8100/20222)</f>
        <v>0.40055385224013451</v>
      </c>
    </row>
    <row r="64" spans="1:14" s="2" customFormat="1" ht="17.45" customHeight="1" thickBot="1">
      <c r="A64" s="7" t="s">
        <v>157</v>
      </c>
      <c r="B64" s="43" t="s">
        <v>16</v>
      </c>
      <c r="C64" s="9">
        <v>1714</v>
      </c>
      <c r="D64" s="10"/>
      <c r="E64" s="9"/>
      <c r="F64" s="10"/>
      <c r="G64" s="10"/>
      <c r="H64" s="11" t="s">
        <v>4</v>
      </c>
      <c r="J64" s="13" t="s">
        <v>11</v>
      </c>
      <c r="K64" s="13" t="s">
        <v>12</v>
      </c>
      <c r="L64" s="13" t="s">
        <v>13</v>
      </c>
      <c r="M64" s="13"/>
    </row>
    <row r="65" spans="1:13" s="2" customFormat="1" ht="17.45" customHeight="1" thickBot="1">
      <c r="A65" s="7" t="s">
        <v>421</v>
      </c>
      <c r="B65" s="12" t="s">
        <v>5</v>
      </c>
      <c r="C65" s="10">
        <v>1542</v>
      </c>
      <c r="D65" s="10">
        <v>1552</v>
      </c>
      <c r="E65" s="10">
        <v>1566</v>
      </c>
      <c r="F65" s="10">
        <v>1604</v>
      </c>
      <c r="G65" s="9">
        <v>1788</v>
      </c>
      <c r="H65" s="11" t="s">
        <v>8</v>
      </c>
      <c r="I65" s="16" t="s">
        <v>5</v>
      </c>
      <c r="J65" s="17">
        <f>(C65+C68)</f>
        <v>2622</v>
      </c>
      <c r="K65" s="14">
        <f>SUM(J65/J70)</f>
        <v>0.32571428571428573</v>
      </c>
      <c r="L65" s="2">
        <v>1</v>
      </c>
    </row>
    <row r="66" spans="1:13" s="2" customFormat="1" ht="17.45" customHeight="1" thickBot="1">
      <c r="A66" s="7" t="s">
        <v>422</v>
      </c>
      <c r="B66" s="80" t="s">
        <v>21</v>
      </c>
      <c r="C66" s="10">
        <v>1198</v>
      </c>
      <c r="D66" s="10">
        <v>1236</v>
      </c>
      <c r="E66" s="10">
        <v>1329</v>
      </c>
      <c r="F66" s="10">
        <v>1418</v>
      </c>
      <c r="G66" s="9">
        <v>1596</v>
      </c>
      <c r="H66" s="11" t="s">
        <v>6</v>
      </c>
      <c r="I66" s="20" t="s">
        <v>3</v>
      </c>
      <c r="J66" s="17">
        <f>(C67+C69)</f>
        <v>2056</v>
      </c>
      <c r="K66" s="14">
        <f>SUM(J66/J70)</f>
        <v>0.25540372670807454</v>
      </c>
      <c r="L66" s="2">
        <v>1</v>
      </c>
    </row>
    <row r="67" spans="1:13" s="2" customFormat="1" ht="17.45" customHeight="1" thickBot="1">
      <c r="A67" s="7" t="s">
        <v>425</v>
      </c>
      <c r="B67" s="8" t="s">
        <v>3</v>
      </c>
      <c r="C67" s="10">
        <v>1083</v>
      </c>
      <c r="D67" s="10">
        <v>1098</v>
      </c>
      <c r="E67" s="10">
        <v>1113</v>
      </c>
      <c r="F67" s="10">
        <v>1147</v>
      </c>
      <c r="G67" s="9">
        <v>1711</v>
      </c>
      <c r="H67" s="11" t="s">
        <v>7</v>
      </c>
      <c r="I67" s="21" t="s">
        <v>16</v>
      </c>
      <c r="J67" s="17">
        <v>1714</v>
      </c>
      <c r="K67" s="14">
        <f>SUM(J67/J70)</f>
        <v>0.2129192546583851</v>
      </c>
      <c r="L67" s="2">
        <v>1</v>
      </c>
    </row>
    <row r="68" spans="1:13" s="2" customFormat="1" ht="17.45" customHeight="1" thickBot="1">
      <c r="A68" s="18" t="s">
        <v>423</v>
      </c>
      <c r="B68" s="19" t="s">
        <v>5</v>
      </c>
      <c r="C68" s="10">
        <v>1080</v>
      </c>
      <c r="D68" s="10">
        <v>1091</v>
      </c>
      <c r="E68" s="10">
        <v>1114</v>
      </c>
      <c r="F68" s="10">
        <v>1144</v>
      </c>
      <c r="G68" s="10">
        <v>1184</v>
      </c>
      <c r="H68" s="11"/>
      <c r="I68" s="48" t="s">
        <v>21</v>
      </c>
      <c r="J68" s="17">
        <v>1198</v>
      </c>
      <c r="K68" s="14">
        <f>SUM(J68/J70)</f>
        <v>0.14881987577639752</v>
      </c>
      <c r="L68" s="2">
        <v>1</v>
      </c>
    </row>
    <row r="69" spans="1:13" s="2" customFormat="1" ht="17.45" customHeight="1" thickBot="1">
      <c r="A69" s="18" t="s">
        <v>426</v>
      </c>
      <c r="B69" s="28" t="s">
        <v>3</v>
      </c>
      <c r="C69" s="10">
        <v>973</v>
      </c>
      <c r="D69" s="10">
        <v>991</v>
      </c>
      <c r="E69" s="10">
        <v>1004</v>
      </c>
      <c r="F69" s="10">
        <v>1033</v>
      </c>
      <c r="G69" s="10" t="s">
        <v>20</v>
      </c>
      <c r="I69" s="13" t="s">
        <v>17</v>
      </c>
      <c r="J69" s="17">
        <f>(C70+C71)</f>
        <v>460</v>
      </c>
      <c r="K69" s="14">
        <f>SUM(J69/J70)</f>
        <v>5.7142857142857141E-2</v>
      </c>
      <c r="M69" s="14"/>
    </row>
    <row r="70" spans="1:13" s="2" customFormat="1" ht="17.45" customHeight="1" thickBot="1">
      <c r="A70" s="18" t="s">
        <v>427</v>
      </c>
      <c r="B70" s="23" t="s">
        <v>428</v>
      </c>
      <c r="C70" s="10">
        <v>243</v>
      </c>
      <c r="D70" s="10">
        <v>249</v>
      </c>
      <c r="E70" s="10">
        <v>264</v>
      </c>
      <c r="F70" s="10" t="s">
        <v>20</v>
      </c>
      <c r="I70" s="13"/>
      <c r="J70" s="24">
        <v>8050</v>
      </c>
      <c r="K70" s="14"/>
    </row>
    <row r="71" spans="1:13" s="2" customFormat="1" ht="17.45" customHeight="1" thickBot="1">
      <c r="A71" s="18" t="s">
        <v>424</v>
      </c>
      <c r="B71" s="23" t="s">
        <v>107</v>
      </c>
      <c r="C71" s="10">
        <v>217</v>
      </c>
      <c r="D71" s="10">
        <v>222</v>
      </c>
      <c r="E71" s="10" t="s">
        <v>20</v>
      </c>
    </row>
    <row r="73" spans="1:13" s="2" customFormat="1" ht="17.45" customHeight="1">
      <c r="A73" s="1" t="s">
        <v>417</v>
      </c>
    </row>
    <row r="74" spans="1:13" s="2" customFormat="1" ht="8.25" customHeight="1" thickBot="1">
      <c r="A74" s="1"/>
    </row>
    <row r="75" spans="1:13" s="2" customFormat="1" ht="17.45" customHeight="1" thickBot="1">
      <c r="A75" s="4" t="s">
        <v>0</v>
      </c>
      <c r="B75" s="5" t="s">
        <v>1</v>
      </c>
      <c r="C75" s="5" t="s">
        <v>2</v>
      </c>
      <c r="D75" s="5">
        <v>2</v>
      </c>
      <c r="E75" s="5">
        <v>3</v>
      </c>
      <c r="F75" s="5">
        <v>4</v>
      </c>
      <c r="G75" s="5"/>
      <c r="H75" s="13" t="s">
        <v>9</v>
      </c>
      <c r="I75" s="14">
        <f>(7037/17956)</f>
        <v>0.39190242815771886</v>
      </c>
    </row>
    <row r="76" spans="1:13" s="2" customFormat="1" ht="17.45" customHeight="1" thickBot="1">
      <c r="A76" s="7" t="s">
        <v>156</v>
      </c>
      <c r="B76" s="8" t="s">
        <v>3</v>
      </c>
      <c r="C76" s="9">
        <v>2182</v>
      </c>
      <c r="D76" s="10"/>
      <c r="E76" s="9"/>
      <c r="F76" s="10"/>
      <c r="G76" s="11" t="s">
        <v>4</v>
      </c>
      <c r="I76" s="13" t="s">
        <v>11</v>
      </c>
      <c r="J76" s="13" t="s">
        <v>12</v>
      </c>
      <c r="K76" s="13" t="s">
        <v>13</v>
      </c>
      <c r="L76" s="13"/>
    </row>
    <row r="77" spans="1:13" s="2" customFormat="1" ht="17.45" customHeight="1" thickBot="1">
      <c r="A77" s="7" t="s">
        <v>281</v>
      </c>
      <c r="B77" s="8" t="s">
        <v>3</v>
      </c>
      <c r="C77" s="10">
        <v>1530</v>
      </c>
      <c r="D77" s="9">
        <v>1756</v>
      </c>
      <c r="E77" s="10"/>
      <c r="F77" s="10"/>
      <c r="G77" s="11" t="s">
        <v>8</v>
      </c>
      <c r="H77" s="16" t="s">
        <v>5</v>
      </c>
      <c r="I77" s="17">
        <f>(C78+C80)</f>
        <v>1815</v>
      </c>
      <c r="J77" s="14">
        <f>SUM(I77/I81)</f>
        <v>0.26085081920091979</v>
      </c>
      <c r="K77" s="2">
        <v>1</v>
      </c>
    </row>
    <row r="78" spans="1:13" s="2" customFormat="1" ht="17.45" customHeight="1" thickBot="1">
      <c r="A78" s="7" t="s">
        <v>282</v>
      </c>
      <c r="B78" s="12" t="s">
        <v>5</v>
      </c>
      <c r="C78" s="10">
        <v>979</v>
      </c>
      <c r="D78" s="10">
        <v>1026</v>
      </c>
      <c r="E78" s="10">
        <v>1077</v>
      </c>
      <c r="F78" s="9">
        <v>1765</v>
      </c>
      <c r="G78" s="11" t="s">
        <v>7</v>
      </c>
      <c r="H78" s="20" t="s">
        <v>3</v>
      </c>
      <c r="I78" s="17">
        <f>(C76+C77)</f>
        <v>3712</v>
      </c>
      <c r="J78" s="14">
        <f>SUM(I78/I81)</f>
        <v>0.53348663409025587</v>
      </c>
      <c r="K78" s="2">
        <v>2</v>
      </c>
    </row>
    <row r="79" spans="1:13" s="2" customFormat="1" ht="17.45" customHeight="1" thickBot="1">
      <c r="A79" s="18" t="s">
        <v>158</v>
      </c>
      <c r="B79" s="47" t="s">
        <v>21</v>
      </c>
      <c r="C79" s="10">
        <v>942</v>
      </c>
      <c r="D79" s="10">
        <v>997</v>
      </c>
      <c r="E79" s="10">
        <v>1270</v>
      </c>
      <c r="F79" s="10">
        <v>1445</v>
      </c>
      <c r="G79" s="11"/>
      <c r="H79" s="21" t="s">
        <v>16</v>
      </c>
      <c r="I79" s="17">
        <v>489</v>
      </c>
      <c r="J79" s="14">
        <f>SUM(I79/I81)</f>
        <v>7.0278815751652776E-2</v>
      </c>
    </row>
    <row r="80" spans="1:13" s="2" customFormat="1" ht="17.45" customHeight="1" thickBot="1">
      <c r="A80" s="18" t="s">
        <v>418</v>
      </c>
      <c r="B80" s="19" t="s">
        <v>5</v>
      </c>
      <c r="C80" s="10">
        <v>836</v>
      </c>
      <c r="D80" s="10">
        <v>909</v>
      </c>
      <c r="E80" s="10">
        <v>1004</v>
      </c>
      <c r="F80" s="10" t="s">
        <v>20</v>
      </c>
      <c r="H80" s="48" t="s">
        <v>21</v>
      </c>
      <c r="I80" s="17">
        <v>942</v>
      </c>
      <c r="J80" s="14">
        <f>SUM(I80/I81)</f>
        <v>0.1353837309571716</v>
      </c>
    </row>
    <row r="81" spans="1:19" s="2" customFormat="1" ht="17.45" customHeight="1" thickBot="1">
      <c r="A81" s="18" t="s">
        <v>419</v>
      </c>
      <c r="B81" s="22" t="s">
        <v>16</v>
      </c>
      <c r="C81" s="10">
        <v>489</v>
      </c>
      <c r="D81" s="10">
        <v>530</v>
      </c>
      <c r="E81" s="10" t="s">
        <v>20</v>
      </c>
      <c r="H81" s="78"/>
      <c r="I81" s="24">
        <v>6958</v>
      </c>
      <c r="J81" s="14"/>
      <c r="L81" s="14"/>
    </row>
    <row r="83" spans="1:19" s="32" customFormat="1" ht="15" customHeight="1">
      <c r="B83" s="36" t="s">
        <v>19</v>
      </c>
      <c r="C83" s="38" t="s">
        <v>5</v>
      </c>
      <c r="D83" s="39" t="s">
        <v>3</v>
      </c>
      <c r="E83" s="40" t="s">
        <v>16</v>
      </c>
      <c r="F83" s="41" t="s">
        <v>18</v>
      </c>
      <c r="G83" s="49" t="s">
        <v>21</v>
      </c>
      <c r="H83" s="82" t="s">
        <v>30</v>
      </c>
      <c r="I83" s="36" t="s">
        <v>17</v>
      </c>
      <c r="Q83" s="33"/>
      <c r="R83" s="34"/>
      <c r="S83" s="35"/>
    </row>
    <row r="84" spans="1:19" s="32" customFormat="1" ht="15" customHeight="1">
      <c r="A84" s="32" t="s">
        <v>11</v>
      </c>
      <c r="B84" s="37">
        <f>SUM(L11+M41+L56+I81+O26+J70)</f>
        <v>47748</v>
      </c>
      <c r="C84" s="34">
        <f>SUM(I77+L51+M36+O19+L5+J65)</f>
        <v>12993</v>
      </c>
      <c r="D84" s="34">
        <f>SUM(I78+L52+M37+O20+L6+J66)</f>
        <v>9912</v>
      </c>
      <c r="E84" s="34">
        <f>SUM(I79+L53+M38+O21+L7+J67)</f>
        <v>9149</v>
      </c>
      <c r="F84" s="34">
        <v>675</v>
      </c>
      <c r="G84" s="34">
        <f>(I80+L54+M39+L8+J68+O23)</f>
        <v>3957</v>
      </c>
      <c r="H84" s="34">
        <f>(L9+O24)</f>
        <v>1315</v>
      </c>
      <c r="I84" s="34">
        <f>SUM(L55+M40+O25+L10+J69)</f>
        <v>9747</v>
      </c>
      <c r="K84" s="34"/>
      <c r="Q84" s="36"/>
      <c r="R84" s="37"/>
      <c r="S84" s="35"/>
    </row>
    <row r="85" spans="1:19" s="32" customFormat="1" ht="15" customHeight="1">
      <c r="A85" s="32" t="s">
        <v>12</v>
      </c>
      <c r="B85" s="42">
        <v>1</v>
      </c>
      <c r="C85" s="35">
        <f t="shared" ref="C85:I85" si="0">SUM(C84/$B$84)</f>
        <v>0.27211610957527016</v>
      </c>
      <c r="D85" s="35">
        <f t="shared" si="0"/>
        <v>0.20758984669514954</v>
      </c>
      <c r="E85" s="35">
        <f t="shared" si="0"/>
        <v>0.19161011979559353</v>
      </c>
      <c r="F85" s="35">
        <f t="shared" si="0"/>
        <v>1.4136717768283489E-2</v>
      </c>
      <c r="G85" s="35">
        <f t="shared" si="0"/>
        <v>8.2872581050515204E-2</v>
      </c>
      <c r="H85" s="35">
        <f t="shared" si="0"/>
        <v>2.7540420541174501E-2</v>
      </c>
      <c r="I85" s="35">
        <f t="shared" si="0"/>
        <v>0.20413420457401357</v>
      </c>
      <c r="K85" s="34"/>
    </row>
    <row r="86" spans="1:19" s="32" customFormat="1" ht="15" customHeight="1">
      <c r="A86" s="32" t="s">
        <v>13</v>
      </c>
      <c r="B86" s="36">
        <v>24</v>
      </c>
      <c r="C86" s="32">
        <v>6</v>
      </c>
      <c r="D86" s="32">
        <v>5</v>
      </c>
      <c r="E86" s="32">
        <v>6</v>
      </c>
      <c r="F86" s="32">
        <v>0</v>
      </c>
      <c r="G86" s="32">
        <v>1</v>
      </c>
      <c r="H86" s="32">
        <v>1</v>
      </c>
      <c r="I86" s="32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5"/>
  <dimension ref="A1:T87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4" s="2" customFormat="1" ht="16.5" customHeight="1">
      <c r="A1" s="1" t="s">
        <v>454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(8487/26303)</f>
        <v>0.32266281412766606</v>
      </c>
    </row>
    <row r="4" spans="1:14" s="2" customFormat="1" ht="16.5" customHeight="1" thickBot="1">
      <c r="A4" s="7" t="s">
        <v>456</v>
      </c>
      <c r="B4" s="80" t="s">
        <v>21</v>
      </c>
      <c r="C4" s="10">
        <v>1238</v>
      </c>
      <c r="D4" s="10">
        <v>1287</v>
      </c>
      <c r="E4" s="10">
        <v>1425</v>
      </c>
      <c r="F4" s="10">
        <v>1485</v>
      </c>
      <c r="G4" s="9">
        <v>1722</v>
      </c>
      <c r="H4" s="10"/>
      <c r="I4" s="10"/>
      <c r="J4" s="11" t="s">
        <v>8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457</v>
      </c>
      <c r="B5" s="43" t="s">
        <v>16</v>
      </c>
      <c r="C5" s="10">
        <v>1226</v>
      </c>
      <c r="D5" s="10">
        <v>1284</v>
      </c>
      <c r="E5" s="10">
        <v>1411</v>
      </c>
      <c r="F5" s="10">
        <v>1485</v>
      </c>
      <c r="G5" s="9">
        <v>1917</v>
      </c>
      <c r="H5" s="9"/>
      <c r="I5" s="9"/>
      <c r="J5" s="11" t="s">
        <v>4</v>
      </c>
      <c r="K5" s="16" t="s">
        <v>5</v>
      </c>
      <c r="L5" s="17">
        <f>(C9+C10)</f>
        <v>1739</v>
      </c>
      <c r="M5" s="14">
        <f>SUM(L5/L12)</f>
        <v>0.20692527367920038</v>
      </c>
      <c r="N5" s="2">
        <v>1</v>
      </c>
    </row>
    <row r="6" spans="1:14" s="2" customFormat="1" ht="16.5" customHeight="1" thickBot="1">
      <c r="A6" s="18" t="s">
        <v>176</v>
      </c>
      <c r="B6" s="23" t="s">
        <v>14</v>
      </c>
      <c r="C6" s="10">
        <v>1207</v>
      </c>
      <c r="D6" s="10">
        <v>1224</v>
      </c>
      <c r="E6" s="10">
        <v>1285</v>
      </c>
      <c r="F6" s="10">
        <v>1328</v>
      </c>
      <c r="G6" s="10">
        <v>1412</v>
      </c>
      <c r="H6" s="10">
        <v>1473</v>
      </c>
      <c r="I6" s="10">
        <v>1483</v>
      </c>
      <c r="J6" s="11"/>
      <c r="K6" s="20" t="s">
        <v>3</v>
      </c>
      <c r="L6" s="17">
        <v>1050</v>
      </c>
      <c r="M6" s="14">
        <f>SUM(L6/L12)</f>
        <v>0.12494050452165635</v>
      </c>
    </row>
    <row r="7" spans="1:14" s="2" customFormat="1" ht="16.5" customHeight="1" thickBot="1">
      <c r="A7" s="7" t="s">
        <v>455</v>
      </c>
      <c r="B7" s="15" t="s">
        <v>14</v>
      </c>
      <c r="C7" s="10">
        <v>1113</v>
      </c>
      <c r="D7" s="10">
        <v>1138</v>
      </c>
      <c r="E7" s="10">
        <v>1216</v>
      </c>
      <c r="F7" s="10">
        <v>1264</v>
      </c>
      <c r="G7" s="10">
        <v>1427</v>
      </c>
      <c r="H7" s="10">
        <v>1531</v>
      </c>
      <c r="I7" s="9">
        <v>1563</v>
      </c>
      <c r="J7" s="11" t="s">
        <v>6</v>
      </c>
      <c r="K7" s="21" t="s">
        <v>16</v>
      </c>
      <c r="L7" s="17">
        <v>1226</v>
      </c>
      <c r="M7" s="14">
        <f>SUM(L7/L12)</f>
        <v>0.14588291289861971</v>
      </c>
      <c r="N7" s="2">
        <v>1</v>
      </c>
    </row>
    <row r="8" spans="1:14" s="2" customFormat="1" ht="16.5" customHeight="1" thickBot="1">
      <c r="A8" s="18" t="s">
        <v>459</v>
      </c>
      <c r="B8" s="28" t="s">
        <v>3</v>
      </c>
      <c r="C8" s="10">
        <v>1050</v>
      </c>
      <c r="D8" s="10">
        <v>1098</v>
      </c>
      <c r="E8" s="10">
        <v>1161</v>
      </c>
      <c r="F8" s="10">
        <v>1261</v>
      </c>
      <c r="G8" s="10" t="s">
        <v>20</v>
      </c>
      <c r="K8" s="83" t="s">
        <v>31</v>
      </c>
      <c r="L8" s="17">
        <v>539</v>
      </c>
      <c r="M8" s="14">
        <f>SUM(L8/L12)</f>
        <v>6.413612565445026E-2</v>
      </c>
    </row>
    <row r="9" spans="1:14" s="2" customFormat="1" ht="16.5" customHeight="1" thickBot="1">
      <c r="A9" s="7" t="s">
        <v>461</v>
      </c>
      <c r="B9" s="12" t="s">
        <v>5</v>
      </c>
      <c r="C9" s="10">
        <v>962</v>
      </c>
      <c r="D9" s="10">
        <v>1000</v>
      </c>
      <c r="E9" s="10">
        <v>1019</v>
      </c>
      <c r="F9" s="10">
        <v>1472</v>
      </c>
      <c r="G9" s="10">
        <v>1652</v>
      </c>
      <c r="H9" s="9">
        <v>1723</v>
      </c>
      <c r="I9" s="10"/>
      <c r="J9" s="11" t="s">
        <v>7</v>
      </c>
      <c r="K9" s="48" t="s">
        <v>21</v>
      </c>
      <c r="L9" s="17">
        <v>1238</v>
      </c>
      <c r="M9" s="14">
        <f>SUM(L9/L12)</f>
        <v>0.14731080437886721</v>
      </c>
      <c r="N9" s="2">
        <v>1</v>
      </c>
    </row>
    <row r="10" spans="1:14" s="2" customFormat="1" ht="16.5" customHeight="1" thickBot="1">
      <c r="A10" s="18" t="s">
        <v>460</v>
      </c>
      <c r="B10" s="19" t="s">
        <v>5</v>
      </c>
      <c r="C10" s="10">
        <v>777</v>
      </c>
      <c r="D10" s="10">
        <v>805</v>
      </c>
      <c r="E10" s="10">
        <v>829</v>
      </c>
      <c r="F10" s="10" t="s">
        <v>20</v>
      </c>
      <c r="K10" s="78" t="s">
        <v>30</v>
      </c>
      <c r="L10" s="17">
        <v>292</v>
      </c>
      <c r="M10" s="14">
        <f>SUM(L10/L12)</f>
        <v>3.4745359352689194E-2</v>
      </c>
    </row>
    <row r="11" spans="1:14" s="2" customFormat="1" ht="16.5" customHeight="1" thickBot="1">
      <c r="A11" s="18" t="s">
        <v>458</v>
      </c>
      <c r="B11" s="76" t="s">
        <v>31</v>
      </c>
      <c r="C11" s="10">
        <v>539</v>
      </c>
      <c r="D11" s="10">
        <v>557</v>
      </c>
      <c r="E11" s="10" t="s">
        <v>20</v>
      </c>
      <c r="K11" s="13" t="s">
        <v>17</v>
      </c>
      <c r="L11" s="17">
        <f>(C6+C7)</f>
        <v>2320</v>
      </c>
      <c r="M11" s="14">
        <f>SUM(L11/L12)</f>
        <v>0.27605901951451689</v>
      </c>
      <c r="N11" s="2">
        <v>1</v>
      </c>
    </row>
    <row r="12" spans="1:14" s="2" customFormat="1" ht="16.5" customHeight="1" thickBot="1">
      <c r="A12" s="18" t="s">
        <v>462</v>
      </c>
      <c r="B12" s="79" t="s">
        <v>30</v>
      </c>
      <c r="C12" s="10">
        <v>292</v>
      </c>
      <c r="D12" s="10" t="s">
        <v>20</v>
      </c>
      <c r="L12" s="24">
        <v>8404</v>
      </c>
    </row>
    <row r="13" spans="1:14" s="2" customFormat="1" ht="10.5" customHeight="1">
      <c r="A13" s="1"/>
    </row>
    <row r="14" spans="1:14" s="2" customFormat="1" ht="17.45" customHeight="1">
      <c r="A14" s="1" t="s">
        <v>446</v>
      </c>
    </row>
    <row r="15" spans="1:14" s="2" customFormat="1" ht="10.5" customHeight="1" thickBot="1">
      <c r="A15" s="1"/>
    </row>
    <row r="16" spans="1:14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6"/>
      <c r="L16" s="13" t="s">
        <v>9</v>
      </c>
      <c r="M16" s="14">
        <f>(7998/28256)</f>
        <v>0.28305492638731594</v>
      </c>
    </row>
    <row r="17" spans="1:17" s="2" customFormat="1" ht="16.5" customHeight="1" thickBot="1">
      <c r="A17" s="7" t="s">
        <v>187</v>
      </c>
      <c r="B17" s="8" t="s">
        <v>3</v>
      </c>
      <c r="C17" s="9">
        <v>1401</v>
      </c>
      <c r="D17" s="10"/>
      <c r="E17" s="10"/>
      <c r="F17" s="10"/>
      <c r="G17" s="10"/>
      <c r="H17" s="10"/>
      <c r="I17" s="10"/>
      <c r="J17" s="10"/>
      <c r="K17" s="11" t="s">
        <v>4</v>
      </c>
      <c r="M17" s="13" t="s">
        <v>11</v>
      </c>
      <c r="N17" s="13" t="s">
        <v>12</v>
      </c>
      <c r="O17" s="13" t="s">
        <v>13</v>
      </c>
    </row>
    <row r="18" spans="1:17" s="2" customFormat="1" ht="16.5" customHeight="1" thickBot="1">
      <c r="A18" s="7" t="s">
        <v>449</v>
      </c>
      <c r="B18" s="12" t="s">
        <v>5</v>
      </c>
      <c r="C18" s="10">
        <v>1174</v>
      </c>
      <c r="D18" s="10">
        <v>1183</v>
      </c>
      <c r="E18" s="10">
        <v>1188</v>
      </c>
      <c r="F18" s="10">
        <v>1194</v>
      </c>
      <c r="G18" s="10">
        <v>1211</v>
      </c>
      <c r="H18" s="10">
        <v>1225</v>
      </c>
      <c r="I18" s="9">
        <v>1359</v>
      </c>
      <c r="J18" s="9"/>
      <c r="K18" s="11" t="s">
        <v>8</v>
      </c>
      <c r="L18" s="16" t="s">
        <v>5</v>
      </c>
      <c r="M18" s="17">
        <f>(C18+C23+C24)</f>
        <v>2162</v>
      </c>
      <c r="N18" s="14">
        <f>SUM(M18/M26)</f>
        <v>0.27370553234586659</v>
      </c>
      <c r="O18" s="2">
        <v>1</v>
      </c>
    </row>
    <row r="19" spans="1:17" s="2" customFormat="1" ht="16.5" customHeight="1" thickBot="1">
      <c r="A19" s="7" t="s">
        <v>303</v>
      </c>
      <c r="B19" s="81" t="s">
        <v>30</v>
      </c>
      <c r="C19" s="10">
        <v>1173</v>
      </c>
      <c r="D19" s="10">
        <v>1195</v>
      </c>
      <c r="E19" s="10">
        <v>1198</v>
      </c>
      <c r="F19" s="10">
        <v>1214</v>
      </c>
      <c r="G19" s="10">
        <v>1254</v>
      </c>
      <c r="H19" s="10">
        <v>1275</v>
      </c>
      <c r="I19" s="9">
        <v>1350</v>
      </c>
      <c r="J19" s="10"/>
      <c r="K19" s="11" t="s">
        <v>7</v>
      </c>
      <c r="L19" s="20" t="s">
        <v>3</v>
      </c>
      <c r="M19" s="17">
        <v>1401</v>
      </c>
      <c r="N19" s="14">
        <f>SUM(M19/M26)</f>
        <v>0.17736422331940752</v>
      </c>
      <c r="O19" s="2">
        <v>1</v>
      </c>
    </row>
    <row r="20" spans="1:17" s="2" customFormat="1" ht="16.5" customHeight="1" thickBot="1">
      <c r="A20" s="7" t="s">
        <v>305</v>
      </c>
      <c r="B20" s="15" t="s">
        <v>14</v>
      </c>
      <c r="C20" s="10">
        <v>1011</v>
      </c>
      <c r="D20" s="10">
        <v>1023</v>
      </c>
      <c r="E20" s="10">
        <v>1032</v>
      </c>
      <c r="F20" s="10">
        <v>1056</v>
      </c>
      <c r="G20" s="10">
        <v>1098</v>
      </c>
      <c r="H20" s="10">
        <v>1126</v>
      </c>
      <c r="I20" s="10">
        <v>1191</v>
      </c>
      <c r="J20" s="9">
        <v>1362</v>
      </c>
      <c r="K20" s="11" t="s">
        <v>6</v>
      </c>
      <c r="L20" s="21" t="s">
        <v>16</v>
      </c>
      <c r="M20" s="17">
        <v>764</v>
      </c>
      <c r="N20" s="14">
        <f>SUM(M20/M26)</f>
        <v>9.6721103937207245E-2</v>
      </c>
      <c r="O20" s="2">
        <v>1</v>
      </c>
    </row>
    <row r="21" spans="1:17" s="2" customFormat="1" ht="16.5" customHeight="1" thickBot="1">
      <c r="A21" s="7" t="s">
        <v>447</v>
      </c>
      <c r="B21" s="43" t="s">
        <v>16</v>
      </c>
      <c r="C21" s="10">
        <v>764</v>
      </c>
      <c r="D21" s="10">
        <v>778</v>
      </c>
      <c r="E21" s="10">
        <v>795</v>
      </c>
      <c r="F21" s="10">
        <v>817</v>
      </c>
      <c r="G21" s="10">
        <v>881</v>
      </c>
      <c r="H21" s="10">
        <v>937</v>
      </c>
      <c r="I21" s="10">
        <v>967</v>
      </c>
      <c r="J21" s="9">
        <v>1070</v>
      </c>
      <c r="K21" s="11" t="s">
        <v>10</v>
      </c>
      <c r="L21" s="26" t="s">
        <v>18</v>
      </c>
      <c r="M21" s="17">
        <v>622</v>
      </c>
      <c r="N21" s="14">
        <f>SUM(M21/M26)</f>
        <v>7.8744144828459303E-2</v>
      </c>
    </row>
    <row r="22" spans="1:17" s="2" customFormat="1" ht="16.5" customHeight="1" thickBot="1">
      <c r="A22" s="18" t="s">
        <v>193</v>
      </c>
      <c r="B22" s="27" t="s">
        <v>18</v>
      </c>
      <c r="C22" s="10">
        <v>622</v>
      </c>
      <c r="D22" s="10">
        <v>627</v>
      </c>
      <c r="E22" s="10">
        <v>642</v>
      </c>
      <c r="F22" s="10">
        <v>664</v>
      </c>
      <c r="G22" s="10">
        <v>696</v>
      </c>
      <c r="H22" s="10">
        <v>790</v>
      </c>
      <c r="I22" s="10">
        <v>801</v>
      </c>
      <c r="J22" s="10">
        <v>919</v>
      </c>
      <c r="K22" s="11"/>
      <c r="L22" s="78" t="s">
        <v>30</v>
      </c>
      <c r="M22" s="17">
        <v>1173</v>
      </c>
      <c r="N22" s="14">
        <f>SUM(M22/M26)</f>
        <v>0.14849981010254462</v>
      </c>
      <c r="O22" s="2">
        <v>1</v>
      </c>
    </row>
    <row r="23" spans="1:17" s="2" customFormat="1" ht="16.5" customHeight="1" thickBot="1">
      <c r="A23" s="18" t="s">
        <v>451</v>
      </c>
      <c r="B23" s="19" t="s">
        <v>5</v>
      </c>
      <c r="C23" s="10">
        <v>611</v>
      </c>
      <c r="D23" s="10">
        <v>617</v>
      </c>
      <c r="E23" s="10">
        <v>618</v>
      </c>
      <c r="F23" s="10">
        <v>628</v>
      </c>
      <c r="G23" s="10">
        <v>635</v>
      </c>
      <c r="H23" s="10">
        <v>669</v>
      </c>
      <c r="I23" s="10">
        <v>721</v>
      </c>
      <c r="J23" s="10" t="s">
        <v>20</v>
      </c>
      <c r="L23" s="48" t="s">
        <v>21</v>
      </c>
      <c r="M23" s="17">
        <v>243</v>
      </c>
      <c r="N23" s="14">
        <f>SUM(M23/M26)</f>
        <v>3.0763387770603876E-2</v>
      </c>
    </row>
    <row r="24" spans="1:17" s="2" customFormat="1" ht="16.5" customHeight="1" thickBot="1">
      <c r="A24" s="18" t="s">
        <v>452</v>
      </c>
      <c r="B24" s="19" t="s">
        <v>5</v>
      </c>
      <c r="C24" s="10">
        <v>377</v>
      </c>
      <c r="D24" s="10">
        <v>382</v>
      </c>
      <c r="E24" s="10">
        <v>387</v>
      </c>
      <c r="F24" s="10">
        <v>394</v>
      </c>
      <c r="G24" s="10">
        <v>397</v>
      </c>
      <c r="H24" s="10">
        <v>401</v>
      </c>
      <c r="I24" s="10" t="s">
        <v>20</v>
      </c>
      <c r="L24" s="83" t="s">
        <v>31</v>
      </c>
      <c r="M24" s="17">
        <v>267</v>
      </c>
      <c r="N24" s="14">
        <f>SUM(M24/M26)</f>
        <v>3.3801747056589442E-2</v>
      </c>
    </row>
    <row r="25" spans="1:17" s="2" customFormat="1" ht="16.5" customHeight="1" thickBot="1">
      <c r="A25" s="18" t="s">
        <v>182</v>
      </c>
      <c r="B25" s="76" t="s">
        <v>31</v>
      </c>
      <c r="C25" s="10">
        <v>267</v>
      </c>
      <c r="D25" s="10">
        <v>269</v>
      </c>
      <c r="E25" s="10">
        <v>277</v>
      </c>
      <c r="F25" s="10">
        <v>288</v>
      </c>
      <c r="G25" s="10">
        <v>320</v>
      </c>
      <c r="H25" s="10" t="s">
        <v>20</v>
      </c>
      <c r="K25"/>
      <c r="L25" s="13" t="s">
        <v>17</v>
      </c>
      <c r="M25" s="17">
        <f>(C20+C27+C28)</f>
        <v>1267</v>
      </c>
      <c r="N25" s="14">
        <f>SUM(M25/M26)</f>
        <v>0.16040005063932145</v>
      </c>
      <c r="O25" s="2">
        <v>1</v>
      </c>
    </row>
    <row r="26" spans="1:17" s="2" customFormat="1" ht="16.5" customHeight="1" thickBot="1">
      <c r="A26" s="18" t="s">
        <v>450</v>
      </c>
      <c r="B26" s="47" t="s">
        <v>21</v>
      </c>
      <c r="C26" s="10">
        <v>243</v>
      </c>
      <c r="D26" s="10">
        <v>248</v>
      </c>
      <c r="E26" s="10">
        <v>260</v>
      </c>
      <c r="F26" s="10">
        <v>277</v>
      </c>
      <c r="G26" s="10" t="s">
        <v>20</v>
      </c>
      <c r="J26" s="17"/>
      <c r="M26" s="24">
        <v>7899</v>
      </c>
    </row>
    <row r="27" spans="1:17" s="2" customFormat="1" ht="16.5" customHeight="1" thickBot="1">
      <c r="A27" s="18" t="s">
        <v>453</v>
      </c>
      <c r="B27" s="23" t="s">
        <v>14</v>
      </c>
      <c r="C27" s="10">
        <v>133</v>
      </c>
      <c r="D27" s="10">
        <v>135</v>
      </c>
      <c r="E27" s="10">
        <v>167</v>
      </c>
      <c r="F27" s="10" t="s">
        <v>20</v>
      </c>
      <c r="J27" s="44"/>
    </row>
    <row r="28" spans="1:17" s="2" customFormat="1" ht="16.5" customHeight="1" thickBot="1">
      <c r="A28" s="18" t="s">
        <v>448</v>
      </c>
      <c r="B28" s="23" t="s">
        <v>14</v>
      </c>
      <c r="C28" s="10">
        <v>123</v>
      </c>
      <c r="D28" s="10">
        <v>125</v>
      </c>
      <c r="E28" s="10" t="s">
        <v>20</v>
      </c>
      <c r="J28" s="46"/>
      <c r="K28"/>
    </row>
    <row r="30" spans="1:17" s="2" customFormat="1" ht="17.45" customHeight="1">
      <c r="A30" s="1" t="s">
        <v>481</v>
      </c>
    </row>
    <row r="31" spans="1:17" s="2" customFormat="1" ht="10.5" customHeight="1" thickBot="1">
      <c r="A31" s="1"/>
    </row>
    <row r="32" spans="1:17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5">
        <v>9</v>
      </c>
      <c r="L32" s="5">
        <v>10</v>
      </c>
      <c r="M32" s="5">
        <v>11</v>
      </c>
      <c r="N32" s="5">
        <v>12</v>
      </c>
      <c r="O32" s="6"/>
      <c r="P32" s="13" t="s">
        <v>9</v>
      </c>
      <c r="Q32" s="14">
        <f>(20493/51454)</f>
        <v>0.39827807361915496</v>
      </c>
    </row>
    <row r="33" spans="1:19" s="2" customFormat="1" ht="16.5" customHeight="1" thickBot="1">
      <c r="A33" s="7" t="s">
        <v>490</v>
      </c>
      <c r="B33" s="12" t="s">
        <v>5</v>
      </c>
      <c r="C33" s="10">
        <v>2463</v>
      </c>
      <c r="D33" s="10">
        <v>2469</v>
      </c>
      <c r="E33" s="10">
        <v>2496</v>
      </c>
      <c r="F33" s="9">
        <v>2581</v>
      </c>
      <c r="G33" s="10"/>
      <c r="H33" s="9"/>
      <c r="I33" s="10"/>
      <c r="J33" s="10"/>
      <c r="K33" s="9"/>
      <c r="L33" s="10"/>
      <c r="M33" s="10"/>
      <c r="N33" s="9"/>
      <c r="O33" s="11" t="s">
        <v>4</v>
      </c>
      <c r="Q33" s="13" t="s">
        <v>11</v>
      </c>
      <c r="R33" s="13" t="s">
        <v>12</v>
      </c>
      <c r="S33" s="13" t="s">
        <v>13</v>
      </c>
    </row>
    <row r="34" spans="1:19" s="2" customFormat="1" ht="16.5" customHeight="1" thickBot="1">
      <c r="A34" s="7" t="s">
        <v>342</v>
      </c>
      <c r="B34" s="8" t="s">
        <v>3</v>
      </c>
      <c r="C34" s="10">
        <v>2340</v>
      </c>
      <c r="D34" s="10">
        <v>2348</v>
      </c>
      <c r="E34" s="10">
        <v>2486</v>
      </c>
      <c r="F34" s="10">
        <v>2508</v>
      </c>
      <c r="G34" s="10">
        <v>2512</v>
      </c>
      <c r="H34" s="9">
        <v>2534</v>
      </c>
      <c r="I34" s="10"/>
      <c r="J34" s="9"/>
      <c r="K34" s="10"/>
      <c r="L34" s="10"/>
      <c r="M34" s="9"/>
      <c r="N34" s="10"/>
      <c r="O34" s="11" t="s">
        <v>8</v>
      </c>
      <c r="P34" s="16" t="s">
        <v>5</v>
      </c>
      <c r="Q34" s="17">
        <f>(C33+C35+C37+C44)</f>
        <v>6820</v>
      </c>
      <c r="R34" s="14">
        <f>SUM(Q34/Q41)</f>
        <v>0.3367402360144176</v>
      </c>
      <c r="S34" s="2">
        <v>3</v>
      </c>
    </row>
    <row r="35" spans="1:19" s="2" customFormat="1" ht="16.5" customHeight="1" thickBot="1">
      <c r="A35" s="7" t="s">
        <v>482</v>
      </c>
      <c r="B35" s="12" t="s">
        <v>5</v>
      </c>
      <c r="C35" s="10">
        <v>1978</v>
      </c>
      <c r="D35" s="10">
        <v>1985</v>
      </c>
      <c r="E35" s="10">
        <v>1988</v>
      </c>
      <c r="F35" s="10">
        <v>2011</v>
      </c>
      <c r="G35" s="10">
        <v>2024</v>
      </c>
      <c r="H35" s="10">
        <v>2048</v>
      </c>
      <c r="I35" s="10">
        <v>2160</v>
      </c>
      <c r="J35" s="10">
        <v>2209</v>
      </c>
      <c r="K35" s="10">
        <v>2314</v>
      </c>
      <c r="L35" s="10">
        <v>2339</v>
      </c>
      <c r="M35" s="10">
        <v>2423</v>
      </c>
      <c r="N35" s="9">
        <v>2615</v>
      </c>
      <c r="O35" s="11" t="s">
        <v>6</v>
      </c>
      <c r="P35" s="20" t="s">
        <v>3</v>
      </c>
      <c r="Q35" s="17">
        <f>(C34+C42+C48)</f>
        <v>3689</v>
      </c>
      <c r="R35" s="14">
        <f>SUM(Q35/Q41)</f>
        <v>0.18214585493507135</v>
      </c>
      <c r="S35" s="2">
        <v>1</v>
      </c>
    </row>
    <row r="36" spans="1:19" s="2" customFormat="1" ht="16.5" customHeight="1" thickBot="1">
      <c r="A36" s="7" t="s">
        <v>202</v>
      </c>
      <c r="B36" s="81" t="s">
        <v>30</v>
      </c>
      <c r="C36" s="10">
        <v>1902</v>
      </c>
      <c r="D36" s="10">
        <v>1915</v>
      </c>
      <c r="E36" s="10">
        <v>1939</v>
      </c>
      <c r="F36" s="10">
        <v>1960</v>
      </c>
      <c r="G36" s="10">
        <v>1967</v>
      </c>
      <c r="H36" s="10">
        <v>1998</v>
      </c>
      <c r="I36" s="10">
        <v>2053</v>
      </c>
      <c r="J36" s="10">
        <v>2113</v>
      </c>
      <c r="K36" s="10">
        <v>2152</v>
      </c>
      <c r="L36" s="10">
        <v>2166</v>
      </c>
      <c r="M36" s="10">
        <v>2191</v>
      </c>
      <c r="N36" s="9">
        <v>2441</v>
      </c>
      <c r="O36" s="11" t="s">
        <v>15</v>
      </c>
      <c r="P36" s="21" t="s">
        <v>16</v>
      </c>
      <c r="Q36" s="17">
        <f>(C39+C46+C47)</f>
        <v>2642</v>
      </c>
      <c r="R36" s="14">
        <f>SUM(Q36/Q41)</f>
        <v>0.13044980990470548</v>
      </c>
      <c r="S36" s="2">
        <v>1</v>
      </c>
    </row>
    <row r="37" spans="1:19" s="2" customFormat="1" ht="16.5" customHeight="1" thickBot="1">
      <c r="A37" s="7" t="s">
        <v>484</v>
      </c>
      <c r="B37" s="12" t="s">
        <v>5</v>
      </c>
      <c r="C37" s="10">
        <v>1711</v>
      </c>
      <c r="D37" s="10">
        <v>1714</v>
      </c>
      <c r="E37" s="10">
        <v>1719</v>
      </c>
      <c r="F37" s="10">
        <v>1727</v>
      </c>
      <c r="G37" s="10">
        <v>1731</v>
      </c>
      <c r="H37" s="10">
        <v>1752</v>
      </c>
      <c r="I37" s="10">
        <v>2094</v>
      </c>
      <c r="J37" s="10">
        <v>2117</v>
      </c>
      <c r="K37" s="10">
        <v>2206</v>
      </c>
      <c r="L37" s="10">
        <v>2213</v>
      </c>
      <c r="M37" s="10">
        <v>2228</v>
      </c>
      <c r="N37" s="9">
        <v>2290</v>
      </c>
      <c r="O37" s="11" t="s">
        <v>317</v>
      </c>
      <c r="P37" s="26" t="s">
        <v>18</v>
      </c>
      <c r="Q37" s="17">
        <v>761</v>
      </c>
      <c r="R37" s="14">
        <f>SUM(Q37/Q41)</f>
        <v>3.7574680294277393E-2</v>
      </c>
    </row>
    <row r="38" spans="1:19" s="2" customFormat="1" ht="16.5" customHeight="1" thickBot="1">
      <c r="A38" s="7" t="s">
        <v>483</v>
      </c>
      <c r="B38" s="15" t="s">
        <v>14</v>
      </c>
      <c r="C38" s="10">
        <v>1629</v>
      </c>
      <c r="D38" s="10">
        <v>1715</v>
      </c>
      <c r="E38" s="10">
        <v>1731</v>
      </c>
      <c r="F38" s="10">
        <v>1740</v>
      </c>
      <c r="G38" s="10">
        <v>1741</v>
      </c>
      <c r="H38" s="10">
        <v>1760</v>
      </c>
      <c r="I38" s="10">
        <v>1770</v>
      </c>
      <c r="J38" s="10">
        <v>1812</v>
      </c>
      <c r="K38" s="10">
        <v>1870</v>
      </c>
      <c r="L38" s="9">
        <v>2781</v>
      </c>
      <c r="M38" s="10"/>
      <c r="N38" s="9"/>
      <c r="O38" s="11" t="s">
        <v>7</v>
      </c>
      <c r="P38" s="48" t="s">
        <v>21</v>
      </c>
      <c r="Q38" s="17">
        <v>1039</v>
      </c>
      <c r="R38" s="14">
        <f>SUM(Q38/Q41)</f>
        <v>5.1301041820964795E-2</v>
      </c>
    </row>
    <row r="39" spans="1:19" s="2" customFormat="1" ht="16.5" customHeight="1" thickBot="1">
      <c r="A39" s="7" t="s">
        <v>341</v>
      </c>
      <c r="B39" s="43" t="s">
        <v>16</v>
      </c>
      <c r="C39" s="10">
        <v>1483</v>
      </c>
      <c r="D39" s="10">
        <v>1485</v>
      </c>
      <c r="E39" s="10">
        <v>1496</v>
      </c>
      <c r="F39" s="10">
        <v>1629</v>
      </c>
      <c r="G39" s="10">
        <v>1632</v>
      </c>
      <c r="H39" s="10">
        <v>1756</v>
      </c>
      <c r="I39" s="10">
        <v>1844</v>
      </c>
      <c r="J39" s="10">
        <v>2191</v>
      </c>
      <c r="K39" s="10">
        <v>2364</v>
      </c>
      <c r="L39" s="10">
        <v>2377</v>
      </c>
      <c r="M39" s="10">
        <v>2402</v>
      </c>
      <c r="N39" s="9">
        <v>2650</v>
      </c>
      <c r="O39" s="11" t="s">
        <v>10</v>
      </c>
      <c r="P39" s="78" t="s">
        <v>30</v>
      </c>
      <c r="Q39" s="17">
        <v>1902</v>
      </c>
      <c r="R39" s="14">
        <f>SUM(Q39/Q41)</f>
        <v>9.3912013035105907E-2</v>
      </c>
      <c r="S39" s="2">
        <v>1</v>
      </c>
    </row>
    <row r="40" spans="1:19" s="2" customFormat="1" ht="16.5" customHeight="1" thickBot="1">
      <c r="A40" s="18" t="s">
        <v>486</v>
      </c>
      <c r="B40" s="47" t="s">
        <v>21</v>
      </c>
      <c r="C40" s="10">
        <v>1039</v>
      </c>
      <c r="D40" s="10">
        <v>1050</v>
      </c>
      <c r="E40" s="10">
        <v>1070</v>
      </c>
      <c r="F40" s="10">
        <v>1136</v>
      </c>
      <c r="G40" s="10">
        <v>1140</v>
      </c>
      <c r="H40" s="10">
        <v>1267</v>
      </c>
      <c r="I40" s="10">
        <v>1285</v>
      </c>
      <c r="J40" s="10">
        <v>1362</v>
      </c>
      <c r="K40" s="10">
        <v>1579</v>
      </c>
      <c r="L40" s="10">
        <v>1607</v>
      </c>
      <c r="M40" s="10">
        <v>1659</v>
      </c>
      <c r="N40" s="10">
        <v>1816</v>
      </c>
      <c r="O40" s="11"/>
      <c r="P40" s="13" t="s">
        <v>17</v>
      </c>
      <c r="Q40" s="17">
        <f>(C38+C41+C45+C49)</f>
        <v>3400</v>
      </c>
      <c r="R40" s="14">
        <f>SUM(Q40/Q41)</f>
        <v>0.16787636399545747</v>
      </c>
      <c r="S40" s="2">
        <v>1</v>
      </c>
    </row>
    <row r="41" spans="1:19" s="2" customFormat="1" ht="16.5" customHeight="1" thickBot="1">
      <c r="A41" s="18" t="s">
        <v>492</v>
      </c>
      <c r="B41" s="23" t="s">
        <v>14</v>
      </c>
      <c r="C41" s="10">
        <v>960</v>
      </c>
      <c r="D41" s="10">
        <v>977</v>
      </c>
      <c r="E41" s="10">
        <v>985</v>
      </c>
      <c r="F41" s="10">
        <v>996</v>
      </c>
      <c r="G41" s="10">
        <v>998</v>
      </c>
      <c r="H41" s="10">
        <v>1013</v>
      </c>
      <c r="I41" s="10">
        <v>1016</v>
      </c>
      <c r="J41" s="10">
        <v>1025</v>
      </c>
      <c r="K41" s="10">
        <v>1061</v>
      </c>
      <c r="L41" s="10" t="s">
        <v>20</v>
      </c>
      <c r="Q41" s="24">
        <v>20253</v>
      </c>
    </row>
    <row r="42" spans="1:19" s="2" customFormat="1" ht="16.5" customHeight="1" thickBot="1">
      <c r="A42" s="18" t="s">
        <v>487</v>
      </c>
      <c r="B42" s="28" t="s">
        <v>3</v>
      </c>
      <c r="C42" s="10">
        <v>857</v>
      </c>
      <c r="D42" s="10">
        <v>860</v>
      </c>
      <c r="E42" s="10">
        <v>1062</v>
      </c>
      <c r="F42" s="10">
        <v>1093</v>
      </c>
      <c r="G42" s="10">
        <v>1097</v>
      </c>
      <c r="H42" s="10">
        <v>1107</v>
      </c>
      <c r="I42" s="10">
        <v>1118</v>
      </c>
      <c r="J42" s="10">
        <v>1192</v>
      </c>
      <c r="K42" s="10">
        <v>1214</v>
      </c>
      <c r="L42" s="10">
        <v>1236</v>
      </c>
      <c r="M42" s="10">
        <v>1284</v>
      </c>
      <c r="N42" s="10" t="s">
        <v>20</v>
      </c>
    </row>
    <row r="43" spans="1:19" s="2" customFormat="1" ht="16.5" customHeight="1" thickBot="1">
      <c r="A43" s="18" t="s">
        <v>488</v>
      </c>
      <c r="B43" s="27" t="s">
        <v>18</v>
      </c>
      <c r="C43" s="10">
        <v>761</v>
      </c>
      <c r="D43" s="10">
        <v>761</v>
      </c>
      <c r="E43" s="10">
        <v>762</v>
      </c>
      <c r="F43" s="10">
        <v>770</v>
      </c>
      <c r="G43" s="10">
        <v>772</v>
      </c>
      <c r="H43" s="10">
        <v>890</v>
      </c>
      <c r="I43" s="10">
        <v>910</v>
      </c>
      <c r="J43" s="10">
        <v>938</v>
      </c>
      <c r="K43" s="10" t="s">
        <v>20</v>
      </c>
      <c r="M43" s="13"/>
      <c r="N43" s="17"/>
      <c r="O43" s="14"/>
    </row>
    <row r="44" spans="1:19" s="2" customFormat="1" ht="16.5" customHeight="1" thickBot="1">
      <c r="A44" s="18" t="s">
        <v>491</v>
      </c>
      <c r="B44" s="19" t="s">
        <v>5</v>
      </c>
      <c r="C44" s="10">
        <v>668</v>
      </c>
      <c r="D44" s="10">
        <v>669</v>
      </c>
      <c r="E44" s="10">
        <v>670</v>
      </c>
      <c r="F44" s="10">
        <v>673</v>
      </c>
      <c r="G44" s="10">
        <v>675</v>
      </c>
      <c r="H44" s="10">
        <v>698</v>
      </c>
      <c r="I44" s="10" t="s">
        <v>20</v>
      </c>
      <c r="N44" s="24"/>
    </row>
    <row r="45" spans="1:19" s="2" customFormat="1" ht="16.5" customHeight="1" thickBot="1">
      <c r="A45" s="18" t="s">
        <v>398</v>
      </c>
      <c r="B45" s="23" t="s">
        <v>107</v>
      </c>
      <c r="C45" s="10">
        <v>638</v>
      </c>
      <c r="D45" s="10">
        <v>641</v>
      </c>
      <c r="E45" s="10">
        <v>643</v>
      </c>
      <c r="F45" s="10">
        <v>653</v>
      </c>
      <c r="G45" s="10">
        <v>654</v>
      </c>
      <c r="H45" s="10" t="s">
        <v>20</v>
      </c>
    </row>
    <row r="46" spans="1:19" s="2" customFormat="1" ht="16.5" customHeight="1" thickBot="1">
      <c r="A46" s="18" t="s">
        <v>350</v>
      </c>
      <c r="B46" s="22" t="s">
        <v>16</v>
      </c>
      <c r="C46" s="10">
        <v>600</v>
      </c>
      <c r="D46" s="10">
        <v>607</v>
      </c>
      <c r="E46" s="10">
        <v>611</v>
      </c>
      <c r="F46" s="10">
        <v>723</v>
      </c>
      <c r="G46" s="10">
        <v>725</v>
      </c>
      <c r="H46" s="10">
        <v>770</v>
      </c>
      <c r="I46" s="10">
        <v>778</v>
      </c>
      <c r="J46" s="10" t="s">
        <v>20</v>
      </c>
    </row>
    <row r="47" spans="1:19" s="2" customFormat="1" ht="16.5" customHeight="1" thickBot="1">
      <c r="A47" s="18" t="s">
        <v>485</v>
      </c>
      <c r="B47" s="22" t="s">
        <v>16</v>
      </c>
      <c r="C47" s="10">
        <v>559</v>
      </c>
      <c r="D47" s="10">
        <v>561</v>
      </c>
      <c r="E47" s="10">
        <v>582</v>
      </c>
      <c r="F47" s="10" t="s">
        <v>20</v>
      </c>
      <c r="N47" s="24"/>
    </row>
    <row r="48" spans="1:19" s="2" customFormat="1" ht="16.5" customHeight="1" thickBot="1">
      <c r="A48" s="18" t="s">
        <v>489</v>
      </c>
      <c r="B48" s="28" t="s">
        <v>3</v>
      </c>
      <c r="C48" s="10">
        <v>492</v>
      </c>
      <c r="D48" s="10">
        <v>493</v>
      </c>
      <c r="E48" s="10" t="s">
        <v>20</v>
      </c>
    </row>
    <row r="49" spans="1:17" s="2" customFormat="1" ht="16.5" customHeight="1" thickBot="1">
      <c r="A49" s="18" t="s">
        <v>204</v>
      </c>
      <c r="B49" s="23" t="s">
        <v>14</v>
      </c>
      <c r="C49" s="10">
        <v>173</v>
      </c>
      <c r="D49" s="10" t="s">
        <v>20</v>
      </c>
    </row>
    <row r="50" spans="1:17" s="2" customFormat="1" ht="11.25" customHeight="1">
      <c r="A50" s="29"/>
      <c r="B50" s="30"/>
      <c r="C50" s="45"/>
      <c r="D50" s="45"/>
      <c r="E50" s="45"/>
      <c r="F50" s="17"/>
      <c r="G50" s="17"/>
      <c r="H50" s="17"/>
      <c r="I50" s="17"/>
      <c r="J50" s="17"/>
      <c r="K50" s="17"/>
      <c r="L50" s="17"/>
      <c r="M50" s="17"/>
      <c r="N50" s="44"/>
    </row>
    <row r="51" spans="1:17" s="2" customFormat="1" ht="17.45" customHeight="1">
      <c r="A51" s="1" t="s">
        <v>463</v>
      </c>
    </row>
    <row r="52" spans="1:17" s="2" customFormat="1" ht="10.5" customHeight="1" thickBot="1">
      <c r="A52" s="1"/>
    </row>
    <row r="53" spans="1:17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5">
        <v>4</v>
      </c>
      <c r="G53" s="5">
        <v>5</v>
      </c>
      <c r="H53" s="5">
        <v>6</v>
      </c>
      <c r="I53" s="5">
        <v>7</v>
      </c>
      <c r="J53" s="5">
        <v>8</v>
      </c>
      <c r="K53" s="5">
        <v>9</v>
      </c>
      <c r="L53" s="5">
        <v>10</v>
      </c>
      <c r="M53" s="6"/>
      <c r="N53" s="13" t="s">
        <v>9</v>
      </c>
      <c r="O53" s="14">
        <f>(9140/29354)</f>
        <v>0.31137153369217141</v>
      </c>
    </row>
    <row r="54" spans="1:17" s="2" customFormat="1" ht="16.5" customHeight="1" thickBot="1">
      <c r="A54" s="7" t="s">
        <v>467</v>
      </c>
      <c r="B54" s="12" t="s">
        <v>5</v>
      </c>
      <c r="C54" s="9">
        <v>1521</v>
      </c>
      <c r="D54" s="10"/>
      <c r="E54" s="9"/>
      <c r="F54" s="10"/>
      <c r="G54" s="10"/>
      <c r="H54" s="9"/>
      <c r="I54" s="10"/>
      <c r="J54" s="10"/>
      <c r="K54" s="10"/>
      <c r="L54" s="10"/>
      <c r="M54" s="11" t="s">
        <v>4</v>
      </c>
      <c r="O54" s="13" t="s">
        <v>11</v>
      </c>
      <c r="P54" s="13" t="s">
        <v>12</v>
      </c>
      <c r="Q54" s="13" t="s">
        <v>13</v>
      </c>
    </row>
    <row r="55" spans="1:17" s="2" customFormat="1" ht="16.5" customHeight="1" thickBot="1">
      <c r="A55" s="7" t="s">
        <v>465</v>
      </c>
      <c r="B55" s="31" t="s">
        <v>18</v>
      </c>
      <c r="C55" s="10">
        <v>1295</v>
      </c>
      <c r="D55" s="10">
        <v>1308</v>
      </c>
      <c r="E55" s="10">
        <v>1360</v>
      </c>
      <c r="F55" s="10">
        <v>1404</v>
      </c>
      <c r="G55" s="10">
        <v>1440</v>
      </c>
      <c r="H55" s="10">
        <v>1501</v>
      </c>
      <c r="I55" s="10">
        <v>1504</v>
      </c>
      <c r="J55" s="9">
        <v>1506</v>
      </c>
      <c r="K55" s="9"/>
      <c r="L55" s="9"/>
      <c r="M55" s="11" t="s">
        <v>7</v>
      </c>
      <c r="N55" s="16" t="s">
        <v>5</v>
      </c>
      <c r="O55" s="17">
        <f>(C54+C61+C62)</f>
        <v>2537</v>
      </c>
      <c r="P55" s="14">
        <f>SUM(O55/O62)</f>
        <v>0.28092127117705679</v>
      </c>
      <c r="Q55" s="2">
        <v>1</v>
      </c>
    </row>
    <row r="56" spans="1:17" s="2" customFormat="1" ht="16.5" customHeight="1" thickBot="1">
      <c r="A56" s="7" t="s">
        <v>466</v>
      </c>
      <c r="B56" s="8" t="s">
        <v>3</v>
      </c>
      <c r="C56" s="10">
        <v>1175</v>
      </c>
      <c r="D56" s="10">
        <v>1179</v>
      </c>
      <c r="E56" s="10">
        <v>1230</v>
      </c>
      <c r="F56" s="10">
        <v>1464</v>
      </c>
      <c r="G56" s="9">
        <v>1549</v>
      </c>
      <c r="H56" s="10"/>
      <c r="I56" s="10"/>
      <c r="J56" s="10"/>
      <c r="K56" s="9"/>
      <c r="L56" s="9"/>
      <c r="M56" s="11" t="s">
        <v>8</v>
      </c>
      <c r="N56" s="20" t="s">
        <v>3</v>
      </c>
      <c r="O56" s="17">
        <f>(C56+C64)</f>
        <v>1595</v>
      </c>
      <c r="P56" s="14">
        <f>SUM(O56/O62)</f>
        <v>0.17661388550548113</v>
      </c>
      <c r="Q56" s="2">
        <v>1</v>
      </c>
    </row>
    <row r="57" spans="1:17" s="2" customFormat="1" ht="16.5" customHeight="1" thickBot="1">
      <c r="A57" s="18" t="s">
        <v>324</v>
      </c>
      <c r="B57" s="23" t="s">
        <v>107</v>
      </c>
      <c r="C57" s="10">
        <v>753</v>
      </c>
      <c r="D57" s="10">
        <v>765</v>
      </c>
      <c r="E57" s="10">
        <v>803</v>
      </c>
      <c r="F57" s="10">
        <v>813</v>
      </c>
      <c r="G57" s="10">
        <v>826</v>
      </c>
      <c r="H57" s="10">
        <v>876</v>
      </c>
      <c r="I57" s="10">
        <v>877</v>
      </c>
      <c r="J57" s="10">
        <v>879</v>
      </c>
      <c r="K57" s="10">
        <v>928</v>
      </c>
      <c r="L57" s="10" t="s">
        <v>20</v>
      </c>
      <c r="N57" s="21" t="s">
        <v>16</v>
      </c>
      <c r="O57" s="17">
        <f>(C58+C59+C60)</f>
        <v>1975</v>
      </c>
      <c r="P57" s="14">
        <f>SUM(O57/O62)</f>
        <v>0.21869117484221018</v>
      </c>
      <c r="Q57" s="2">
        <v>2</v>
      </c>
    </row>
    <row r="58" spans="1:17" s="2" customFormat="1" ht="16.5" customHeight="1" thickBot="1">
      <c r="A58" s="7" t="s">
        <v>319</v>
      </c>
      <c r="B58" s="43" t="s">
        <v>16</v>
      </c>
      <c r="C58" s="10">
        <v>715</v>
      </c>
      <c r="D58" s="10">
        <v>722</v>
      </c>
      <c r="E58" s="10">
        <v>743</v>
      </c>
      <c r="F58" s="10">
        <v>781</v>
      </c>
      <c r="G58" s="10">
        <v>798</v>
      </c>
      <c r="H58" s="10">
        <v>891</v>
      </c>
      <c r="I58" s="10">
        <v>891</v>
      </c>
      <c r="J58" s="10">
        <v>892</v>
      </c>
      <c r="K58" s="10">
        <v>1079</v>
      </c>
      <c r="L58" s="9">
        <v>1245</v>
      </c>
      <c r="M58" s="11" t="s">
        <v>10</v>
      </c>
      <c r="N58" s="26" t="s">
        <v>18</v>
      </c>
      <c r="O58" s="17">
        <v>1295</v>
      </c>
      <c r="P58" s="14">
        <f>SUM(O58/O62)</f>
        <v>0.14339497287122135</v>
      </c>
      <c r="Q58" s="2">
        <v>1</v>
      </c>
    </row>
    <row r="59" spans="1:17" s="2" customFormat="1" ht="16.5" customHeight="1" thickBot="1">
      <c r="A59" s="7" t="s">
        <v>323</v>
      </c>
      <c r="B59" s="43" t="s">
        <v>16</v>
      </c>
      <c r="C59" s="10">
        <v>666</v>
      </c>
      <c r="D59" s="10">
        <v>674</v>
      </c>
      <c r="E59" s="10">
        <v>703</v>
      </c>
      <c r="F59" s="10">
        <v>737</v>
      </c>
      <c r="G59" s="10">
        <v>793</v>
      </c>
      <c r="H59" s="10">
        <v>906</v>
      </c>
      <c r="I59" s="10">
        <v>925</v>
      </c>
      <c r="J59" s="10">
        <v>927</v>
      </c>
      <c r="K59" s="10">
        <v>1129</v>
      </c>
      <c r="L59" s="9">
        <v>1406</v>
      </c>
      <c r="M59" s="11" t="s">
        <v>6</v>
      </c>
      <c r="N59" s="48" t="s">
        <v>21</v>
      </c>
      <c r="O59" s="17">
        <v>304</v>
      </c>
      <c r="P59" s="14">
        <f>SUM(O59/O62)</f>
        <v>3.3661831469383237E-2</v>
      </c>
    </row>
    <row r="60" spans="1:17" s="2" customFormat="1" ht="16.5" customHeight="1" thickBot="1">
      <c r="A60" s="18" t="s">
        <v>322</v>
      </c>
      <c r="B60" s="22" t="s">
        <v>16</v>
      </c>
      <c r="C60" s="10">
        <v>594</v>
      </c>
      <c r="D60" s="10">
        <v>598</v>
      </c>
      <c r="E60" s="10">
        <v>618</v>
      </c>
      <c r="F60" s="10">
        <v>625</v>
      </c>
      <c r="G60" s="10">
        <v>643</v>
      </c>
      <c r="H60" s="10">
        <v>667</v>
      </c>
      <c r="I60" s="10">
        <v>671</v>
      </c>
      <c r="J60" s="10">
        <v>671</v>
      </c>
      <c r="K60" s="10" t="s">
        <v>20</v>
      </c>
      <c r="N60" s="78" t="s">
        <v>30</v>
      </c>
      <c r="O60" s="17">
        <v>471</v>
      </c>
      <c r="P60" s="14">
        <f>SUM(O60/O62)</f>
        <v>5.2153692835787843E-2</v>
      </c>
    </row>
    <row r="61" spans="1:17" s="2" customFormat="1" ht="16.5" customHeight="1" thickBot="1">
      <c r="A61" s="18" t="s">
        <v>469</v>
      </c>
      <c r="B61" s="19" t="s">
        <v>5</v>
      </c>
      <c r="C61" s="10">
        <v>539</v>
      </c>
      <c r="D61" s="10">
        <v>550</v>
      </c>
      <c r="E61" s="10">
        <v>576</v>
      </c>
      <c r="F61" s="10">
        <v>596</v>
      </c>
      <c r="G61" s="10">
        <v>833</v>
      </c>
      <c r="H61" s="10">
        <v>909</v>
      </c>
      <c r="I61" s="10">
        <v>925</v>
      </c>
      <c r="J61" s="10">
        <v>933</v>
      </c>
      <c r="K61" s="10">
        <v>1027</v>
      </c>
      <c r="L61" s="10">
        <v>1166</v>
      </c>
      <c r="M61" s="11"/>
      <c r="N61" s="13" t="s">
        <v>17</v>
      </c>
      <c r="O61" s="17">
        <f>(C57+C66)</f>
        <v>854</v>
      </c>
      <c r="P61" s="14">
        <f>SUM(O61/O62)</f>
        <v>9.456317129885948E-2</v>
      </c>
    </row>
    <row r="62" spans="1:17" s="2" customFormat="1" ht="16.5" customHeight="1" thickBot="1">
      <c r="A62" s="18" t="s">
        <v>468</v>
      </c>
      <c r="B62" s="19" t="s">
        <v>5</v>
      </c>
      <c r="C62" s="10">
        <v>477</v>
      </c>
      <c r="D62" s="10">
        <v>481</v>
      </c>
      <c r="E62" s="10">
        <v>488</v>
      </c>
      <c r="F62" s="10">
        <v>502</v>
      </c>
      <c r="G62" s="10" t="s">
        <v>20</v>
      </c>
      <c r="K62" s="17"/>
      <c r="L62" s="17"/>
      <c r="O62" s="24">
        <v>9031</v>
      </c>
    </row>
    <row r="63" spans="1:17" s="2" customFormat="1" ht="16.5" customHeight="1" thickBot="1">
      <c r="A63" s="18" t="s">
        <v>211</v>
      </c>
      <c r="B63" s="79" t="s">
        <v>30</v>
      </c>
      <c r="C63" s="10">
        <v>471</v>
      </c>
      <c r="D63" s="10">
        <v>479</v>
      </c>
      <c r="E63" s="10">
        <v>505</v>
      </c>
      <c r="F63" s="10">
        <v>534</v>
      </c>
      <c r="G63" s="10">
        <v>535</v>
      </c>
      <c r="H63" s="10" t="s">
        <v>20</v>
      </c>
    </row>
    <row r="64" spans="1:17" s="2" customFormat="1" ht="16.5" customHeight="1" thickBot="1">
      <c r="A64" s="18" t="s">
        <v>320</v>
      </c>
      <c r="B64" s="28" t="s">
        <v>3</v>
      </c>
      <c r="C64" s="10">
        <v>420</v>
      </c>
      <c r="D64" s="10">
        <v>426</v>
      </c>
      <c r="E64" s="10">
        <v>451</v>
      </c>
      <c r="F64" s="10" t="s">
        <v>20</v>
      </c>
      <c r="I64" s="17"/>
      <c r="J64" s="17"/>
      <c r="K64" s="17"/>
      <c r="L64" s="17"/>
      <c r="M64" s="17"/>
      <c r="N64" s="17"/>
    </row>
    <row r="65" spans="1:17" s="2" customFormat="1" ht="16.5" customHeight="1" thickBot="1">
      <c r="A65" s="18" t="s">
        <v>470</v>
      </c>
      <c r="B65" s="47" t="s">
        <v>21</v>
      </c>
      <c r="C65" s="10">
        <v>304</v>
      </c>
      <c r="D65" s="10">
        <v>324</v>
      </c>
      <c r="E65" s="10" t="s">
        <v>20</v>
      </c>
      <c r="I65" s="17"/>
      <c r="J65" s="17"/>
      <c r="K65" s="17"/>
      <c r="L65" s="17"/>
      <c r="M65" s="17"/>
    </row>
    <row r="66" spans="1:17" s="2" customFormat="1" ht="16.5" customHeight="1" thickBot="1">
      <c r="A66" s="18" t="s">
        <v>221</v>
      </c>
      <c r="B66" s="23" t="s">
        <v>14</v>
      </c>
      <c r="C66" s="10">
        <v>101</v>
      </c>
      <c r="D66" s="10" t="s">
        <v>20</v>
      </c>
      <c r="I66" s="17"/>
      <c r="J66" s="17"/>
      <c r="K66" s="17"/>
      <c r="L66" s="17"/>
      <c r="M66" s="17"/>
    </row>
    <row r="67" spans="1:17" s="2" customFormat="1" ht="11.25" customHeight="1">
      <c r="A67" s="29"/>
      <c r="B67" s="30"/>
      <c r="C67" s="29"/>
      <c r="D67" s="29"/>
      <c r="E67" s="29"/>
      <c r="N67" s="14"/>
    </row>
    <row r="68" spans="1:17" s="2" customFormat="1" ht="17.45" customHeight="1">
      <c r="A68" s="1" t="s">
        <v>471</v>
      </c>
    </row>
    <row r="69" spans="1:17" s="2" customFormat="1" ht="8.25" customHeight="1" thickBot="1">
      <c r="A69" s="1"/>
    </row>
    <row r="70" spans="1:17" s="2" customFormat="1" ht="17.45" customHeight="1" thickBot="1">
      <c r="A70" s="4" t="s">
        <v>0</v>
      </c>
      <c r="B70" s="5" t="s">
        <v>1</v>
      </c>
      <c r="C70" s="5" t="s">
        <v>2</v>
      </c>
      <c r="D70" s="5">
        <v>2</v>
      </c>
      <c r="E70" s="5">
        <v>3</v>
      </c>
      <c r="F70" s="5">
        <v>4</v>
      </c>
      <c r="G70" s="5">
        <v>5</v>
      </c>
      <c r="H70" s="5">
        <v>6</v>
      </c>
      <c r="I70" s="5">
        <v>7</v>
      </c>
      <c r="J70" s="5">
        <v>8</v>
      </c>
      <c r="K70" s="5">
        <v>9</v>
      </c>
      <c r="L70" s="5"/>
      <c r="M70" s="13" t="s">
        <v>9</v>
      </c>
      <c r="N70" s="14">
        <f>(15719/34251)</f>
        <v>0.4589355055326852</v>
      </c>
    </row>
    <row r="71" spans="1:17" s="2" customFormat="1" ht="17.45" customHeight="1" thickBot="1">
      <c r="A71" s="7" t="s">
        <v>224</v>
      </c>
      <c r="B71" s="12" t="s">
        <v>5</v>
      </c>
      <c r="C71" s="9">
        <v>1638</v>
      </c>
      <c r="D71" s="10"/>
      <c r="E71" s="10"/>
      <c r="F71" s="10"/>
      <c r="G71" s="10"/>
      <c r="H71" s="9"/>
      <c r="I71" s="10"/>
      <c r="J71" s="9"/>
      <c r="K71" s="10"/>
      <c r="L71" s="11" t="s">
        <v>4</v>
      </c>
      <c r="N71" s="13" t="s">
        <v>11</v>
      </c>
      <c r="O71" s="13" t="s">
        <v>12</v>
      </c>
      <c r="P71" s="13" t="s">
        <v>13</v>
      </c>
      <c r="Q71" s="13"/>
    </row>
    <row r="72" spans="1:17" s="2" customFormat="1" ht="17.45" customHeight="1" thickBot="1">
      <c r="A72" s="7" t="s">
        <v>474</v>
      </c>
      <c r="B72" s="31" t="s">
        <v>18</v>
      </c>
      <c r="C72" s="9">
        <v>1548</v>
      </c>
      <c r="D72" s="10"/>
      <c r="E72" s="10"/>
      <c r="F72" s="10"/>
      <c r="G72" s="10"/>
      <c r="H72" s="10"/>
      <c r="I72" s="10"/>
      <c r="J72" s="9"/>
      <c r="K72" s="10"/>
      <c r="L72" s="11" t="s">
        <v>8</v>
      </c>
      <c r="M72" s="16" t="s">
        <v>5</v>
      </c>
      <c r="N72" s="17">
        <f>(C71+C76+C80+C81)</f>
        <v>2912</v>
      </c>
      <c r="O72" s="14">
        <f>SUM(N72/N79)</f>
        <v>0.3327239488117002</v>
      </c>
      <c r="P72" s="2">
        <v>2</v>
      </c>
    </row>
    <row r="73" spans="1:17" s="2" customFormat="1" ht="17.45" customHeight="1" thickBot="1">
      <c r="A73" s="7" t="s">
        <v>338</v>
      </c>
      <c r="B73" s="43" t="s">
        <v>16</v>
      </c>
      <c r="C73" s="10">
        <v>1161</v>
      </c>
      <c r="D73" s="10">
        <v>1165</v>
      </c>
      <c r="E73" s="10">
        <v>1184</v>
      </c>
      <c r="F73" s="10">
        <v>1213</v>
      </c>
      <c r="G73" s="10">
        <v>1251</v>
      </c>
      <c r="H73" s="10">
        <v>1297</v>
      </c>
      <c r="I73" s="10">
        <v>1343</v>
      </c>
      <c r="J73" s="10">
        <v>1389</v>
      </c>
      <c r="K73" s="9">
        <v>1488</v>
      </c>
      <c r="L73" s="11" t="s">
        <v>6</v>
      </c>
      <c r="M73" s="20" t="s">
        <v>3</v>
      </c>
      <c r="N73" s="17">
        <f>(C77+C78)</f>
        <v>932</v>
      </c>
      <c r="O73" s="14">
        <f>SUM(N73/N79)</f>
        <v>0.10648994515539305</v>
      </c>
    </row>
    <row r="74" spans="1:17" s="2" customFormat="1" ht="17.45" customHeight="1" thickBot="1">
      <c r="A74" s="7" t="s">
        <v>472</v>
      </c>
      <c r="B74" s="43" t="s">
        <v>16</v>
      </c>
      <c r="C74" s="10">
        <v>867</v>
      </c>
      <c r="D74" s="10">
        <v>890</v>
      </c>
      <c r="E74" s="10">
        <v>904</v>
      </c>
      <c r="F74" s="10">
        <v>929</v>
      </c>
      <c r="G74" s="10">
        <v>947</v>
      </c>
      <c r="H74" s="10">
        <v>1001</v>
      </c>
      <c r="I74" s="10">
        <v>1111</v>
      </c>
      <c r="J74" s="10">
        <v>1205</v>
      </c>
      <c r="K74" s="9">
        <v>1499</v>
      </c>
      <c r="L74" s="11" t="s">
        <v>7</v>
      </c>
      <c r="M74" s="21" t="s">
        <v>16</v>
      </c>
      <c r="N74" s="17">
        <f>(C73+C74)</f>
        <v>2028</v>
      </c>
      <c r="O74" s="14">
        <f>SUM(N74/N79)</f>
        <v>0.23171846435100549</v>
      </c>
      <c r="P74" s="2">
        <v>2</v>
      </c>
    </row>
    <row r="75" spans="1:17" s="2" customFormat="1" ht="17.45" customHeight="1" thickBot="1">
      <c r="A75" s="18" t="s">
        <v>478</v>
      </c>
      <c r="B75" s="79" t="s">
        <v>30</v>
      </c>
      <c r="C75" s="10">
        <v>840</v>
      </c>
      <c r="D75" s="10">
        <v>853</v>
      </c>
      <c r="E75" s="10">
        <v>856</v>
      </c>
      <c r="F75" s="10">
        <v>877</v>
      </c>
      <c r="G75" s="10">
        <v>893</v>
      </c>
      <c r="H75" s="10">
        <v>911</v>
      </c>
      <c r="I75" s="10">
        <v>959</v>
      </c>
      <c r="J75" s="10">
        <v>1028</v>
      </c>
      <c r="K75" s="10">
        <v>1139</v>
      </c>
      <c r="L75" s="25"/>
      <c r="M75" s="26" t="s">
        <v>18</v>
      </c>
      <c r="N75" s="17">
        <v>1548</v>
      </c>
      <c r="O75" s="14">
        <f>SUM(N75/N79)</f>
        <v>0.17687385740402195</v>
      </c>
      <c r="P75" s="2">
        <v>1</v>
      </c>
    </row>
    <row r="76" spans="1:17" s="2" customFormat="1" ht="17.45" customHeight="1" thickBot="1">
      <c r="A76" s="7" t="s">
        <v>475</v>
      </c>
      <c r="B76" s="12" t="s">
        <v>5</v>
      </c>
      <c r="C76" s="10">
        <v>809</v>
      </c>
      <c r="D76" s="10">
        <v>866</v>
      </c>
      <c r="E76" s="10">
        <v>877</v>
      </c>
      <c r="F76" s="10">
        <v>893</v>
      </c>
      <c r="G76" s="10">
        <v>957</v>
      </c>
      <c r="H76" s="10">
        <v>1059</v>
      </c>
      <c r="I76" s="10">
        <v>1088</v>
      </c>
      <c r="J76" s="10">
        <v>1138</v>
      </c>
      <c r="K76" s="9">
        <v>1213</v>
      </c>
      <c r="L76" s="11" t="s">
        <v>10</v>
      </c>
      <c r="M76" s="48" t="s">
        <v>21</v>
      </c>
      <c r="N76" s="17">
        <v>311</v>
      </c>
      <c r="O76" s="14">
        <f>SUM(N76/N79)</f>
        <v>3.5534734917733089E-2</v>
      </c>
      <c r="Q76" s="14"/>
    </row>
    <row r="77" spans="1:17" s="2" customFormat="1" ht="17.45" customHeight="1" thickBot="1">
      <c r="A77" s="18" t="s">
        <v>473</v>
      </c>
      <c r="B77" s="28" t="s">
        <v>3</v>
      </c>
      <c r="C77" s="10">
        <v>482</v>
      </c>
      <c r="D77" s="10">
        <v>497</v>
      </c>
      <c r="E77" s="10">
        <v>501</v>
      </c>
      <c r="F77" s="10">
        <v>509</v>
      </c>
      <c r="G77" s="10">
        <v>516</v>
      </c>
      <c r="H77" s="10">
        <v>527</v>
      </c>
      <c r="I77" s="10">
        <v>578</v>
      </c>
      <c r="J77" s="10">
        <v>786</v>
      </c>
      <c r="K77" s="10" t="s">
        <v>20</v>
      </c>
      <c r="M77" s="78" t="s">
        <v>30</v>
      </c>
      <c r="N77" s="17">
        <v>840</v>
      </c>
      <c r="O77" s="14">
        <f>SUM(N77/N79)</f>
        <v>9.5978062157221211E-2</v>
      </c>
    </row>
    <row r="78" spans="1:17" s="2" customFormat="1" ht="17.45" customHeight="1" thickBot="1">
      <c r="A78" s="18" t="s">
        <v>480</v>
      </c>
      <c r="B78" s="28" t="s">
        <v>3</v>
      </c>
      <c r="C78" s="10">
        <v>450</v>
      </c>
      <c r="D78" s="10">
        <v>459</v>
      </c>
      <c r="E78" s="10">
        <v>463</v>
      </c>
      <c r="F78" s="10">
        <v>474</v>
      </c>
      <c r="G78" s="10">
        <v>501</v>
      </c>
      <c r="H78" s="10">
        <v>516</v>
      </c>
      <c r="I78" s="10">
        <v>536</v>
      </c>
      <c r="J78" s="10" t="s">
        <v>20</v>
      </c>
      <c r="M78" s="13" t="s">
        <v>17</v>
      </c>
      <c r="N78" s="17">
        <v>181</v>
      </c>
      <c r="O78" s="14">
        <f>SUM(N78/N79)</f>
        <v>2.0680987202925046E-2</v>
      </c>
    </row>
    <row r="79" spans="1:17" s="2" customFormat="1" ht="17.45" customHeight="1" thickBot="1">
      <c r="A79" s="18" t="s">
        <v>477</v>
      </c>
      <c r="B79" s="47" t="s">
        <v>21</v>
      </c>
      <c r="C79" s="10">
        <v>311</v>
      </c>
      <c r="D79" s="10">
        <v>326</v>
      </c>
      <c r="E79" s="10">
        <v>336</v>
      </c>
      <c r="F79" s="10">
        <v>364</v>
      </c>
      <c r="G79" s="10">
        <v>380</v>
      </c>
      <c r="H79" s="10">
        <v>396</v>
      </c>
      <c r="I79" s="10" t="s">
        <v>20</v>
      </c>
      <c r="J79" s="13"/>
      <c r="N79" s="24">
        <v>8752</v>
      </c>
    </row>
    <row r="80" spans="1:17" s="2" customFormat="1" ht="17.45" customHeight="1" thickBot="1">
      <c r="A80" s="18" t="s">
        <v>339</v>
      </c>
      <c r="B80" s="19" t="s">
        <v>5</v>
      </c>
      <c r="C80" s="10">
        <v>255</v>
      </c>
      <c r="D80" s="10">
        <v>269</v>
      </c>
      <c r="E80" s="10">
        <v>280</v>
      </c>
      <c r="F80" s="10">
        <v>307</v>
      </c>
      <c r="G80" s="10">
        <v>351</v>
      </c>
      <c r="H80" s="10" t="s">
        <v>20</v>
      </c>
      <c r="K80" s="13"/>
      <c r="M80" s="14"/>
    </row>
    <row r="81" spans="1:20" s="2" customFormat="1" ht="17.45" customHeight="1" thickBot="1">
      <c r="A81" s="18" t="s">
        <v>479</v>
      </c>
      <c r="B81" s="19" t="s">
        <v>5</v>
      </c>
      <c r="C81" s="10">
        <v>210</v>
      </c>
      <c r="D81" s="10">
        <v>237</v>
      </c>
      <c r="E81" s="10">
        <v>241</v>
      </c>
      <c r="F81" s="10">
        <v>245</v>
      </c>
      <c r="G81" s="10" t="s">
        <v>20</v>
      </c>
      <c r="L81" s="24"/>
    </row>
    <row r="82" spans="1:20" s="2" customFormat="1" ht="17.45" customHeight="1" thickBot="1">
      <c r="A82" s="18" t="s">
        <v>476</v>
      </c>
      <c r="B82" s="23" t="s">
        <v>14</v>
      </c>
      <c r="C82" s="10">
        <v>181</v>
      </c>
      <c r="D82" s="10">
        <v>183</v>
      </c>
      <c r="E82" s="10">
        <v>192</v>
      </c>
      <c r="F82" s="10" t="s">
        <v>20</v>
      </c>
      <c r="G82" s="17"/>
      <c r="J82" s="13"/>
      <c r="L82" s="14"/>
    </row>
    <row r="84" spans="1:20" s="32" customFormat="1" ht="15" customHeight="1">
      <c r="B84" s="36" t="s">
        <v>19</v>
      </c>
      <c r="C84" s="38" t="s">
        <v>5</v>
      </c>
      <c r="D84" s="39" t="s">
        <v>3</v>
      </c>
      <c r="E84" s="40" t="s">
        <v>16</v>
      </c>
      <c r="F84" s="41" t="s">
        <v>18</v>
      </c>
      <c r="G84" s="49" t="s">
        <v>21</v>
      </c>
      <c r="H84" s="82" t="s">
        <v>30</v>
      </c>
      <c r="I84" s="72" t="s">
        <v>31</v>
      </c>
      <c r="J84" s="36" t="s">
        <v>17</v>
      </c>
      <c r="R84" s="33"/>
      <c r="S84" s="34"/>
      <c r="T84" s="35"/>
    </row>
    <row r="85" spans="1:20" s="32" customFormat="1" ht="15" customHeight="1">
      <c r="A85" s="32" t="s">
        <v>11</v>
      </c>
      <c r="B85" s="37">
        <f>(O62+Q41+M26+L12+N79)</f>
        <v>54339</v>
      </c>
      <c r="C85" s="34">
        <f>(N72+O55+Q34+M18+L5)</f>
        <v>16170</v>
      </c>
      <c r="D85" s="34">
        <f>(N73+O56+Q35+M19+L6)</f>
        <v>8667</v>
      </c>
      <c r="E85" s="34">
        <f>(N74+O57+Q36+M20+L7)</f>
        <v>8635</v>
      </c>
      <c r="F85" s="34">
        <f>(N75+O58+Q37+M21+L8)</f>
        <v>4765</v>
      </c>
      <c r="G85" s="34">
        <f>(N76+O59+Q38+M23+L9)</f>
        <v>3135</v>
      </c>
      <c r="H85" s="34">
        <f>(M22+L10+Q39+O60+N77)</f>
        <v>4678</v>
      </c>
      <c r="I85" s="34">
        <f>(L8+M24)</f>
        <v>806</v>
      </c>
      <c r="J85" s="34">
        <f>(N78+O61+Q40+M25+L11)</f>
        <v>8022</v>
      </c>
      <c r="R85" s="36"/>
      <c r="S85" s="37"/>
      <c r="T85" s="35"/>
    </row>
    <row r="86" spans="1:20" s="32" customFormat="1" ht="15" customHeight="1">
      <c r="A86" s="32" t="s">
        <v>12</v>
      </c>
      <c r="B86" s="42">
        <v>1</v>
      </c>
      <c r="C86" s="35">
        <f t="shared" ref="C86:J86" si="0">SUM(C85/$B$85)</f>
        <v>0.2975763263954066</v>
      </c>
      <c r="D86" s="35">
        <f t="shared" si="0"/>
        <v>0.15949870258930049</v>
      </c>
      <c r="E86" s="35">
        <f t="shared" si="0"/>
        <v>0.15890980695264911</v>
      </c>
      <c r="F86" s="35">
        <f t="shared" si="0"/>
        <v>8.7690240895121369E-2</v>
      </c>
      <c r="G86" s="35">
        <f t="shared" si="0"/>
        <v>5.7693369403191079E-2</v>
      </c>
      <c r="H86" s="35">
        <f t="shared" si="0"/>
        <v>8.6089180882975389E-2</v>
      </c>
      <c r="I86" s="35">
        <f>SUM(I85/$B$85)</f>
        <v>1.483280884815694E-2</v>
      </c>
      <c r="J86" s="35">
        <f t="shared" si="0"/>
        <v>0.14762877491304588</v>
      </c>
    </row>
    <row r="87" spans="1:20" s="32" customFormat="1" ht="15" customHeight="1">
      <c r="A87" s="32" t="s">
        <v>13</v>
      </c>
      <c r="B87" s="36">
        <v>26</v>
      </c>
      <c r="C87" s="32">
        <v>8</v>
      </c>
      <c r="D87" s="32">
        <v>3</v>
      </c>
      <c r="E87" s="32">
        <v>7</v>
      </c>
      <c r="F87" s="32">
        <v>2</v>
      </c>
      <c r="G87" s="32">
        <v>1</v>
      </c>
      <c r="H87" s="32">
        <v>2</v>
      </c>
      <c r="I87" s="32">
        <v>0</v>
      </c>
      <c r="J87" s="32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6"/>
  <dimension ref="A1:S89"/>
  <sheetViews>
    <sheetView workbookViewId="0">
      <selection activeCell="M17" sqref="M17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5" s="2" customFormat="1" ht="16.5" customHeight="1">
      <c r="A1" s="1" t="s">
        <v>493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(11443/31527)</f>
        <v>0.36295873378374094</v>
      </c>
    </row>
    <row r="4" spans="1:15" s="2" customFormat="1" ht="16.5" customHeight="1" thickBot="1">
      <c r="A4" s="7" t="s">
        <v>354</v>
      </c>
      <c r="B4" s="12" t="s">
        <v>5</v>
      </c>
      <c r="C4" s="9">
        <v>1974</v>
      </c>
      <c r="D4" s="10"/>
      <c r="E4" s="9"/>
      <c r="F4" s="10"/>
      <c r="G4" s="10"/>
      <c r="H4" s="9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36</v>
      </c>
      <c r="B5" s="8" t="s">
        <v>3</v>
      </c>
      <c r="C5" s="10">
        <v>1611</v>
      </c>
      <c r="D5" s="9">
        <v>1630</v>
      </c>
      <c r="E5" s="10"/>
      <c r="F5" s="9"/>
      <c r="G5" s="9"/>
      <c r="H5" s="10"/>
      <c r="I5" s="9"/>
      <c r="J5" s="9"/>
      <c r="K5" s="11" t="s">
        <v>8</v>
      </c>
      <c r="L5" s="16" t="s">
        <v>5</v>
      </c>
      <c r="M5" s="17">
        <f>(C4+C9)</f>
        <v>2846</v>
      </c>
      <c r="N5" s="14">
        <f>SUM(M5/M12)</f>
        <v>0.25190299167994334</v>
      </c>
      <c r="O5" s="2">
        <v>2</v>
      </c>
    </row>
    <row r="6" spans="1:15" s="2" customFormat="1" ht="16.5" customHeight="1" thickBot="1">
      <c r="A6" s="7" t="s">
        <v>37</v>
      </c>
      <c r="B6" s="43" t="s">
        <v>16</v>
      </c>
      <c r="C6" s="10">
        <v>1161</v>
      </c>
      <c r="D6" s="10">
        <v>1182</v>
      </c>
      <c r="E6" s="10">
        <v>1223</v>
      </c>
      <c r="F6" s="10">
        <v>1283</v>
      </c>
      <c r="G6" s="10">
        <v>1284</v>
      </c>
      <c r="H6" s="10">
        <v>1311</v>
      </c>
      <c r="I6" s="10">
        <v>1409</v>
      </c>
      <c r="J6" s="9">
        <v>1472</v>
      </c>
      <c r="K6" s="11" t="s">
        <v>10</v>
      </c>
      <c r="L6" s="20" t="s">
        <v>3</v>
      </c>
      <c r="M6" s="17">
        <f>(C5+C7)</f>
        <v>2718</v>
      </c>
      <c r="N6" s="14">
        <f>SUM(M6/M12)</f>
        <v>0.24057355284121085</v>
      </c>
      <c r="O6" s="2">
        <v>2</v>
      </c>
    </row>
    <row r="7" spans="1:15" s="2" customFormat="1" ht="16.5" customHeight="1" thickBot="1">
      <c r="A7" s="7" t="s">
        <v>494</v>
      </c>
      <c r="B7" s="8" t="s">
        <v>3</v>
      </c>
      <c r="C7" s="10">
        <v>1107</v>
      </c>
      <c r="D7" s="10">
        <v>1146</v>
      </c>
      <c r="E7" s="10">
        <v>1157</v>
      </c>
      <c r="F7" s="10">
        <v>1196</v>
      </c>
      <c r="G7" s="10">
        <v>1199</v>
      </c>
      <c r="H7" s="10">
        <v>1470</v>
      </c>
      <c r="I7" s="10">
        <v>1507</v>
      </c>
      <c r="J7" s="9">
        <v>1668</v>
      </c>
      <c r="K7" s="11" t="s">
        <v>7</v>
      </c>
      <c r="L7" s="21" t="s">
        <v>16</v>
      </c>
      <c r="M7" s="17">
        <f>(C6+C8)</f>
        <v>2224</v>
      </c>
      <c r="N7" s="14">
        <f>SUM(M7/M12)</f>
        <v>0.19684899982297752</v>
      </c>
      <c r="O7" s="2">
        <v>2</v>
      </c>
    </row>
    <row r="8" spans="1:15" s="2" customFormat="1" ht="16.5" customHeight="1" thickBot="1">
      <c r="A8" s="7" t="s">
        <v>495</v>
      </c>
      <c r="B8" s="43" t="s">
        <v>16</v>
      </c>
      <c r="C8" s="10">
        <v>1063</v>
      </c>
      <c r="D8" s="10">
        <v>1072</v>
      </c>
      <c r="E8" s="10">
        <v>1114</v>
      </c>
      <c r="F8" s="10">
        <v>1128</v>
      </c>
      <c r="G8" s="10">
        <v>1128</v>
      </c>
      <c r="H8" s="10">
        <v>1179</v>
      </c>
      <c r="I8" s="10">
        <v>1308</v>
      </c>
      <c r="J8" s="9">
        <v>1434</v>
      </c>
      <c r="K8" s="11" t="s">
        <v>15</v>
      </c>
      <c r="L8" s="78" t="s">
        <v>30</v>
      </c>
      <c r="M8" s="17">
        <v>707</v>
      </c>
      <c r="N8" s="14">
        <f>SUM(M8/M12)</f>
        <v>6.2577447335811651E-2</v>
      </c>
    </row>
    <row r="9" spans="1:15" s="2" customFormat="1" ht="16.5" customHeight="1" thickBot="1">
      <c r="A9" s="7" t="s">
        <v>498</v>
      </c>
      <c r="B9" s="12" t="s">
        <v>5</v>
      </c>
      <c r="C9" s="10">
        <v>872</v>
      </c>
      <c r="D9" s="10">
        <v>1041</v>
      </c>
      <c r="E9" s="10">
        <v>1059</v>
      </c>
      <c r="F9" s="10">
        <v>1101</v>
      </c>
      <c r="G9" s="10">
        <v>1102</v>
      </c>
      <c r="H9" s="10">
        <v>1214</v>
      </c>
      <c r="I9" s="10">
        <v>1317</v>
      </c>
      <c r="J9" s="9">
        <v>1579</v>
      </c>
      <c r="K9" s="11" t="s">
        <v>6</v>
      </c>
      <c r="L9" s="48" t="s">
        <v>21</v>
      </c>
      <c r="M9" s="17">
        <v>853</v>
      </c>
      <c r="N9" s="14">
        <f>SUM(M9/M12)</f>
        <v>7.5500088511240931E-2</v>
      </c>
    </row>
    <row r="10" spans="1:15" s="2" customFormat="1" ht="16.5" customHeight="1" thickBot="1">
      <c r="A10" s="18" t="s">
        <v>496</v>
      </c>
      <c r="B10" s="47" t="s">
        <v>21</v>
      </c>
      <c r="C10" s="10">
        <v>853</v>
      </c>
      <c r="D10" s="10">
        <v>867</v>
      </c>
      <c r="E10" s="10">
        <v>909</v>
      </c>
      <c r="F10" s="10">
        <v>948</v>
      </c>
      <c r="G10" s="10">
        <v>948</v>
      </c>
      <c r="H10" s="10">
        <v>1070</v>
      </c>
      <c r="I10" s="10">
        <v>1233</v>
      </c>
      <c r="J10" s="10">
        <v>1367</v>
      </c>
      <c r="K10" s="11"/>
      <c r="L10" s="26" t="s">
        <v>18</v>
      </c>
      <c r="M10" s="17">
        <v>697</v>
      </c>
      <c r="N10" s="14">
        <f>SUM(M10/M12)</f>
        <v>6.1692334926535669E-2</v>
      </c>
    </row>
    <row r="11" spans="1:15" s="2" customFormat="1" ht="16.5" customHeight="1" thickBot="1">
      <c r="A11" s="18" t="s">
        <v>500</v>
      </c>
      <c r="B11" s="23" t="s">
        <v>14</v>
      </c>
      <c r="C11" s="10">
        <v>722</v>
      </c>
      <c r="D11" s="10">
        <v>764</v>
      </c>
      <c r="E11" s="10">
        <v>779</v>
      </c>
      <c r="F11" s="10">
        <v>806</v>
      </c>
      <c r="G11" s="10">
        <v>808</v>
      </c>
      <c r="H11" s="10">
        <v>881</v>
      </c>
      <c r="I11" s="10">
        <v>927</v>
      </c>
      <c r="J11" s="10" t="s">
        <v>20</v>
      </c>
      <c r="L11" s="13" t="s">
        <v>17</v>
      </c>
      <c r="M11" s="17">
        <f>(C11+C14+C15+C16)</f>
        <v>1253</v>
      </c>
      <c r="N11" s="14">
        <f>SUM(M11/M12)</f>
        <v>0.11090458488228006</v>
      </c>
    </row>
    <row r="12" spans="1:15" s="2" customFormat="1" ht="16.5" customHeight="1" thickBot="1">
      <c r="A12" s="18" t="s">
        <v>497</v>
      </c>
      <c r="B12" s="79" t="s">
        <v>30</v>
      </c>
      <c r="C12" s="10">
        <v>707</v>
      </c>
      <c r="D12" s="10">
        <v>736</v>
      </c>
      <c r="E12" s="10">
        <v>744</v>
      </c>
      <c r="F12" s="10">
        <v>764</v>
      </c>
      <c r="G12" s="10">
        <v>765</v>
      </c>
      <c r="H12" s="10" t="s">
        <v>20</v>
      </c>
      <c r="M12" s="24">
        <v>11298</v>
      </c>
    </row>
    <row r="13" spans="1:15" s="2" customFormat="1" ht="16.5" customHeight="1" thickBot="1">
      <c r="A13" s="18" t="s">
        <v>357</v>
      </c>
      <c r="B13" s="27" t="s">
        <v>18</v>
      </c>
      <c r="C13" s="10">
        <v>697</v>
      </c>
      <c r="D13" s="10">
        <v>706</v>
      </c>
      <c r="E13" s="10">
        <v>746</v>
      </c>
      <c r="F13" s="10">
        <v>765</v>
      </c>
      <c r="G13" s="10">
        <v>767</v>
      </c>
      <c r="H13" s="10">
        <v>791</v>
      </c>
      <c r="I13" s="10" t="s">
        <v>20</v>
      </c>
    </row>
    <row r="14" spans="1:15" s="2" customFormat="1" ht="16.5" customHeight="1" thickBot="1">
      <c r="A14" s="18" t="s">
        <v>501</v>
      </c>
      <c r="B14" s="23" t="s">
        <v>14</v>
      </c>
      <c r="C14" s="10">
        <v>276</v>
      </c>
      <c r="D14" s="10">
        <v>282</v>
      </c>
      <c r="E14" s="10">
        <v>300</v>
      </c>
      <c r="F14" s="10" t="s">
        <v>20</v>
      </c>
      <c r="L14" s="13"/>
      <c r="M14" s="17"/>
      <c r="N14" s="14"/>
    </row>
    <row r="15" spans="1:15" s="2" customFormat="1" ht="16.5" customHeight="1" thickBot="1">
      <c r="A15" s="18" t="s">
        <v>499</v>
      </c>
      <c r="B15" s="23" t="s">
        <v>351</v>
      </c>
      <c r="C15" s="10">
        <v>155</v>
      </c>
      <c r="D15" s="10">
        <v>156</v>
      </c>
      <c r="E15" s="10" t="s">
        <v>20</v>
      </c>
      <c r="M15" s="24"/>
    </row>
    <row r="16" spans="1:15" s="2" customFormat="1" ht="16.5" customHeight="1" thickBot="1">
      <c r="A16" s="18" t="s">
        <v>502</v>
      </c>
      <c r="B16" s="23" t="s">
        <v>351</v>
      </c>
      <c r="C16" s="10">
        <v>100</v>
      </c>
      <c r="D16" s="10">
        <v>101</v>
      </c>
      <c r="E16" s="10" t="s">
        <v>20</v>
      </c>
      <c r="J16" s="24"/>
    </row>
    <row r="17" spans="1:15" s="2" customFormat="1" ht="10.5" customHeight="1">
      <c r="A17" s="1"/>
    </row>
    <row r="18" spans="1:15" s="2" customFormat="1" ht="17.45" customHeight="1">
      <c r="A18" s="1" t="s">
        <v>511</v>
      </c>
    </row>
    <row r="19" spans="1:15" s="2" customFormat="1" ht="10.5" customHeight="1" thickBot="1">
      <c r="A19" s="1"/>
    </row>
    <row r="20" spans="1:15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6"/>
      <c r="L20" s="13" t="s">
        <v>9</v>
      </c>
      <c r="M20" s="14">
        <f>(8740/22155)</f>
        <v>0.39449334236064093</v>
      </c>
    </row>
    <row r="21" spans="1:15" s="2" customFormat="1" ht="16.5" customHeight="1" thickBot="1">
      <c r="A21" s="7" t="s">
        <v>504</v>
      </c>
      <c r="B21" s="12" t="s">
        <v>5</v>
      </c>
      <c r="C21" s="9">
        <v>1791</v>
      </c>
      <c r="D21" s="10"/>
      <c r="E21" s="9"/>
      <c r="F21" s="10"/>
      <c r="G21" s="10"/>
      <c r="H21" s="10"/>
      <c r="I21" s="10"/>
      <c r="J21" s="10"/>
      <c r="K21" s="11" t="s">
        <v>4</v>
      </c>
      <c r="M21" s="13" t="s">
        <v>11</v>
      </c>
      <c r="N21" s="13" t="s">
        <v>12</v>
      </c>
      <c r="O21" s="13" t="s">
        <v>13</v>
      </c>
    </row>
    <row r="22" spans="1:15" s="2" customFormat="1" ht="16.5" customHeight="1" thickBot="1">
      <c r="A22" s="7" t="s">
        <v>503</v>
      </c>
      <c r="B22" s="43" t="s">
        <v>16</v>
      </c>
      <c r="C22" s="10">
        <v>1672</v>
      </c>
      <c r="D22" s="10">
        <v>1683</v>
      </c>
      <c r="E22" s="10">
        <v>1692</v>
      </c>
      <c r="F22" s="9">
        <v>1854</v>
      </c>
      <c r="G22" s="9"/>
      <c r="H22" s="9"/>
      <c r="I22" s="9"/>
      <c r="J22" s="9"/>
      <c r="K22" s="11" t="s">
        <v>8</v>
      </c>
      <c r="L22" s="16" t="s">
        <v>5</v>
      </c>
      <c r="M22" s="17">
        <f>(C21+C26)</f>
        <v>2499</v>
      </c>
      <c r="N22" s="14">
        <f>SUM(M22/M28)</f>
        <v>0.28957126303592118</v>
      </c>
      <c r="O22" s="2">
        <v>1</v>
      </c>
    </row>
    <row r="23" spans="1:15" s="2" customFormat="1" ht="16.5" customHeight="1" thickBot="1">
      <c r="A23" s="7" t="s">
        <v>362</v>
      </c>
      <c r="B23" s="8" t="s">
        <v>3</v>
      </c>
      <c r="C23" s="10">
        <v>1101</v>
      </c>
      <c r="D23" s="10">
        <v>1104</v>
      </c>
      <c r="E23" s="10">
        <v>1110</v>
      </c>
      <c r="F23" s="10">
        <v>1156</v>
      </c>
      <c r="G23" s="10">
        <v>1171</v>
      </c>
      <c r="H23" s="10">
        <v>1236</v>
      </c>
      <c r="I23" s="10">
        <v>1349</v>
      </c>
      <c r="J23" s="9">
        <v>1584</v>
      </c>
      <c r="K23" s="11" t="s">
        <v>7</v>
      </c>
      <c r="L23" s="20" t="s">
        <v>3</v>
      </c>
      <c r="M23" s="17">
        <f>(C23+C24)</f>
        <v>1966</v>
      </c>
      <c r="N23" s="14">
        <f>SUM(M23/M28)</f>
        <v>0.22780996523754346</v>
      </c>
      <c r="O23" s="2">
        <v>1</v>
      </c>
    </row>
    <row r="24" spans="1:15" s="2" customFormat="1" ht="16.5" customHeight="1" thickBot="1">
      <c r="A24" s="18" t="s">
        <v>505</v>
      </c>
      <c r="B24" s="28" t="s">
        <v>3</v>
      </c>
      <c r="C24" s="10">
        <v>865</v>
      </c>
      <c r="D24" s="10">
        <v>869</v>
      </c>
      <c r="E24" s="10">
        <v>872</v>
      </c>
      <c r="F24" s="10">
        <v>917</v>
      </c>
      <c r="G24" s="10">
        <v>928</v>
      </c>
      <c r="H24" s="10">
        <v>987</v>
      </c>
      <c r="I24" s="10">
        <v>1118</v>
      </c>
      <c r="J24" s="10">
        <v>1311</v>
      </c>
      <c r="K24" s="9"/>
      <c r="L24" s="21" t="s">
        <v>16</v>
      </c>
      <c r="M24" s="17">
        <f>(C22+C28+C29)</f>
        <v>2678</v>
      </c>
      <c r="N24" s="14">
        <f>SUM(M24/M28)</f>
        <v>0.31031286210892234</v>
      </c>
      <c r="O24" s="2">
        <v>1</v>
      </c>
    </row>
    <row r="25" spans="1:15" s="2" customFormat="1" ht="16.5" customHeight="1" thickBot="1">
      <c r="A25" s="7" t="s">
        <v>49</v>
      </c>
      <c r="B25" s="81" t="s">
        <v>30</v>
      </c>
      <c r="C25" s="10">
        <v>763</v>
      </c>
      <c r="D25" s="10">
        <v>768</v>
      </c>
      <c r="E25" s="10">
        <v>782</v>
      </c>
      <c r="F25" s="10">
        <v>809</v>
      </c>
      <c r="G25" s="10">
        <v>823</v>
      </c>
      <c r="H25" s="10">
        <v>939</v>
      </c>
      <c r="I25" s="10">
        <v>1137</v>
      </c>
      <c r="J25" s="9">
        <v>1316</v>
      </c>
      <c r="K25" s="11" t="s">
        <v>6</v>
      </c>
      <c r="L25" s="78" t="s">
        <v>30</v>
      </c>
      <c r="M25" s="17">
        <v>763</v>
      </c>
      <c r="N25" s="14">
        <f>SUM(M25/M28)</f>
        <v>8.8412514484356899E-2</v>
      </c>
      <c r="O25" s="2">
        <v>1</v>
      </c>
    </row>
    <row r="26" spans="1:15" s="2" customFormat="1" ht="16.5" customHeight="1" thickBot="1">
      <c r="A26" s="18" t="s">
        <v>506</v>
      </c>
      <c r="B26" s="19" t="s">
        <v>5</v>
      </c>
      <c r="C26" s="10">
        <v>708</v>
      </c>
      <c r="D26" s="10">
        <v>743</v>
      </c>
      <c r="E26" s="10">
        <v>751</v>
      </c>
      <c r="F26" s="10">
        <v>788</v>
      </c>
      <c r="G26" s="10">
        <v>794</v>
      </c>
      <c r="H26" s="10">
        <v>853</v>
      </c>
      <c r="I26" s="10" t="s">
        <v>20</v>
      </c>
      <c r="L26" s="48" t="s">
        <v>21</v>
      </c>
      <c r="M26" s="17">
        <v>618</v>
      </c>
      <c r="N26" s="14">
        <f>SUM(M26/M28)</f>
        <v>7.1610660486674388E-2</v>
      </c>
    </row>
    <row r="27" spans="1:15" s="2" customFormat="1" ht="16.5" customHeight="1" thickBot="1">
      <c r="A27" s="18" t="s">
        <v>507</v>
      </c>
      <c r="B27" s="47" t="s">
        <v>21</v>
      </c>
      <c r="C27" s="10">
        <v>618</v>
      </c>
      <c r="D27" s="10">
        <v>620</v>
      </c>
      <c r="E27" s="10">
        <v>650</v>
      </c>
      <c r="F27" s="10">
        <v>686</v>
      </c>
      <c r="G27" s="10">
        <v>699</v>
      </c>
      <c r="H27" s="10" t="s">
        <v>20</v>
      </c>
      <c r="K27"/>
      <c r="L27" s="13" t="s">
        <v>17</v>
      </c>
      <c r="M27" s="17">
        <v>106</v>
      </c>
      <c r="N27" s="14">
        <f>SUM(M27/M28)</f>
        <v>1.2282734646581691E-2</v>
      </c>
    </row>
    <row r="28" spans="1:15" s="2" customFormat="1" ht="16.5" customHeight="1" thickBot="1">
      <c r="A28" s="18" t="s">
        <v>509</v>
      </c>
      <c r="B28" s="22" t="s">
        <v>16</v>
      </c>
      <c r="C28" s="10">
        <v>532</v>
      </c>
      <c r="D28" s="10">
        <v>534</v>
      </c>
      <c r="E28" s="10">
        <v>543</v>
      </c>
      <c r="F28" s="10">
        <v>650</v>
      </c>
      <c r="G28" s="10">
        <v>718</v>
      </c>
      <c r="H28" s="10">
        <v>951</v>
      </c>
      <c r="I28" s="10">
        <v>1034</v>
      </c>
      <c r="J28" s="10" t="s">
        <v>20</v>
      </c>
      <c r="L28" s="13"/>
      <c r="M28" s="24">
        <v>8630</v>
      </c>
      <c r="N28" s="14"/>
    </row>
    <row r="29" spans="1:15" s="2" customFormat="1" ht="16.5" customHeight="1" thickBot="1">
      <c r="A29" s="18" t="s">
        <v>508</v>
      </c>
      <c r="B29" s="22" t="s">
        <v>16</v>
      </c>
      <c r="C29" s="10">
        <v>474</v>
      </c>
      <c r="D29" s="10">
        <v>476</v>
      </c>
      <c r="E29" s="10">
        <v>485</v>
      </c>
      <c r="F29" s="10" t="s">
        <v>20</v>
      </c>
      <c r="K29"/>
      <c r="L29" s="13"/>
      <c r="M29" s="24"/>
      <c r="N29" s="14"/>
    </row>
    <row r="30" spans="1:15" s="2" customFormat="1" ht="16.5" customHeight="1" thickBot="1">
      <c r="A30" s="18" t="s">
        <v>510</v>
      </c>
      <c r="B30" s="23" t="s">
        <v>14</v>
      </c>
      <c r="C30" s="10">
        <v>106</v>
      </c>
      <c r="D30" s="10">
        <v>106</v>
      </c>
      <c r="E30" s="10" t="s">
        <v>20</v>
      </c>
      <c r="F30" s="17"/>
      <c r="G30" s="17"/>
      <c r="H30"/>
      <c r="I30"/>
    </row>
    <row r="32" spans="1:15" s="2" customFormat="1" ht="17.45" customHeight="1">
      <c r="A32" s="1" t="s">
        <v>520</v>
      </c>
    </row>
    <row r="33" spans="1:17" s="2" customFormat="1" ht="10.5" customHeight="1" thickBot="1">
      <c r="A33" s="1"/>
    </row>
    <row r="34" spans="1:17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>
        <v>8</v>
      </c>
      <c r="K34" s="5">
        <v>9</v>
      </c>
      <c r="L34" s="5">
        <v>10</v>
      </c>
      <c r="M34" s="6"/>
      <c r="N34" s="13" t="s">
        <v>9</v>
      </c>
      <c r="O34" s="14">
        <f>(13201/32716)</f>
        <v>0.40350287321188411</v>
      </c>
    </row>
    <row r="35" spans="1:17" s="2" customFormat="1" ht="16.5" customHeight="1" thickBot="1">
      <c r="A35" s="7" t="s">
        <v>59</v>
      </c>
      <c r="B35" s="12" t="s">
        <v>5</v>
      </c>
      <c r="C35" s="9">
        <v>2828</v>
      </c>
      <c r="D35" s="10"/>
      <c r="E35" s="10"/>
      <c r="F35" s="10"/>
      <c r="G35" s="9"/>
      <c r="H35" s="10"/>
      <c r="I35" s="10"/>
      <c r="J35" s="9"/>
      <c r="K35" s="10"/>
      <c r="L35" s="9"/>
      <c r="M35" s="11" t="s">
        <v>4</v>
      </c>
      <c r="O35" s="13" t="s">
        <v>11</v>
      </c>
      <c r="P35" s="13" t="s">
        <v>12</v>
      </c>
      <c r="Q35" s="13" t="s">
        <v>13</v>
      </c>
    </row>
    <row r="36" spans="1:17" s="2" customFormat="1" ht="16.5" customHeight="1" thickBot="1">
      <c r="A36" s="7" t="s">
        <v>514</v>
      </c>
      <c r="B36" s="8" t="s">
        <v>3</v>
      </c>
      <c r="C36" s="10">
        <v>1844</v>
      </c>
      <c r="D36" s="9">
        <v>1938</v>
      </c>
      <c r="E36" s="10"/>
      <c r="F36" s="10"/>
      <c r="G36" s="9"/>
      <c r="H36" s="10"/>
      <c r="I36" s="9"/>
      <c r="J36" s="9"/>
      <c r="K36" s="9"/>
      <c r="L36" s="9"/>
      <c r="M36" s="11" t="s">
        <v>8</v>
      </c>
      <c r="N36" s="16" t="s">
        <v>5</v>
      </c>
      <c r="O36" s="17">
        <f>(C35+C38+C40+C41)</f>
        <v>6016</v>
      </c>
      <c r="P36" s="14">
        <f>SUM(O36/O42)</f>
        <v>0.46096084591219066</v>
      </c>
      <c r="Q36" s="2">
        <v>3</v>
      </c>
    </row>
    <row r="37" spans="1:17" s="2" customFormat="1" ht="16.5" customHeight="1" thickBot="1">
      <c r="A37" s="7" t="s">
        <v>55</v>
      </c>
      <c r="B37" s="8" t="s">
        <v>3</v>
      </c>
      <c r="C37" s="10">
        <v>1310</v>
      </c>
      <c r="D37" s="10">
        <v>1384</v>
      </c>
      <c r="E37" s="10">
        <v>1408</v>
      </c>
      <c r="F37" s="10">
        <v>1426</v>
      </c>
      <c r="G37" s="10">
        <v>1807</v>
      </c>
      <c r="H37" s="9">
        <v>1937</v>
      </c>
      <c r="I37" s="9"/>
      <c r="J37" s="9"/>
      <c r="K37" s="9"/>
      <c r="L37" s="9"/>
      <c r="M37" s="11" t="s">
        <v>7</v>
      </c>
      <c r="N37" s="20" t="s">
        <v>3</v>
      </c>
      <c r="O37" s="17">
        <f>(C36+C37+C44)</f>
        <v>3719</v>
      </c>
      <c r="P37" s="14">
        <f>SUM(O37/O42)</f>
        <v>0.28495900697264576</v>
      </c>
      <c r="Q37" s="2">
        <v>2</v>
      </c>
    </row>
    <row r="38" spans="1:17" s="2" customFormat="1" ht="16.5" customHeight="1" thickBot="1">
      <c r="A38" s="7" t="s">
        <v>392</v>
      </c>
      <c r="B38" s="12" t="s">
        <v>5</v>
      </c>
      <c r="C38" s="10">
        <v>1221</v>
      </c>
      <c r="D38" s="10">
        <v>1513</v>
      </c>
      <c r="E38" s="10">
        <v>1522</v>
      </c>
      <c r="F38" s="10">
        <v>1535</v>
      </c>
      <c r="G38" s="10">
        <v>1565</v>
      </c>
      <c r="H38" s="10">
        <v>1633</v>
      </c>
      <c r="I38" s="10">
        <v>1789</v>
      </c>
      <c r="J38" s="10">
        <v>1804</v>
      </c>
      <c r="K38" s="9">
        <v>2039</v>
      </c>
      <c r="L38" s="9"/>
      <c r="M38" s="11" t="s">
        <v>10</v>
      </c>
      <c r="N38" s="21" t="s">
        <v>16</v>
      </c>
      <c r="O38" s="17">
        <v>1118</v>
      </c>
      <c r="P38" s="14">
        <f>SUM(O38/O42)</f>
        <v>8.5663933798176384E-2</v>
      </c>
      <c r="Q38" s="2">
        <v>1</v>
      </c>
    </row>
    <row r="39" spans="1:17" s="2" customFormat="1" ht="16.5" customHeight="1" thickBot="1">
      <c r="A39" s="7" t="s">
        <v>512</v>
      </c>
      <c r="B39" s="43" t="s">
        <v>16</v>
      </c>
      <c r="C39" s="10">
        <v>1118</v>
      </c>
      <c r="D39" s="10">
        <v>1172</v>
      </c>
      <c r="E39" s="10">
        <v>1190</v>
      </c>
      <c r="F39" s="10">
        <v>1197</v>
      </c>
      <c r="G39" s="10">
        <v>1234</v>
      </c>
      <c r="H39" s="10">
        <v>1269</v>
      </c>
      <c r="I39" s="10">
        <v>1423</v>
      </c>
      <c r="J39" s="10">
        <v>1437</v>
      </c>
      <c r="K39" s="10">
        <v>1525</v>
      </c>
      <c r="L39" s="9">
        <v>1612</v>
      </c>
      <c r="M39" s="11" t="s">
        <v>15</v>
      </c>
      <c r="N39" s="78" t="s">
        <v>30</v>
      </c>
      <c r="O39" s="17">
        <v>670</v>
      </c>
      <c r="P39" s="14">
        <f>SUM(O39/O42)</f>
        <v>5.1337062294077085E-2</v>
      </c>
    </row>
    <row r="40" spans="1:17" s="2" customFormat="1" ht="16.5" customHeight="1" thickBot="1">
      <c r="A40" s="7" t="s">
        <v>54</v>
      </c>
      <c r="B40" s="12" t="s">
        <v>5</v>
      </c>
      <c r="C40" s="10">
        <v>1108</v>
      </c>
      <c r="D40" s="10">
        <v>1267</v>
      </c>
      <c r="E40" s="10">
        <v>1279</v>
      </c>
      <c r="F40" s="10">
        <v>1283</v>
      </c>
      <c r="G40" s="10">
        <v>1307</v>
      </c>
      <c r="H40" s="10">
        <v>1358</v>
      </c>
      <c r="I40" s="10">
        <v>1450</v>
      </c>
      <c r="J40" s="10">
        <v>1461</v>
      </c>
      <c r="K40" s="9">
        <v>2050</v>
      </c>
      <c r="L40" s="9"/>
      <c r="M40" s="11" t="s">
        <v>6</v>
      </c>
      <c r="N40" s="48" t="s">
        <v>21</v>
      </c>
      <c r="O40" s="17">
        <v>794</v>
      </c>
      <c r="P40" s="14">
        <f>SUM(O40/O42)</f>
        <v>6.0838249942533139E-2</v>
      </c>
    </row>
    <row r="41" spans="1:17" s="2" customFormat="1" ht="16.5" customHeight="1" thickBot="1">
      <c r="A41" s="18" t="s">
        <v>519</v>
      </c>
      <c r="B41" s="19" t="s">
        <v>5</v>
      </c>
      <c r="C41" s="10">
        <v>859</v>
      </c>
      <c r="D41" s="10">
        <v>1029</v>
      </c>
      <c r="E41" s="10">
        <v>1040</v>
      </c>
      <c r="F41" s="10">
        <v>1049</v>
      </c>
      <c r="G41" s="10">
        <v>1062</v>
      </c>
      <c r="H41" s="10">
        <v>1116</v>
      </c>
      <c r="I41" s="10">
        <v>1176</v>
      </c>
      <c r="J41" s="10">
        <v>1186</v>
      </c>
      <c r="K41" s="10" t="s">
        <v>20</v>
      </c>
      <c r="N41" s="13" t="s">
        <v>17</v>
      </c>
      <c r="O41" s="17">
        <f>(C45+C46)</f>
        <v>734</v>
      </c>
      <c r="P41" s="14">
        <f>SUM(O41/O42)</f>
        <v>5.6240901080376986E-2</v>
      </c>
    </row>
    <row r="42" spans="1:17" s="2" customFormat="1" ht="16.5" customHeight="1" thickBot="1">
      <c r="A42" s="18" t="s">
        <v>513</v>
      </c>
      <c r="B42" s="47" t="s">
        <v>21</v>
      </c>
      <c r="C42" s="10">
        <v>794</v>
      </c>
      <c r="D42" s="10">
        <v>828</v>
      </c>
      <c r="E42" s="10">
        <v>867</v>
      </c>
      <c r="F42" s="10">
        <v>871</v>
      </c>
      <c r="G42" s="10">
        <v>892</v>
      </c>
      <c r="H42" s="10">
        <v>1019</v>
      </c>
      <c r="I42" s="10">
        <v>1200</v>
      </c>
      <c r="J42" s="10">
        <v>1222</v>
      </c>
      <c r="K42" s="10">
        <v>1285</v>
      </c>
      <c r="L42" s="10">
        <v>1381</v>
      </c>
      <c r="M42" s="11"/>
      <c r="O42" s="24">
        <v>13051</v>
      </c>
    </row>
    <row r="43" spans="1:17" s="2" customFormat="1" ht="16.5" customHeight="1" thickBot="1">
      <c r="A43" s="18" t="s">
        <v>516</v>
      </c>
      <c r="B43" s="79" t="s">
        <v>30</v>
      </c>
      <c r="C43" s="10">
        <v>670</v>
      </c>
      <c r="D43" s="10">
        <v>697</v>
      </c>
      <c r="E43" s="10">
        <v>712</v>
      </c>
      <c r="F43" s="10">
        <v>715</v>
      </c>
      <c r="G43" s="10">
        <v>755</v>
      </c>
      <c r="H43" s="10">
        <v>808</v>
      </c>
      <c r="I43" s="10" t="s">
        <v>20</v>
      </c>
    </row>
    <row r="44" spans="1:17" s="2" customFormat="1" ht="16.5" customHeight="1" thickBot="1">
      <c r="A44" s="18" t="s">
        <v>517</v>
      </c>
      <c r="B44" s="28" t="s">
        <v>3</v>
      </c>
      <c r="C44" s="10">
        <v>565</v>
      </c>
      <c r="D44" s="10">
        <v>581</v>
      </c>
      <c r="E44" s="10">
        <v>588</v>
      </c>
      <c r="F44" s="10">
        <v>598</v>
      </c>
      <c r="G44" s="10" t="s">
        <v>20</v>
      </c>
    </row>
    <row r="45" spans="1:17" s="2" customFormat="1" ht="16.5" customHeight="1" thickBot="1">
      <c r="A45" s="18" t="s">
        <v>515</v>
      </c>
      <c r="B45" s="23" t="s">
        <v>14</v>
      </c>
      <c r="C45" s="10">
        <v>506</v>
      </c>
      <c r="D45" s="10">
        <v>541</v>
      </c>
      <c r="E45" s="10">
        <v>615</v>
      </c>
      <c r="F45" s="10">
        <v>620</v>
      </c>
      <c r="G45" s="10">
        <v>647</v>
      </c>
      <c r="H45" s="10" t="s">
        <v>20</v>
      </c>
    </row>
    <row r="46" spans="1:17" s="2" customFormat="1" ht="16.5" customHeight="1" thickBot="1">
      <c r="A46" s="18" t="s">
        <v>518</v>
      </c>
      <c r="B46" s="23" t="s">
        <v>14</v>
      </c>
      <c r="C46" s="10">
        <v>228</v>
      </c>
      <c r="D46" s="10">
        <v>236</v>
      </c>
      <c r="E46" s="10" t="s">
        <v>20</v>
      </c>
      <c r="G46" s="17"/>
    </row>
    <row r="47" spans="1:17" s="2" customFormat="1" ht="11.25" customHeight="1">
      <c r="A47" s="29"/>
      <c r="B47" s="30"/>
      <c r="C47" s="45"/>
      <c r="D47" s="45"/>
      <c r="E47" s="45"/>
      <c r="F47" s="17"/>
      <c r="G47" s="17"/>
      <c r="H47" s="17"/>
      <c r="I47" s="17"/>
      <c r="J47" s="17"/>
      <c r="K47" s="17"/>
      <c r="L47" s="17"/>
      <c r="M47" s="17"/>
      <c r="N47" s="44"/>
    </row>
    <row r="48" spans="1:17" s="2" customFormat="1" ht="17.45" customHeight="1">
      <c r="A48" s="1" t="s">
        <v>537</v>
      </c>
    </row>
    <row r="49" spans="1:14" s="2" customFormat="1" ht="10.5" customHeight="1" thickBot="1">
      <c r="A49" s="1"/>
    </row>
    <row r="50" spans="1:14" s="2" customFormat="1" ht="16.5" customHeight="1" thickBot="1">
      <c r="A50" s="4" t="s">
        <v>0</v>
      </c>
      <c r="B50" s="5" t="s">
        <v>1</v>
      </c>
      <c r="C50" s="5" t="s">
        <v>2</v>
      </c>
      <c r="D50" s="5">
        <v>2</v>
      </c>
      <c r="E50" s="5">
        <v>3</v>
      </c>
      <c r="F50" s="5">
        <v>4</v>
      </c>
      <c r="G50" s="5">
        <v>5</v>
      </c>
      <c r="H50" s="6"/>
      <c r="I50" s="13" t="s">
        <v>9</v>
      </c>
      <c r="J50" s="14">
        <f>(4969/14466)</f>
        <v>0.34349509193972072</v>
      </c>
    </row>
    <row r="51" spans="1:14" s="2" customFormat="1" ht="16.5" customHeight="1" thickBot="1">
      <c r="A51" s="7" t="s">
        <v>533</v>
      </c>
      <c r="B51" s="8" t="s">
        <v>3</v>
      </c>
      <c r="C51" s="9">
        <v>1752</v>
      </c>
      <c r="D51" s="10"/>
      <c r="E51" s="9"/>
      <c r="F51" s="10"/>
      <c r="G51" s="10"/>
      <c r="H51" s="11" t="s">
        <v>4</v>
      </c>
      <c r="J51" s="13" t="s">
        <v>11</v>
      </c>
      <c r="K51" s="13" t="s">
        <v>12</v>
      </c>
      <c r="L51" s="13" t="s">
        <v>13</v>
      </c>
    </row>
    <row r="52" spans="1:14" s="2" customFormat="1" ht="16.5" customHeight="1" thickBot="1">
      <c r="A52" s="7" t="s">
        <v>532</v>
      </c>
      <c r="B52" s="12" t="s">
        <v>5</v>
      </c>
      <c r="C52" s="10">
        <v>1018</v>
      </c>
      <c r="D52" s="10">
        <v>1075</v>
      </c>
      <c r="E52" s="10">
        <v>1118</v>
      </c>
      <c r="F52" s="10">
        <v>1151</v>
      </c>
      <c r="G52" s="9">
        <v>1220</v>
      </c>
      <c r="H52" s="11" t="s">
        <v>7</v>
      </c>
      <c r="I52" s="16" t="s">
        <v>5</v>
      </c>
      <c r="J52" s="17">
        <f>(C52+C53)</f>
        <v>1993</v>
      </c>
      <c r="K52" s="14">
        <f>SUM(J52/J57)</f>
        <v>0.40574104234527686</v>
      </c>
      <c r="L52" s="2">
        <v>2</v>
      </c>
    </row>
    <row r="53" spans="1:14" s="2" customFormat="1" ht="16.5" customHeight="1" thickBot="1">
      <c r="A53" s="7" t="s">
        <v>531</v>
      </c>
      <c r="B53" s="12" t="s">
        <v>5</v>
      </c>
      <c r="C53" s="10">
        <v>975</v>
      </c>
      <c r="D53" s="10">
        <v>1080</v>
      </c>
      <c r="E53" s="10">
        <v>1115</v>
      </c>
      <c r="F53" s="10">
        <v>1197</v>
      </c>
      <c r="G53" s="9">
        <v>1330</v>
      </c>
      <c r="H53" s="11" t="s">
        <v>8</v>
      </c>
      <c r="I53" s="20" t="s">
        <v>3</v>
      </c>
      <c r="J53" s="17">
        <f>(C51+C56)</f>
        <v>2021</v>
      </c>
      <c r="K53" s="14">
        <f>SUM(J53/J57)</f>
        <v>0.41144136807817588</v>
      </c>
      <c r="L53" s="2">
        <v>1</v>
      </c>
    </row>
    <row r="54" spans="1:14" s="2" customFormat="1" ht="16.5" customHeight="1" thickBot="1">
      <c r="A54" s="18" t="s">
        <v>530</v>
      </c>
      <c r="B54" s="22" t="s">
        <v>16</v>
      </c>
      <c r="C54" s="10">
        <v>371</v>
      </c>
      <c r="D54" s="10">
        <v>425</v>
      </c>
      <c r="E54" s="10">
        <v>450</v>
      </c>
      <c r="F54" s="10">
        <v>590</v>
      </c>
      <c r="G54" s="10" t="s">
        <v>20</v>
      </c>
      <c r="I54" s="21" t="s">
        <v>16</v>
      </c>
      <c r="J54" s="17">
        <v>371</v>
      </c>
      <c r="K54" s="14">
        <f>SUM(J54/J57)</f>
        <v>7.5529315960912058E-2</v>
      </c>
    </row>
    <row r="55" spans="1:14" s="2" customFormat="1" ht="16.5" customHeight="1" thickBot="1">
      <c r="A55" s="18" t="s">
        <v>534</v>
      </c>
      <c r="B55" s="47" t="s">
        <v>21</v>
      </c>
      <c r="C55" s="10">
        <v>355</v>
      </c>
      <c r="D55" s="10">
        <v>395</v>
      </c>
      <c r="E55" s="10">
        <v>433</v>
      </c>
      <c r="F55" s="10" t="s">
        <v>20</v>
      </c>
      <c r="I55" s="48" t="s">
        <v>21</v>
      </c>
      <c r="J55" s="17">
        <v>355</v>
      </c>
      <c r="K55" s="14">
        <f>SUM(J55/J57)</f>
        <v>7.2271986970684043E-2</v>
      </c>
    </row>
    <row r="56" spans="1:14" s="2" customFormat="1" ht="16.5" customHeight="1" thickBot="1">
      <c r="A56" s="18" t="s">
        <v>535</v>
      </c>
      <c r="B56" s="28" t="s">
        <v>3</v>
      </c>
      <c r="C56" s="10">
        <v>269</v>
      </c>
      <c r="D56" s="10">
        <v>517</v>
      </c>
      <c r="E56" s="10">
        <v>545</v>
      </c>
      <c r="F56" s="10">
        <v>634</v>
      </c>
      <c r="G56" s="10">
        <v>877</v>
      </c>
      <c r="H56" s="11"/>
      <c r="I56" s="13" t="s">
        <v>17</v>
      </c>
      <c r="J56" s="17">
        <v>172</v>
      </c>
      <c r="K56" s="14">
        <f>SUM(J56/J57)</f>
        <v>3.5016286644951142E-2</v>
      </c>
    </row>
    <row r="57" spans="1:14" s="2" customFormat="1" ht="16.5" customHeight="1" thickBot="1">
      <c r="A57" s="18" t="s">
        <v>536</v>
      </c>
      <c r="B57" s="23" t="s">
        <v>14</v>
      </c>
      <c r="C57" s="10">
        <v>172</v>
      </c>
      <c r="D57" s="10">
        <v>191</v>
      </c>
      <c r="E57" s="10" t="s">
        <v>20</v>
      </c>
      <c r="I57" s="13"/>
      <c r="J57" s="24">
        <v>4912</v>
      </c>
      <c r="K57" s="14"/>
    </row>
    <row r="59" spans="1:14" s="2" customFormat="1" ht="17.45" customHeight="1">
      <c r="A59" s="1" t="s">
        <v>545</v>
      </c>
    </row>
    <row r="60" spans="1:14" s="2" customFormat="1" ht="10.5" customHeight="1" thickBot="1">
      <c r="A60" s="1"/>
    </row>
    <row r="61" spans="1:14" s="2" customFormat="1" ht="16.5" customHeight="1" thickBot="1">
      <c r="A61" s="4" t="s">
        <v>0</v>
      </c>
      <c r="B61" s="5" t="s">
        <v>1</v>
      </c>
      <c r="C61" s="5" t="s">
        <v>2</v>
      </c>
      <c r="D61" s="5">
        <v>2</v>
      </c>
      <c r="E61" s="5">
        <v>3</v>
      </c>
      <c r="F61" s="5">
        <v>4</v>
      </c>
      <c r="G61" s="5">
        <v>5</v>
      </c>
      <c r="H61" s="5">
        <v>6</v>
      </c>
      <c r="I61" s="5">
        <v>7</v>
      </c>
      <c r="J61" s="6"/>
      <c r="K61" s="13" t="s">
        <v>9</v>
      </c>
      <c r="L61" s="14">
        <f>(6822/15698)</f>
        <v>0.43457765320422986</v>
      </c>
    </row>
    <row r="62" spans="1:14" s="2" customFormat="1" ht="16.5" customHeight="1" thickBot="1">
      <c r="A62" s="7" t="s">
        <v>540</v>
      </c>
      <c r="B62" s="8" t="s">
        <v>3</v>
      </c>
      <c r="C62" s="10">
        <v>1149</v>
      </c>
      <c r="D62" s="10">
        <v>1200</v>
      </c>
      <c r="E62" s="10">
        <v>1255</v>
      </c>
      <c r="F62" s="10">
        <v>1345</v>
      </c>
      <c r="G62" s="10">
        <v>1548</v>
      </c>
      <c r="H62" s="9">
        <v>2106</v>
      </c>
      <c r="I62" s="10"/>
      <c r="J62" s="11" t="s">
        <v>4</v>
      </c>
      <c r="L62" s="13" t="s">
        <v>11</v>
      </c>
      <c r="M62" s="13" t="s">
        <v>12</v>
      </c>
      <c r="N62" s="13" t="s">
        <v>13</v>
      </c>
    </row>
    <row r="63" spans="1:14" s="2" customFormat="1" ht="16.5" customHeight="1" thickBot="1">
      <c r="A63" s="7" t="s">
        <v>541</v>
      </c>
      <c r="B63" s="81" t="s">
        <v>30</v>
      </c>
      <c r="C63" s="10">
        <v>906</v>
      </c>
      <c r="D63" s="10">
        <v>960</v>
      </c>
      <c r="E63" s="10">
        <v>1021</v>
      </c>
      <c r="F63" s="10">
        <v>1113</v>
      </c>
      <c r="G63" s="10">
        <v>1264</v>
      </c>
      <c r="H63" s="10">
        <v>1395</v>
      </c>
      <c r="I63" s="9">
        <v>1650</v>
      </c>
      <c r="J63" s="11" t="s">
        <v>8</v>
      </c>
      <c r="K63" s="16" t="s">
        <v>5</v>
      </c>
      <c r="L63" s="17">
        <f>(C65+C67)</f>
        <v>1415</v>
      </c>
      <c r="M63" s="14">
        <f>SUM(L63/L69)</f>
        <v>0.20972283978064324</v>
      </c>
      <c r="N63" s="2">
        <v>1</v>
      </c>
    </row>
    <row r="64" spans="1:14" s="2" customFormat="1" ht="16.5" customHeight="1" thickBot="1">
      <c r="A64" s="18" t="s">
        <v>80</v>
      </c>
      <c r="B64" s="23" t="s">
        <v>14</v>
      </c>
      <c r="C64" s="10">
        <v>864</v>
      </c>
      <c r="D64" s="10">
        <v>925</v>
      </c>
      <c r="E64" s="10">
        <v>973</v>
      </c>
      <c r="F64" s="10">
        <v>1130</v>
      </c>
      <c r="G64" s="10">
        <v>1287</v>
      </c>
      <c r="H64" s="10">
        <v>1382</v>
      </c>
      <c r="I64" s="10">
        <v>1494</v>
      </c>
      <c r="J64" s="11"/>
      <c r="K64" s="20" t="s">
        <v>3</v>
      </c>
      <c r="L64" s="17">
        <f>(C62+C66)</f>
        <v>1908</v>
      </c>
      <c r="M64" s="14">
        <f>SUM(L64/L69)</f>
        <v>0.28279235215651399</v>
      </c>
      <c r="N64" s="2">
        <v>1</v>
      </c>
    </row>
    <row r="65" spans="1:16" s="2" customFormat="1" ht="16.5" customHeight="1" thickBot="1">
      <c r="A65" s="7" t="s">
        <v>538</v>
      </c>
      <c r="B65" s="12" t="s">
        <v>5</v>
      </c>
      <c r="C65" s="10">
        <v>781</v>
      </c>
      <c r="D65" s="10">
        <v>806</v>
      </c>
      <c r="E65" s="10">
        <v>1153</v>
      </c>
      <c r="F65" s="10">
        <v>1319</v>
      </c>
      <c r="G65" s="10">
        <v>1373</v>
      </c>
      <c r="H65" s="10">
        <v>1496</v>
      </c>
      <c r="I65" s="9">
        <v>1548</v>
      </c>
      <c r="J65" s="11" t="s">
        <v>7</v>
      </c>
      <c r="K65" s="21" t="s">
        <v>16</v>
      </c>
      <c r="L65" s="17">
        <v>587</v>
      </c>
      <c r="M65" s="14">
        <f>SUM(L65/L69)</f>
        <v>8.7001630354231516E-2</v>
      </c>
    </row>
    <row r="66" spans="1:16" s="2" customFormat="1" ht="16.5" customHeight="1" thickBot="1">
      <c r="A66" s="18" t="s">
        <v>542</v>
      </c>
      <c r="B66" s="28" t="s">
        <v>3</v>
      </c>
      <c r="C66" s="10">
        <v>759</v>
      </c>
      <c r="D66" s="10">
        <v>787</v>
      </c>
      <c r="E66" s="10">
        <v>818</v>
      </c>
      <c r="F66" s="10">
        <v>895</v>
      </c>
      <c r="G66" s="10">
        <v>993</v>
      </c>
      <c r="H66" s="10" t="s">
        <v>20</v>
      </c>
      <c r="K66" s="78" t="s">
        <v>30</v>
      </c>
      <c r="L66" s="17">
        <v>906</v>
      </c>
      <c r="M66" s="14">
        <f>SUM(L66/L69)</f>
        <v>0.13428190306803023</v>
      </c>
      <c r="N66" s="2">
        <v>1</v>
      </c>
    </row>
    <row r="67" spans="1:16" s="2" customFormat="1" ht="16.5" customHeight="1" thickBot="1">
      <c r="A67" s="18" t="s">
        <v>544</v>
      </c>
      <c r="B67" s="19" t="s">
        <v>5</v>
      </c>
      <c r="C67" s="10">
        <v>634</v>
      </c>
      <c r="D67" s="10">
        <v>656</v>
      </c>
      <c r="E67" s="10" t="s">
        <v>20</v>
      </c>
      <c r="K67" s="48" t="s">
        <v>21</v>
      </c>
      <c r="L67" s="17">
        <v>469</v>
      </c>
      <c r="M67" s="14">
        <f>SUM(L67/L69)</f>
        <v>6.951237587075737E-2</v>
      </c>
    </row>
    <row r="68" spans="1:16" s="2" customFormat="1" ht="16.5" customHeight="1" thickBot="1">
      <c r="A68" s="18" t="s">
        <v>515</v>
      </c>
      <c r="B68" s="23" t="s">
        <v>14</v>
      </c>
      <c r="C68" s="10">
        <v>598</v>
      </c>
      <c r="D68" s="10">
        <v>679</v>
      </c>
      <c r="E68" s="10">
        <v>717</v>
      </c>
      <c r="F68" s="10" t="s">
        <v>20</v>
      </c>
      <c r="K68" s="13" t="s">
        <v>17</v>
      </c>
      <c r="L68" s="17">
        <f>(C64+C68)</f>
        <v>1462</v>
      </c>
      <c r="M68" s="14">
        <f>SUM(L68/L69)</f>
        <v>0.21668889876982361</v>
      </c>
    </row>
    <row r="69" spans="1:16" s="2" customFormat="1" ht="16.5" customHeight="1" thickBot="1">
      <c r="A69" s="18" t="s">
        <v>539</v>
      </c>
      <c r="B69" s="22" t="s">
        <v>16</v>
      </c>
      <c r="C69" s="10">
        <v>587</v>
      </c>
      <c r="D69" s="10">
        <v>695</v>
      </c>
      <c r="E69" s="10">
        <v>733</v>
      </c>
      <c r="F69" s="10">
        <v>785</v>
      </c>
      <c r="G69" s="10" t="s">
        <v>20</v>
      </c>
      <c r="L69" s="24">
        <v>6747</v>
      </c>
    </row>
    <row r="70" spans="1:16" s="2" customFormat="1" ht="16.5" customHeight="1" thickBot="1">
      <c r="A70" s="18" t="s">
        <v>543</v>
      </c>
      <c r="B70" s="47" t="s">
        <v>21</v>
      </c>
      <c r="C70" s="10">
        <v>469</v>
      </c>
      <c r="D70" s="10" t="s">
        <v>20</v>
      </c>
      <c r="L70" s="24"/>
    </row>
    <row r="71" spans="1:16" s="2" customFormat="1" ht="11.25" customHeight="1">
      <c r="A71" s="29"/>
      <c r="B71" s="30"/>
      <c r="C71" s="29"/>
      <c r="D71" s="29"/>
      <c r="E71" s="29"/>
      <c r="N71" s="14"/>
    </row>
    <row r="72" spans="1:16" s="2" customFormat="1" ht="17.45" customHeight="1">
      <c r="A72" s="1" t="s">
        <v>521</v>
      </c>
    </row>
    <row r="73" spans="1:16" s="2" customFormat="1" ht="8.25" customHeight="1" thickBot="1">
      <c r="A73" s="1"/>
    </row>
    <row r="74" spans="1:16" s="2" customFormat="1" ht="17.45" customHeight="1" thickBot="1">
      <c r="A74" s="4" t="s">
        <v>0</v>
      </c>
      <c r="B74" s="5" t="s">
        <v>1</v>
      </c>
      <c r="C74" s="5" t="s">
        <v>2</v>
      </c>
      <c r="D74" s="5">
        <v>2</v>
      </c>
      <c r="E74" s="5">
        <v>3</v>
      </c>
      <c r="F74" s="5">
        <v>4</v>
      </c>
      <c r="G74" s="5">
        <v>5</v>
      </c>
      <c r="H74" s="5">
        <v>6</v>
      </c>
      <c r="I74" s="5">
        <v>7</v>
      </c>
      <c r="J74" s="5">
        <v>8</v>
      </c>
      <c r="K74" s="5"/>
      <c r="L74" s="13" t="s">
        <v>9</v>
      </c>
      <c r="M74" s="14">
        <f>(12928/34117)</f>
        <v>0.37893132455960371</v>
      </c>
    </row>
    <row r="75" spans="1:16" s="2" customFormat="1" ht="17.45" customHeight="1" thickBot="1">
      <c r="A75" s="7" t="s">
        <v>527</v>
      </c>
      <c r="B75" s="43" t="s">
        <v>16</v>
      </c>
      <c r="C75" s="9">
        <v>2490</v>
      </c>
      <c r="D75" s="10"/>
      <c r="E75" s="10"/>
      <c r="F75" s="10"/>
      <c r="G75" s="9"/>
      <c r="H75" s="9"/>
      <c r="I75" s="10"/>
      <c r="J75" s="10"/>
      <c r="K75" s="11" t="s">
        <v>4</v>
      </c>
      <c r="M75" s="13" t="s">
        <v>11</v>
      </c>
      <c r="N75" s="13" t="s">
        <v>12</v>
      </c>
      <c r="O75" s="13" t="s">
        <v>13</v>
      </c>
      <c r="P75" s="13"/>
    </row>
    <row r="76" spans="1:16" s="2" customFormat="1" ht="17.45" customHeight="1" thickBot="1">
      <c r="A76" s="7" t="s">
        <v>525</v>
      </c>
      <c r="B76" s="12" t="s">
        <v>5</v>
      </c>
      <c r="C76" s="9">
        <v>2187</v>
      </c>
      <c r="D76" s="10"/>
      <c r="E76" s="10"/>
      <c r="F76" s="10"/>
      <c r="G76" s="10"/>
      <c r="H76" s="10"/>
      <c r="I76" s="9"/>
      <c r="J76" s="9"/>
      <c r="K76" s="11" t="s">
        <v>8</v>
      </c>
      <c r="L76" s="16" t="s">
        <v>5</v>
      </c>
      <c r="M76" s="17">
        <f>(C76+C82+C84)</f>
        <v>3339</v>
      </c>
      <c r="N76" s="14">
        <f>SUM(M76/M81)</f>
        <v>0.26270653029110935</v>
      </c>
      <c r="O76" s="2">
        <v>1</v>
      </c>
    </row>
    <row r="77" spans="1:16" s="2" customFormat="1" ht="17.45" customHeight="1" thickBot="1">
      <c r="A77" s="7" t="s">
        <v>522</v>
      </c>
      <c r="B77" s="8" t="s">
        <v>3</v>
      </c>
      <c r="C77" s="9">
        <v>1893</v>
      </c>
      <c r="D77" s="10"/>
      <c r="E77" s="10"/>
      <c r="F77" s="10"/>
      <c r="G77" s="10"/>
      <c r="H77" s="10"/>
      <c r="I77" s="9"/>
      <c r="J77" s="9"/>
      <c r="K77" s="11" t="s">
        <v>7</v>
      </c>
      <c r="L77" s="20" t="s">
        <v>3</v>
      </c>
      <c r="M77" s="17">
        <f>(C77+C80+C83)</f>
        <v>3330</v>
      </c>
      <c r="N77" s="14">
        <f>SUM(M77/M81)</f>
        <v>0.26199842643587729</v>
      </c>
      <c r="O77" s="2">
        <v>1</v>
      </c>
    </row>
    <row r="78" spans="1:16" s="2" customFormat="1" ht="17.45" customHeight="1" thickBot="1">
      <c r="A78" s="7" t="s">
        <v>523</v>
      </c>
      <c r="B78" s="81" t="s">
        <v>30</v>
      </c>
      <c r="C78" s="10">
        <v>1530</v>
      </c>
      <c r="D78" s="10">
        <v>1621</v>
      </c>
      <c r="E78" s="10">
        <v>1672</v>
      </c>
      <c r="F78" s="10">
        <v>1681</v>
      </c>
      <c r="G78" s="10">
        <v>1787</v>
      </c>
      <c r="H78" s="9">
        <v>1843</v>
      </c>
      <c r="I78" s="10"/>
      <c r="J78" s="10"/>
      <c r="K78" s="11" t="s">
        <v>6</v>
      </c>
      <c r="L78" s="21" t="s">
        <v>16</v>
      </c>
      <c r="M78" s="17">
        <f>(C75+C81)</f>
        <v>3392</v>
      </c>
      <c r="N78" s="14">
        <f>SUM(M78/M81)</f>
        <v>0.26687647521636509</v>
      </c>
      <c r="O78" s="2">
        <v>2</v>
      </c>
    </row>
    <row r="79" spans="1:16" s="2" customFormat="1" ht="17.45" customHeight="1" thickBot="1">
      <c r="A79" s="7" t="s">
        <v>526</v>
      </c>
      <c r="B79" s="80" t="s">
        <v>21</v>
      </c>
      <c r="C79" s="10">
        <v>1119</v>
      </c>
      <c r="D79" s="10">
        <v>1205</v>
      </c>
      <c r="E79" s="10">
        <v>1223</v>
      </c>
      <c r="F79" s="10">
        <v>1225</v>
      </c>
      <c r="G79" s="10">
        <v>1253</v>
      </c>
      <c r="H79" s="10">
        <v>1296</v>
      </c>
      <c r="I79" s="10">
        <v>1516</v>
      </c>
      <c r="J79" s="9">
        <v>1524</v>
      </c>
      <c r="K79" s="11" t="s">
        <v>15</v>
      </c>
      <c r="L79" s="78" t="s">
        <v>30</v>
      </c>
      <c r="M79" s="17">
        <v>1530</v>
      </c>
      <c r="N79" s="14">
        <f>SUM(M79/M81)</f>
        <v>0.12037765538945712</v>
      </c>
      <c r="O79" s="2">
        <v>1</v>
      </c>
    </row>
    <row r="80" spans="1:16" s="2" customFormat="1" ht="17.45" customHeight="1" thickBot="1">
      <c r="A80" s="18" t="s">
        <v>529</v>
      </c>
      <c r="B80" s="28" t="s">
        <v>3</v>
      </c>
      <c r="C80" s="10">
        <v>1027</v>
      </c>
      <c r="D80" s="10">
        <v>1067</v>
      </c>
      <c r="E80" s="10">
        <v>1084</v>
      </c>
      <c r="F80" s="10">
        <v>1103</v>
      </c>
      <c r="G80" s="10">
        <v>1318</v>
      </c>
      <c r="H80" s="10">
        <v>1335</v>
      </c>
      <c r="I80" s="10">
        <v>1501</v>
      </c>
      <c r="J80" s="10">
        <v>1514</v>
      </c>
      <c r="K80" s="11"/>
      <c r="L80" s="48" t="s">
        <v>21</v>
      </c>
      <c r="M80" s="17">
        <v>1119</v>
      </c>
      <c r="N80" s="14">
        <f>SUM(M80/M81)</f>
        <v>8.804091266719119E-2</v>
      </c>
      <c r="O80" s="2">
        <v>1</v>
      </c>
      <c r="P80" s="14"/>
    </row>
    <row r="81" spans="1:19" s="2" customFormat="1" ht="17.45" customHeight="1" thickBot="1">
      <c r="A81" s="7" t="s">
        <v>89</v>
      </c>
      <c r="B81" s="43" t="s">
        <v>16</v>
      </c>
      <c r="C81" s="10">
        <v>902</v>
      </c>
      <c r="D81" s="10">
        <v>1256</v>
      </c>
      <c r="E81" s="10">
        <v>1295</v>
      </c>
      <c r="F81" s="10">
        <v>1300</v>
      </c>
      <c r="G81" s="10">
        <v>1374</v>
      </c>
      <c r="H81" s="10">
        <v>1409</v>
      </c>
      <c r="I81" s="10">
        <v>1613</v>
      </c>
      <c r="J81" s="9">
        <v>1619</v>
      </c>
      <c r="K81" s="11" t="s">
        <v>10</v>
      </c>
      <c r="L81" s="13"/>
      <c r="M81" s="24">
        <v>12710</v>
      </c>
      <c r="N81" s="14"/>
    </row>
    <row r="82" spans="1:19" s="2" customFormat="1" ht="17.45" customHeight="1" thickBot="1">
      <c r="A82" s="18" t="s">
        <v>389</v>
      </c>
      <c r="B82" s="19" t="s">
        <v>5</v>
      </c>
      <c r="C82" s="10">
        <v>779</v>
      </c>
      <c r="D82" s="10">
        <v>817</v>
      </c>
      <c r="E82" s="10">
        <v>896</v>
      </c>
      <c r="F82" s="10">
        <v>899</v>
      </c>
      <c r="G82" s="10">
        <v>928</v>
      </c>
      <c r="H82" s="10">
        <v>1257</v>
      </c>
      <c r="I82" s="10" t="s">
        <v>20</v>
      </c>
    </row>
    <row r="83" spans="1:19" s="2" customFormat="1" ht="17.45" customHeight="1" thickBot="1">
      <c r="A83" s="18" t="s">
        <v>524</v>
      </c>
      <c r="B83" s="28" t="s">
        <v>3</v>
      </c>
      <c r="C83" s="10">
        <v>410</v>
      </c>
      <c r="D83" s="10">
        <v>453</v>
      </c>
      <c r="E83" s="10">
        <v>475</v>
      </c>
      <c r="F83" s="10">
        <v>512</v>
      </c>
      <c r="G83" s="10" t="s">
        <v>20</v>
      </c>
    </row>
    <row r="84" spans="1:19" s="2" customFormat="1" ht="17.45" customHeight="1" thickBot="1">
      <c r="A84" s="18" t="s">
        <v>528</v>
      </c>
      <c r="B84" s="19" t="s">
        <v>5</v>
      </c>
      <c r="C84" s="10">
        <v>373</v>
      </c>
      <c r="D84" s="10">
        <v>395</v>
      </c>
      <c r="E84" s="10">
        <v>540</v>
      </c>
      <c r="F84" s="10">
        <v>542</v>
      </c>
      <c r="G84" s="10">
        <v>560</v>
      </c>
      <c r="H84" s="10" t="s">
        <v>20</v>
      </c>
    </row>
    <row r="86" spans="1:19" s="32" customFormat="1" ht="15" customHeight="1">
      <c r="B86" s="36" t="s">
        <v>19</v>
      </c>
      <c r="C86" s="38" t="s">
        <v>5</v>
      </c>
      <c r="D86" s="39" t="s">
        <v>3</v>
      </c>
      <c r="E86" s="40" t="s">
        <v>16</v>
      </c>
      <c r="F86" s="41" t="s">
        <v>18</v>
      </c>
      <c r="G86" s="49" t="s">
        <v>21</v>
      </c>
      <c r="H86" s="82" t="s">
        <v>30</v>
      </c>
      <c r="I86" s="36" t="s">
        <v>17</v>
      </c>
      <c r="Q86" s="33"/>
      <c r="R86" s="34"/>
      <c r="S86" s="35"/>
    </row>
    <row r="87" spans="1:19" s="32" customFormat="1" ht="15" customHeight="1">
      <c r="A87" s="32" t="s">
        <v>11</v>
      </c>
      <c r="B87" s="37">
        <f>SUM(M12+J57+M28+L69+M81+O42)</f>
        <v>57348</v>
      </c>
      <c r="C87" s="34">
        <f>SUM(M76+L63+M22+J52+O36+M5)</f>
        <v>18108</v>
      </c>
      <c r="D87" s="34">
        <f>SUM(M77+L64+M23+J53+O37+M6)</f>
        <v>15662</v>
      </c>
      <c r="E87" s="34">
        <f>SUM(M78+L65+M24+J54+O38+M7)</f>
        <v>10370</v>
      </c>
      <c r="F87" s="34">
        <v>697</v>
      </c>
      <c r="G87" s="34">
        <f>SUM(M80+L67+M26+J55+O40+M9)</f>
        <v>4208</v>
      </c>
      <c r="H87" s="34">
        <f>(M79+L66+O39+M25+M8)</f>
        <v>4576</v>
      </c>
      <c r="I87" s="34">
        <f>(L68+J56+O41+M27+M11)</f>
        <v>3727</v>
      </c>
      <c r="Q87" s="36"/>
      <c r="R87" s="37"/>
      <c r="S87" s="35"/>
    </row>
    <row r="88" spans="1:19" s="32" customFormat="1" ht="15" customHeight="1">
      <c r="A88" s="32" t="s">
        <v>12</v>
      </c>
      <c r="B88" s="42">
        <v>1</v>
      </c>
      <c r="C88" s="35">
        <f t="shared" ref="C88:I88" si="0">SUM(C87/$B$87)</f>
        <v>0.31575643440050222</v>
      </c>
      <c r="D88" s="35">
        <f t="shared" si="0"/>
        <v>0.27310455464881078</v>
      </c>
      <c r="E88" s="35">
        <f t="shared" si="0"/>
        <v>0.1808258352514473</v>
      </c>
      <c r="F88" s="35">
        <f t="shared" si="0"/>
        <v>1.2153867615261212E-2</v>
      </c>
      <c r="G88" s="35">
        <f t="shared" si="0"/>
        <v>7.3376578084676014E-2</v>
      </c>
      <c r="H88" s="35">
        <f t="shared" si="0"/>
        <v>7.9793541187138176E-2</v>
      </c>
      <c r="I88" s="35">
        <f t="shared" si="0"/>
        <v>6.4989188812164325E-2</v>
      </c>
    </row>
    <row r="89" spans="1:19" s="32" customFormat="1" ht="15" customHeight="1">
      <c r="A89" s="32" t="s">
        <v>13</v>
      </c>
      <c r="B89" s="36">
        <v>28</v>
      </c>
      <c r="C89" s="32">
        <v>10</v>
      </c>
      <c r="D89" s="32">
        <v>8</v>
      </c>
      <c r="E89" s="32">
        <v>6</v>
      </c>
      <c r="F89" s="32">
        <v>0</v>
      </c>
      <c r="G89" s="32">
        <v>1</v>
      </c>
      <c r="H89" s="32">
        <v>3</v>
      </c>
      <c r="I89" s="32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7"/>
  <dimension ref="A1:S98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42578125" customWidth="1"/>
    <col min="4" max="18" width="8.7109375" customWidth="1"/>
  </cols>
  <sheetData>
    <row r="1" spans="1:14" s="2" customFormat="1" ht="16.5" customHeight="1">
      <c r="A1" s="1" t="s">
        <v>260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(13060/23677)</f>
        <v>0.55159015077923723</v>
      </c>
    </row>
    <row r="4" spans="1:14" s="2" customFormat="1" ht="16.5" customHeight="1" thickBot="1">
      <c r="A4" s="7" t="s">
        <v>256</v>
      </c>
      <c r="B4" s="8" t="s">
        <v>3</v>
      </c>
      <c r="C4" s="9">
        <v>4894</v>
      </c>
      <c r="D4" s="10"/>
      <c r="E4" s="9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4" s="2" customFormat="1" ht="16.5" customHeight="1" thickBot="1">
      <c r="A5" s="7" t="s">
        <v>103</v>
      </c>
      <c r="B5" s="43" t="s">
        <v>16</v>
      </c>
      <c r="C5" s="10">
        <v>1554</v>
      </c>
      <c r="D5" s="10">
        <v>2235</v>
      </c>
      <c r="E5" s="10">
        <v>2348</v>
      </c>
      <c r="F5" s="10">
        <v>2449</v>
      </c>
      <c r="G5" s="9">
        <v>2749</v>
      </c>
      <c r="H5" s="9"/>
      <c r="I5" s="11" t="s">
        <v>8</v>
      </c>
      <c r="J5" s="16" t="s">
        <v>5</v>
      </c>
      <c r="K5" s="17">
        <f>(C6+C8)</f>
        <v>2721</v>
      </c>
      <c r="L5" s="14">
        <f>SUM(K5/K12)</f>
        <v>0.21239559753336976</v>
      </c>
      <c r="M5" s="2">
        <v>1</v>
      </c>
    </row>
    <row r="6" spans="1:14" s="2" customFormat="1" ht="16.5" customHeight="1" thickBot="1">
      <c r="A6" s="7" t="s">
        <v>254</v>
      </c>
      <c r="B6" s="12" t="s">
        <v>5</v>
      </c>
      <c r="C6" s="10">
        <v>1449</v>
      </c>
      <c r="D6" s="10">
        <v>1733</v>
      </c>
      <c r="E6" s="10">
        <v>1791</v>
      </c>
      <c r="F6" s="10">
        <v>1866</v>
      </c>
      <c r="G6" s="10">
        <v>1916</v>
      </c>
      <c r="H6" s="9">
        <v>2082</v>
      </c>
      <c r="I6" s="11" t="s">
        <v>7</v>
      </c>
      <c r="J6" s="20" t="s">
        <v>3</v>
      </c>
      <c r="K6" s="17">
        <v>4894</v>
      </c>
      <c r="L6" s="14">
        <f>SUM(K6/K12)</f>
        <v>0.38201545546795723</v>
      </c>
      <c r="M6" s="2">
        <v>1</v>
      </c>
    </row>
    <row r="7" spans="1:14" s="2" customFormat="1" ht="16.5" customHeight="1" thickBot="1">
      <c r="A7" s="7" t="s">
        <v>253</v>
      </c>
      <c r="B7" s="81" t="s">
        <v>30</v>
      </c>
      <c r="C7" s="10">
        <v>1288</v>
      </c>
      <c r="D7" s="10">
        <v>1817</v>
      </c>
      <c r="E7" s="10">
        <v>1903</v>
      </c>
      <c r="F7" s="10">
        <v>1951</v>
      </c>
      <c r="G7" s="10">
        <v>2034</v>
      </c>
      <c r="H7" s="9">
        <v>2439</v>
      </c>
      <c r="I7" s="11" t="s">
        <v>6</v>
      </c>
      <c r="J7" s="21" t="s">
        <v>16</v>
      </c>
      <c r="K7" s="17">
        <v>1554</v>
      </c>
      <c r="L7" s="14">
        <f>SUM(K7/K12)</f>
        <v>0.12130200608851768</v>
      </c>
      <c r="M7" s="2">
        <v>1</v>
      </c>
    </row>
    <row r="8" spans="1:14" s="2" customFormat="1" ht="16.5" customHeight="1" thickBot="1">
      <c r="A8" s="18" t="s">
        <v>257</v>
      </c>
      <c r="B8" s="19" t="s">
        <v>5</v>
      </c>
      <c r="C8" s="10">
        <v>1272</v>
      </c>
      <c r="D8" s="10">
        <v>1504</v>
      </c>
      <c r="E8" s="10">
        <v>1544</v>
      </c>
      <c r="F8" s="10">
        <v>1609</v>
      </c>
      <c r="G8" s="10">
        <v>1646</v>
      </c>
      <c r="H8" s="10">
        <v>1766</v>
      </c>
      <c r="I8" s="11"/>
      <c r="J8" s="26" t="s">
        <v>18</v>
      </c>
      <c r="K8" s="17">
        <v>594</v>
      </c>
      <c r="L8" s="14">
        <f>SUM(K8/K12)</f>
        <v>4.6366403871672783E-2</v>
      </c>
    </row>
    <row r="9" spans="1:14" s="2" customFormat="1" ht="16.5" customHeight="1" thickBot="1">
      <c r="A9" s="18" t="s">
        <v>105</v>
      </c>
      <c r="B9" s="47" t="s">
        <v>21</v>
      </c>
      <c r="C9" s="10">
        <v>666</v>
      </c>
      <c r="D9" s="10">
        <v>944</v>
      </c>
      <c r="E9" s="10">
        <v>1054</v>
      </c>
      <c r="F9" s="10">
        <v>1187</v>
      </c>
      <c r="G9" s="10">
        <v>1434</v>
      </c>
      <c r="H9" s="10" t="s">
        <v>20</v>
      </c>
      <c r="J9" s="48" t="s">
        <v>21</v>
      </c>
      <c r="K9" s="17">
        <v>666</v>
      </c>
      <c r="L9" s="14">
        <f>SUM(K9/K12)</f>
        <v>5.1986574037936148E-2</v>
      </c>
    </row>
    <row r="10" spans="1:14" s="2" customFormat="1" ht="16.5" customHeight="1" thickBot="1">
      <c r="A10" s="18" t="s">
        <v>255</v>
      </c>
      <c r="B10" s="23" t="s">
        <v>107</v>
      </c>
      <c r="C10" s="10">
        <v>661</v>
      </c>
      <c r="D10" s="10">
        <v>758</v>
      </c>
      <c r="E10" s="10">
        <v>794</v>
      </c>
      <c r="F10" s="10">
        <v>934</v>
      </c>
      <c r="G10" s="10" t="s">
        <v>20</v>
      </c>
      <c r="J10" s="78" t="s">
        <v>30</v>
      </c>
      <c r="K10" s="17">
        <v>1288</v>
      </c>
      <c r="L10" s="14">
        <f>SUM(K10/K12)</f>
        <v>0.10053859964093358</v>
      </c>
      <c r="M10" s="2">
        <v>1</v>
      </c>
    </row>
    <row r="11" spans="1:14" s="2" customFormat="1" ht="16.5" customHeight="1" thickBot="1">
      <c r="A11" s="18" t="s">
        <v>258</v>
      </c>
      <c r="B11" s="27" t="s">
        <v>18</v>
      </c>
      <c r="C11" s="10">
        <v>594</v>
      </c>
      <c r="D11" s="10">
        <v>674</v>
      </c>
      <c r="E11" s="10">
        <v>703</v>
      </c>
      <c r="F11" s="10" t="s">
        <v>20</v>
      </c>
      <c r="J11" s="13" t="s">
        <v>17</v>
      </c>
      <c r="K11" s="17">
        <f>(C10+C12)</f>
        <v>1094</v>
      </c>
      <c r="L11" s="14">
        <f>SUM(K11/K12)</f>
        <v>8.5395363359612828E-2</v>
      </c>
    </row>
    <row r="12" spans="1:14" s="2" customFormat="1" ht="16.5" customHeight="1" thickBot="1">
      <c r="A12" s="18" t="s">
        <v>259</v>
      </c>
      <c r="B12" s="23" t="s">
        <v>14</v>
      </c>
      <c r="C12" s="10">
        <v>433</v>
      </c>
      <c r="D12" s="10">
        <v>583</v>
      </c>
      <c r="E12" s="10" t="s">
        <v>20</v>
      </c>
      <c r="K12" s="24">
        <v>12811</v>
      </c>
    </row>
    <row r="13" spans="1:14" s="2" customFormat="1" ht="10.5" customHeight="1">
      <c r="A13" s="1"/>
    </row>
    <row r="14" spans="1:14" s="2" customFormat="1" ht="17.45" customHeight="1">
      <c r="A14" s="1" t="s">
        <v>261</v>
      </c>
    </row>
    <row r="15" spans="1:14" s="2" customFormat="1" ht="10.5" customHeight="1" thickBot="1">
      <c r="A15" s="1"/>
    </row>
    <row r="16" spans="1:14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5">
        <v>9</v>
      </c>
      <c r="L16" s="6"/>
      <c r="M16" s="13" t="s">
        <v>9</v>
      </c>
      <c r="N16" s="14">
        <f>(12925/25860)</f>
        <v>0.49980665119876255</v>
      </c>
    </row>
    <row r="17" spans="1:16" s="2" customFormat="1" ht="16.5" customHeight="1" thickBot="1">
      <c r="A17" s="7" t="s">
        <v>264</v>
      </c>
      <c r="B17" s="31" t="s">
        <v>18</v>
      </c>
      <c r="C17" s="10">
        <v>1910</v>
      </c>
      <c r="D17" s="10">
        <v>1923</v>
      </c>
      <c r="E17" s="10">
        <v>1965</v>
      </c>
      <c r="F17" s="10">
        <v>2050</v>
      </c>
      <c r="G17" s="10">
        <v>2099</v>
      </c>
      <c r="H17" s="10">
        <v>2129</v>
      </c>
      <c r="I17" s="10">
        <v>2182</v>
      </c>
      <c r="J17" s="10">
        <v>2225</v>
      </c>
      <c r="K17" s="9">
        <v>2445</v>
      </c>
      <c r="L17" s="11" t="s">
        <v>7</v>
      </c>
      <c r="N17" s="13" t="s">
        <v>11</v>
      </c>
      <c r="O17" s="13" t="s">
        <v>12</v>
      </c>
      <c r="P17" s="13" t="s">
        <v>13</v>
      </c>
    </row>
    <row r="18" spans="1:16" s="2" customFormat="1" ht="16.5" customHeight="1" thickBot="1">
      <c r="A18" s="7" t="s">
        <v>116</v>
      </c>
      <c r="B18" s="15" t="s">
        <v>107</v>
      </c>
      <c r="C18" s="10">
        <v>1848</v>
      </c>
      <c r="D18" s="10">
        <v>1858</v>
      </c>
      <c r="E18" s="10">
        <v>1911</v>
      </c>
      <c r="F18" s="10">
        <v>1960</v>
      </c>
      <c r="G18" s="10">
        <v>2387</v>
      </c>
      <c r="H18" s="10">
        <v>2420</v>
      </c>
      <c r="I18" s="10">
        <v>2485</v>
      </c>
      <c r="J18" s="9">
        <v>2537</v>
      </c>
      <c r="K18" s="9"/>
      <c r="L18" s="11" t="s">
        <v>4</v>
      </c>
      <c r="M18" s="16" t="s">
        <v>5</v>
      </c>
      <c r="N18" s="17">
        <f>(C20+C23)</f>
        <v>2185</v>
      </c>
      <c r="O18" s="14">
        <f>SUM(N18/N25)</f>
        <v>0.17407584448693436</v>
      </c>
      <c r="P18" s="2">
        <v>1</v>
      </c>
    </row>
    <row r="19" spans="1:16" s="2" customFormat="1" ht="16.5" customHeight="1" thickBot="1">
      <c r="A19" s="7" t="s">
        <v>121</v>
      </c>
      <c r="B19" s="43" t="s">
        <v>16</v>
      </c>
      <c r="C19" s="10">
        <v>1750</v>
      </c>
      <c r="D19" s="10">
        <v>1756</v>
      </c>
      <c r="E19" s="10">
        <v>1809</v>
      </c>
      <c r="F19" s="10">
        <v>1840</v>
      </c>
      <c r="G19" s="10">
        <v>1889</v>
      </c>
      <c r="H19" s="10">
        <v>1955</v>
      </c>
      <c r="I19" s="10">
        <v>2079</v>
      </c>
      <c r="J19" s="10">
        <v>2156</v>
      </c>
      <c r="K19" s="9">
        <v>2467</v>
      </c>
      <c r="L19" s="11" t="s">
        <v>8</v>
      </c>
      <c r="M19" s="20" t="s">
        <v>3</v>
      </c>
      <c r="N19" s="17">
        <f>(C21+C24)</f>
        <v>1840</v>
      </c>
      <c r="O19" s="14">
        <f>SUM(N19/N25)</f>
        <v>0.14659018483110262</v>
      </c>
    </row>
    <row r="20" spans="1:16" s="2" customFormat="1" ht="16.5" customHeight="1" thickBot="1">
      <c r="A20" s="7" t="s">
        <v>265</v>
      </c>
      <c r="B20" s="12" t="s">
        <v>5</v>
      </c>
      <c r="C20" s="10">
        <v>1277</v>
      </c>
      <c r="D20" s="10">
        <v>1282</v>
      </c>
      <c r="E20" s="10">
        <v>1294</v>
      </c>
      <c r="F20" s="10">
        <v>1311</v>
      </c>
      <c r="G20" s="10">
        <v>1324</v>
      </c>
      <c r="H20" s="10">
        <v>1375</v>
      </c>
      <c r="I20" s="10">
        <v>1436</v>
      </c>
      <c r="J20" s="10">
        <v>1940</v>
      </c>
      <c r="K20" s="9">
        <v>2161</v>
      </c>
      <c r="L20" s="11" t="s">
        <v>6</v>
      </c>
      <c r="M20" s="21" t="s">
        <v>16</v>
      </c>
      <c r="N20" s="17">
        <v>1750</v>
      </c>
      <c r="O20" s="14">
        <f>SUM(N20/N25)</f>
        <v>0.1394200127469726</v>
      </c>
      <c r="P20" s="2">
        <v>1</v>
      </c>
    </row>
    <row r="21" spans="1:16" s="2" customFormat="1" ht="16.5" customHeight="1" thickBot="1">
      <c r="A21" s="18" t="s">
        <v>263</v>
      </c>
      <c r="B21" s="28" t="s">
        <v>3</v>
      </c>
      <c r="C21" s="10">
        <v>1077</v>
      </c>
      <c r="D21" s="10">
        <v>1081</v>
      </c>
      <c r="E21" s="10">
        <v>1097</v>
      </c>
      <c r="F21" s="10">
        <v>1102</v>
      </c>
      <c r="G21" s="10">
        <v>1107</v>
      </c>
      <c r="H21" s="10">
        <v>1213</v>
      </c>
      <c r="I21" s="10">
        <v>1578</v>
      </c>
      <c r="J21" s="10">
        <v>1755</v>
      </c>
      <c r="K21" s="10">
        <v>1887</v>
      </c>
      <c r="L21" s="11"/>
      <c r="M21" s="26" t="s">
        <v>18</v>
      </c>
      <c r="N21" s="17">
        <v>1910</v>
      </c>
      <c r="O21" s="14">
        <f>SUM(N21/N25)</f>
        <v>0.15216698534098153</v>
      </c>
      <c r="P21" s="2">
        <v>1</v>
      </c>
    </row>
    <row r="22" spans="1:16" s="2" customFormat="1" ht="16.5" customHeight="1" thickBot="1">
      <c r="A22" s="18" t="s">
        <v>271</v>
      </c>
      <c r="B22" s="23" t="s">
        <v>14</v>
      </c>
      <c r="C22" s="10">
        <v>948</v>
      </c>
      <c r="D22" s="10">
        <v>989</v>
      </c>
      <c r="E22" s="10">
        <v>1018</v>
      </c>
      <c r="F22" s="10">
        <v>1083</v>
      </c>
      <c r="G22" s="10">
        <v>1113</v>
      </c>
      <c r="H22" s="10">
        <v>1179</v>
      </c>
      <c r="I22" s="10">
        <v>1249</v>
      </c>
      <c r="J22" s="10">
        <v>1323</v>
      </c>
      <c r="K22" s="10" t="s">
        <v>20</v>
      </c>
      <c r="M22" s="48" t="s">
        <v>21</v>
      </c>
      <c r="N22" s="17">
        <v>340</v>
      </c>
      <c r="O22" s="14">
        <f>SUM(N22/N25)</f>
        <v>2.708731676226896E-2</v>
      </c>
    </row>
    <row r="23" spans="1:16" s="2" customFormat="1" ht="16.5" customHeight="1" thickBot="1">
      <c r="A23" s="18" t="s">
        <v>267</v>
      </c>
      <c r="B23" s="19" t="s">
        <v>5</v>
      </c>
      <c r="C23" s="10">
        <v>908</v>
      </c>
      <c r="D23" s="10">
        <v>910</v>
      </c>
      <c r="E23" s="10">
        <v>919</v>
      </c>
      <c r="F23" s="10">
        <v>922</v>
      </c>
      <c r="G23" s="10">
        <v>930</v>
      </c>
      <c r="H23" s="10">
        <v>1069</v>
      </c>
      <c r="I23" s="10">
        <v>1115</v>
      </c>
      <c r="J23" s="10" t="s">
        <v>20</v>
      </c>
      <c r="M23" s="78" t="s">
        <v>30</v>
      </c>
      <c r="N23" s="17">
        <v>611</v>
      </c>
      <c r="O23" s="14">
        <f>SUM(N23/N25)</f>
        <v>4.8677501593371572E-2</v>
      </c>
    </row>
    <row r="24" spans="1:16" s="2" customFormat="1" ht="16.5" customHeight="1" thickBot="1">
      <c r="A24" s="18" t="s">
        <v>266</v>
      </c>
      <c r="B24" s="28" t="s">
        <v>3</v>
      </c>
      <c r="C24" s="10">
        <v>763</v>
      </c>
      <c r="D24" s="10">
        <v>769</v>
      </c>
      <c r="E24" s="10">
        <v>782</v>
      </c>
      <c r="F24" s="10">
        <v>793</v>
      </c>
      <c r="G24" s="10">
        <v>802</v>
      </c>
      <c r="H24" s="10">
        <v>896</v>
      </c>
      <c r="I24" s="10" t="s">
        <v>20</v>
      </c>
      <c r="M24" s="13" t="s">
        <v>17</v>
      </c>
      <c r="N24" s="17">
        <f>(C18+C22+C26+C28+C29)</f>
        <v>3916</v>
      </c>
      <c r="O24" s="14">
        <f>SUM(N24/N25)</f>
        <v>0.31198215423836839</v>
      </c>
      <c r="P24" s="2">
        <v>1</v>
      </c>
    </row>
    <row r="25" spans="1:16" s="2" customFormat="1" ht="16.5" customHeight="1" thickBot="1">
      <c r="A25" s="18" t="s">
        <v>268</v>
      </c>
      <c r="B25" s="79" t="s">
        <v>30</v>
      </c>
      <c r="C25" s="10">
        <v>611</v>
      </c>
      <c r="D25" s="10">
        <v>614</v>
      </c>
      <c r="E25" s="10">
        <v>653</v>
      </c>
      <c r="F25" s="10">
        <v>659</v>
      </c>
      <c r="G25" s="10">
        <v>668</v>
      </c>
      <c r="H25" s="10" t="s">
        <v>20</v>
      </c>
      <c r="N25" s="24">
        <v>12552</v>
      </c>
    </row>
    <row r="26" spans="1:16" s="2" customFormat="1" ht="16.5" customHeight="1" thickBot="1">
      <c r="A26" s="18" t="s">
        <v>262</v>
      </c>
      <c r="B26" s="23" t="s">
        <v>107</v>
      </c>
      <c r="C26" s="10">
        <v>607</v>
      </c>
      <c r="D26" s="10">
        <v>610</v>
      </c>
      <c r="E26" s="10">
        <v>628</v>
      </c>
      <c r="F26" s="10">
        <v>656</v>
      </c>
      <c r="G26" s="10" t="s">
        <v>20</v>
      </c>
    </row>
    <row r="27" spans="1:16" s="2" customFormat="1" ht="16.5" customHeight="1" thickBot="1">
      <c r="A27" s="18" t="s">
        <v>269</v>
      </c>
      <c r="B27" s="47" t="s">
        <v>21</v>
      </c>
      <c r="C27" s="10">
        <v>340</v>
      </c>
      <c r="D27" s="10">
        <v>353</v>
      </c>
      <c r="E27" s="10" t="s">
        <v>20</v>
      </c>
      <c r="G27" s="17"/>
    </row>
    <row r="28" spans="1:16" s="2" customFormat="1" ht="16.5" customHeight="1" thickBot="1">
      <c r="A28" s="18" t="s">
        <v>272</v>
      </c>
      <c r="B28" s="23" t="s">
        <v>14</v>
      </c>
      <c r="C28" s="10">
        <v>304</v>
      </c>
      <c r="D28" s="10">
        <v>393</v>
      </c>
      <c r="E28" s="10">
        <v>412</v>
      </c>
      <c r="F28" s="10" t="s">
        <v>20</v>
      </c>
      <c r="G28" s="17"/>
    </row>
    <row r="29" spans="1:16" s="2" customFormat="1" ht="16.5" customHeight="1" thickBot="1">
      <c r="A29" s="18" t="s">
        <v>270</v>
      </c>
      <c r="B29" s="23" t="s">
        <v>14</v>
      </c>
      <c r="C29" s="10">
        <v>209</v>
      </c>
      <c r="D29" s="10" t="s">
        <v>20</v>
      </c>
      <c r="G29" s="17"/>
    </row>
    <row r="30" spans="1:16" s="2" customFormat="1" ht="11.25" customHeight="1">
      <c r="A30" s="29"/>
      <c r="B30" s="30"/>
      <c r="C30" s="45"/>
      <c r="D30" s="45"/>
      <c r="E30" s="45"/>
      <c r="F30" s="17"/>
      <c r="G30" s="17"/>
      <c r="H30" s="17"/>
      <c r="I30" s="17"/>
      <c r="J30" s="17"/>
      <c r="K30" s="17"/>
      <c r="L30" s="17"/>
      <c r="M30" s="17"/>
      <c r="N30" s="44"/>
    </row>
    <row r="31" spans="1:16" s="2" customFormat="1" ht="17.45" customHeight="1">
      <c r="A31" s="1" t="s">
        <v>288</v>
      </c>
    </row>
    <row r="32" spans="1:16" s="2" customFormat="1" ht="10.5" customHeight="1" thickBot="1">
      <c r="A32" s="1"/>
    </row>
    <row r="33" spans="1:18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6"/>
      <c r="O33" s="13" t="s">
        <v>9</v>
      </c>
      <c r="P33" s="14">
        <f>(17048/30694)</f>
        <v>0.55541799700267158</v>
      </c>
    </row>
    <row r="34" spans="1:18" s="2" customFormat="1" ht="16.5" customHeight="1" thickBot="1">
      <c r="A34" s="7" t="s">
        <v>131</v>
      </c>
      <c r="B34" s="15" t="s">
        <v>107</v>
      </c>
      <c r="C34" s="10">
        <v>2763</v>
      </c>
      <c r="D34" s="10">
        <v>2783</v>
      </c>
      <c r="E34" s="9">
        <v>2815</v>
      </c>
      <c r="F34" s="10"/>
      <c r="G34" s="10"/>
      <c r="H34" s="10"/>
      <c r="I34" s="10"/>
      <c r="J34" s="10"/>
      <c r="K34" s="10"/>
      <c r="L34" s="10"/>
      <c r="M34" s="10"/>
      <c r="N34" s="11" t="s">
        <v>4</v>
      </c>
      <c r="P34" s="13" t="s">
        <v>11</v>
      </c>
      <c r="Q34" s="13" t="s">
        <v>12</v>
      </c>
      <c r="R34" s="13" t="s">
        <v>13</v>
      </c>
    </row>
    <row r="35" spans="1:18" s="2" customFormat="1" ht="16.5" customHeight="1" thickBot="1">
      <c r="A35" s="7" t="s">
        <v>289</v>
      </c>
      <c r="B35" s="12" t="s">
        <v>5</v>
      </c>
      <c r="C35" s="10">
        <v>2266</v>
      </c>
      <c r="D35" s="10">
        <v>2293</v>
      </c>
      <c r="E35" s="10">
        <v>2359</v>
      </c>
      <c r="F35" s="10">
        <v>2389</v>
      </c>
      <c r="G35" s="10">
        <v>2413</v>
      </c>
      <c r="H35" s="10">
        <v>2496</v>
      </c>
      <c r="I35" s="10">
        <v>2613</v>
      </c>
      <c r="J35" s="10">
        <v>2735</v>
      </c>
      <c r="K35" s="9">
        <v>3505</v>
      </c>
      <c r="L35" s="9"/>
      <c r="M35" s="9"/>
      <c r="N35" s="11" t="s">
        <v>8</v>
      </c>
      <c r="O35" s="16" t="s">
        <v>5</v>
      </c>
      <c r="P35" s="17">
        <f>(C35+C40)</f>
        <v>3488</v>
      </c>
      <c r="Q35" s="14">
        <f>SUM(P35/P42)</f>
        <v>0.20847528539836233</v>
      </c>
      <c r="R35" s="2">
        <v>1</v>
      </c>
    </row>
    <row r="36" spans="1:18" s="2" customFormat="1" ht="16.5" customHeight="1" thickBot="1">
      <c r="A36" s="7" t="s">
        <v>136</v>
      </c>
      <c r="B36" s="43" t="s">
        <v>16</v>
      </c>
      <c r="C36" s="10">
        <v>1506</v>
      </c>
      <c r="D36" s="10">
        <v>1512</v>
      </c>
      <c r="E36" s="10">
        <v>1539</v>
      </c>
      <c r="F36" s="10">
        <v>1553</v>
      </c>
      <c r="G36" s="10">
        <v>1753</v>
      </c>
      <c r="H36" s="10">
        <v>1814</v>
      </c>
      <c r="I36" s="10">
        <v>1872</v>
      </c>
      <c r="J36" s="10">
        <v>2001</v>
      </c>
      <c r="K36" s="10">
        <v>2040</v>
      </c>
      <c r="L36" s="10">
        <v>2098</v>
      </c>
      <c r="M36" s="9">
        <v>2419</v>
      </c>
      <c r="N36" s="11" t="s">
        <v>7</v>
      </c>
      <c r="O36" s="20" t="s">
        <v>3</v>
      </c>
      <c r="P36" s="17">
        <f>(C38+C45+C44+C48)</f>
        <v>2742</v>
      </c>
      <c r="Q36" s="14">
        <f>SUM(P36/P42)</f>
        <v>0.16388739465662541</v>
      </c>
      <c r="R36" s="2">
        <v>1</v>
      </c>
    </row>
    <row r="37" spans="1:18" s="2" customFormat="1" ht="16.5" customHeight="1" thickBot="1">
      <c r="A37" s="18" t="s">
        <v>148</v>
      </c>
      <c r="B37" s="22" t="s">
        <v>16</v>
      </c>
      <c r="C37" s="10">
        <v>1375</v>
      </c>
      <c r="D37" s="10">
        <v>1475</v>
      </c>
      <c r="E37" s="10">
        <v>1484</v>
      </c>
      <c r="F37" s="10">
        <v>1501</v>
      </c>
      <c r="G37" s="10">
        <v>1511</v>
      </c>
      <c r="H37" s="10">
        <v>1549</v>
      </c>
      <c r="I37" s="10">
        <v>1572</v>
      </c>
      <c r="J37" s="10">
        <v>1649</v>
      </c>
      <c r="K37" s="10">
        <v>1697</v>
      </c>
      <c r="L37" s="10">
        <v>1727</v>
      </c>
      <c r="M37" s="10" t="s">
        <v>20</v>
      </c>
      <c r="O37" s="21" t="s">
        <v>16</v>
      </c>
      <c r="P37" s="17">
        <f>(C37+C36+C39)</f>
        <v>4109</v>
      </c>
      <c r="Q37" s="14">
        <f>SUM(P37/P42)</f>
        <v>0.24559201482278406</v>
      </c>
      <c r="R37" s="2">
        <v>2</v>
      </c>
    </row>
    <row r="38" spans="1:18" s="2" customFormat="1" ht="16.5" customHeight="1" thickBot="1">
      <c r="A38" s="7" t="s">
        <v>127</v>
      </c>
      <c r="B38" s="8" t="s">
        <v>3</v>
      </c>
      <c r="C38" s="10">
        <v>1246</v>
      </c>
      <c r="D38" s="10">
        <v>1277</v>
      </c>
      <c r="E38" s="10">
        <v>1324</v>
      </c>
      <c r="F38" s="10">
        <v>1337</v>
      </c>
      <c r="G38" s="10">
        <v>1394</v>
      </c>
      <c r="H38" s="10">
        <v>1740</v>
      </c>
      <c r="I38" s="10">
        <v>1814</v>
      </c>
      <c r="J38" s="10">
        <v>1871</v>
      </c>
      <c r="K38" s="10">
        <v>2070</v>
      </c>
      <c r="L38" s="10">
        <v>2204</v>
      </c>
      <c r="M38" s="9">
        <v>2408</v>
      </c>
      <c r="N38" s="11" t="s">
        <v>6</v>
      </c>
      <c r="O38" s="26" t="s">
        <v>18</v>
      </c>
      <c r="P38" s="17">
        <v>995</v>
      </c>
      <c r="Q38" s="14">
        <f>SUM(P38/P42)</f>
        <v>5.9470444085828703E-2</v>
      </c>
    </row>
    <row r="39" spans="1:18" s="2" customFormat="1" ht="16.5" customHeight="1" thickBot="1">
      <c r="A39" s="7" t="s">
        <v>135</v>
      </c>
      <c r="B39" s="43" t="s">
        <v>16</v>
      </c>
      <c r="C39" s="10">
        <v>1228</v>
      </c>
      <c r="D39" s="10">
        <v>1231</v>
      </c>
      <c r="E39" s="10">
        <v>1262</v>
      </c>
      <c r="F39" s="10">
        <v>1300</v>
      </c>
      <c r="G39" s="10">
        <v>1321</v>
      </c>
      <c r="H39" s="10">
        <v>1398</v>
      </c>
      <c r="I39" s="10">
        <v>1551</v>
      </c>
      <c r="J39" s="10">
        <v>1697</v>
      </c>
      <c r="K39" s="10">
        <v>1810</v>
      </c>
      <c r="L39" s="10">
        <v>1891</v>
      </c>
      <c r="M39" s="9">
        <v>2408</v>
      </c>
      <c r="N39" s="11" t="s">
        <v>10</v>
      </c>
      <c r="O39" s="48" t="s">
        <v>21</v>
      </c>
      <c r="P39" s="17">
        <v>968</v>
      </c>
      <c r="Q39" s="14">
        <f>SUM(P39/P42)</f>
        <v>5.7856673241288625E-2</v>
      </c>
    </row>
    <row r="40" spans="1:18" s="2" customFormat="1" ht="16.5" customHeight="1" thickBot="1">
      <c r="A40" s="18" t="s">
        <v>291</v>
      </c>
      <c r="B40" s="19" t="s">
        <v>5</v>
      </c>
      <c r="C40" s="10">
        <v>1222</v>
      </c>
      <c r="D40" s="10">
        <v>1230</v>
      </c>
      <c r="E40" s="10">
        <v>1273</v>
      </c>
      <c r="F40" s="10">
        <v>1285</v>
      </c>
      <c r="G40" s="10">
        <v>1316</v>
      </c>
      <c r="H40" s="10">
        <v>1353</v>
      </c>
      <c r="I40" s="10">
        <v>1438</v>
      </c>
      <c r="J40" s="10">
        <v>1519</v>
      </c>
      <c r="K40" s="10" t="s">
        <v>20</v>
      </c>
      <c r="O40" s="78" t="s">
        <v>30</v>
      </c>
      <c r="P40" s="17">
        <v>407</v>
      </c>
      <c r="Q40" s="14">
        <f>SUM(P40/P42)</f>
        <v>2.4326101249178174E-2</v>
      </c>
    </row>
    <row r="41" spans="1:18" s="2" customFormat="1" ht="16.5" customHeight="1" thickBot="1">
      <c r="A41" s="18" t="s">
        <v>292</v>
      </c>
      <c r="B41" s="27" t="s">
        <v>18</v>
      </c>
      <c r="C41" s="10">
        <v>995</v>
      </c>
      <c r="D41" s="10">
        <v>1001</v>
      </c>
      <c r="E41" s="10">
        <v>1012</v>
      </c>
      <c r="F41" s="10">
        <v>1091</v>
      </c>
      <c r="G41" s="10">
        <v>1101</v>
      </c>
      <c r="H41" s="10">
        <v>1118</v>
      </c>
      <c r="I41" s="10">
        <v>1239</v>
      </c>
      <c r="J41" s="10" t="s">
        <v>20</v>
      </c>
      <c r="M41" s="44"/>
      <c r="O41" s="13" t="s">
        <v>17</v>
      </c>
      <c r="P41" s="17">
        <f>(C34+C43+C46)</f>
        <v>4022</v>
      </c>
      <c r="Q41" s="14">
        <f>SUM(P41/P42)</f>
        <v>0.24039208654593269</v>
      </c>
      <c r="R41" s="2">
        <v>1</v>
      </c>
    </row>
    <row r="42" spans="1:18" s="2" customFormat="1" ht="16.5" customHeight="1" thickBot="1">
      <c r="A42" s="18" t="s">
        <v>130</v>
      </c>
      <c r="B42" s="47" t="s">
        <v>21</v>
      </c>
      <c r="C42" s="10">
        <v>968</v>
      </c>
      <c r="D42" s="10">
        <v>988</v>
      </c>
      <c r="E42" s="10">
        <v>1033</v>
      </c>
      <c r="F42" s="10">
        <v>1089</v>
      </c>
      <c r="G42" s="10">
        <v>1143</v>
      </c>
      <c r="H42" s="10">
        <v>1221</v>
      </c>
      <c r="I42" s="10">
        <v>1353</v>
      </c>
      <c r="J42" s="10">
        <v>1588</v>
      </c>
      <c r="K42" s="10">
        <v>1713</v>
      </c>
      <c r="L42" s="10">
        <v>1800</v>
      </c>
      <c r="M42" s="10">
        <v>1992</v>
      </c>
      <c r="N42" s="11"/>
      <c r="P42" s="24">
        <v>16731</v>
      </c>
    </row>
    <row r="43" spans="1:18" s="2" customFormat="1" ht="16.5" customHeight="1" thickBot="1">
      <c r="A43" s="18" t="s">
        <v>134</v>
      </c>
      <c r="B43" s="23" t="s">
        <v>14</v>
      </c>
      <c r="C43" s="10">
        <v>826</v>
      </c>
      <c r="D43" s="10">
        <v>827</v>
      </c>
      <c r="E43" s="10">
        <v>863</v>
      </c>
      <c r="F43" s="10">
        <v>936</v>
      </c>
      <c r="G43" s="10">
        <v>942</v>
      </c>
      <c r="H43" s="10">
        <v>982</v>
      </c>
      <c r="I43" s="10" t="s">
        <v>20</v>
      </c>
      <c r="O43" s="24"/>
    </row>
    <row r="44" spans="1:18" s="2" customFormat="1" ht="16.5" customHeight="1" thickBot="1">
      <c r="A44" s="18" t="s">
        <v>290</v>
      </c>
      <c r="B44" s="28" t="s">
        <v>3</v>
      </c>
      <c r="C44" s="10">
        <v>678</v>
      </c>
      <c r="D44" s="10">
        <v>713</v>
      </c>
      <c r="E44" s="10">
        <v>740</v>
      </c>
      <c r="F44" s="10">
        <v>749</v>
      </c>
      <c r="G44" s="10">
        <v>847</v>
      </c>
      <c r="H44" s="10" t="s">
        <v>20</v>
      </c>
      <c r="I44" s="46"/>
      <c r="J44" s="46"/>
      <c r="K44" s="46"/>
      <c r="L44" s="46"/>
      <c r="M44"/>
    </row>
    <row r="45" spans="1:18" s="2" customFormat="1" ht="16.5" customHeight="1" thickBot="1">
      <c r="A45" s="18" t="s">
        <v>128</v>
      </c>
      <c r="B45" s="28" t="s">
        <v>3</v>
      </c>
      <c r="C45" s="10">
        <v>517</v>
      </c>
      <c r="D45" s="10">
        <v>536</v>
      </c>
      <c r="E45" s="10">
        <v>550</v>
      </c>
      <c r="F45" s="10">
        <v>554</v>
      </c>
      <c r="G45" s="10" t="s">
        <v>20</v>
      </c>
      <c r="H45" s="17"/>
      <c r="I45" s="17"/>
      <c r="J45" s="17"/>
    </row>
    <row r="46" spans="1:18" s="2" customFormat="1" ht="16.5" customHeight="1" thickBot="1">
      <c r="A46" s="18" t="s">
        <v>293</v>
      </c>
      <c r="B46" s="23" t="s">
        <v>107</v>
      </c>
      <c r="C46" s="10">
        <v>433</v>
      </c>
      <c r="D46" s="10">
        <v>433</v>
      </c>
      <c r="E46" s="10">
        <v>441</v>
      </c>
      <c r="F46" s="10" t="s">
        <v>20</v>
      </c>
      <c r="G46" s="17"/>
      <c r="H46" s="17"/>
      <c r="I46" s="17"/>
      <c r="J46" s="44"/>
    </row>
    <row r="47" spans="1:18" s="2" customFormat="1" ht="16.5" customHeight="1" thickBot="1">
      <c r="A47" s="18" t="s">
        <v>294</v>
      </c>
      <c r="B47" s="79" t="s">
        <v>30</v>
      </c>
      <c r="C47" s="10">
        <v>407</v>
      </c>
      <c r="D47" s="10">
        <v>421</v>
      </c>
      <c r="E47" s="10" t="s">
        <v>20</v>
      </c>
      <c r="G47" s="17"/>
      <c r="H47" s="17"/>
      <c r="I47" s="17"/>
      <c r="J47" s="44"/>
    </row>
    <row r="48" spans="1:18" s="2" customFormat="1" ht="16.5" customHeight="1" thickBot="1">
      <c r="A48" s="18" t="s">
        <v>295</v>
      </c>
      <c r="B48" s="28" t="s">
        <v>3</v>
      </c>
      <c r="C48" s="10">
        <v>301</v>
      </c>
      <c r="D48" s="10" t="s">
        <v>20</v>
      </c>
      <c r="E48" s="17"/>
      <c r="G48" s="17"/>
      <c r="H48" s="24"/>
      <c r="I48" s="46"/>
      <c r="J48" s="46"/>
      <c r="K48"/>
    </row>
    <row r="50" spans="1:19" s="2" customFormat="1" ht="17.45" customHeight="1">
      <c r="A50" s="1" t="s">
        <v>239</v>
      </c>
    </row>
    <row r="51" spans="1:19" s="2" customFormat="1" ht="10.5" customHeight="1" thickBot="1">
      <c r="A51" s="1"/>
    </row>
    <row r="52" spans="1:19" s="2" customFormat="1" ht="16.5" customHeight="1" thickBot="1">
      <c r="A52" s="4" t="s">
        <v>0</v>
      </c>
      <c r="B52" s="5" t="s">
        <v>1</v>
      </c>
      <c r="C52" s="5" t="s">
        <v>2</v>
      </c>
      <c r="D52" s="5">
        <v>2</v>
      </c>
      <c r="E52" s="5">
        <v>3</v>
      </c>
      <c r="F52" s="5">
        <v>4</v>
      </c>
      <c r="G52" s="5">
        <v>5</v>
      </c>
      <c r="H52" s="5">
        <v>6</v>
      </c>
      <c r="I52" s="5">
        <v>7</v>
      </c>
      <c r="J52" s="5">
        <v>8</v>
      </c>
      <c r="K52" s="5">
        <v>9</v>
      </c>
      <c r="L52" s="5">
        <v>10</v>
      </c>
      <c r="M52" s="5">
        <v>11</v>
      </c>
      <c r="N52" s="5">
        <v>12</v>
      </c>
      <c r="O52" s="6"/>
      <c r="P52" s="13" t="s">
        <v>9</v>
      </c>
      <c r="Q52" s="14">
        <f>(14662/26010)</f>
        <v>0.56370626682045366</v>
      </c>
    </row>
    <row r="53" spans="1:19" s="2" customFormat="1" ht="16.5" customHeight="1" thickBot="1">
      <c r="A53" s="7" t="s">
        <v>145</v>
      </c>
      <c r="B53" s="15" t="s">
        <v>14</v>
      </c>
      <c r="C53" s="10">
        <v>1708</v>
      </c>
      <c r="D53" s="10">
        <v>1727</v>
      </c>
      <c r="E53" s="10">
        <v>1768</v>
      </c>
      <c r="F53" s="10">
        <v>1792</v>
      </c>
      <c r="G53" s="10">
        <v>1834</v>
      </c>
      <c r="H53" s="10">
        <v>1968</v>
      </c>
      <c r="I53" s="10">
        <v>2005</v>
      </c>
      <c r="J53" s="10">
        <v>2105</v>
      </c>
      <c r="K53" s="10">
        <v>2174</v>
      </c>
      <c r="L53" s="10">
        <v>2253</v>
      </c>
      <c r="M53" s="10">
        <v>2405</v>
      </c>
      <c r="N53" s="9">
        <v>2592</v>
      </c>
      <c r="O53" s="11" t="s">
        <v>8</v>
      </c>
      <c r="Q53" s="13" t="s">
        <v>11</v>
      </c>
      <c r="R53" s="13" t="s">
        <v>12</v>
      </c>
      <c r="S53" s="13" t="s">
        <v>13</v>
      </c>
    </row>
    <row r="54" spans="1:19" s="2" customFormat="1" ht="16.5" customHeight="1" thickBot="1">
      <c r="A54" s="7" t="s">
        <v>241</v>
      </c>
      <c r="B54" s="80" t="s">
        <v>21</v>
      </c>
      <c r="C54" s="10">
        <v>1460</v>
      </c>
      <c r="D54" s="10">
        <v>1482</v>
      </c>
      <c r="E54" s="10">
        <v>1523</v>
      </c>
      <c r="F54" s="10">
        <v>1564</v>
      </c>
      <c r="G54" s="10">
        <v>1655</v>
      </c>
      <c r="H54" s="10">
        <v>1670</v>
      </c>
      <c r="I54" s="10">
        <v>1719</v>
      </c>
      <c r="J54" s="10">
        <v>1782</v>
      </c>
      <c r="K54" s="10">
        <v>1985</v>
      </c>
      <c r="L54" s="10">
        <v>2154</v>
      </c>
      <c r="M54" s="10">
        <v>2248</v>
      </c>
      <c r="N54" s="9">
        <v>2526</v>
      </c>
      <c r="O54" s="11" t="s">
        <v>6</v>
      </c>
      <c r="P54" s="16" t="s">
        <v>5</v>
      </c>
      <c r="Q54" s="17">
        <f>(C56+C58+C64)</f>
        <v>2866</v>
      </c>
      <c r="R54" s="14">
        <f>SUM(Q54/Q60)</f>
        <v>0.20022355735643427</v>
      </c>
    </row>
    <row r="55" spans="1:19" s="2" customFormat="1" ht="16.5" customHeight="1" thickBot="1">
      <c r="A55" s="18" t="s">
        <v>240</v>
      </c>
      <c r="B55" s="28" t="s">
        <v>3</v>
      </c>
      <c r="C55" s="10">
        <v>1378</v>
      </c>
      <c r="D55" s="10">
        <v>1391</v>
      </c>
      <c r="E55" s="10">
        <v>1402</v>
      </c>
      <c r="F55" s="10">
        <v>1488</v>
      </c>
      <c r="G55" s="10">
        <v>1494</v>
      </c>
      <c r="H55" s="10">
        <v>1507</v>
      </c>
      <c r="I55" s="10">
        <v>1521</v>
      </c>
      <c r="J55" s="10">
        <v>1555</v>
      </c>
      <c r="K55" s="10">
        <v>1598</v>
      </c>
      <c r="L55" s="10">
        <v>1854</v>
      </c>
      <c r="M55" s="10">
        <v>1937</v>
      </c>
      <c r="N55" s="10" t="s">
        <v>20</v>
      </c>
      <c r="P55" s="20" t="s">
        <v>3</v>
      </c>
      <c r="Q55" s="17">
        <f>(C55+C60)</f>
        <v>2395</v>
      </c>
      <c r="R55" s="14">
        <f>SUM(Q55/Q60)</f>
        <v>0.1673187089562666</v>
      </c>
    </row>
    <row r="56" spans="1:19" s="2" customFormat="1" ht="16.5" customHeight="1" thickBot="1">
      <c r="A56" s="18" t="s">
        <v>245</v>
      </c>
      <c r="B56" s="19" t="s">
        <v>5</v>
      </c>
      <c r="C56" s="10">
        <v>1190</v>
      </c>
      <c r="D56" s="10">
        <v>1193</v>
      </c>
      <c r="E56" s="10">
        <v>1195</v>
      </c>
      <c r="F56" s="10">
        <v>1206</v>
      </c>
      <c r="G56" s="10">
        <v>1218</v>
      </c>
      <c r="H56" s="10">
        <v>1318</v>
      </c>
      <c r="I56" s="10">
        <v>1376</v>
      </c>
      <c r="J56" s="10">
        <v>1503</v>
      </c>
      <c r="K56" s="10">
        <v>1515</v>
      </c>
      <c r="L56" s="10">
        <v>1659</v>
      </c>
      <c r="M56" s="10" t="s">
        <v>20</v>
      </c>
      <c r="P56" s="21" t="s">
        <v>16</v>
      </c>
      <c r="Q56" s="17">
        <f>(C57+C61+C63)</f>
        <v>2615</v>
      </c>
      <c r="R56" s="14">
        <f>SUM(Q56/Q60)</f>
        <v>0.18268827721112199</v>
      </c>
      <c r="S56" s="2">
        <v>1</v>
      </c>
    </row>
    <row r="57" spans="1:19" s="2" customFormat="1" ht="16.5" customHeight="1" thickBot="1">
      <c r="A57" s="7" t="s">
        <v>147</v>
      </c>
      <c r="B57" s="43" t="s">
        <v>16</v>
      </c>
      <c r="C57" s="10">
        <v>1188</v>
      </c>
      <c r="D57" s="10">
        <v>1198</v>
      </c>
      <c r="E57" s="10">
        <v>1213</v>
      </c>
      <c r="F57" s="10">
        <v>1260</v>
      </c>
      <c r="G57" s="10">
        <v>1309</v>
      </c>
      <c r="H57" s="10">
        <v>1323</v>
      </c>
      <c r="I57" s="10">
        <v>1439</v>
      </c>
      <c r="J57" s="10">
        <v>1472</v>
      </c>
      <c r="K57" s="10">
        <v>1770</v>
      </c>
      <c r="L57" s="10">
        <v>1948</v>
      </c>
      <c r="M57" s="10">
        <v>2027</v>
      </c>
      <c r="N57" s="9">
        <v>2628</v>
      </c>
      <c r="O57" s="11" t="s">
        <v>4</v>
      </c>
      <c r="P57" s="48" t="s">
        <v>21</v>
      </c>
      <c r="Q57" s="17">
        <v>1460</v>
      </c>
      <c r="R57" s="14">
        <f>SUM(Q57/Q60)</f>
        <v>0.1019980438731312</v>
      </c>
      <c r="S57" s="2">
        <v>1</v>
      </c>
    </row>
    <row r="58" spans="1:19" s="2" customFormat="1" ht="16.5" customHeight="1" thickBot="1">
      <c r="A58" s="18" t="s">
        <v>248</v>
      </c>
      <c r="B58" s="19" t="s">
        <v>5</v>
      </c>
      <c r="C58" s="10">
        <v>1185</v>
      </c>
      <c r="D58" s="10">
        <v>1212</v>
      </c>
      <c r="E58" s="10">
        <v>1276</v>
      </c>
      <c r="F58" s="10">
        <v>1298</v>
      </c>
      <c r="G58" s="10">
        <v>1305</v>
      </c>
      <c r="H58" s="10">
        <v>1420</v>
      </c>
      <c r="I58" s="10">
        <v>1430</v>
      </c>
      <c r="J58" s="10">
        <v>1466</v>
      </c>
      <c r="K58" s="10">
        <v>1677</v>
      </c>
      <c r="L58" s="10">
        <v>1716</v>
      </c>
      <c r="M58" s="10">
        <v>2115</v>
      </c>
      <c r="N58" s="10">
        <v>2306</v>
      </c>
      <c r="O58" s="11"/>
      <c r="P58" s="78" t="s">
        <v>30</v>
      </c>
      <c r="Q58" s="17">
        <v>806</v>
      </c>
      <c r="R58" s="14">
        <f>SUM(Q58/Q60)</f>
        <v>5.630850915187928E-2</v>
      </c>
    </row>
    <row r="59" spans="1:19" s="2" customFormat="1" ht="16.5" customHeight="1" thickBot="1">
      <c r="A59" s="7" t="s">
        <v>242</v>
      </c>
      <c r="B59" s="15" t="s">
        <v>14</v>
      </c>
      <c r="C59" s="10">
        <v>1102</v>
      </c>
      <c r="D59" s="10">
        <v>1104</v>
      </c>
      <c r="E59" s="10">
        <v>1131</v>
      </c>
      <c r="F59" s="10">
        <v>1157</v>
      </c>
      <c r="G59" s="10">
        <v>1226</v>
      </c>
      <c r="H59" s="10">
        <v>1240</v>
      </c>
      <c r="I59" s="10">
        <v>1425</v>
      </c>
      <c r="J59" s="10">
        <v>1662</v>
      </c>
      <c r="K59" s="10">
        <v>1692</v>
      </c>
      <c r="L59" s="10">
        <v>1962</v>
      </c>
      <c r="M59" s="10">
        <v>2440</v>
      </c>
      <c r="N59" s="9">
        <v>2570</v>
      </c>
      <c r="O59" s="11" t="s">
        <v>7</v>
      </c>
      <c r="P59" s="13" t="s">
        <v>17</v>
      </c>
      <c r="Q59" s="17">
        <f>(C53+C59+C65+C66+C67+C68)</f>
        <v>4172</v>
      </c>
      <c r="R59" s="14">
        <f>SUM(Q59/Q60)</f>
        <v>0.29146290345116671</v>
      </c>
      <c r="S59" s="2">
        <v>2</v>
      </c>
    </row>
    <row r="60" spans="1:19" s="2" customFormat="1" ht="16.5" customHeight="1" thickBot="1">
      <c r="A60" s="18" t="s">
        <v>146</v>
      </c>
      <c r="B60" s="28" t="s">
        <v>3</v>
      </c>
      <c r="C60" s="10">
        <v>1017</v>
      </c>
      <c r="D60" s="10">
        <v>1026</v>
      </c>
      <c r="E60" s="10">
        <v>1040</v>
      </c>
      <c r="F60" s="10">
        <v>1052</v>
      </c>
      <c r="G60" s="10">
        <v>1082</v>
      </c>
      <c r="H60" s="10">
        <v>1102</v>
      </c>
      <c r="I60" s="10">
        <v>1139</v>
      </c>
      <c r="J60" s="10">
        <v>1295</v>
      </c>
      <c r="K60" s="10">
        <v>1343</v>
      </c>
      <c r="L60" s="10" t="s">
        <v>20</v>
      </c>
      <c r="Q60" s="24">
        <v>14314</v>
      </c>
    </row>
    <row r="61" spans="1:19" s="2" customFormat="1" ht="16.5" customHeight="1" thickBot="1">
      <c r="A61" s="18" t="s">
        <v>243</v>
      </c>
      <c r="B61" s="22" t="s">
        <v>16</v>
      </c>
      <c r="C61" s="10">
        <v>831</v>
      </c>
      <c r="D61" s="10">
        <v>859</v>
      </c>
      <c r="E61" s="10">
        <v>912</v>
      </c>
      <c r="F61" s="10">
        <v>931</v>
      </c>
      <c r="G61" s="10">
        <v>954</v>
      </c>
      <c r="H61" s="10">
        <v>956</v>
      </c>
      <c r="I61" s="10">
        <v>1027</v>
      </c>
      <c r="J61" s="10">
        <v>1043</v>
      </c>
      <c r="K61" s="10" t="s">
        <v>20</v>
      </c>
    </row>
    <row r="62" spans="1:19" s="2" customFormat="1" ht="16.5" customHeight="1" thickBot="1">
      <c r="A62" s="18" t="s">
        <v>249</v>
      </c>
      <c r="B62" s="79" t="s">
        <v>30</v>
      </c>
      <c r="C62" s="10">
        <v>806</v>
      </c>
      <c r="D62" s="10">
        <v>812</v>
      </c>
      <c r="E62" s="10">
        <v>822</v>
      </c>
      <c r="F62" s="10">
        <v>835</v>
      </c>
      <c r="G62" s="10">
        <v>852</v>
      </c>
      <c r="H62" s="10">
        <v>867</v>
      </c>
      <c r="I62" s="10">
        <v>924</v>
      </c>
      <c r="J62" s="10" t="s">
        <v>20</v>
      </c>
    </row>
    <row r="63" spans="1:19" s="2" customFormat="1" ht="16.5" customHeight="1" thickBot="1">
      <c r="A63" s="18" t="s">
        <v>250</v>
      </c>
      <c r="B63" s="22" t="s">
        <v>16</v>
      </c>
      <c r="C63" s="10">
        <v>596</v>
      </c>
      <c r="D63" s="10">
        <v>598</v>
      </c>
      <c r="E63" s="10">
        <v>608</v>
      </c>
      <c r="F63" s="10">
        <v>625</v>
      </c>
      <c r="G63" s="10">
        <v>679</v>
      </c>
      <c r="H63" s="10">
        <v>699</v>
      </c>
      <c r="I63" s="10" t="s">
        <v>20</v>
      </c>
      <c r="J63" s="17"/>
      <c r="K63" s="17"/>
      <c r="L63" s="17"/>
      <c r="M63" s="17"/>
    </row>
    <row r="64" spans="1:19" s="2" customFormat="1" ht="16.5" customHeight="1" thickBot="1">
      <c r="A64" s="18" t="s">
        <v>247</v>
      </c>
      <c r="B64" s="19" t="s">
        <v>5</v>
      </c>
      <c r="C64" s="10">
        <v>491</v>
      </c>
      <c r="D64" s="10">
        <v>494</v>
      </c>
      <c r="E64" s="10">
        <v>497</v>
      </c>
      <c r="F64" s="10">
        <v>504</v>
      </c>
      <c r="G64" s="10">
        <v>509</v>
      </c>
      <c r="H64" s="10" t="s">
        <v>20</v>
      </c>
      <c r="I64" s="17"/>
      <c r="J64" s="17"/>
      <c r="K64" s="17"/>
      <c r="L64" s="17"/>
      <c r="M64" s="17"/>
    </row>
    <row r="65" spans="1:14" s="2" customFormat="1" ht="16.5" customHeight="1" thickBot="1">
      <c r="A65" s="18" t="s">
        <v>246</v>
      </c>
      <c r="B65" s="23" t="s">
        <v>107</v>
      </c>
      <c r="C65" s="10">
        <v>458</v>
      </c>
      <c r="D65" s="10">
        <v>460</v>
      </c>
      <c r="E65" s="10">
        <v>468</v>
      </c>
      <c r="F65" s="10">
        <v>481</v>
      </c>
      <c r="G65" s="10" t="s">
        <v>20</v>
      </c>
      <c r="H65" s="17"/>
      <c r="I65" s="17"/>
      <c r="J65" s="17"/>
      <c r="K65" s="17"/>
      <c r="L65" s="17"/>
      <c r="M65" s="17"/>
      <c r="N65" s="44"/>
    </row>
    <row r="66" spans="1:14" s="2" customFormat="1" ht="16.5" customHeight="1" thickBot="1">
      <c r="A66" s="18" t="s">
        <v>252</v>
      </c>
      <c r="B66" s="23" t="s">
        <v>14</v>
      </c>
      <c r="C66" s="10">
        <v>377</v>
      </c>
      <c r="D66" s="10">
        <v>382</v>
      </c>
      <c r="E66" s="10">
        <v>404</v>
      </c>
      <c r="F66" s="10" t="s">
        <v>20</v>
      </c>
      <c r="I66" s="17"/>
      <c r="J66" s="17"/>
      <c r="K66" s="17"/>
      <c r="L66" s="17"/>
      <c r="M66" s="17"/>
    </row>
    <row r="67" spans="1:14" s="2" customFormat="1" ht="16.5" customHeight="1" thickBot="1">
      <c r="A67" s="18" t="s">
        <v>244</v>
      </c>
      <c r="B67" s="23" t="s">
        <v>14</v>
      </c>
      <c r="C67" s="10">
        <v>300</v>
      </c>
      <c r="D67" s="10">
        <v>355</v>
      </c>
      <c r="E67" s="10" t="s">
        <v>20</v>
      </c>
      <c r="I67" s="17"/>
      <c r="J67" s="17"/>
      <c r="K67" s="17"/>
      <c r="L67" s="17"/>
      <c r="M67" s="17"/>
    </row>
    <row r="68" spans="1:14" s="2" customFormat="1" ht="16.5" customHeight="1" thickBot="1">
      <c r="A68" s="18" t="s">
        <v>251</v>
      </c>
      <c r="B68" s="23" t="s">
        <v>14</v>
      </c>
      <c r="C68" s="10">
        <v>227</v>
      </c>
      <c r="D68" s="10" t="s">
        <v>20</v>
      </c>
      <c r="F68" s="17"/>
      <c r="H68" s="17"/>
      <c r="I68" s="17"/>
      <c r="J68" s="17"/>
      <c r="K68" s="17"/>
      <c r="L68" s="17"/>
      <c r="M68" s="17"/>
      <c r="N68" s="44"/>
    </row>
    <row r="69" spans="1:14" s="2" customFormat="1" ht="11.25" customHeight="1">
      <c r="A69" s="29"/>
      <c r="B69" s="30"/>
      <c r="C69" s="29"/>
      <c r="D69" s="29"/>
      <c r="E69" s="29"/>
      <c r="N69" s="14"/>
    </row>
    <row r="70" spans="1:14" s="2" customFormat="1" ht="17.45" customHeight="1">
      <c r="A70" s="1" t="s">
        <v>273</v>
      </c>
    </row>
    <row r="71" spans="1:14" s="2" customFormat="1" ht="8.25" customHeight="1" thickBot="1">
      <c r="A71" s="1"/>
    </row>
    <row r="72" spans="1:14" s="2" customFormat="1" ht="17.45" customHeight="1" thickBot="1">
      <c r="A72" s="4" t="s">
        <v>0</v>
      </c>
      <c r="B72" s="5" t="s">
        <v>1</v>
      </c>
      <c r="C72" s="5" t="s">
        <v>2</v>
      </c>
      <c r="D72" s="5">
        <v>2</v>
      </c>
      <c r="E72" s="5">
        <v>3</v>
      </c>
      <c r="F72" s="5">
        <v>4</v>
      </c>
      <c r="G72" s="5">
        <v>5</v>
      </c>
      <c r="H72" s="5"/>
      <c r="I72" s="13" t="s">
        <v>9</v>
      </c>
      <c r="J72" s="14">
        <f>(12095/21109)</f>
        <v>0.5729783504666256</v>
      </c>
    </row>
    <row r="73" spans="1:14" s="2" customFormat="1" ht="17.45" customHeight="1" thickBot="1">
      <c r="A73" s="7" t="s">
        <v>157</v>
      </c>
      <c r="B73" s="43" t="s">
        <v>16</v>
      </c>
      <c r="C73" s="9">
        <v>3958</v>
      </c>
      <c r="D73" s="10"/>
      <c r="E73" s="9"/>
      <c r="F73" s="10"/>
      <c r="G73" s="10"/>
      <c r="H73" s="11" t="s">
        <v>4</v>
      </c>
      <c r="J73" s="13" t="s">
        <v>11</v>
      </c>
      <c r="K73" s="13" t="s">
        <v>12</v>
      </c>
      <c r="L73" s="13" t="s">
        <v>13</v>
      </c>
      <c r="M73" s="13"/>
    </row>
    <row r="74" spans="1:14" s="2" customFormat="1" ht="17.45" customHeight="1" thickBot="1">
      <c r="A74" s="7" t="s">
        <v>276</v>
      </c>
      <c r="B74" s="12" t="s">
        <v>5</v>
      </c>
      <c r="C74" s="10">
        <v>2000</v>
      </c>
      <c r="D74" s="10">
        <v>2095</v>
      </c>
      <c r="E74" s="10">
        <v>2144</v>
      </c>
      <c r="F74" s="9">
        <v>2444</v>
      </c>
      <c r="G74" s="10"/>
      <c r="H74" s="11" t="s">
        <v>7</v>
      </c>
      <c r="I74" s="16" t="s">
        <v>5</v>
      </c>
      <c r="J74" s="17">
        <f>(C74+C76)</f>
        <v>3415</v>
      </c>
      <c r="K74" s="14">
        <f>SUM(J74/J79)</f>
        <v>0.28997197928165069</v>
      </c>
      <c r="L74" s="2">
        <v>1</v>
      </c>
    </row>
    <row r="75" spans="1:14" s="2" customFormat="1" ht="17.45" customHeight="1" thickBot="1">
      <c r="A75" s="7" t="s">
        <v>159</v>
      </c>
      <c r="B75" s="80" t="s">
        <v>21</v>
      </c>
      <c r="C75" s="10">
        <v>1747</v>
      </c>
      <c r="D75" s="10">
        <v>2340</v>
      </c>
      <c r="E75" s="9">
        <v>2469</v>
      </c>
      <c r="F75" s="10"/>
      <c r="G75" s="10"/>
      <c r="H75" s="11" t="s">
        <v>8</v>
      </c>
      <c r="I75" s="20" t="s">
        <v>3</v>
      </c>
      <c r="J75" s="17">
        <f>(C78+C79)</f>
        <v>1605</v>
      </c>
      <c r="K75" s="14">
        <f>SUM(J75/J79)</f>
        <v>0.13628258469898955</v>
      </c>
      <c r="L75" s="2">
        <v>1</v>
      </c>
    </row>
    <row r="76" spans="1:14" s="2" customFormat="1" ht="17.45" customHeight="1" thickBot="1">
      <c r="A76" s="18" t="s">
        <v>277</v>
      </c>
      <c r="B76" s="19" t="s">
        <v>5</v>
      </c>
      <c r="C76" s="10">
        <v>1415</v>
      </c>
      <c r="D76" s="10">
        <v>1583</v>
      </c>
      <c r="E76" s="10">
        <v>1660</v>
      </c>
      <c r="F76" s="10">
        <v>1957</v>
      </c>
      <c r="G76" s="10">
        <v>1969</v>
      </c>
      <c r="H76" s="11"/>
      <c r="I76" s="21" t="s">
        <v>16</v>
      </c>
      <c r="J76" s="17">
        <v>3958</v>
      </c>
      <c r="K76" s="14">
        <f>SUM(J76/J79)</f>
        <v>0.33607879765644899</v>
      </c>
      <c r="L76" s="2">
        <v>1</v>
      </c>
    </row>
    <row r="77" spans="1:14" s="2" customFormat="1" ht="17.45" customHeight="1" thickBot="1">
      <c r="A77" s="18" t="s">
        <v>278</v>
      </c>
      <c r="B77" s="79" t="s">
        <v>30</v>
      </c>
      <c r="C77" s="10">
        <v>1052</v>
      </c>
      <c r="D77" s="10">
        <v>1308</v>
      </c>
      <c r="E77" s="10">
        <v>1410</v>
      </c>
      <c r="F77" s="10" t="s">
        <v>20</v>
      </c>
      <c r="I77" s="78" t="s">
        <v>30</v>
      </c>
      <c r="J77" s="17">
        <v>1052</v>
      </c>
      <c r="K77" s="14">
        <f>SUM(J77/J79)</f>
        <v>8.9326653646938953E-2</v>
      </c>
    </row>
    <row r="78" spans="1:14" s="2" customFormat="1" ht="17.45" customHeight="1" thickBot="1">
      <c r="A78" s="7" t="s">
        <v>274</v>
      </c>
      <c r="B78" s="8" t="s">
        <v>3</v>
      </c>
      <c r="C78" s="10">
        <v>971</v>
      </c>
      <c r="D78" s="10">
        <v>1139</v>
      </c>
      <c r="E78" s="10">
        <v>1642</v>
      </c>
      <c r="F78" s="10">
        <v>2080</v>
      </c>
      <c r="G78" s="9">
        <v>2140</v>
      </c>
      <c r="H78" s="11" t="s">
        <v>6</v>
      </c>
      <c r="I78" s="48" t="s">
        <v>21</v>
      </c>
      <c r="J78" s="17">
        <v>1747</v>
      </c>
      <c r="K78" s="14">
        <f>SUM(J78/J79)</f>
        <v>0.14833998471597182</v>
      </c>
      <c r="L78" s="2">
        <v>1</v>
      </c>
      <c r="M78" s="14"/>
    </row>
    <row r="79" spans="1:14" s="2" customFormat="1" ht="17.45" customHeight="1" thickBot="1">
      <c r="A79" s="18" t="s">
        <v>275</v>
      </c>
      <c r="B79" s="28" t="s">
        <v>3</v>
      </c>
      <c r="C79" s="10">
        <v>634</v>
      </c>
      <c r="D79" s="10">
        <v>956</v>
      </c>
      <c r="E79" s="10" t="s">
        <v>20</v>
      </c>
      <c r="I79" s="13"/>
      <c r="J79" s="24">
        <v>11777</v>
      </c>
      <c r="K79" s="14"/>
    </row>
    <row r="81" spans="1:19" s="2" customFormat="1" ht="17.45" customHeight="1">
      <c r="A81" s="1" t="s">
        <v>279</v>
      </c>
    </row>
    <row r="82" spans="1:19" s="2" customFormat="1" ht="8.25" customHeight="1" thickBot="1">
      <c r="A82" s="1"/>
    </row>
    <row r="83" spans="1:19" s="2" customFormat="1" ht="17.45" customHeight="1" thickBot="1">
      <c r="A83" s="4" t="s">
        <v>0</v>
      </c>
      <c r="B83" s="5" t="s">
        <v>1</v>
      </c>
      <c r="C83" s="5" t="s">
        <v>2</v>
      </c>
      <c r="D83" s="5">
        <v>2</v>
      </c>
      <c r="E83" s="5">
        <v>3</v>
      </c>
      <c r="F83" s="5">
        <v>4</v>
      </c>
      <c r="G83" s="5">
        <v>5</v>
      </c>
      <c r="H83" s="5">
        <v>6</v>
      </c>
      <c r="I83" s="5">
        <v>7</v>
      </c>
      <c r="J83" s="5">
        <v>8</v>
      </c>
      <c r="K83" s="5"/>
      <c r="L83" s="13" t="s">
        <v>9</v>
      </c>
      <c r="M83" s="14">
        <f>(10343/17708)</f>
        <v>0.5840862886830811</v>
      </c>
    </row>
    <row r="84" spans="1:19" s="2" customFormat="1" ht="17.45" customHeight="1" thickBot="1">
      <c r="A84" s="7" t="s">
        <v>156</v>
      </c>
      <c r="B84" s="8" t="s">
        <v>3</v>
      </c>
      <c r="C84" s="9">
        <v>2612</v>
      </c>
      <c r="D84" s="10"/>
      <c r="E84" s="9"/>
      <c r="F84" s="10"/>
      <c r="G84" s="10"/>
      <c r="H84" s="9"/>
      <c r="I84" s="10"/>
      <c r="J84" s="10"/>
      <c r="K84" s="11" t="s">
        <v>4</v>
      </c>
      <c r="M84" s="13" t="s">
        <v>11</v>
      </c>
      <c r="N84" s="13" t="s">
        <v>12</v>
      </c>
      <c r="O84" s="13" t="s">
        <v>13</v>
      </c>
      <c r="P84" s="13"/>
    </row>
    <row r="85" spans="1:19" s="2" customFormat="1" ht="17.45" customHeight="1" thickBot="1">
      <c r="A85" s="7" t="s">
        <v>281</v>
      </c>
      <c r="B85" s="8" t="s">
        <v>3</v>
      </c>
      <c r="C85" s="10">
        <v>1553</v>
      </c>
      <c r="D85" s="10">
        <v>1600</v>
      </c>
      <c r="E85" s="10">
        <v>1631</v>
      </c>
      <c r="F85" s="10">
        <v>1744</v>
      </c>
      <c r="G85" s="10">
        <v>1815</v>
      </c>
      <c r="H85" s="10">
        <v>1959</v>
      </c>
      <c r="I85" s="10">
        <v>2166</v>
      </c>
      <c r="J85" s="9">
        <v>2386</v>
      </c>
      <c r="K85" s="11" t="s">
        <v>7</v>
      </c>
      <c r="L85" s="16" t="s">
        <v>5</v>
      </c>
      <c r="M85" s="17">
        <f>(C87+C89+C93)</f>
        <v>2142</v>
      </c>
      <c r="N85" s="14">
        <f>SUM(M85/M92)</f>
        <v>0.21143026354752739</v>
      </c>
    </row>
    <row r="86" spans="1:19" s="2" customFormat="1" ht="17.45" customHeight="1" thickBot="1">
      <c r="A86" s="7" t="s">
        <v>286</v>
      </c>
      <c r="B86" s="80" t="s">
        <v>21</v>
      </c>
      <c r="C86" s="10">
        <v>1242</v>
      </c>
      <c r="D86" s="10">
        <v>1271</v>
      </c>
      <c r="E86" s="10">
        <v>1281</v>
      </c>
      <c r="F86" s="10">
        <v>1379</v>
      </c>
      <c r="G86" s="10">
        <v>1509</v>
      </c>
      <c r="H86" s="10">
        <v>1761</v>
      </c>
      <c r="I86" s="10">
        <v>1919</v>
      </c>
      <c r="J86" s="9">
        <v>2562</v>
      </c>
      <c r="K86" s="11" t="s">
        <v>8</v>
      </c>
      <c r="L86" s="20" t="s">
        <v>3</v>
      </c>
      <c r="M86" s="17">
        <f>(C84+C85)</f>
        <v>4165</v>
      </c>
      <c r="N86" s="14">
        <f>SUM(M86/M92)</f>
        <v>0.41111440134241439</v>
      </c>
      <c r="O86" s="2">
        <v>2</v>
      </c>
    </row>
    <row r="87" spans="1:19" s="2" customFormat="1" ht="17.45" customHeight="1" thickBot="1">
      <c r="A87" s="18" t="s">
        <v>282</v>
      </c>
      <c r="B87" s="19" t="s">
        <v>5</v>
      </c>
      <c r="C87" s="10">
        <v>993</v>
      </c>
      <c r="D87" s="10">
        <v>1059</v>
      </c>
      <c r="E87" s="10">
        <v>1065</v>
      </c>
      <c r="F87" s="10">
        <v>1124</v>
      </c>
      <c r="G87" s="10">
        <v>1162</v>
      </c>
      <c r="H87" s="10">
        <v>1184</v>
      </c>
      <c r="I87" s="10">
        <v>1716</v>
      </c>
      <c r="J87" s="10">
        <v>1781</v>
      </c>
      <c r="K87" s="11"/>
      <c r="L87" s="21" t="s">
        <v>16</v>
      </c>
      <c r="M87" s="17">
        <v>668</v>
      </c>
      <c r="N87" s="14">
        <f>SUM(M87/M92)</f>
        <v>6.5936235317342815E-2</v>
      </c>
    </row>
    <row r="88" spans="1:19" s="2" customFormat="1" ht="17.45" customHeight="1" thickBot="1">
      <c r="A88" s="18" t="s">
        <v>162</v>
      </c>
      <c r="B88" s="23" t="s">
        <v>107</v>
      </c>
      <c r="C88" s="10">
        <v>815</v>
      </c>
      <c r="D88" s="10">
        <v>846</v>
      </c>
      <c r="E88" s="10">
        <v>851</v>
      </c>
      <c r="F88" s="10">
        <v>868</v>
      </c>
      <c r="G88" s="10">
        <v>1023</v>
      </c>
      <c r="H88" s="10">
        <v>1214</v>
      </c>
      <c r="I88" s="10">
        <v>1277</v>
      </c>
      <c r="J88" s="10" t="s">
        <v>20</v>
      </c>
      <c r="L88" s="26" t="s">
        <v>18</v>
      </c>
      <c r="M88" s="17">
        <v>576</v>
      </c>
      <c r="N88" s="14">
        <f>SUM(M88/M92)</f>
        <v>5.68551969203435E-2</v>
      </c>
    </row>
    <row r="89" spans="1:19" s="2" customFormat="1" ht="17.45" customHeight="1" thickBot="1">
      <c r="A89" s="18" t="s">
        <v>285</v>
      </c>
      <c r="B89" s="19" t="s">
        <v>5</v>
      </c>
      <c r="C89" s="10">
        <v>812</v>
      </c>
      <c r="D89" s="10">
        <v>898</v>
      </c>
      <c r="E89" s="10">
        <v>907</v>
      </c>
      <c r="F89" s="10">
        <v>1057</v>
      </c>
      <c r="G89" s="10">
        <v>1104</v>
      </c>
      <c r="H89" s="10">
        <v>1169</v>
      </c>
      <c r="I89" s="10" t="s">
        <v>20</v>
      </c>
      <c r="L89" s="48" t="s">
        <v>21</v>
      </c>
      <c r="M89" s="17">
        <v>1242</v>
      </c>
      <c r="N89" s="14">
        <f>SUM(M89/M92)</f>
        <v>0.12259401835949067</v>
      </c>
      <c r="O89" s="2">
        <v>1</v>
      </c>
      <c r="P89" s="14"/>
    </row>
    <row r="90" spans="1:19" s="2" customFormat="1" ht="17.45" customHeight="1" thickBot="1">
      <c r="A90" s="18" t="s">
        <v>280</v>
      </c>
      <c r="B90" s="22" t="s">
        <v>16</v>
      </c>
      <c r="C90" s="10">
        <v>668</v>
      </c>
      <c r="D90" s="10">
        <v>681</v>
      </c>
      <c r="E90" s="10">
        <v>688</v>
      </c>
      <c r="F90" s="10">
        <v>742</v>
      </c>
      <c r="G90" s="10">
        <v>804</v>
      </c>
      <c r="H90" s="10" t="s">
        <v>20</v>
      </c>
      <c r="L90" s="78" t="s">
        <v>30</v>
      </c>
      <c r="M90" s="17">
        <v>523</v>
      </c>
      <c r="N90" s="14">
        <f>SUM(M90/M92)</f>
        <v>5.1623729148159117E-2</v>
      </c>
    </row>
    <row r="91" spans="1:19" s="2" customFormat="1" ht="17.45" customHeight="1" thickBot="1">
      <c r="A91" s="18" t="s">
        <v>287</v>
      </c>
      <c r="B91" s="27" t="s">
        <v>18</v>
      </c>
      <c r="C91" s="10">
        <v>576</v>
      </c>
      <c r="D91" s="10">
        <v>598</v>
      </c>
      <c r="E91" s="10">
        <v>600</v>
      </c>
      <c r="F91" s="10">
        <v>610</v>
      </c>
      <c r="G91" s="10" t="s">
        <v>20</v>
      </c>
      <c r="L91" s="13" t="s">
        <v>17</v>
      </c>
      <c r="M91" s="17">
        <v>815</v>
      </c>
      <c r="N91" s="14">
        <f>SUM(M91/M92)</f>
        <v>8.0446155364722147E-2</v>
      </c>
    </row>
    <row r="92" spans="1:19" s="2" customFormat="1" ht="17.45" customHeight="1" thickBot="1">
      <c r="A92" s="18" t="s">
        <v>283</v>
      </c>
      <c r="B92" s="79" t="s">
        <v>30</v>
      </c>
      <c r="C92" s="10">
        <v>523</v>
      </c>
      <c r="D92" s="10">
        <v>543</v>
      </c>
      <c r="E92" s="10">
        <v>552</v>
      </c>
      <c r="F92" s="10" t="s">
        <v>20</v>
      </c>
      <c r="J92" s="13"/>
      <c r="M92" s="24">
        <v>10131</v>
      </c>
    </row>
    <row r="93" spans="1:19" s="2" customFormat="1" ht="17.45" customHeight="1" thickBot="1">
      <c r="A93" s="18" t="s">
        <v>284</v>
      </c>
      <c r="B93" s="19" t="s">
        <v>5</v>
      </c>
      <c r="C93" s="10">
        <v>337</v>
      </c>
      <c r="D93" s="10" t="s">
        <v>20</v>
      </c>
      <c r="K93" s="13"/>
      <c r="M93" s="14"/>
    </row>
    <row r="95" spans="1:19" s="32" customFormat="1" ht="15" customHeight="1">
      <c r="B95" s="36" t="s">
        <v>19</v>
      </c>
      <c r="C95" s="38" t="s">
        <v>5</v>
      </c>
      <c r="D95" s="39" t="s">
        <v>3</v>
      </c>
      <c r="E95" s="40" t="s">
        <v>16</v>
      </c>
      <c r="F95" s="41" t="s">
        <v>18</v>
      </c>
      <c r="G95" s="49" t="s">
        <v>21</v>
      </c>
      <c r="H95" s="82" t="s">
        <v>30</v>
      </c>
      <c r="I95" s="36" t="s">
        <v>17</v>
      </c>
      <c r="Q95" s="33"/>
      <c r="R95" s="34"/>
      <c r="S95" s="35"/>
    </row>
    <row r="96" spans="1:19" s="32" customFormat="1" ht="15" customHeight="1">
      <c r="A96" s="32" t="s">
        <v>11</v>
      </c>
      <c r="B96" s="37">
        <f>SUM(K12+P42+Q60+M92+N25+J79)</f>
        <v>78316</v>
      </c>
      <c r="C96" s="34">
        <f>SUM(M85+Q54+P35+N18+K5+J74)</f>
        <v>16817</v>
      </c>
      <c r="D96" s="34">
        <f>SUM(M86+Q55+P36+N19+K6+J75)</f>
        <v>17641</v>
      </c>
      <c r="E96" s="34">
        <f>SUM(M87+Q56+P37+N20+K7+J76)</f>
        <v>14654</v>
      </c>
      <c r="F96" s="34">
        <f>SUM(M88+P38+N21+K8)</f>
        <v>4075</v>
      </c>
      <c r="G96" s="34">
        <f>(M89+Q57+P39+K9+J78+N22)</f>
        <v>6423</v>
      </c>
      <c r="H96" s="34">
        <f>(M90+J77+Q58+P40+N23+K10)</f>
        <v>4687</v>
      </c>
      <c r="I96" s="34">
        <f>SUM(M91+Q59+P41+N24+K11)</f>
        <v>14019</v>
      </c>
      <c r="K96" s="34"/>
      <c r="Q96" s="36"/>
      <c r="R96" s="37"/>
      <c r="S96" s="35"/>
    </row>
    <row r="97" spans="1:11" s="32" customFormat="1" ht="15" customHeight="1">
      <c r="A97" s="32" t="s">
        <v>12</v>
      </c>
      <c r="B97" s="42">
        <v>1</v>
      </c>
      <c r="C97" s="35">
        <f t="shared" ref="C97:I97" si="0">SUM(C96/$B$96)</f>
        <v>0.21473262168650084</v>
      </c>
      <c r="D97" s="35">
        <f t="shared" si="0"/>
        <v>0.22525409877930436</v>
      </c>
      <c r="E97" s="35">
        <f t="shared" si="0"/>
        <v>0.18711374431789163</v>
      </c>
      <c r="F97" s="35">
        <f t="shared" si="0"/>
        <v>5.2032790234434856E-2</v>
      </c>
      <c r="G97" s="35">
        <f t="shared" si="0"/>
        <v>8.201389243577302E-2</v>
      </c>
      <c r="H97" s="35">
        <f>SUM(H96/$B$96)</f>
        <v>5.9847285356759795E-2</v>
      </c>
      <c r="I97" s="35">
        <f t="shared" si="0"/>
        <v>0.17900556718933552</v>
      </c>
      <c r="K97" s="34"/>
    </row>
    <row r="98" spans="1:11" s="32" customFormat="1" ht="15" customHeight="1">
      <c r="A98" s="32" t="s">
        <v>13</v>
      </c>
      <c r="B98" s="36">
        <v>24</v>
      </c>
      <c r="C98" s="32">
        <v>4</v>
      </c>
      <c r="D98" s="32">
        <v>5</v>
      </c>
      <c r="E98" s="32">
        <v>6</v>
      </c>
      <c r="F98" s="32">
        <v>1</v>
      </c>
      <c r="G98" s="32">
        <v>3</v>
      </c>
      <c r="H98" s="32">
        <v>1</v>
      </c>
      <c r="I98" s="32">
        <v>4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8"/>
  <dimension ref="A1:S86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9" width="8.7109375" customWidth="1"/>
  </cols>
  <sheetData>
    <row r="1" spans="1:15" s="2" customFormat="1" ht="16.5" customHeight="1">
      <c r="A1" s="1" t="s">
        <v>307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(17232/32269)</f>
        <v>0.53401097028107469</v>
      </c>
    </row>
    <row r="4" spans="1:15" s="2" customFormat="1" ht="16.5" customHeight="1" thickBot="1">
      <c r="A4" s="7" t="s">
        <v>172</v>
      </c>
      <c r="B4" s="15" t="s">
        <v>14</v>
      </c>
      <c r="C4" s="9">
        <v>3680</v>
      </c>
      <c r="D4" s="10"/>
      <c r="E4" s="10"/>
      <c r="F4" s="10"/>
      <c r="G4" s="10"/>
      <c r="H4" s="10"/>
      <c r="I4" s="10"/>
      <c r="J4" s="9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309</v>
      </c>
      <c r="B5" s="80" t="s">
        <v>21</v>
      </c>
      <c r="C5" s="10">
        <v>2440</v>
      </c>
      <c r="D5" s="10">
        <v>2547</v>
      </c>
      <c r="E5" s="10">
        <v>2691</v>
      </c>
      <c r="F5" s="10">
        <v>2923</v>
      </c>
      <c r="G5" s="10">
        <v>3036</v>
      </c>
      <c r="H5" s="9">
        <v>3454</v>
      </c>
      <c r="I5" s="9"/>
      <c r="J5" s="10"/>
      <c r="K5" s="11" t="s">
        <v>8</v>
      </c>
      <c r="L5" s="16" t="s">
        <v>5</v>
      </c>
      <c r="M5" s="17">
        <f>(C10+C11+C13)</f>
        <v>2953</v>
      </c>
      <c r="N5" s="14">
        <f>SUM(M5/M12)</f>
        <v>0.17451687252526446</v>
      </c>
    </row>
    <row r="6" spans="1:15" s="2" customFormat="1" ht="16.5" customHeight="1" thickBot="1">
      <c r="A6" s="7" t="s">
        <v>180</v>
      </c>
      <c r="B6" s="43" t="s">
        <v>16</v>
      </c>
      <c r="C6" s="10">
        <v>1774</v>
      </c>
      <c r="D6" s="10">
        <v>1807</v>
      </c>
      <c r="E6" s="10">
        <v>1873</v>
      </c>
      <c r="F6" s="10">
        <v>2019</v>
      </c>
      <c r="G6" s="10">
        <v>2095</v>
      </c>
      <c r="H6" s="10">
        <v>2338</v>
      </c>
      <c r="I6" s="10">
        <v>2363</v>
      </c>
      <c r="J6" s="9">
        <v>3110</v>
      </c>
      <c r="K6" s="11" t="s">
        <v>7</v>
      </c>
      <c r="L6" s="20" t="s">
        <v>3</v>
      </c>
      <c r="M6" s="17">
        <f>(C9+C14)</f>
        <v>1746</v>
      </c>
      <c r="N6" s="14">
        <f>SUM(M6/M12)</f>
        <v>0.10318539093434194</v>
      </c>
    </row>
    <row r="7" spans="1:15" s="2" customFormat="1" ht="16.5" customHeight="1" thickBot="1">
      <c r="A7" s="7" t="s">
        <v>308</v>
      </c>
      <c r="B7" s="15" t="s">
        <v>14</v>
      </c>
      <c r="C7" s="10">
        <v>1688</v>
      </c>
      <c r="D7" s="10">
        <v>1720</v>
      </c>
      <c r="E7" s="10">
        <v>1742</v>
      </c>
      <c r="F7" s="10">
        <v>1820</v>
      </c>
      <c r="G7" s="10">
        <v>2192</v>
      </c>
      <c r="H7" s="10">
        <v>2542</v>
      </c>
      <c r="I7" s="10">
        <v>2574</v>
      </c>
      <c r="J7" s="9">
        <v>2879</v>
      </c>
      <c r="K7" s="11" t="s">
        <v>6</v>
      </c>
      <c r="L7" s="21" t="s">
        <v>16</v>
      </c>
      <c r="M7" s="17">
        <v>1774</v>
      </c>
      <c r="N7" s="14">
        <f>SUM(M7/M12)</f>
        <v>0.10484013947166243</v>
      </c>
      <c r="O7" s="2">
        <v>1</v>
      </c>
    </row>
    <row r="8" spans="1:15" s="2" customFormat="1" ht="16.5" customHeight="1" thickBot="1">
      <c r="A8" s="18" t="s">
        <v>315</v>
      </c>
      <c r="B8" s="27" t="s">
        <v>18</v>
      </c>
      <c r="C8" s="10">
        <v>1542</v>
      </c>
      <c r="D8" s="10">
        <v>1552</v>
      </c>
      <c r="E8" s="10">
        <v>1580</v>
      </c>
      <c r="F8" s="10">
        <v>1640</v>
      </c>
      <c r="G8" s="10">
        <v>1755</v>
      </c>
      <c r="H8" s="10" t="s">
        <v>20</v>
      </c>
      <c r="L8" s="26" t="s">
        <v>18</v>
      </c>
      <c r="M8" s="17">
        <v>1542</v>
      </c>
      <c r="N8" s="14">
        <f>SUM(M8/M12)</f>
        <v>9.1129365876721227E-2</v>
      </c>
    </row>
    <row r="9" spans="1:15" s="2" customFormat="1" ht="16.5" customHeight="1" thickBot="1">
      <c r="A9" s="18" t="s">
        <v>311</v>
      </c>
      <c r="B9" s="28" t="s">
        <v>3</v>
      </c>
      <c r="C9" s="10">
        <v>1370</v>
      </c>
      <c r="D9" s="10">
        <v>1405</v>
      </c>
      <c r="E9" s="10">
        <v>1664</v>
      </c>
      <c r="F9" s="10">
        <v>1923</v>
      </c>
      <c r="G9" s="10">
        <v>2013</v>
      </c>
      <c r="H9" s="10">
        <v>2134</v>
      </c>
      <c r="I9" s="10">
        <v>2142</v>
      </c>
      <c r="J9" s="10" t="s">
        <v>20</v>
      </c>
      <c r="L9" s="48" t="s">
        <v>21</v>
      </c>
      <c r="M9" s="17">
        <v>2440</v>
      </c>
      <c r="N9" s="14">
        <f>SUM(M9/M12)</f>
        <v>0.14419951539507123</v>
      </c>
      <c r="O9" s="2">
        <v>1</v>
      </c>
    </row>
    <row r="10" spans="1:15" s="2" customFormat="1" ht="16.5" customHeight="1" thickBot="1">
      <c r="A10" s="18" t="s">
        <v>316</v>
      </c>
      <c r="B10" s="19" t="s">
        <v>5</v>
      </c>
      <c r="C10" s="10">
        <v>1255</v>
      </c>
      <c r="D10" s="10">
        <v>1274</v>
      </c>
      <c r="E10" s="10">
        <v>1399</v>
      </c>
      <c r="F10" s="10">
        <v>1588</v>
      </c>
      <c r="G10" s="10">
        <v>2066</v>
      </c>
      <c r="H10" s="10">
        <v>2175</v>
      </c>
      <c r="I10" s="10">
        <v>2179</v>
      </c>
      <c r="J10" s="10">
        <v>2607</v>
      </c>
      <c r="K10" s="11"/>
      <c r="L10" s="78" t="s">
        <v>30</v>
      </c>
      <c r="M10" s="17">
        <v>1098</v>
      </c>
      <c r="N10" s="14">
        <f>SUM(M10/M12)</f>
        <v>6.4889781927782039E-2</v>
      </c>
    </row>
    <row r="11" spans="1:15" s="2" customFormat="1" ht="16.5" customHeight="1" thickBot="1">
      <c r="A11" s="18" t="s">
        <v>313</v>
      </c>
      <c r="B11" s="19" t="s">
        <v>5</v>
      </c>
      <c r="C11" s="10">
        <v>1218</v>
      </c>
      <c r="D11" s="10">
        <v>1227</v>
      </c>
      <c r="E11" s="10">
        <v>1302</v>
      </c>
      <c r="F11" s="10">
        <v>1431</v>
      </c>
      <c r="G11" s="10" t="s">
        <v>20</v>
      </c>
      <c r="L11" s="13" t="s">
        <v>17</v>
      </c>
      <c r="M11" s="17">
        <f>(C4+C7)</f>
        <v>5368</v>
      </c>
      <c r="N11" s="14">
        <f>SUM(M11/M12)</f>
        <v>0.31723893386915669</v>
      </c>
      <c r="O11" s="2">
        <v>2</v>
      </c>
    </row>
    <row r="12" spans="1:15" s="2" customFormat="1" ht="16.5" customHeight="1" thickBot="1">
      <c r="A12" s="18" t="s">
        <v>314</v>
      </c>
      <c r="B12" s="79" t="s">
        <v>30</v>
      </c>
      <c r="C12" s="10">
        <v>1098</v>
      </c>
      <c r="D12" s="10">
        <v>1127</v>
      </c>
      <c r="E12" s="10">
        <v>1233</v>
      </c>
      <c r="F12" s="10" t="s">
        <v>20</v>
      </c>
      <c r="M12" s="24">
        <v>16921</v>
      </c>
    </row>
    <row r="13" spans="1:15" s="2" customFormat="1" ht="16.5" customHeight="1" thickBot="1">
      <c r="A13" s="18" t="s">
        <v>312</v>
      </c>
      <c r="B13" s="19" t="s">
        <v>5</v>
      </c>
      <c r="C13" s="10">
        <v>480</v>
      </c>
      <c r="D13" s="10">
        <v>493</v>
      </c>
      <c r="E13" s="10" t="s">
        <v>20</v>
      </c>
      <c r="L13" s="13"/>
      <c r="M13" s="17"/>
      <c r="N13" s="14"/>
    </row>
    <row r="14" spans="1:15" s="2" customFormat="1" ht="16.5" customHeight="1" thickBot="1">
      <c r="A14" s="18" t="s">
        <v>310</v>
      </c>
      <c r="B14" s="28" t="s">
        <v>3</v>
      </c>
      <c r="C14" s="10">
        <v>376</v>
      </c>
      <c r="D14" s="10">
        <v>384</v>
      </c>
      <c r="E14" s="10" t="s">
        <v>20</v>
      </c>
    </row>
    <row r="15" spans="1:15" s="2" customFormat="1" ht="10.5" customHeight="1">
      <c r="A15" s="1"/>
    </row>
    <row r="16" spans="1:15" s="2" customFormat="1" ht="17.45" customHeight="1">
      <c r="A16" s="1" t="s">
        <v>296</v>
      </c>
    </row>
    <row r="17" spans="1:16" s="2" customFormat="1" ht="10.5" customHeight="1" thickBot="1">
      <c r="A17" s="1"/>
    </row>
    <row r="18" spans="1:16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6"/>
      <c r="M18" s="13" t="s">
        <v>9</v>
      </c>
      <c r="N18" s="14">
        <f>(14527/30642)</f>
        <v>0.47408785327328501</v>
      </c>
    </row>
    <row r="19" spans="1:16" s="2" customFormat="1" ht="16.5" customHeight="1" thickBot="1">
      <c r="A19" s="7" t="s">
        <v>298</v>
      </c>
      <c r="B19" s="31" t="s">
        <v>18</v>
      </c>
      <c r="C19" s="9">
        <v>2421</v>
      </c>
      <c r="D19" s="10"/>
      <c r="E19" s="10"/>
      <c r="F19" s="10"/>
      <c r="G19" s="10"/>
      <c r="H19" s="10"/>
      <c r="I19" s="10"/>
      <c r="J19" s="10"/>
      <c r="K19" s="10"/>
      <c r="L19" s="11" t="s">
        <v>4</v>
      </c>
      <c r="N19" s="13" t="s">
        <v>11</v>
      </c>
      <c r="O19" s="13" t="s">
        <v>12</v>
      </c>
      <c r="P19" s="13" t="s">
        <v>13</v>
      </c>
    </row>
    <row r="20" spans="1:16" s="2" customFormat="1" ht="16.5" customHeight="1" thickBot="1">
      <c r="A20" s="7" t="s">
        <v>189</v>
      </c>
      <c r="B20" s="43" t="s">
        <v>16</v>
      </c>
      <c r="C20" s="10">
        <v>1994</v>
      </c>
      <c r="D20" s="10">
        <v>2007</v>
      </c>
      <c r="E20" s="10">
        <v>2013</v>
      </c>
      <c r="F20" s="10">
        <v>2053</v>
      </c>
      <c r="G20" s="9">
        <v>2375</v>
      </c>
      <c r="H20" s="10"/>
      <c r="I20" s="10"/>
      <c r="J20" s="9"/>
      <c r="K20" s="9"/>
      <c r="L20" s="11" t="s">
        <v>8</v>
      </c>
      <c r="M20" s="16" t="s">
        <v>5</v>
      </c>
      <c r="N20" s="17">
        <f>(C24+C28+C29+C30)</f>
        <v>2785</v>
      </c>
      <c r="O20" s="14">
        <f>SUM(N20/N27)</f>
        <v>0.19636184164140169</v>
      </c>
      <c r="P20" s="2">
        <v>1</v>
      </c>
    </row>
    <row r="21" spans="1:16" s="2" customFormat="1" ht="16.5" customHeight="1" thickBot="1">
      <c r="A21" s="7" t="s">
        <v>187</v>
      </c>
      <c r="B21" s="8" t="s">
        <v>3</v>
      </c>
      <c r="C21" s="10">
        <v>1714</v>
      </c>
      <c r="D21" s="10">
        <v>1723</v>
      </c>
      <c r="E21" s="10">
        <v>1729</v>
      </c>
      <c r="F21" s="10">
        <v>1771</v>
      </c>
      <c r="G21" s="10">
        <v>1847</v>
      </c>
      <c r="H21" s="10">
        <v>1936</v>
      </c>
      <c r="I21" s="10">
        <v>2051</v>
      </c>
      <c r="J21" s="10">
        <v>2247</v>
      </c>
      <c r="K21" s="9">
        <v>2503</v>
      </c>
      <c r="L21" s="11" t="s">
        <v>6</v>
      </c>
      <c r="M21" s="20" t="s">
        <v>3</v>
      </c>
      <c r="N21" s="17">
        <v>1714</v>
      </c>
      <c r="O21" s="14">
        <f>SUM(N21/N27)</f>
        <v>0.12084890361700627</v>
      </c>
      <c r="P21" s="2">
        <v>1</v>
      </c>
    </row>
    <row r="22" spans="1:16" s="2" customFormat="1" ht="16.5" customHeight="1" thickBot="1">
      <c r="A22" s="7" t="s">
        <v>303</v>
      </c>
      <c r="B22" s="81" t="s">
        <v>30</v>
      </c>
      <c r="C22" s="10">
        <v>1627</v>
      </c>
      <c r="D22" s="10">
        <v>1636</v>
      </c>
      <c r="E22" s="10">
        <v>1640</v>
      </c>
      <c r="F22" s="10">
        <v>1768</v>
      </c>
      <c r="G22" s="10">
        <v>1791</v>
      </c>
      <c r="H22" s="10">
        <v>1912</v>
      </c>
      <c r="I22" s="10">
        <v>2099</v>
      </c>
      <c r="J22" s="10">
        <v>2285</v>
      </c>
      <c r="K22" s="9">
        <v>2627</v>
      </c>
      <c r="L22" s="11" t="s">
        <v>7</v>
      </c>
      <c r="M22" s="21" t="s">
        <v>16</v>
      </c>
      <c r="N22" s="17">
        <f>(C20+C27)</f>
        <v>2680</v>
      </c>
      <c r="O22" s="14">
        <f>SUM(N22/N27)</f>
        <v>0.18895861242332371</v>
      </c>
      <c r="P22" s="2">
        <v>1</v>
      </c>
    </row>
    <row r="23" spans="1:16" s="2" customFormat="1" ht="16.5" customHeight="1" thickBot="1">
      <c r="A23" s="18" t="s">
        <v>190</v>
      </c>
      <c r="B23" s="23" t="s">
        <v>107</v>
      </c>
      <c r="C23" s="10">
        <v>1044</v>
      </c>
      <c r="D23" s="10">
        <v>1068</v>
      </c>
      <c r="E23" s="10">
        <v>1083</v>
      </c>
      <c r="F23" s="10">
        <v>1092</v>
      </c>
      <c r="G23" s="10">
        <v>1164</v>
      </c>
      <c r="H23" s="10">
        <v>1183</v>
      </c>
      <c r="I23" s="10">
        <v>1203</v>
      </c>
      <c r="J23" s="10">
        <v>1336</v>
      </c>
      <c r="K23" s="10">
        <v>1451</v>
      </c>
      <c r="L23" s="11"/>
      <c r="M23" s="26" t="s">
        <v>18</v>
      </c>
      <c r="N23" s="17">
        <v>2421</v>
      </c>
      <c r="O23" s="14">
        <f>SUM(N23/N27)</f>
        <v>0.17069731368539801</v>
      </c>
      <c r="P23" s="2">
        <v>1</v>
      </c>
    </row>
    <row r="24" spans="1:16" s="2" customFormat="1" ht="16.5" customHeight="1" thickBot="1">
      <c r="A24" s="7" t="s">
        <v>297</v>
      </c>
      <c r="B24" s="12" t="s">
        <v>5</v>
      </c>
      <c r="C24" s="10">
        <v>918</v>
      </c>
      <c r="D24" s="10">
        <v>927</v>
      </c>
      <c r="E24" s="10">
        <v>930</v>
      </c>
      <c r="F24" s="10">
        <v>988</v>
      </c>
      <c r="G24" s="10">
        <v>1038</v>
      </c>
      <c r="H24" s="10">
        <v>1214</v>
      </c>
      <c r="I24" s="10">
        <v>1574</v>
      </c>
      <c r="J24" s="10">
        <v>1716</v>
      </c>
      <c r="K24" s="9">
        <v>1875</v>
      </c>
      <c r="L24" s="11" t="s">
        <v>10</v>
      </c>
      <c r="M24" s="78" t="s">
        <v>30</v>
      </c>
      <c r="N24" s="17">
        <v>1627</v>
      </c>
      <c r="O24" s="14">
        <f>SUM(N24/N27)</f>
        <v>0.11471479940774167</v>
      </c>
      <c r="P24" s="2">
        <v>1</v>
      </c>
    </row>
    <row r="25" spans="1:16" s="2" customFormat="1" ht="16.5" customHeight="1" thickBot="1">
      <c r="A25" s="18" t="s">
        <v>302</v>
      </c>
      <c r="B25" s="47" t="s">
        <v>21</v>
      </c>
      <c r="C25" s="10">
        <v>900</v>
      </c>
      <c r="D25" s="10">
        <v>912</v>
      </c>
      <c r="E25" s="10">
        <v>920</v>
      </c>
      <c r="F25" s="10">
        <v>930</v>
      </c>
      <c r="G25" s="10">
        <v>975</v>
      </c>
      <c r="H25" s="10">
        <v>1008</v>
      </c>
      <c r="I25" s="10">
        <v>1059</v>
      </c>
      <c r="J25" s="10" t="s">
        <v>20</v>
      </c>
      <c r="M25" s="48" t="s">
        <v>21</v>
      </c>
      <c r="N25" s="17">
        <v>900</v>
      </c>
      <c r="O25" s="14">
        <f>SUM(N25/N27)</f>
        <v>6.345625044066841E-2</v>
      </c>
    </row>
    <row r="26" spans="1:16" s="2" customFormat="1" ht="16.5" customHeight="1" thickBot="1">
      <c r="A26" s="18" t="s">
        <v>305</v>
      </c>
      <c r="B26" s="23" t="s">
        <v>14</v>
      </c>
      <c r="C26" s="10">
        <v>861</v>
      </c>
      <c r="D26" s="10">
        <v>905</v>
      </c>
      <c r="E26" s="10">
        <v>911</v>
      </c>
      <c r="F26" s="10">
        <v>947</v>
      </c>
      <c r="G26" s="10">
        <v>968</v>
      </c>
      <c r="H26" s="10">
        <v>1013</v>
      </c>
      <c r="I26" s="10">
        <v>1103</v>
      </c>
      <c r="J26" s="10">
        <v>1238</v>
      </c>
      <c r="K26" s="10" t="s">
        <v>20</v>
      </c>
      <c r="M26" s="13" t="s">
        <v>17</v>
      </c>
      <c r="N26" s="17">
        <f>(C23+C26+C31)</f>
        <v>2056</v>
      </c>
      <c r="O26" s="14">
        <f>SUM(N26/N27)</f>
        <v>0.14496227878446027</v>
      </c>
    </row>
    <row r="27" spans="1:16" s="2" customFormat="1" ht="16.5" customHeight="1" thickBot="1">
      <c r="A27" s="18" t="s">
        <v>300</v>
      </c>
      <c r="B27" s="22" t="s">
        <v>16</v>
      </c>
      <c r="C27" s="10">
        <v>686</v>
      </c>
      <c r="D27" s="10">
        <v>691</v>
      </c>
      <c r="E27" s="10">
        <v>696</v>
      </c>
      <c r="F27" s="10">
        <v>700</v>
      </c>
      <c r="G27" s="10" t="s">
        <v>20</v>
      </c>
      <c r="K27" s="46"/>
      <c r="L27"/>
      <c r="N27" s="24">
        <v>14183</v>
      </c>
    </row>
    <row r="28" spans="1:16" s="2" customFormat="1" ht="16.5" customHeight="1" thickBot="1">
      <c r="A28" s="18" t="s">
        <v>299</v>
      </c>
      <c r="B28" s="19" t="s">
        <v>5</v>
      </c>
      <c r="C28" s="10">
        <v>677</v>
      </c>
      <c r="D28" s="10">
        <v>680</v>
      </c>
      <c r="E28" s="10">
        <v>681</v>
      </c>
      <c r="F28" s="10">
        <v>783</v>
      </c>
      <c r="G28" s="10">
        <v>801</v>
      </c>
      <c r="H28" s="10">
        <v>969</v>
      </c>
      <c r="I28" s="10" t="s">
        <v>20</v>
      </c>
      <c r="J28" s="17"/>
    </row>
    <row r="29" spans="1:16" s="2" customFormat="1" ht="16.5" customHeight="1" thickBot="1">
      <c r="A29" s="18" t="s">
        <v>301</v>
      </c>
      <c r="B29" s="19" t="s">
        <v>5</v>
      </c>
      <c r="C29" s="10">
        <v>597</v>
      </c>
      <c r="D29" s="10">
        <v>604</v>
      </c>
      <c r="E29" s="10">
        <v>606</v>
      </c>
      <c r="F29" s="10">
        <v>728</v>
      </c>
      <c r="G29" s="10">
        <v>741</v>
      </c>
      <c r="H29" s="10" t="s">
        <v>20</v>
      </c>
      <c r="J29" s="44"/>
    </row>
    <row r="30" spans="1:16" s="2" customFormat="1" ht="16.5" customHeight="1" thickBot="1">
      <c r="A30" s="18" t="s">
        <v>306</v>
      </c>
      <c r="B30" s="19" t="s">
        <v>5</v>
      </c>
      <c r="C30" s="10">
        <v>593</v>
      </c>
      <c r="D30" s="10">
        <v>593</v>
      </c>
      <c r="E30" s="10">
        <v>594</v>
      </c>
      <c r="F30" s="10" t="s">
        <v>20</v>
      </c>
      <c r="J30" s="46"/>
      <c r="K30"/>
    </row>
    <row r="31" spans="1:16" s="2" customFormat="1" ht="16.5" customHeight="1" thickBot="1">
      <c r="A31" s="18" t="s">
        <v>304</v>
      </c>
      <c r="B31" s="23" t="s">
        <v>14</v>
      </c>
      <c r="C31" s="10">
        <v>151</v>
      </c>
      <c r="D31" s="10" t="s">
        <v>20</v>
      </c>
      <c r="E31" s="17"/>
      <c r="H31" s="17"/>
      <c r="I31" s="17"/>
      <c r="J31" s="17"/>
    </row>
    <row r="33" spans="1:16" s="2" customFormat="1" ht="17.45" customHeight="1">
      <c r="A33" s="1" t="s">
        <v>340</v>
      </c>
    </row>
    <row r="34" spans="1:16" s="2" customFormat="1" ht="10.5" customHeight="1" thickBot="1">
      <c r="A34" s="1"/>
    </row>
    <row r="35" spans="1:16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6"/>
      <c r="M35" s="13" t="s">
        <v>9</v>
      </c>
      <c r="N35" s="14">
        <f>(29866/53201)</f>
        <v>0.56138042517997777</v>
      </c>
    </row>
    <row r="36" spans="1:16" s="2" customFormat="1" ht="16.5" customHeight="1" thickBot="1">
      <c r="A36" s="7" t="s">
        <v>199</v>
      </c>
      <c r="B36" s="12" t="s">
        <v>5</v>
      </c>
      <c r="C36" s="9">
        <v>3828</v>
      </c>
      <c r="D36" s="10"/>
      <c r="E36" s="10"/>
      <c r="F36" s="10"/>
      <c r="G36" s="10"/>
      <c r="H36" s="9"/>
      <c r="I36" s="10"/>
      <c r="J36" s="10"/>
      <c r="K36" s="9"/>
      <c r="L36" s="11" t="s">
        <v>4</v>
      </c>
      <c r="N36" s="13" t="s">
        <v>11</v>
      </c>
      <c r="O36" s="13" t="s">
        <v>12</v>
      </c>
      <c r="P36" s="13" t="s">
        <v>13</v>
      </c>
    </row>
    <row r="37" spans="1:16" s="2" customFormat="1" ht="16.5" customHeight="1" thickBot="1">
      <c r="A37" s="7" t="s">
        <v>202</v>
      </c>
      <c r="B37" s="81" t="s">
        <v>30</v>
      </c>
      <c r="C37" s="10">
        <v>2814</v>
      </c>
      <c r="D37" s="10">
        <v>2965</v>
      </c>
      <c r="E37" s="10">
        <v>2987</v>
      </c>
      <c r="F37" s="10">
        <v>3089</v>
      </c>
      <c r="G37" s="10">
        <v>3204</v>
      </c>
      <c r="H37" s="10">
        <v>3491</v>
      </c>
      <c r="I37" s="10">
        <v>3612</v>
      </c>
      <c r="J37" s="9">
        <v>3845</v>
      </c>
      <c r="K37" s="10"/>
      <c r="L37" s="11" t="s">
        <v>8</v>
      </c>
      <c r="M37" s="16" t="s">
        <v>5</v>
      </c>
      <c r="N37" s="17">
        <f>(C36+C40+C47+C49)</f>
        <v>8789</v>
      </c>
      <c r="O37" s="14">
        <f>SUM(N37/N44)</f>
        <v>0.30162325405813517</v>
      </c>
      <c r="P37" s="2">
        <v>2</v>
      </c>
    </row>
    <row r="38" spans="1:16" s="2" customFormat="1" ht="16.5" customHeight="1" thickBot="1">
      <c r="A38" s="7" t="s">
        <v>342</v>
      </c>
      <c r="B38" s="8" t="s">
        <v>3</v>
      </c>
      <c r="C38" s="10">
        <v>2490</v>
      </c>
      <c r="D38" s="10">
        <v>2559</v>
      </c>
      <c r="E38" s="10">
        <v>2568</v>
      </c>
      <c r="F38" s="10">
        <v>2676</v>
      </c>
      <c r="G38" s="10">
        <v>3139</v>
      </c>
      <c r="H38" s="10">
        <v>3263</v>
      </c>
      <c r="I38" s="10">
        <v>3340</v>
      </c>
      <c r="J38" s="10">
        <v>3534</v>
      </c>
      <c r="K38" s="9">
        <v>3588</v>
      </c>
      <c r="L38" s="11" t="s">
        <v>6</v>
      </c>
      <c r="M38" s="20" t="s">
        <v>3</v>
      </c>
      <c r="N38" s="17">
        <f>(C38+C43+C46)</f>
        <v>6040</v>
      </c>
      <c r="O38" s="14">
        <f>SUM(N38/N44)</f>
        <v>0.20728233638765914</v>
      </c>
      <c r="P38" s="2">
        <v>1</v>
      </c>
    </row>
    <row r="39" spans="1:16" s="2" customFormat="1" ht="16.5" customHeight="1" thickBot="1">
      <c r="A39" s="18" t="s">
        <v>219</v>
      </c>
      <c r="B39" s="23" t="s">
        <v>14</v>
      </c>
      <c r="C39" s="10">
        <v>2207</v>
      </c>
      <c r="D39" s="10">
        <v>2250</v>
      </c>
      <c r="E39" s="10">
        <v>2252</v>
      </c>
      <c r="F39" s="10">
        <v>2308</v>
      </c>
      <c r="G39" s="10">
        <v>2323</v>
      </c>
      <c r="H39" s="10">
        <v>2362</v>
      </c>
      <c r="I39" s="10">
        <v>2718</v>
      </c>
      <c r="J39" s="10" t="s">
        <v>20</v>
      </c>
      <c r="M39" s="21" t="s">
        <v>16</v>
      </c>
      <c r="N39" s="17">
        <f>(C41+C45+C48)</f>
        <v>5368</v>
      </c>
      <c r="O39" s="14">
        <f>SUM(N39/N44)</f>
        <v>0.18422046055115138</v>
      </c>
      <c r="P39" s="2">
        <v>2</v>
      </c>
    </row>
    <row r="40" spans="1:16" s="2" customFormat="1" ht="16.5" customHeight="1" thickBot="1">
      <c r="A40" s="7" t="s">
        <v>345</v>
      </c>
      <c r="B40" s="12" t="s">
        <v>5</v>
      </c>
      <c r="C40" s="10">
        <v>2161</v>
      </c>
      <c r="D40" s="10">
        <v>2607</v>
      </c>
      <c r="E40" s="10">
        <v>2650</v>
      </c>
      <c r="F40" s="10">
        <v>2694</v>
      </c>
      <c r="G40" s="10">
        <v>2723</v>
      </c>
      <c r="H40" s="10">
        <v>3333</v>
      </c>
      <c r="I40" s="10">
        <v>3490</v>
      </c>
      <c r="J40" s="9">
        <v>3703</v>
      </c>
      <c r="K40" s="10"/>
      <c r="L40" s="11" t="s">
        <v>7</v>
      </c>
      <c r="M40" s="26" t="s">
        <v>18</v>
      </c>
      <c r="N40" s="17">
        <v>1876</v>
      </c>
      <c r="O40" s="14">
        <f>SUM(N40/N44)</f>
        <v>6.4381070043584204E-2</v>
      </c>
    </row>
    <row r="41" spans="1:16" s="2" customFormat="1" ht="16.5" customHeight="1" thickBot="1">
      <c r="A41" s="7" t="s">
        <v>346</v>
      </c>
      <c r="B41" s="43" t="s">
        <v>16</v>
      </c>
      <c r="C41" s="10">
        <v>2109</v>
      </c>
      <c r="D41" s="10">
        <v>2143</v>
      </c>
      <c r="E41" s="10">
        <v>2149</v>
      </c>
      <c r="F41" s="10">
        <v>2413</v>
      </c>
      <c r="G41" s="10">
        <v>2507</v>
      </c>
      <c r="H41" s="10">
        <v>2617</v>
      </c>
      <c r="I41" s="10">
        <v>2773</v>
      </c>
      <c r="J41" s="10">
        <v>2994</v>
      </c>
      <c r="K41" s="9">
        <v>3011</v>
      </c>
      <c r="L41" s="11" t="s">
        <v>317</v>
      </c>
      <c r="M41" s="48" t="s">
        <v>21</v>
      </c>
      <c r="N41" s="17">
        <v>2045</v>
      </c>
      <c r="O41" s="14">
        <f>SUM(N41/N44)</f>
        <v>7.0180857270324998E-2</v>
      </c>
      <c r="P41" s="2">
        <v>1</v>
      </c>
    </row>
    <row r="42" spans="1:16" s="2" customFormat="1" ht="16.5" customHeight="1" thickBot="1">
      <c r="A42" s="7" t="s">
        <v>344</v>
      </c>
      <c r="B42" s="80" t="s">
        <v>21</v>
      </c>
      <c r="C42" s="10">
        <v>2045</v>
      </c>
      <c r="D42" s="10">
        <v>2076</v>
      </c>
      <c r="E42" s="10">
        <v>2086</v>
      </c>
      <c r="F42" s="10">
        <v>2245</v>
      </c>
      <c r="G42" s="10">
        <v>2334</v>
      </c>
      <c r="H42" s="10">
        <v>2582</v>
      </c>
      <c r="I42" s="10">
        <v>3033</v>
      </c>
      <c r="J42" s="10">
        <v>3515</v>
      </c>
      <c r="K42" s="9">
        <v>3572</v>
      </c>
      <c r="L42" s="11" t="s">
        <v>10</v>
      </c>
      <c r="M42" s="78" t="s">
        <v>30</v>
      </c>
      <c r="N42" s="17">
        <v>2814</v>
      </c>
      <c r="O42" s="14">
        <f>SUM(N42/N44)</f>
        <v>9.6571605065376306E-2</v>
      </c>
      <c r="P42" s="2">
        <v>1</v>
      </c>
    </row>
    <row r="43" spans="1:16" s="2" customFormat="1" ht="16.5" customHeight="1" thickBot="1">
      <c r="A43" s="18" t="s">
        <v>347</v>
      </c>
      <c r="B43" s="28" t="s">
        <v>3</v>
      </c>
      <c r="C43" s="10">
        <v>1947</v>
      </c>
      <c r="D43" s="10">
        <v>1964</v>
      </c>
      <c r="E43" s="10">
        <v>1977</v>
      </c>
      <c r="F43" s="10">
        <v>2054</v>
      </c>
      <c r="G43" s="10">
        <v>2667</v>
      </c>
      <c r="H43" s="10">
        <v>2747</v>
      </c>
      <c r="I43" s="10">
        <v>2807</v>
      </c>
      <c r="J43" s="10">
        <v>2876</v>
      </c>
      <c r="K43" s="10">
        <v>2889</v>
      </c>
      <c r="L43" s="11"/>
      <c r="M43" s="13" t="s">
        <v>17</v>
      </c>
      <c r="N43" s="17">
        <v>2207</v>
      </c>
      <c r="O43" s="14">
        <f>SUM(N43/N44)</f>
        <v>7.5740416623768833E-2</v>
      </c>
    </row>
    <row r="44" spans="1:16" s="2" customFormat="1" ht="16.5" customHeight="1" thickBot="1">
      <c r="A44" s="18" t="s">
        <v>208</v>
      </c>
      <c r="B44" s="27" t="s">
        <v>18</v>
      </c>
      <c r="C44" s="10">
        <v>1876</v>
      </c>
      <c r="D44" s="10">
        <v>1913</v>
      </c>
      <c r="E44" s="10">
        <v>1919</v>
      </c>
      <c r="F44" s="10">
        <v>1989</v>
      </c>
      <c r="G44" s="10">
        <v>2010</v>
      </c>
      <c r="H44" s="10">
        <v>2082</v>
      </c>
      <c r="I44" s="10" t="s">
        <v>20</v>
      </c>
      <c r="N44" s="24">
        <v>29139</v>
      </c>
    </row>
    <row r="45" spans="1:16" s="2" customFormat="1" ht="16.5" customHeight="1" thickBot="1">
      <c r="A45" s="7" t="s">
        <v>341</v>
      </c>
      <c r="B45" s="43" t="s">
        <v>16</v>
      </c>
      <c r="C45" s="10">
        <v>1803</v>
      </c>
      <c r="D45" s="10">
        <v>1853</v>
      </c>
      <c r="E45" s="10">
        <v>1855</v>
      </c>
      <c r="F45" s="10">
        <v>2303</v>
      </c>
      <c r="G45" s="10">
        <v>2375</v>
      </c>
      <c r="H45" s="10">
        <v>2429</v>
      </c>
      <c r="I45" s="10">
        <v>2734</v>
      </c>
      <c r="J45" s="10">
        <v>3455</v>
      </c>
      <c r="K45" s="9">
        <v>3496</v>
      </c>
      <c r="L45" s="11" t="s">
        <v>15</v>
      </c>
    </row>
    <row r="46" spans="1:16" s="2" customFormat="1" ht="16.5" customHeight="1" thickBot="1">
      <c r="A46" s="18" t="s">
        <v>343</v>
      </c>
      <c r="B46" s="28" t="s">
        <v>3</v>
      </c>
      <c r="C46" s="10">
        <v>1603</v>
      </c>
      <c r="D46" s="10">
        <v>1608</v>
      </c>
      <c r="E46" s="10">
        <v>1620</v>
      </c>
      <c r="F46" s="10">
        <v>1668</v>
      </c>
      <c r="G46" s="10" t="s">
        <v>20</v>
      </c>
      <c r="M46" s="13"/>
      <c r="N46" s="17"/>
      <c r="O46" s="14"/>
    </row>
    <row r="47" spans="1:16" s="2" customFormat="1" ht="16.5" customHeight="1" thickBot="1">
      <c r="A47" s="18" t="s">
        <v>348</v>
      </c>
      <c r="B47" s="19" t="s">
        <v>5</v>
      </c>
      <c r="C47" s="10">
        <v>1585</v>
      </c>
      <c r="D47" s="10">
        <v>1818</v>
      </c>
      <c r="E47" s="10">
        <v>1869</v>
      </c>
      <c r="F47" s="10">
        <v>1911</v>
      </c>
      <c r="G47" s="10">
        <v>1973</v>
      </c>
      <c r="H47" s="10" t="s">
        <v>20</v>
      </c>
      <c r="N47" s="24"/>
    </row>
    <row r="48" spans="1:16" s="2" customFormat="1" ht="16.5" customHeight="1" thickBot="1">
      <c r="A48" s="18" t="s">
        <v>350</v>
      </c>
      <c r="B48" s="22" t="s">
        <v>16</v>
      </c>
      <c r="C48" s="10">
        <v>1456</v>
      </c>
      <c r="D48" s="10">
        <v>1476</v>
      </c>
      <c r="E48" s="10">
        <v>1485</v>
      </c>
      <c r="F48" s="10" t="s">
        <v>20</v>
      </c>
    </row>
    <row r="49" spans="1:16" s="2" customFormat="1" ht="16.5" customHeight="1" thickBot="1">
      <c r="A49" s="18" t="s">
        <v>349</v>
      </c>
      <c r="B49" s="19" t="s">
        <v>5</v>
      </c>
      <c r="C49" s="10">
        <v>1215</v>
      </c>
      <c r="D49" s="10" t="s">
        <v>20</v>
      </c>
    </row>
    <row r="50" spans="1:16" s="2" customFormat="1" ht="11.25" customHeight="1">
      <c r="A50" s="29"/>
      <c r="B50" s="30"/>
      <c r="C50" s="45"/>
      <c r="D50" s="45"/>
      <c r="E50" s="45"/>
      <c r="F50" s="17"/>
      <c r="G50" s="17"/>
      <c r="H50" s="17"/>
      <c r="I50" s="17"/>
      <c r="J50" s="17"/>
      <c r="K50" s="17"/>
      <c r="L50" s="17"/>
      <c r="M50" s="17"/>
      <c r="N50" s="44"/>
    </row>
    <row r="51" spans="1:16" s="2" customFormat="1" ht="17.45" customHeight="1">
      <c r="A51" s="1" t="s">
        <v>318</v>
      </c>
    </row>
    <row r="52" spans="1:16" s="2" customFormat="1" ht="10.5" customHeight="1" thickBot="1">
      <c r="A52" s="1"/>
    </row>
    <row r="53" spans="1:16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5">
        <v>4</v>
      </c>
      <c r="G53" s="5">
        <v>5</v>
      </c>
      <c r="H53" s="5">
        <v>6</v>
      </c>
      <c r="I53" s="5">
        <v>7</v>
      </c>
      <c r="J53" s="5">
        <v>8</v>
      </c>
      <c r="K53" s="5">
        <v>9</v>
      </c>
      <c r="L53" s="6"/>
      <c r="M53" s="13" t="s">
        <v>9</v>
      </c>
      <c r="N53" s="14">
        <f>(16057/29520)</f>
        <v>0.5439363143631436</v>
      </c>
    </row>
    <row r="54" spans="1:16" s="2" customFormat="1" ht="16.5" customHeight="1" thickBot="1">
      <c r="A54" s="7" t="s">
        <v>324</v>
      </c>
      <c r="B54" s="15" t="s">
        <v>107</v>
      </c>
      <c r="C54" s="10">
        <v>2505</v>
      </c>
      <c r="D54" s="10">
        <v>2552</v>
      </c>
      <c r="E54" s="9">
        <v>2654</v>
      </c>
      <c r="F54" s="10"/>
      <c r="G54" s="10"/>
      <c r="H54" s="9"/>
      <c r="I54" s="10"/>
      <c r="J54" s="10"/>
      <c r="K54" s="10"/>
      <c r="L54" s="11" t="s">
        <v>4</v>
      </c>
      <c r="N54" s="13" t="s">
        <v>11</v>
      </c>
      <c r="O54" s="13" t="s">
        <v>12</v>
      </c>
      <c r="P54" s="13" t="s">
        <v>13</v>
      </c>
    </row>
    <row r="55" spans="1:16" s="2" customFormat="1" ht="16.5" customHeight="1" thickBot="1">
      <c r="A55" s="7" t="s">
        <v>321</v>
      </c>
      <c r="B55" s="31" t="s">
        <v>18</v>
      </c>
      <c r="C55" s="10">
        <v>2138</v>
      </c>
      <c r="D55" s="10">
        <v>2162</v>
      </c>
      <c r="E55" s="10">
        <v>2233</v>
      </c>
      <c r="F55" s="10">
        <v>2297</v>
      </c>
      <c r="G55" s="9">
        <v>3010</v>
      </c>
      <c r="H55" s="10"/>
      <c r="I55" s="10"/>
      <c r="J55" s="9"/>
      <c r="K55" s="9"/>
      <c r="L55" s="11" t="s">
        <v>8</v>
      </c>
      <c r="M55" s="16" t="s">
        <v>5</v>
      </c>
      <c r="N55" s="17">
        <f>(C59+C62+C63)</f>
        <v>2993</v>
      </c>
      <c r="O55" s="14">
        <f>SUM(N55/N62)</f>
        <v>0.19238927813845857</v>
      </c>
      <c r="P55" s="2">
        <v>1</v>
      </c>
    </row>
    <row r="56" spans="1:16" s="2" customFormat="1" ht="16.5" customHeight="1" thickBot="1">
      <c r="A56" s="7" t="s">
        <v>320</v>
      </c>
      <c r="B56" s="8" t="s">
        <v>3</v>
      </c>
      <c r="C56" s="10">
        <v>1624</v>
      </c>
      <c r="D56" s="10">
        <v>1702</v>
      </c>
      <c r="E56" s="10">
        <v>1808</v>
      </c>
      <c r="F56" s="10">
        <v>1863</v>
      </c>
      <c r="G56" s="10">
        <v>1898</v>
      </c>
      <c r="H56" s="10">
        <v>1933</v>
      </c>
      <c r="I56" s="10">
        <v>2052</v>
      </c>
      <c r="J56" s="10">
        <v>2415</v>
      </c>
      <c r="K56" s="9">
        <v>2423</v>
      </c>
      <c r="L56" s="11" t="s">
        <v>6</v>
      </c>
      <c r="M56" s="20" t="s">
        <v>3</v>
      </c>
      <c r="N56" s="17">
        <v>1624</v>
      </c>
      <c r="O56" s="14">
        <f>SUM(N56/N62)</f>
        <v>0.10439030661438581</v>
      </c>
      <c r="P56" s="2">
        <v>1</v>
      </c>
    </row>
    <row r="57" spans="1:16" s="2" customFormat="1" ht="16.5" customHeight="1" thickBot="1">
      <c r="A57" s="7" t="s">
        <v>464</v>
      </c>
      <c r="B57" s="43" t="s">
        <v>16</v>
      </c>
      <c r="C57" s="10">
        <v>1554</v>
      </c>
      <c r="D57" s="10">
        <v>1572</v>
      </c>
      <c r="E57" s="10">
        <v>1634</v>
      </c>
      <c r="F57" s="10">
        <v>1672</v>
      </c>
      <c r="G57" s="10">
        <v>1691</v>
      </c>
      <c r="H57" s="10">
        <v>1735</v>
      </c>
      <c r="I57" s="10">
        <v>1810</v>
      </c>
      <c r="J57" s="10">
        <v>2220</v>
      </c>
      <c r="K57" s="9">
        <v>2243</v>
      </c>
      <c r="L57" s="11" t="s">
        <v>10</v>
      </c>
      <c r="M57" s="21" t="s">
        <v>16</v>
      </c>
      <c r="N57" s="17">
        <f>(C57+C58+C60)</f>
        <v>4086</v>
      </c>
      <c r="O57" s="14">
        <f>SUM(N57/N62)</f>
        <v>0.26264703991772193</v>
      </c>
      <c r="P57" s="2">
        <v>1</v>
      </c>
    </row>
    <row r="58" spans="1:16" s="2" customFormat="1" ht="16.5" customHeight="1" thickBot="1">
      <c r="A58" s="18" t="s">
        <v>323</v>
      </c>
      <c r="B58" s="22" t="s">
        <v>16</v>
      </c>
      <c r="C58" s="10">
        <v>1322</v>
      </c>
      <c r="D58" s="10">
        <v>1352</v>
      </c>
      <c r="E58" s="10">
        <v>1422</v>
      </c>
      <c r="F58" s="10">
        <v>1454</v>
      </c>
      <c r="G58" s="10">
        <v>1495</v>
      </c>
      <c r="H58" s="10">
        <v>1558</v>
      </c>
      <c r="I58" s="10">
        <v>1628</v>
      </c>
      <c r="J58" s="10" t="s">
        <v>20</v>
      </c>
      <c r="M58" s="26" t="s">
        <v>18</v>
      </c>
      <c r="N58" s="17">
        <f>(C55+C61)</f>
        <v>3145</v>
      </c>
      <c r="O58" s="14">
        <f>SUM(N58/N62)</f>
        <v>0.2021597994471942</v>
      </c>
      <c r="P58" s="2">
        <v>1</v>
      </c>
    </row>
    <row r="59" spans="1:16" s="2" customFormat="1" ht="16.5" customHeight="1" thickBot="1">
      <c r="A59" s="7" t="s">
        <v>325</v>
      </c>
      <c r="B59" s="12" t="s">
        <v>5</v>
      </c>
      <c r="C59" s="10">
        <v>1302</v>
      </c>
      <c r="D59" s="10">
        <v>1396</v>
      </c>
      <c r="E59" s="10">
        <v>1421</v>
      </c>
      <c r="F59" s="10">
        <v>1741</v>
      </c>
      <c r="G59" s="10">
        <v>1784</v>
      </c>
      <c r="H59" s="10">
        <v>1828</v>
      </c>
      <c r="I59" s="10">
        <v>2437</v>
      </c>
      <c r="J59" s="10">
        <v>2561</v>
      </c>
      <c r="K59" s="9">
        <v>2567</v>
      </c>
      <c r="L59" s="11" t="s">
        <v>7</v>
      </c>
      <c r="M59" s="48" t="s">
        <v>21</v>
      </c>
      <c r="N59" s="17">
        <v>648</v>
      </c>
      <c r="O59" s="14">
        <f>SUM(N59/N62)</f>
        <v>4.1653275053030792E-2</v>
      </c>
    </row>
    <row r="60" spans="1:16" s="2" customFormat="1" ht="16.5" customHeight="1" thickBot="1">
      <c r="A60" s="18" t="s">
        <v>322</v>
      </c>
      <c r="B60" s="22" t="s">
        <v>16</v>
      </c>
      <c r="C60" s="10">
        <v>1210</v>
      </c>
      <c r="D60" s="10">
        <v>1233</v>
      </c>
      <c r="E60" s="10">
        <v>1329</v>
      </c>
      <c r="F60" s="10">
        <v>1385</v>
      </c>
      <c r="G60" s="10">
        <v>1477</v>
      </c>
      <c r="H60" s="10">
        <v>1616</v>
      </c>
      <c r="I60" s="10">
        <v>1691</v>
      </c>
      <c r="J60" s="10">
        <v>2192</v>
      </c>
      <c r="K60" s="10">
        <v>2216</v>
      </c>
      <c r="L60" s="11"/>
      <c r="M60" s="78" t="s">
        <v>30</v>
      </c>
      <c r="N60" s="17">
        <v>556</v>
      </c>
      <c r="O60" s="14">
        <f>SUM(N60/N62)</f>
        <v>3.5739538471427655E-2</v>
      </c>
    </row>
    <row r="61" spans="1:16" s="2" customFormat="1" ht="16.5" customHeight="1" thickBot="1">
      <c r="A61" s="18" t="s">
        <v>328</v>
      </c>
      <c r="B61" s="27" t="s">
        <v>18</v>
      </c>
      <c r="C61" s="10">
        <v>1007</v>
      </c>
      <c r="D61" s="10">
        <v>1027</v>
      </c>
      <c r="E61" s="10">
        <v>1066</v>
      </c>
      <c r="F61" s="10">
        <v>1092</v>
      </c>
      <c r="G61" s="10" t="s">
        <v>20</v>
      </c>
      <c r="M61" s="13" t="s">
        <v>17</v>
      </c>
      <c r="N61" s="17">
        <v>2505</v>
      </c>
      <c r="O61" s="14">
        <f>SUM(N61/N62)</f>
        <v>0.16102076235778107</v>
      </c>
      <c r="P61" s="2">
        <v>1</v>
      </c>
    </row>
    <row r="62" spans="1:16" s="2" customFormat="1" ht="16.5" customHeight="1" thickBot="1">
      <c r="A62" s="18" t="s">
        <v>327</v>
      </c>
      <c r="B62" s="19" t="s">
        <v>5</v>
      </c>
      <c r="C62" s="10">
        <v>988</v>
      </c>
      <c r="D62" s="10">
        <v>1067</v>
      </c>
      <c r="E62" s="10">
        <v>1088</v>
      </c>
      <c r="F62" s="10">
        <v>1191</v>
      </c>
      <c r="G62" s="10">
        <v>1223</v>
      </c>
      <c r="H62" s="10">
        <v>1249</v>
      </c>
      <c r="I62" s="10" t="s">
        <v>20</v>
      </c>
      <c r="K62" s="17"/>
      <c r="N62" s="24">
        <v>15557</v>
      </c>
    </row>
    <row r="63" spans="1:16" s="2" customFormat="1" ht="16.5" customHeight="1" thickBot="1">
      <c r="A63" s="18" t="s">
        <v>326</v>
      </c>
      <c r="B63" s="19" t="s">
        <v>5</v>
      </c>
      <c r="C63" s="10">
        <v>703</v>
      </c>
      <c r="D63" s="10">
        <v>735</v>
      </c>
      <c r="E63" s="10">
        <v>760</v>
      </c>
      <c r="F63" s="10" t="s">
        <v>20</v>
      </c>
    </row>
    <row r="64" spans="1:16" s="2" customFormat="1" ht="16.5" customHeight="1" thickBot="1">
      <c r="A64" s="18" t="s">
        <v>330</v>
      </c>
      <c r="B64" s="47" t="s">
        <v>21</v>
      </c>
      <c r="C64" s="10">
        <v>648</v>
      </c>
      <c r="D64" s="10">
        <v>710</v>
      </c>
      <c r="E64" s="10" t="s">
        <v>20</v>
      </c>
      <c r="I64" s="17"/>
      <c r="J64" s="17"/>
      <c r="K64" s="17"/>
      <c r="L64" s="17"/>
      <c r="M64" s="17"/>
    </row>
    <row r="65" spans="1:18" s="2" customFormat="1" ht="16.5" customHeight="1" thickBot="1">
      <c r="A65" s="18" t="s">
        <v>329</v>
      </c>
      <c r="B65" s="79" t="s">
        <v>30</v>
      </c>
      <c r="C65" s="10">
        <v>556</v>
      </c>
      <c r="D65" s="10" t="s">
        <v>20</v>
      </c>
      <c r="I65" s="17"/>
      <c r="J65" s="17"/>
      <c r="K65" s="17"/>
      <c r="L65" s="17"/>
      <c r="M65" s="17"/>
    </row>
    <row r="66" spans="1:18" s="2" customFormat="1" ht="11.25" customHeight="1">
      <c r="A66" s="29"/>
      <c r="B66" s="30"/>
      <c r="C66" s="29"/>
      <c r="D66" s="29"/>
      <c r="E66" s="29"/>
      <c r="N66" s="14"/>
    </row>
    <row r="67" spans="1:18" s="2" customFormat="1" ht="17.45" customHeight="1">
      <c r="A67" s="1" t="s">
        <v>331</v>
      </c>
    </row>
    <row r="68" spans="1:18" s="2" customFormat="1" ht="8.25" customHeight="1" thickBot="1">
      <c r="A68" s="1"/>
    </row>
    <row r="69" spans="1:18" s="2" customFormat="1" ht="17.45" customHeight="1" thickBot="1">
      <c r="A69" s="4" t="s">
        <v>0</v>
      </c>
      <c r="B69" s="5" t="s">
        <v>1</v>
      </c>
      <c r="C69" s="5" t="s">
        <v>2</v>
      </c>
      <c r="D69" s="5">
        <v>2</v>
      </c>
      <c r="E69" s="5">
        <v>3</v>
      </c>
      <c r="F69" s="5">
        <v>4</v>
      </c>
      <c r="G69" s="5">
        <v>5</v>
      </c>
      <c r="H69" s="5">
        <v>6</v>
      </c>
      <c r="I69" s="5">
        <v>7</v>
      </c>
      <c r="J69" s="5">
        <v>8</v>
      </c>
      <c r="K69" s="5">
        <v>9</v>
      </c>
      <c r="L69" s="5">
        <v>10</v>
      </c>
      <c r="M69" s="5"/>
      <c r="N69" s="13" t="s">
        <v>9</v>
      </c>
      <c r="O69" s="14">
        <f>(15719/34251)</f>
        <v>0.4589355055326852</v>
      </c>
    </row>
    <row r="70" spans="1:18" s="2" customFormat="1" ht="17.45" customHeight="1" thickBot="1">
      <c r="A70" s="7" t="s">
        <v>224</v>
      </c>
      <c r="B70" s="12" t="s">
        <v>5</v>
      </c>
      <c r="C70" s="10">
        <v>2221</v>
      </c>
      <c r="D70" s="10">
        <v>2226</v>
      </c>
      <c r="E70" s="10">
        <v>2314</v>
      </c>
      <c r="F70" s="10">
        <v>2406</v>
      </c>
      <c r="G70" s="10">
        <v>2494</v>
      </c>
      <c r="H70" s="9">
        <v>2731</v>
      </c>
      <c r="I70" s="10"/>
      <c r="J70" s="9"/>
      <c r="K70" s="10"/>
      <c r="L70" s="9"/>
      <c r="M70" s="11" t="s">
        <v>4</v>
      </c>
      <c r="O70" s="13" t="s">
        <v>11</v>
      </c>
      <c r="P70" s="13" t="s">
        <v>12</v>
      </c>
      <c r="Q70" s="13" t="s">
        <v>13</v>
      </c>
      <c r="R70" s="13"/>
    </row>
    <row r="71" spans="1:18" s="2" customFormat="1" ht="17.45" customHeight="1" thickBot="1">
      <c r="A71" s="7" t="s">
        <v>234</v>
      </c>
      <c r="B71" s="31" t="s">
        <v>18</v>
      </c>
      <c r="C71" s="10">
        <v>1782</v>
      </c>
      <c r="D71" s="10">
        <v>1812</v>
      </c>
      <c r="E71" s="10">
        <v>1901</v>
      </c>
      <c r="F71" s="10">
        <v>1908</v>
      </c>
      <c r="G71" s="10">
        <v>1957</v>
      </c>
      <c r="H71" s="10">
        <v>2026</v>
      </c>
      <c r="I71" s="10">
        <v>2030</v>
      </c>
      <c r="J71" s="9">
        <v>3234</v>
      </c>
      <c r="K71" s="10"/>
      <c r="L71" s="9"/>
      <c r="M71" s="11" t="s">
        <v>8</v>
      </c>
      <c r="N71" s="16" t="s">
        <v>5</v>
      </c>
      <c r="O71" s="17">
        <f>(C70+C72+C74+C80)</f>
        <v>5865</v>
      </c>
      <c r="P71" s="14">
        <f>SUM(O71/O77)</f>
        <v>0.38633818589025753</v>
      </c>
      <c r="Q71" s="2">
        <v>2</v>
      </c>
    </row>
    <row r="72" spans="1:18" s="2" customFormat="1" ht="17.45" customHeight="1" thickBot="1">
      <c r="A72" s="7" t="s">
        <v>22</v>
      </c>
      <c r="B72" s="12" t="s">
        <v>5</v>
      </c>
      <c r="C72" s="10">
        <v>1607</v>
      </c>
      <c r="D72" s="10">
        <v>1610</v>
      </c>
      <c r="E72" s="10">
        <v>1642</v>
      </c>
      <c r="F72" s="10">
        <v>1804</v>
      </c>
      <c r="G72" s="10">
        <v>1853</v>
      </c>
      <c r="H72" s="10">
        <v>1924</v>
      </c>
      <c r="I72" s="10">
        <v>1976</v>
      </c>
      <c r="J72" s="10">
        <v>2017</v>
      </c>
      <c r="K72" s="10">
        <v>2093</v>
      </c>
      <c r="L72" s="9">
        <v>2108</v>
      </c>
      <c r="M72" s="11" t="s">
        <v>10</v>
      </c>
      <c r="N72" s="20" t="s">
        <v>3</v>
      </c>
      <c r="O72" s="17">
        <v>1336</v>
      </c>
      <c r="P72" s="14">
        <f>SUM(O72/O77)</f>
        <v>8.8004742770568467E-2</v>
      </c>
    </row>
    <row r="73" spans="1:18" s="2" customFormat="1" ht="17.45" customHeight="1" thickBot="1">
      <c r="A73" s="7" t="s">
        <v>334</v>
      </c>
      <c r="B73" s="43" t="s">
        <v>16</v>
      </c>
      <c r="C73" s="10">
        <v>1483</v>
      </c>
      <c r="D73" s="10">
        <v>1500</v>
      </c>
      <c r="E73" s="10">
        <v>1538</v>
      </c>
      <c r="F73" s="10">
        <v>1587</v>
      </c>
      <c r="G73" s="10">
        <v>1793</v>
      </c>
      <c r="H73" s="10">
        <v>2055</v>
      </c>
      <c r="I73" s="10">
        <v>2101</v>
      </c>
      <c r="J73" s="10">
        <v>2204</v>
      </c>
      <c r="K73" s="10">
        <v>2433</v>
      </c>
      <c r="L73" s="9">
        <v>2565</v>
      </c>
      <c r="M73" s="11" t="s">
        <v>6</v>
      </c>
      <c r="N73" s="21" t="s">
        <v>16</v>
      </c>
      <c r="O73" s="17">
        <f>(C73+C76)</f>
        <v>2918</v>
      </c>
      <c r="P73" s="14">
        <f>SUM(O73/O77)</f>
        <v>0.19221395165008892</v>
      </c>
      <c r="Q73" s="2">
        <v>2</v>
      </c>
    </row>
    <row r="74" spans="1:18" s="2" customFormat="1" ht="17.45" customHeight="1" thickBot="1">
      <c r="A74" s="18" t="s">
        <v>338</v>
      </c>
      <c r="B74" s="19" t="s">
        <v>5</v>
      </c>
      <c r="C74" s="10">
        <v>1477</v>
      </c>
      <c r="D74" s="10">
        <v>1487</v>
      </c>
      <c r="E74" s="10">
        <v>1631</v>
      </c>
      <c r="F74" s="10">
        <v>1663</v>
      </c>
      <c r="G74" s="10">
        <v>1713</v>
      </c>
      <c r="H74" s="10">
        <v>1786</v>
      </c>
      <c r="I74" s="10">
        <v>1822</v>
      </c>
      <c r="J74" s="10">
        <v>1891</v>
      </c>
      <c r="K74" s="10">
        <v>2007</v>
      </c>
      <c r="L74" s="10">
        <v>2018</v>
      </c>
      <c r="M74" s="25"/>
      <c r="N74" s="26" t="s">
        <v>18</v>
      </c>
      <c r="O74" s="17">
        <f>(C71+C75)</f>
        <v>3251</v>
      </c>
      <c r="P74" s="14">
        <f>SUM(O74/O77)</f>
        <v>0.21414926552928001</v>
      </c>
      <c r="Q74" s="2">
        <v>1</v>
      </c>
    </row>
    <row r="75" spans="1:18" s="2" customFormat="1" ht="17.45" customHeight="1" thickBot="1">
      <c r="A75" s="18" t="s">
        <v>336</v>
      </c>
      <c r="B75" s="27" t="s">
        <v>18</v>
      </c>
      <c r="C75" s="10">
        <v>1469</v>
      </c>
      <c r="D75" s="10">
        <v>1484</v>
      </c>
      <c r="E75" s="10">
        <v>1520</v>
      </c>
      <c r="F75" s="10">
        <v>1532</v>
      </c>
      <c r="G75" s="10">
        <v>1624</v>
      </c>
      <c r="H75" s="10">
        <v>1716</v>
      </c>
      <c r="I75" s="10">
        <v>1721</v>
      </c>
      <c r="J75" s="10" t="s">
        <v>20</v>
      </c>
      <c r="N75" s="48" t="s">
        <v>21</v>
      </c>
      <c r="O75" s="17">
        <f>(C78+C79)</f>
        <v>1594</v>
      </c>
      <c r="P75" s="14">
        <f>SUM(O75/O77)</f>
        <v>0.10499967064093274</v>
      </c>
      <c r="R75" s="14"/>
    </row>
    <row r="76" spans="1:18" s="2" customFormat="1" ht="17.45" customHeight="1" thickBot="1">
      <c r="A76" s="7" t="s">
        <v>332</v>
      </c>
      <c r="B76" s="43" t="s">
        <v>16</v>
      </c>
      <c r="C76" s="10">
        <v>1435</v>
      </c>
      <c r="D76" s="10">
        <v>1464</v>
      </c>
      <c r="E76" s="10">
        <v>1479</v>
      </c>
      <c r="F76" s="10">
        <v>1542</v>
      </c>
      <c r="G76" s="10">
        <v>1814</v>
      </c>
      <c r="H76" s="10">
        <v>2324</v>
      </c>
      <c r="I76" s="10">
        <v>2361</v>
      </c>
      <c r="J76" s="10">
        <v>2489</v>
      </c>
      <c r="K76" s="9">
        <v>2693</v>
      </c>
      <c r="L76" s="9"/>
      <c r="M76" s="11" t="s">
        <v>7</v>
      </c>
      <c r="N76" s="13" t="s">
        <v>17</v>
      </c>
      <c r="O76" s="17">
        <v>217</v>
      </c>
      <c r="P76" s="14">
        <f>SUM(O76/O77)</f>
        <v>1.4294183518872275E-2</v>
      </c>
    </row>
    <row r="77" spans="1:18" s="2" customFormat="1" ht="17.45" customHeight="1" thickBot="1">
      <c r="A77" s="18" t="s">
        <v>333</v>
      </c>
      <c r="B77" s="28" t="s">
        <v>3</v>
      </c>
      <c r="C77" s="10">
        <v>1336</v>
      </c>
      <c r="D77" s="10">
        <v>1345</v>
      </c>
      <c r="E77" s="10">
        <v>1361</v>
      </c>
      <c r="F77" s="10">
        <v>1442</v>
      </c>
      <c r="G77" s="10">
        <v>1548</v>
      </c>
      <c r="H77" s="10" t="s">
        <v>20</v>
      </c>
      <c r="O77" s="24">
        <v>15181</v>
      </c>
    </row>
    <row r="78" spans="1:18" s="2" customFormat="1" ht="17.45" customHeight="1" thickBot="1">
      <c r="A78" s="18" t="s">
        <v>203</v>
      </c>
      <c r="B78" s="47" t="s">
        <v>21</v>
      </c>
      <c r="C78" s="10">
        <v>1000</v>
      </c>
      <c r="D78" s="10">
        <v>1041</v>
      </c>
      <c r="E78" s="10">
        <v>1063</v>
      </c>
      <c r="F78" s="10">
        <v>1125</v>
      </c>
      <c r="G78" s="10" t="s">
        <v>20</v>
      </c>
      <c r="J78" s="13"/>
      <c r="L78" s="14"/>
    </row>
    <row r="79" spans="1:18" s="2" customFormat="1" ht="17.45" customHeight="1" thickBot="1">
      <c r="A79" s="18" t="s">
        <v>337</v>
      </c>
      <c r="B79" s="47" t="s">
        <v>21</v>
      </c>
      <c r="C79" s="10">
        <v>594</v>
      </c>
      <c r="D79" s="10">
        <v>599</v>
      </c>
      <c r="E79" s="10">
        <v>609</v>
      </c>
      <c r="F79" s="10" t="s">
        <v>20</v>
      </c>
      <c r="K79" s="13"/>
      <c r="M79" s="14"/>
    </row>
    <row r="80" spans="1:18" s="2" customFormat="1" ht="17.45" customHeight="1" thickBot="1">
      <c r="A80" s="18" t="s">
        <v>339</v>
      </c>
      <c r="B80" s="19" t="s">
        <v>5</v>
      </c>
      <c r="C80" s="10">
        <v>560</v>
      </c>
      <c r="D80" s="10">
        <v>579</v>
      </c>
      <c r="E80" s="10" t="s">
        <v>20</v>
      </c>
      <c r="L80" s="24"/>
    </row>
    <row r="81" spans="1:19" s="2" customFormat="1" ht="17.45" customHeight="1" thickBot="1">
      <c r="A81" s="18" t="s">
        <v>335</v>
      </c>
      <c r="B81" s="23" t="s">
        <v>14</v>
      </c>
      <c r="C81" s="10">
        <v>217</v>
      </c>
      <c r="D81" s="10" t="s">
        <v>20</v>
      </c>
      <c r="G81" s="17"/>
      <c r="J81" s="13"/>
      <c r="L81" s="14"/>
    </row>
    <row r="83" spans="1:19" s="32" customFormat="1" ht="15" customHeight="1">
      <c r="B83" s="36" t="s">
        <v>19</v>
      </c>
      <c r="C83" s="38" t="s">
        <v>5</v>
      </c>
      <c r="D83" s="39" t="s">
        <v>3</v>
      </c>
      <c r="E83" s="40" t="s">
        <v>16</v>
      </c>
      <c r="F83" s="41" t="s">
        <v>18</v>
      </c>
      <c r="G83" s="49" t="s">
        <v>21</v>
      </c>
      <c r="H83" s="82" t="s">
        <v>30</v>
      </c>
      <c r="I83" s="36" t="s">
        <v>17</v>
      </c>
      <c r="Q83" s="33"/>
      <c r="R83" s="34"/>
      <c r="S83" s="35"/>
    </row>
    <row r="84" spans="1:19" s="32" customFormat="1" ht="15" customHeight="1">
      <c r="A84" s="32" t="s">
        <v>11</v>
      </c>
      <c r="B84" s="37">
        <f>(N62+N44+N27+M12+O77)</f>
        <v>90981</v>
      </c>
      <c r="C84" s="34">
        <f>(O71+N55+N37+N20+M5)</f>
        <v>23385</v>
      </c>
      <c r="D84" s="34">
        <f>(O72+N56+N38+N21+M6)</f>
        <v>12460</v>
      </c>
      <c r="E84" s="34">
        <f>(O73+N57+N39+N22+M7)</f>
        <v>16826</v>
      </c>
      <c r="F84" s="34">
        <f>(O74+N58+N40+N23+M8)</f>
        <v>12235</v>
      </c>
      <c r="G84" s="34">
        <f>(O75+N59+N41+N25+M9)</f>
        <v>7627</v>
      </c>
      <c r="H84" s="34">
        <f>(N24+M10+N42+N60)</f>
        <v>6095</v>
      </c>
      <c r="I84" s="34">
        <f>(O76+N61+N43+N26+M11)</f>
        <v>12353</v>
      </c>
      <c r="Q84" s="36"/>
      <c r="R84" s="37"/>
      <c r="S84" s="35"/>
    </row>
    <row r="85" spans="1:19" s="32" customFormat="1" ht="15" customHeight="1">
      <c r="A85" s="32" t="s">
        <v>12</v>
      </c>
      <c r="B85" s="42">
        <v>1</v>
      </c>
      <c r="C85" s="35">
        <f t="shared" ref="C85:I85" si="0">SUM(C84/$B$84)</f>
        <v>0.25703168793484354</v>
      </c>
      <c r="D85" s="35">
        <f t="shared" si="0"/>
        <v>0.1369516712280586</v>
      </c>
      <c r="E85" s="35">
        <f t="shared" si="0"/>
        <v>0.18493971268726436</v>
      </c>
      <c r="F85" s="35">
        <f t="shared" si="0"/>
        <v>0.13447862740572208</v>
      </c>
      <c r="G85" s="35">
        <f t="shared" si="0"/>
        <v>8.3830689924269897E-2</v>
      </c>
      <c r="H85" s="35">
        <f>SUM(H84/$B$84)</f>
        <v>6.6992009320627377E-2</v>
      </c>
      <c r="I85" s="35">
        <f t="shared" si="0"/>
        <v>0.13577560149921411</v>
      </c>
    </row>
    <row r="86" spans="1:19" s="32" customFormat="1" ht="15" customHeight="1">
      <c r="A86" s="32" t="s">
        <v>13</v>
      </c>
      <c r="B86" s="36">
        <v>26</v>
      </c>
      <c r="C86" s="32">
        <v>6</v>
      </c>
      <c r="D86" s="32">
        <v>3</v>
      </c>
      <c r="E86" s="32">
        <v>7</v>
      </c>
      <c r="F86" s="32">
        <v>3</v>
      </c>
      <c r="G86" s="32">
        <v>2</v>
      </c>
      <c r="H86" s="32">
        <v>2</v>
      </c>
      <c r="I86" s="32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9"/>
  <dimension ref="A1:S85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2" s="2" customFormat="1" ht="16.5" customHeight="1">
      <c r="A1" s="1" t="s">
        <v>359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(17294/33550)</f>
        <v>0.51546944858420263</v>
      </c>
    </row>
    <row r="4" spans="1:12" s="2" customFormat="1" ht="16.5" customHeight="1" thickBot="1">
      <c r="A4" s="7" t="s">
        <v>36</v>
      </c>
      <c r="B4" s="8" t="s">
        <v>3</v>
      </c>
      <c r="C4" s="9">
        <v>2469</v>
      </c>
      <c r="D4" s="10"/>
      <c r="E4" s="9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37</v>
      </c>
      <c r="B5" s="43" t="s">
        <v>16</v>
      </c>
      <c r="C5" s="10">
        <v>2337</v>
      </c>
      <c r="D5" s="9">
        <v>2421</v>
      </c>
      <c r="E5" s="10"/>
      <c r="F5" s="9"/>
      <c r="G5" s="9"/>
      <c r="H5" s="11" t="s">
        <v>8</v>
      </c>
      <c r="I5" s="16" t="s">
        <v>5</v>
      </c>
      <c r="J5" s="17">
        <f>(C6+C11)</f>
        <v>3393</v>
      </c>
      <c r="K5" s="14">
        <f>SUM(J5/J12)</f>
        <v>0.20054376736213725</v>
      </c>
      <c r="L5" s="2">
        <v>1</v>
      </c>
    </row>
    <row r="6" spans="1:12" s="2" customFormat="1" ht="16.5" customHeight="1" thickBot="1">
      <c r="A6" s="7" t="s">
        <v>354</v>
      </c>
      <c r="B6" s="12" t="s">
        <v>5</v>
      </c>
      <c r="C6" s="10">
        <v>2094</v>
      </c>
      <c r="D6" s="10">
        <v>2110</v>
      </c>
      <c r="E6" s="9">
        <v>2783</v>
      </c>
      <c r="F6" s="9"/>
      <c r="G6" s="9"/>
      <c r="H6" s="11" t="s">
        <v>7</v>
      </c>
      <c r="I6" s="20" t="s">
        <v>3</v>
      </c>
      <c r="J6" s="17">
        <f>(C4+C7)</f>
        <v>4524</v>
      </c>
      <c r="K6" s="14">
        <f>SUM(J6/J12)</f>
        <v>0.267391689816183</v>
      </c>
      <c r="L6" s="2">
        <v>2</v>
      </c>
    </row>
    <row r="7" spans="1:12" s="2" customFormat="1" ht="16.5" customHeight="1" thickBot="1">
      <c r="A7" s="7" t="s">
        <v>352</v>
      </c>
      <c r="B7" s="8" t="s">
        <v>3</v>
      </c>
      <c r="C7" s="10">
        <v>2055</v>
      </c>
      <c r="D7" s="10">
        <v>2070</v>
      </c>
      <c r="E7" s="10">
        <v>2224</v>
      </c>
      <c r="F7" s="10">
        <v>2326</v>
      </c>
      <c r="G7" s="9">
        <v>2432</v>
      </c>
      <c r="H7" s="11" t="s">
        <v>10</v>
      </c>
      <c r="I7" s="21" t="s">
        <v>16</v>
      </c>
      <c r="J7" s="17">
        <f>(C5+C8)</f>
        <v>4335</v>
      </c>
      <c r="K7" s="14">
        <f>SUM(J7/J12)</f>
        <v>0.25622081683314618</v>
      </c>
      <c r="L7" s="2">
        <v>2</v>
      </c>
    </row>
    <row r="8" spans="1:12" s="2" customFormat="1" ht="16.5" customHeight="1" thickBot="1">
      <c r="A8" s="7" t="s">
        <v>41</v>
      </c>
      <c r="B8" s="43" t="s">
        <v>16</v>
      </c>
      <c r="C8" s="10">
        <v>1998</v>
      </c>
      <c r="D8" s="10">
        <v>2040</v>
      </c>
      <c r="E8" s="10">
        <v>2190</v>
      </c>
      <c r="F8" s="10">
        <v>2237</v>
      </c>
      <c r="G8" s="9">
        <v>2662</v>
      </c>
      <c r="H8" s="11" t="s">
        <v>6</v>
      </c>
      <c r="I8" s="78" t="s">
        <v>30</v>
      </c>
      <c r="J8" s="17">
        <v>1410</v>
      </c>
      <c r="K8" s="14">
        <f>SUM(J8/J12)</f>
        <v>8.3338258762338205E-2</v>
      </c>
    </row>
    <row r="9" spans="1:12" s="2" customFormat="1" ht="16.5" customHeight="1" thickBot="1">
      <c r="A9" s="7" t="s">
        <v>355</v>
      </c>
      <c r="B9" s="80" t="s">
        <v>21</v>
      </c>
      <c r="C9" s="10">
        <v>1519</v>
      </c>
      <c r="D9" s="10">
        <v>1604</v>
      </c>
      <c r="E9" s="10">
        <v>1657</v>
      </c>
      <c r="F9" s="10">
        <v>1700</v>
      </c>
      <c r="G9" s="9">
        <v>2085</v>
      </c>
      <c r="H9" s="11" t="s">
        <v>15</v>
      </c>
      <c r="I9" s="48" t="s">
        <v>21</v>
      </c>
      <c r="J9" s="17">
        <v>1519</v>
      </c>
      <c r="K9" s="14">
        <f>SUM(J9/J12)</f>
        <v>8.9780719900703354E-2</v>
      </c>
      <c r="L9" s="2">
        <v>1</v>
      </c>
    </row>
    <row r="10" spans="1:12" s="2" customFormat="1" ht="16.5" customHeight="1" thickBot="1">
      <c r="A10" s="18" t="s">
        <v>353</v>
      </c>
      <c r="B10" s="79" t="s">
        <v>30</v>
      </c>
      <c r="C10" s="10">
        <v>1410</v>
      </c>
      <c r="D10" s="10">
        <v>1417</v>
      </c>
      <c r="E10" s="10">
        <v>1555</v>
      </c>
      <c r="F10" s="10">
        <v>1704</v>
      </c>
      <c r="G10" s="10">
        <v>1768</v>
      </c>
      <c r="H10" s="11"/>
      <c r="I10" s="26" t="s">
        <v>18</v>
      </c>
      <c r="J10" s="17">
        <v>1274</v>
      </c>
      <c r="K10" s="14">
        <f>SUM(J10/J12)</f>
        <v>7.5299958626396366E-2</v>
      </c>
    </row>
    <row r="11" spans="1:12" s="2" customFormat="1" ht="16.5" customHeight="1" thickBot="1">
      <c r="A11" s="18" t="s">
        <v>356</v>
      </c>
      <c r="B11" s="19" t="s">
        <v>5</v>
      </c>
      <c r="C11" s="10">
        <v>1299</v>
      </c>
      <c r="D11" s="10">
        <v>1306</v>
      </c>
      <c r="E11" s="10" t="s">
        <v>20</v>
      </c>
      <c r="I11" s="13" t="s">
        <v>17</v>
      </c>
      <c r="J11" s="17">
        <v>464</v>
      </c>
      <c r="K11" s="14">
        <f>SUM(J11/J12)</f>
        <v>2.742478869909569E-2</v>
      </c>
    </row>
    <row r="12" spans="1:12" s="2" customFormat="1" ht="16.5" customHeight="1" thickBot="1">
      <c r="A12" s="18" t="s">
        <v>357</v>
      </c>
      <c r="B12" s="27" t="s">
        <v>18</v>
      </c>
      <c r="C12" s="10">
        <v>1274</v>
      </c>
      <c r="D12" s="10">
        <v>1432</v>
      </c>
      <c r="E12" s="10">
        <v>1470</v>
      </c>
      <c r="F12" s="10">
        <v>1494</v>
      </c>
      <c r="G12" s="10" t="s">
        <v>20</v>
      </c>
      <c r="J12" s="24">
        <v>16919</v>
      </c>
    </row>
    <row r="13" spans="1:12" s="2" customFormat="1" ht="16.5" customHeight="1" thickBot="1">
      <c r="A13" s="18" t="s">
        <v>358</v>
      </c>
      <c r="B13" s="23" t="s">
        <v>351</v>
      </c>
      <c r="C13" s="10">
        <v>464</v>
      </c>
      <c r="D13" s="10" t="s">
        <v>20</v>
      </c>
      <c r="J13" s="24"/>
    </row>
    <row r="14" spans="1:12" s="2" customFormat="1" ht="10.5" customHeight="1">
      <c r="A14" s="1"/>
    </row>
    <row r="15" spans="1:12" s="2" customFormat="1" ht="17.45" customHeight="1">
      <c r="A15" s="1" t="s">
        <v>360</v>
      </c>
    </row>
    <row r="16" spans="1:12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6"/>
      <c r="J17" s="13" t="s">
        <v>9</v>
      </c>
      <c r="K17" s="14">
        <f>(11936/22665)</f>
        <v>0.52662695786454883</v>
      </c>
    </row>
    <row r="18" spans="1:17" s="2" customFormat="1" ht="16.5" customHeight="1" thickBot="1">
      <c r="A18" s="7" t="s">
        <v>47</v>
      </c>
      <c r="B18" s="43" t="s">
        <v>16</v>
      </c>
      <c r="C18" s="9">
        <v>2738</v>
      </c>
      <c r="D18" s="10"/>
      <c r="E18" s="9"/>
      <c r="F18" s="10"/>
      <c r="G18" s="10"/>
      <c r="H18" s="10"/>
      <c r="I18" s="11" t="s">
        <v>4</v>
      </c>
      <c r="K18" s="13" t="s">
        <v>11</v>
      </c>
      <c r="L18" s="13" t="s">
        <v>12</v>
      </c>
      <c r="M18" s="13" t="s">
        <v>13</v>
      </c>
    </row>
    <row r="19" spans="1:17" s="2" customFormat="1" ht="16.5" customHeight="1" thickBot="1">
      <c r="A19" s="7" t="s">
        <v>361</v>
      </c>
      <c r="B19" s="8" t="s">
        <v>3</v>
      </c>
      <c r="C19" s="10">
        <v>2177</v>
      </c>
      <c r="D19" s="10">
        <v>2254</v>
      </c>
      <c r="E19" s="9">
        <v>2423</v>
      </c>
      <c r="F19" s="9"/>
      <c r="G19" s="9"/>
      <c r="H19" s="9"/>
      <c r="I19" s="11" t="s">
        <v>8</v>
      </c>
      <c r="J19" s="16" t="s">
        <v>5</v>
      </c>
      <c r="K19" s="17">
        <f>(C21+C23)</f>
        <v>2476</v>
      </c>
      <c r="L19" s="14">
        <f>SUM(K19/K24)</f>
        <v>0.21162393162393162</v>
      </c>
      <c r="M19" s="2">
        <v>1</v>
      </c>
    </row>
    <row r="20" spans="1:17" s="2" customFormat="1" ht="16.5" customHeight="1" thickBot="1">
      <c r="A20" s="18" t="s">
        <v>363</v>
      </c>
      <c r="B20" s="79" t="s">
        <v>30</v>
      </c>
      <c r="C20" s="10">
        <v>1433</v>
      </c>
      <c r="D20" s="10">
        <v>1467</v>
      </c>
      <c r="E20" s="10">
        <v>1540</v>
      </c>
      <c r="F20" s="10">
        <v>1553</v>
      </c>
      <c r="G20" s="10">
        <v>1694</v>
      </c>
      <c r="H20" s="10">
        <v>2074</v>
      </c>
      <c r="I20" s="11"/>
      <c r="J20" s="20" t="s">
        <v>3</v>
      </c>
      <c r="K20" s="17">
        <f>(C19+C24)</f>
        <v>3237</v>
      </c>
      <c r="L20" s="14">
        <f>SUM(K20/K24)</f>
        <v>0.27666666666666667</v>
      </c>
      <c r="M20" s="2">
        <v>1</v>
      </c>
    </row>
    <row r="21" spans="1:17" s="2" customFormat="1" ht="16.5" customHeight="1" thickBot="1">
      <c r="A21" s="7" t="s">
        <v>46</v>
      </c>
      <c r="B21" s="12" t="s">
        <v>5</v>
      </c>
      <c r="C21" s="10">
        <v>1393</v>
      </c>
      <c r="D21" s="10">
        <v>1423</v>
      </c>
      <c r="E21" s="10">
        <v>1456</v>
      </c>
      <c r="F21" s="10">
        <v>1459</v>
      </c>
      <c r="G21" s="10">
        <v>2124</v>
      </c>
      <c r="H21" s="9">
        <v>2319</v>
      </c>
      <c r="I21" s="9" t="s">
        <v>7</v>
      </c>
      <c r="J21" s="21" t="s">
        <v>16</v>
      </c>
      <c r="K21" s="17">
        <f>(C18+C25)</f>
        <v>3325</v>
      </c>
      <c r="L21" s="14">
        <f>SUM(K21/K24)</f>
        <v>0.28418803418803418</v>
      </c>
      <c r="M21" s="2">
        <v>1</v>
      </c>
    </row>
    <row r="22" spans="1:17" s="2" customFormat="1" ht="16.5" customHeight="1" thickBot="1">
      <c r="A22" s="7" t="s">
        <v>365</v>
      </c>
      <c r="B22" s="80" t="s">
        <v>21</v>
      </c>
      <c r="C22" s="10">
        <v>1229</v>
      </c>
      <c r="D22" s="10">
        <v>1293</v>
      </c>
      <c r="E22" s="10">
        <v>1572</v>
      </c>
      <c r="F22" s="10">
        <v>1607</v>
      </c>
      <c r="G22" s="10">
        <v>1721</v>
      </c>
      <c r="H22" s="9">
        <v>2113</v>
      </c>
      <c r="I22" s="11" t="s">
        <v>6</v>
      </c>
      <c r="J22" s="78" t="s">
        <v>30</v>
      </c>
      <c r="K22" s="17">
        <v>1433</v>
      </c>
      <c r="L22" s="14">
        <f>SUM(K22/K24)</f>
        <v>0.12247863247863248</v>
      </c>
    </row>
    <row r="23" spans="1:17" s="2" customFormat="1" ht="16.5" customHeight="1" thickBot="1">
      <c r="A23" s="18" t="s">
        <v>364</v>
      </c>
      <c r="B23" s="19" t="s">
        <v>5</v>
      </c>
      <c r="C23" s="10">
        <v>1083</v>
      </c>
      <c r="D23" s="10">
        <v>1108</v>
      </c>
      <c r="E23" s="10">
        <v>1138</v>
      </c>
      <c r="F23" s="10">
        <v>1141</v>
      </c>
      <c r="G23" s="10" t="s">
        <v>20</v>
      </c>
      <c r="J23" s="48" t="s">
        <v>21</v>
      </c>
      <c r="K23" s="17">
        <v>1229</v>
      </c>
      <c r="L23" s="14">
        <f>SUM(K23/K24)</f>
        <v>0.10504273504273504</v>
      </c>
      <c r="M23" s="2">
        <v>1</v>
      </c>
    </row>
    <row r="24" spans="1:17" s="2" customFormat="1" ht="16.5" customHeight="1" thickBot="1">
      <c r="A24" s="18" t="s">
        <v>362</v>
      </c>
      <c r="B24" s="28" t="s">
        <v>3</v>
      </c>
      <c r="C24" s="10">
        <v>1060</v>
      </c>
      <c r="D24" s="10">
        <v>1091</v>
      </c>
      <c r="E24" s="10">
        <v>1137</v>
      </c>
      <c r="F24" s="10">
        <v>1165</v>
      </c>
      <c r="G24" s="10">
        <v>1247</v>
      </c>
      <c r="H24" s="10" t="s">
        <v>20</v>
      </c>
      <c r="I24"/>
      <c r="J24" s="13"/>
      <c r="K24" s="24">
        <v>11700</v>
      </c>
      <c r="L24" s="14"/>
    </row>
    <row r="25" spans="1:17" s="2" customFormat="1" ht="16.5" customHeight="1" thickBot="1">
      <c r="A25" s="18" t="s">
        <v>88</v>
      </c>
      <c r="B25" s="22" t="s">
        <v>16</v>
      </c>
      <c r="C25" s="10">
        <v>587</v>
      </c>
      <c r="D25" s="10">
        <v>723</v>
      </c>
      <c r="E25" s="10" t="s">
        <v>20</v>
      </c>
      <c r="F25" s="17"/>
      <c r="G25" s="17"/>
      <c r="H25"/>
      <c r="I25"/>
    </row>
    <row r="27" spans="1:17" s="2" customFormat="1" ht="17.45" customHeight="1">
      <c r="A27" s="1" t="s">
        <v>390</v>
      </c>
    </row>
    <row r="28" spans="1:17" s="2" customFormat="1" ht="10.5" customHeight="1" thickBot="1">
      <c r="A28" s="1"/>
    </row>
    <row r="29" spans="1:17" s="2" customFormat="1" ht="16.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>
        <v>9</v>
      </c>
      <c r="L29" s="5">
        <v>10</v>
      </c>
      <c r="M29" s="6"/>
      <c r="N29" s="13" t="s">
        <v>9</v>
      </c>
      <c r="O29" s="14">
        <f>(17804/32053)</f>
        <v>0.55545502761052012</v>
      </c>
    </row>
    <row r="30" spans="1:17" s="2" customFormat="1" ht="16.5" customHeight="1" thickBot="1">
      <c r="A30" s="7" t="s">
        <v>62</v>
      </c>
      <c r="B30" s="43" t="s">
        <v>16</v>
      </c>
      <c r="C30" s="10">
        <v>2216</v>
      </c>
      <c r="D30" s="10">
        <v>2271</v>
      </c>
      <c r="E30" s="10">
        <v>2338</v>
      </c>
      <c r="F30" s="10">
        <v>2418</v>
      </c>
      <c r="G30" s="9">
        <v>2575</v>
      </c>
      <c r="H30" s="10"/>
      <c r="I30" s="10"/>
      <c r="J30" s="9"/>
      <c r="K30" s="10"/>
      <c r="L30" s="9"/>
      <c r="M30" s="11" t="s">
        <v>7</v>
      </c>
      <c r="O30" s="13" t="s">
        <v>11</v>
      </c>
      <c r="P30" s="13" t="s">
        <v>12</v>
      </c>
      <c r="Q30" s="13" t="s">
        <v>13</v>
      </c>
    </row>
    <row r="31" spans="1:17" s="2" customFormat="1" ht="16.5" customHeight="1" thickBot="1">
      <c r="A31" s="7" t="s">
        <v>59</v>
      </c>
      <c r="B31" s="12" t="s">
        <v>5</v>
      </c>
      <c r="C31" s="10">
        <v>2121</v>
      </c>
      <c r="D31" s="10">
        <v>2156</v>
      </c>
      <c r="E31" s="10">
        <v>2258</v>
      </c>
      <c r="F31" s="10">
        <v>2377</v>
      </c>
      <c r="G31" s="9">
        <v>2598</v>
      </c>
      <c r="H31" s="10"/>
      <c r="I31" s="9"/>
      <c r="J31" s="9"/>
      <c r="K31" s="9"/>
      <c r="L31" s="9"/>
      <c r="M31" s="11" t="s">
        <v>8</v>
      </c>
      <c r="N31" s="16" t="s">
        <v>5</v>
      </c>
      <c r="O31" s="17">
        <f>(C31+C34+C35)</f>
        <v>5144</v>
      </c>
      <c r="P31" s="14">
        <f>SUM(O31/O38)</f>
        <v>0.2957851762405842</v>
      </c>
      <c r="Q31" s="2">
        <v>2</v>
      </c>
    </row>
    <row r="32" spans="1:17" s="2" customFormat="1" ht="16.5" customHeight="1" thickBot="1">
      <c r="A32" s="7" t="s">
        <v>393</v>
      </c>
      <c r="B32" s="80" t="s">
        <v>21</v>
      </c>
      <c r="C32" s="10">
        <v>2101</v>
      </c>
      <c r="D32" s="10">
        <v>2219</v>
      </c>
      <c r="E32" s="10">
        <v>2352</v>
      </c>
      <c r="F32" s="9">
        <v>2537</v>
      </c>
      <c r="G32" s="9"/>
      <c r="H32" s="10"/>
      <c r="I32" s="9"/>
      <c r="J32" s="9"/>
      <c r="K32" s="9"/>
      <c r="L32" s="9"/>
      <c r="M32" s="11" t="s">
        <v>4</v>
      </c>
      <c r="N32" s="20" t="s">
        <v>3</v>
      </c>
      <c r="O32" s="17">
        <f>(C33+C36)</f>
        <v>3315</v>
      </c>
      <c r="P32" s="14">
        <f>SUM(O32/O38)</f>
        <v>0.1906158357771261</v>
      </c>
      <c r="Q32" s="2">
        <v>2</v>
      </c>
    </row>
    <row r="33" spans="1:17" s="2" customFormat="1" ht="16.5" customHeight="1" thickBot="1">
      <c r="A33" s="7" t="s">
        <v>391</v>
      </c>
      <c r="B33" s="8" t="s">
        <v>3</v>
      </c>
      <c r="C33" s="10">
        <v>1850</v>
      </c>
      <c r="D33" s="10">
        <v>1942</v>
      </c>
      <c r="E33" s="10">
        <v>1986</v>
      </c>
      <c r="F33" s="10">
        <v>2015</v>
      </c>
      <c r="G33" s="10">
        <v>2205</v>
      </c>
      <c r="H33" s="10">
        <v>2216</v>
      </c>
      <c r="I33" s="10">
        <v>2237</v>
      </c>
      <c r="J33" s="10">
        <v>2241</v>
      </c>
      <c r="K33" s="9">
        <v>2525</v>
      </c>
      <c r="L33" s="9"/>
      <c r="M33" s="11" t="s">
        <v>10</v>
      </c>
      <c r="N33" s="21" t="s">
        <v>16</v>
      </c>
      <c r="O33" s="17">
        <v>2216</v>
      </c>
      <c r="P33" s="14">
        <f>SUM(O33/O38)</f>
        <v>0.12742222988902305</v>
      </c>
      <c r="Q33" s="2">
        <v>1</v>
      </c>
    </row>
    <row r="34" spans="1:17" s="2" customFormat="1" ht="16.5" customHeight="1" thickBot="1">
      <c r="A34" s="7" t="s">
        <v>392</v>
      </c>
      <c r="B34" s="12" t="s">
        <v>5</v>
      </c>
      <c r="C34" s="10">
        <v>1515</v>
      </c>
      <c r="D34" s="10">
        <v>1541</v>
      </c>
      <c r="E34" s="10">
        <v>1582</v>
      </c>
      <c r="F34" s="10">
        <v>1616</v>
      </c>
      <c r="G34" s="10">
        <v>1723</v>
      </c>
      <c r="H34" s="10">
        <v>1760</v>
      </c>
      <c r="I34" s="10">
        <v>1768</v>
      </c>
      <c r="J34" s="10">
        <v>1774</v>
      </c>
      <c r="K34" s="9">
        <v>2538</v>
      </c>
      <c r="L34" s="9"/>
      <c r="M34" s="11" t="s">
        <v>6</v>
      </c>
      <c r="N34" s="78" t="s">
        <v>30</v>
      </c>
      <c r="O34" s="17">
        <v>1037</v>
      </c>
      <c r="P34" s="14">
        <f>SUM(O34/O38)</f>
        <v>5.9628543499511244E-2</v>
      </c>
    </row>
    <row r="35" spans="1:17" s="2" customFormat="1" ht="16.5" customHeight="1" thickBot="1">
      <c r="A35" s="18" t="s">
        <v>394</v>
      </c>
      <c r="B35" s="19" t="s">
        <v>5</v>
      </c>
      <c r="C35" s="10">
        <v>1508</v>
      </c>
      <c r="D35" s="10">
        <v>1534</v>
      </c>
      <c r="E35" s="10">
        <v>1554</v>
      </c>
      <c r="F35" s="10">
        <v>1601</v>
      </c>
      <c r="G35" s="10">
        <v>1682</v>
      </c>
      <c r="H35" s="10">
        <v>1722</v>
      </c>
      <c r="I35" s="10">
        <v>1732</v>
      </c>
      <c r="J35" s="10">
        <v>1737</v>
      </c>
      <c r="K35" s="10" t="s">
        <v>20</v>
      </c>
      <c r="N35" s="48" t="s">
        <v>21</v>
      </c>
      <c r="O35" s="17">
        <v>2101</v>
      </c>
      <c r="P35" s="14">
        <f>SUM(O35/O38)</f>
        <v>0.12080961416824794</v>
      </c>
      <c r="Q35" s="2">
        <v>1</v>
      </c>
    </row>
    <row r="36" spans="1:17" s="2" customFormat="1" ht="16.5" customHeight="1" thickBot="1">
      <c r="A36" s="7" t="s">
        <v>55</v>
      </c>
      <c r="B36" s="8" t="s">
        <v>3</v>
      </c>
      <c r="C36" s="10">
        <v>1465</v>
      </c>
      <c r="D36" s="10">
        <v>1535</v>
      </c>
      <c r="E36" s="10">
        <v>1570</v>
      </c>
      <c r="F36" s="10">
        <v>1602</v>
      </c>
      <c r="G36" s="10">
        <v>1768</v>
      </c>
      <c r="H36" s="10">
        <v>1790</v>
      </c>
      <c r="I36" s="10">
        <v>1829</v>
      </c>
      <c r="J36" s="10">
        <v>1836</v>
      </c>
      <c r="K36" s="10">
        <v>2031</v>
      </c>
      <c r="L36" s="9">
        <v>2075</v>
      </c>
      <c r="M36" s="11" t="s">
        <v>15</v>
      </c>
      <c r="N36" s="26" t="s">
        <v>18</v>
      </c>
      <c r="O36" s="17">
        <v>969</v>
      </c>
      <c r="P36" s="14">
        <f>SUM(O36/O38)</f>
        <v>5.5718475073313782E-2</v>
      </c>
    </row>
    <row r="37" spans="1:17" s="2" customFormat="1" ht="16.5" customHeight="1" thickBot="1">
      <c r="A37" s="18" t="s">
        <v>398</v>
      </c>
      <c r="B37" s="23" t="s">
        <v>107</v>
      </c>
      <c r="C37" s="10">
        <v>1287</v>
      </c>
      <c r="D37" s="10">
        <v>1311</v>
      </c>
      <c r="E37" s="10">
        <v>1448</v>
      </c>
      <c r="F37" s="10">
        <v>1757</v>
      </c>
      <c r="G37" s="10">
        <v>1814</v>
      </c>
      <c r="H37" s="10">
        <v>1817</v>
      </c>
      <c r="I37" s="10">
        <v>1829</v>
      </c>
      <c r="J37" s="10">
        <v>1859</v>
      </c>
      <c r="K37" s="10">
        <v>1982</v>
      </c>
      <c r="L37" s="10">
        <v>1991</v>
      </c>
      <c r="M37" s="11"/>
      <c r="N37" s="13" t="s">
        <v>17</v>
      </c>
      <c r="O37" s="17">
        <f>(C37+C40+C41)</f>
        <v>2599</v>
      </c>
      <c r="P37" s="14">
        <f>SUM(O37/O38)</f>
        <v>0.14944511528951757</v>
      </c>
    </row>
    <row r="38" spans="1:17" s="2" customFormat="1" ht="16.5" customHeight="1" thickBot="1">
      <c r="A38" s="18" t="s">
        <v>397</v>
      </c>
      <c r="B38" s="79" t="s">
        <v>30</v>
      </c>
      <c r="C38" s="10">
        <v>1037</v>
      </c>
      <c r="D38" s="10">
        <v>1069</v>
      </c>
      <c r="E38" s="10">
        <v>1103</v>
      </c>
      <c r="F38" s="10">
        <v>1134</v>
      </c>
      <c r="G38" s="10" t="s">
        <v>20</v>
      </c>
      <c r="O38" s="24">
        <v>17391</v>
      </c>
    </row>
    <row r="39" spans="1:17" s="2" customFormat="1" ht="16.5" customHeight="1" thickBot="1">
      <c r="A39" s="18" t="s">
        <v>396</v>
      </c>
      <c r="B39" s="27" t="s">
        <v>18</v>
      </c>
      <c r="C39" s="10">
        <v>979</v>
      </c>
      <c r="D39" s="10">
        <v>1003</v>
      </c>
      <c r="E39" s="10">
        <v>1075</v>
      </c>
      <c r="F39" s="10" t="s">
        <v>20</v>
      </c>
    </row>
    <row r="40" spans="1:17" s="2" customFormat="1" ht="16.5" customHeight="1" thickBot="1">
      <c r="A40" s="18" t="s">
        <v>395</v>
      </c>
      <c r="B40" s="23" t="s">
        <v>14</v>
      </c>
      <c r="C40" s="10">
        <v>667</v>
      </c>
      <c r="D40" s="10">
        <v>759</v>
      </c>
      <c r="E40" s="10" t="s">
        <v>20</v>
      </c>
      <c r="G40" s="17"/>
    </row>
    <row r="41" spans="1:17" s="2" customFormat="1" ht="16.5" customHeight="1" thickBot="1">
      <c r="A41" s="18" t="s">
        <v>57</v>
      </c>
      <c r="B41" s="23" t="s">
        <v>14</v>
      </c>
      <c r="C41" s="10">
        <v>645</v>
      </c>
      <c r="D41" s="10" t="s">
        <v>20</v>
      </c>
      <c r="G41" s="17"/>
    </row>
    <row r="42" spans="1:17" s="2" customFormat="1" ht="11.25" customHeight="1">
      <c r="A42" s="29"/>
      <c r="B42" s="30"/>
      <c r="C42" s="45"/>
      <c r="D42" s="45"/>
      <c r="E42" s="45"/>
      <c r="F42" s="17"/>
      <c r="G42" s="17"/>
      <c r="H42" s="17"/>
      <c r="I42" s="17"/>
      <c r="J42" s="17"/>
      <c r="K42" s="17"/>
      <c r="L42" s="17"/>
      <c r="M42" s="17"/>
      <c r="N42" s="44"/>
    </row>
    <row r="43" spans="1:17" s="2" customFormat="1" ht="17.45" customHeight="1">
      <c r="A43" s="1" t="s">
        <v>366</v>
      </c>
    </row>
    <row r="44" spans="1:17" s="2" customFormat="1" ht="10.5" customHeight="1" thickBot="1">
      <c r="A44" s="1"/>
    </row>
    <row r="45" spans="1:17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5">
        <v>5</v>
      </c>
      <c r="H45" s="6"/>
      <c r="I45" s="13" t="s">
        <v>9</v>
      </c>
      <c r="J45" s="14">
        <f>(8633/15898)</f>
        <v>0.54302427978362056</v>
      </c>
    </row>
    <row r="46" spans="1:17" s="2" customFormat="1" ht="16.5" customHeight="1" thickBot="1">
      <c r="A46" s="7" t="s">
        <v>367</v>
      </c>
      <c r="B46" s="43" t="s">
        <v>16</v>
      </c>
      <c r="C46" s="10">
        <v>1941</v>
      </c>
      <c r="D46" s="10">
        <v>2112</v>
      </c>
      <c r="E46" s="9">
        <v>2670</v>
      </c>
      <c r="F46" s="10"/>
      <c r="G46" s="10"/>
      <c r="H46" s="11" t="s">
        <v>4</v>
      </c>
      <c r="J46" s="13" t="s">
        <v>11</v>
      </c>
      <c r="K46" s="13" t="s">
        <v>12</v>
      </c>
      <c r="L46" s="13" t="s">
        <v>13</v>
      </c>
    </row>
    <row r="47" spans="1:17" s="2" customFormat="1" ht="16.5" customHeight="1" thickBot="1">
      <c r="A47" s="7" t="s">
        <v>368</v>
      </c>
      <c r="B47" s="12" t="s">
        <v>5</v>
      </c>
      <c r="C47" s="10">
        <v>1812</v>
      </c>
      <c r="D47" s="10">
        <v>1899</v>
      </c>
      <c r="E47" s="10">
        <v>2086</v>
      </c>
      <c r="F47" s="9">
        <v>2171</v>
      </c>
      <c r="G47" s="9"/>
      <c r="H47" s="11" t="s">
        <v>8</v>
      </c>
      <c r="I47" s="16" t="s">
        <v>5</v>
      </c>
      <c r="J47" s="17">
        <f>(C47+C48)</f>
        <v>3439</v>
      </c>
      <c r="K47" s="14">
        <f>SUM(J47/J52)</f>
        <v>0.40650118203309693</v>
      </c>
      <c r="L47" s="2">
        <v>1</v>
      </c>
    </row>
    <row r="48" spans="1:17" s="2" customFormat="1" ht="16.5" customHeight="1" thickBot="1">
      <c r="A48" s="18" t="s">
        <v>369</v>
      </c>
      <c r="B48" s="19" t="s">
        <v>5</v>
      </c>
      <c r="C48" s="10">
        <v>1627</v>
      </c>
      <c r="D48" s="10">
        <v>1700</v>
      </c>
      <c r="E48" s="10">
        <v>1796</v>
      </c>
      <c r="F48" s="10">
        <v>1844</v>
      </c>
      <c r="G48" s="10">
        <v>1864</v>
      </c>
      <c r="H48" s="11"/>
      <c r="I48" s="20" t="s">
        <v>3</v>
      </c>
      <c r="J48" s="17">
        <v>1333</v>
      </c>
      <c r="K48" s="14">
        <f>SUM(J48/J52)</f>
        <v>0.15756501182033097</v>
      </c>
      <c r="L48" s="2">
        <v>1</v>
      </c>
    </row>
    <row r="49" spans="1:13" s="2" customFormat="1" ht="16.5" customHeight="1" thickBot="1">
      <c r="A49" s="7" t="s">
        <v>65</v>
      </c>
      <c r="B49" s="8" t="s">
        <v>3</v>
      </c>
      <c r="C49" s="10">
        <v>1333</v>
      </c>
      <c r="D49" s="10">
        <v>1385</v>
      </c>
      <c r="E49" s="10">
        <v>1628</v>
      </c>
      <c r="F49" s="10">
        <v>1865</v>
      </c>
      <c r="G49" s="9">
        <v>1881</v>
      </c>
      <c r="H49" s="11" t="s">
        <v>7</v>
      </c>
      <c r="I49" s="21" t="s">
        <v>16</v>
      </c>
      <c r="J49" s="17">
        <v>1941</v>
      </c>
      <c r="K49" s="14">
        <f>SUM(J49/J52)</f>
        <v>0.22943262411347518</v>
      </c>
      <c r="L49" s="2">
        <v>1</v>
      </c>
    </row>
    <row r="50" spans="1:13" s="2" customFormat="1" ht="16.5" customHeight="1" thickBot="1">
      <c r="A50" s="18" t="s">
        <v>370</v>
      </c>
      <c r="B50" s="47" t="s">
        <v>21</v>
      </c>
      <c r="C50" s="10">
        <v>1006</v>
      </c>
      <c r="D50" s="10">
        <v>1228</v>
      </c>
      <c r="E50" s="10" t="s">
        <v>20</v>
      </c>
      <c r="I50" s="26" t="s">
        <v>18</v>
      </c>
      <c r="J50" s="17">
        <v>741</v>
      </c>
      <c r="K50" s="14">
        <f>SUM(J50/J52)</f>
        <v>8.7588652482269505E-2</v>
      </c>
    </row>
    <row r="51" spans="1:13" s="2" customFormat="1" ht="16.5" customHeight="1" thickBot="1">
      <c r="A51" s="18" t="s">
        <v>371</v>
      </c>
      <c r="B51" s="27" t="s">
        <v>18</v>
      </c>
      <c r="C51" s="10">
        <v>741</v>
      </c>
      <c r="D51" s="10" t="s">
        <v>20</v>
      </c>
      <c r="I51" s="48" t="s">
        <v>21</v>
      </c>
      <c r="J51" s="17">
        <v>1006</v>
      </c>
      <c r="K51" s="14">
        <f>SUM(J51/J52)</f>
        <v>0.11891252955082743</v>
      </c>
    </row>
    <row r="52" spans="1:13" s="2" customFormat="1" ht="16.5" customHeight="1">
      <c r="I52" s="13"/>
      <c r="J52" s="24">
        <v>8460</v>
      </c>
      <c r="K52" s="14"/>
    </row>
    <row r="54" spans="1:13" s="2" customFormat="1" ht="17.45" customHeight="1">
      <c r="A54" s="1" t="s">
        <v>372</v>
      </c>
    </row>
    <row r="55" spans="1:13" s="2" customFormat="1" ht="10.5" customHeight="1" thickBot="1">
      <c r="A55" s="1"/>
    </row>
    <row r="56" spans="1:13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6"/>
      <c r="J56" s="13" t="s">
        <v>9</v>
      </c>
      <c r="K56" s="14">
        <f>(9106/15589)</f>
        <v>0.58412983514016292</v>
      </c>
    </row>
    <row r="57" spans="1:13" s="2" customFormat="1" ht="16.5" customHeight="1" thickBot="1">
      <c r="A57" s="7" t="s">
        <v>80</v>
      </c>
      <c r="B57" s="15" t="s">
        <v>14</v>
      </c>
      <c r="C57" s="9">
        <v>2329</v>
      </c>
      <c r="D57" s="10"/>
      <c r="E57" s="10"/>
      <c r="F57" s="10"/>
      <c r="G57" s="10"/>
      <c r="H57" s="10"/>
      <c r="I57" s="11" t="s">
        <v>4</v>
      </c>
      <c r="K57" s="13" t="s">
        <v>11</v>
      </c>
      <c r="L57" s="13" t="s">
        <v>12</v>
      </c>
      <c r="M57" s="13" t="s">
        <v>13</v>
      </c>
    </row>
    <row r="58" spans="1:13" s="2" customFormat="1" ht="16.5" customHeight="1" thickBot="1">
      <c r="A58" s="7" t="s">
        <v>75</v>
      </c>
      <c r="B58" s="12" t="s">
        <v>5</v>
      </c>
      <c r="C58" s="10">
        <v>1497</v>
      </c>
      <c r="D58" s="10">
        <v>1730</v>
      </c>
      <c r="E58" s="10">
        <v>1748</v>
      </c>
      <c r="F58" s="10">
        <v>1831</v>
      </c>
      <c r="G58" s="10">
        <v>1900</v>
      </c>
      <c r="H58" s="9">
        <v>2262</v>
      </c>
      <c r="I58" s="11" t="s">
        <v>8</v>
      </c>
      <c r="J58" s="16" t="s">
        <v>5</v>
      </c>
      <c r="K58" s="17">
        <f>(C58+C64)</f>
        <v>1890</v>
      </c>
      <c r="L58" s="14">
        <f>SUM(K58/K64)</f>
        <v>0.21129122414756848</v>
      </c>
      <c r="M58" s="2">
        <v>1</v>
      </c>
    </row>
    <row r="59" spans="1:13" s="2" customFormat="1" ht="16.5" customHeight="1" thickBot="1">
      <c r="A59" s="18" t="s">
        <v>375</v>
      </c>
      <c r="B59" s="22" t="s">
        <v>16</v>
      </c>
      <c r="C59" s="10">
        <v>1061</v>
      </c>
      <c r="D59" s="10">
        <v>1078</v>
      </c>
      <c r="E59" s="10">
        <v>1093</v>
      </c>
      <c r="F59" s="10">
        <v>1421</v>
      </c>
      <c r="G59" s="10">
        <v>1523</v>
      </c>
      <c r="H59" s="10">
        <v>1764</v>
      </c>
      <c r="I59" s="11"/>
      <c r="J59" s="20" t="s">
        <v>3</v>
      </c>
      <c r="K59" s="17">
        <f>(C60+C62)</f>
        <v>1902</v>
      </c>
      <c r="L59" s="14">
        <f>SUM(K59/K64)</f>
        <v>0.21263275572945781</v>
      </c>
      <c r="M59" s="2">
        <v>1</v>
      </c>
    </row>
    <row r="60" spans="1:13" s="2" customFormat="1" ht="16.5" customHeight="1" thickBot="1">
      <c r="A60" s="7" t="s">
        <v>77</v>
      </c>
      <c r="B60" s="8" t="s">
        <v>3</v>
      </c>
      <c r="C60" s="10">
        <v>1039</v>
      </c>
      <c r="D60" s="10">
        <v>1070</v>
      </c>
      <c r="E60" s="10">
        <v>1084</v>
      </c>
      <c r="F60" s="10">
        <v>1208</v>
      </c>
      <c r="G60" s="10">
        <v>1800</v>
      </c>
      <c r="H60" s="9">
        <v>2210</v>
      </c>
      <c r="I60" s="11" t="s">
        <v>7</v>
      </c>
      <c r="J60" s="21" t="s">
        <v>16</v>
      </c>
      <c r="K60" s="17">
        <v>1061</v>
      </c>
      <c r="L60" s="14">
        <f>SUM(K60/K64)</f>
        <v>0.11861375069871437</v>
      </c>
    </row>
    <row r="61" spans="1:13" s="2" customFormat="1" ht="16.5" customHeight="1" thickBot="1">
      <c r="A61" s="18" t="s">
        <v>374</v>
      </c>
      <c r="B61" s="79" t="s">
        <v>30</v>
      </c>
      <c r="C61" s="10">
        <v>953</v>
      </c>
      <c r="D61" s="10">
        <v>993</v>
      </c>
      <c r="E61" s="10">
        <v>1013</v>
      </c>
      <c r="F61" s="10">
        <v>1112</v>
      </c>
      <c r="G61" s="10">
        <v>1236</v>
      </c>
      <c r="H61" s="10" t="s">
        <v>20</v>
      </c>
      <c r="J61" s="78" t="s">
        <v>30</v>
      </c>
      <c r="K61" s="17">
        <v>953</v>
      </c>
      <c r="L61" s="14">
        <f>SUM(K61/K64)</f>
        <v>0.10653996646171045</v>
      </c>
    </row>
    <row r="62" spans="1:13" s="2" customFormat="1" ht="16.5" customHeight="1" thickBot="1">
      <c r="A62" s="18" t="s">
        <v>376</v>
      </c>
      <c r="B62" s="28" t="s">
        <v>3</v>
      </c>
      <c r="C62" s="10">
        <v>863</v>
      </c>
      <c r="D62" s="10">
        <v>887</v>
      </c>
      <c r="E62" s="10">
        <v>898</v>
      </c>
      <c r="F62" s="10">
        <v>942</v>
      </c>
      <c r="G62" s="10" t="s">
        <v>20</v>
      </c>
      <c r="J62" s="48" t="s">
        <v>21</v>
      </c>
      <c r="K62" s="17">
        <v>810</v>
      </c>
      <c r="L62" s="14">
        <f>SUM(K62/K64)</f>
        <v>9.0553381777529349E-2</v>
      </c>
    </row>
    <row r="63" spans="1:13" s="2" customFormat="1" ht="16.5" customHeight="1" thickBot="1">
      <c r="A63" s="18" t="s">
        <v>377</v>
      </c>
      <c r="B63" s="47" t="s">
        <v>21</v>
      </c>
      <c r="C63" s="10">
        <v>810</v>
      </c>
      <c r="D63" s="10">
        <v>824</v>
      </c>
      <c r="E63" s="10">
        <v>838</v>
      </c>
      <c r="F63" s="10" t="s">
        <v>20</v>
      </c>
      <c r="J63" s="13" t="s">
        <v>17</v>
      </c>
      <c r="K63" s="17">
        <v>2329</v>
      </c>
      <c r="L63" s="14">
        <f>SUM(K63/K64)</f>
        <v>0.26036892118501959</v>
      </c>
      <c r="M63" s="2">
        <v>1</v>
      </c>
    </row>
    <row r="64" spans="1:13" s="2" customFormat="1" ht="16.5" customHeight="1" thickBot="1">
      <c r="A64" s="18" t="s">
        <v>378</v>
      </c>
      <c r="B64" s="19" t="s">
        <v>5</v>
      </c>
      <c r="C64" s="10">
        <v>393</v>
      </c>
      <c r="D64" s="10" t="s">
        <v>20</v>
      </c>
      <c r="K64" s="24">
        <v>8945</v>
      </c>
    </row>
    <row r="65" spans="1:16" s="2" customFormat="1" ht="11.25" customHeight="1">
      <c r="A65" s="29"/>
      <c r="B65" s="30"/>
      <c r="C65" s="29"/>
      <c r="D65" s="29"/>
      <c r="E65" s="29"/>
      <c r="N65" s="14"/>
    </row>
    <row r="66" spans="1:16" s="2" customFormat="1" ht="17.45" customHeight="1">
      <c r="A66" s="1" t="s">
        <v>379</v>
      </c>
    </row>
    <row r="67" spans="1:16" s="2" customFormat="1" ht="8.25" customHeight="1" thickBot="1">
      <c r="A67" s="1"/>
    </row>
    <row r="68" spans="1:16" s="2" customFormat="1" ht="17.45" customHeight="1" thickBot="1">
      <c r="A68" s="4" t="s">
        <v>0</v>
      </c>
      <c r="B68" s="5" t="s">
        <v>1</v>
      </c>
      <c r="C68" s="5" t="s">
        <v>2</v>
      </c>
      <c r="D68" s="5">
        <v>2</v>
      </c>
      <c r="E68" s="5">
        <v>3</v>
      </c>
      <c r="F68" s="5">
        <v>4</v>
      </c>
      <c r="G68" s="5">
        <v>5</v>
      </c>
      <c r="H68" s="5">
        <v>6</v>
      </c>
      <c r="I68" s="5">
        <v>7</v>
      </c>
      <c r="J68" s="5">
        <v>8</v>
      </c>
      <c r="K68" s="5"/>
      <c r="L68" s="13" t="s">
        <v>9</v>
      </c>
      <c r="M68" s="14">
        <f>(18571/34737)</f>
        <v>0.53461726689121114</v>
      </c>
    </row>
    <row r="69" spans="1:16" s="2" customFormat="1" ht="17.45" customHeight="1" thickBot="1">
      <c r="A69" s="7" t="s">
        <v>380</v>
      </c>
      <c r="B69" s="8" t="s">
        <v>3</v>
      </c>
      <c r="C69" s="10">
        <v>2189</v>
      </c>
      <c r="D69" s="10">
        <v>2222</v>
      </c>
      <c r="E69" s="10">
        <v>2268</v>
      </c>
      <c r="F69" s="10">
        <v>2500</v>
      </c>
      <c r="G69" s="9">
        <v>2603</v>
      </c>
      <c r="H69" s="9"/>
      <c r="I69" s="10"/>
      <c r="J69" s="10"/>
      <c r="K69" s="11" t="s">
        <v>4</v>
      </c>
      <c r="M69" s="13" t="s">
        <v>11</v>
      </c>
      <c r="N69" s="13" t="s">
        <v>12</v>
      </c>
      <c r="O69" s="13" t="s">
        <v>13</v>
      </c>
      <c r="P69" s="13"/>
    </row>
    <row r="70" spans="1:16" s="2" customFormat="1" ht="17.45" customHeight="1" thickBot="1">
      <c r="A70" s="7" t="s">
        <v>381</v>
      </c>
      <c r="B70" s="81" t="s">
        <v>30</v>
      </c>
      <c r="C70" s="10">
        <v>2018</v>
      </c>
      <c r="D70" s="10">
        <v>2100</v>
      </c>
      <c r="E70" s="10">
        <v>2142</v>
      </c>
      <c r="F70" s="10">
        <v>2282</v>
      </c>
      <c r="G70" s="10">
        <v>2360</v>
      </c>
      <c r="H70" s="10">
        <v>2576</v>
      </c>
      <c r="I70" s="9">
        <v>2771</v>
      </c>
      <c r="J70" s="9"/>
      <c r="K70" s="11" t="s">
        <v>7</v>
      </c>
      <c r="L70" s="16" t="s">
        <v>5</v>
      </c>
      <c r="M70" s="17">
        <f>(C72+C76+C80)</f>
        <v>3925</v>
      </c>
      <c r="N70" s="14">
        <f>SUM(M70/M76)</f>
        <v>0.21658757311555016</v>
      </c>
      <c r="O70" s="2">
        <v>1</v>
      </c>
    </row>
    <row r="71" spans="1:16" s="2" customFormat="1" ht="17.45" customHeight="1" thickBot="1">
      <c r="A71" s="7" t="s">
        <v>386</v>
      </c>
      <c r="B71" s="8" t="s">
        <v>3</v>
      </c>
      <c r="C71" s="10">
        <v>1957</v>
      </c>
      <c r="D71" s="10">
        <v>1994</v>
      </c>
      <c r="E71" s="10">
        <v>2012</v>
      </c>
      <c r="F71" s="10">
        <v>2454</v>
      </c>
      <c r="G71" s="10">
        <v>2499</v>
      </c>
      <c r="H71" s="10">
        <v>2585</v>
      </c>
      <c r="I71" s="9">
        <v>2679</v>
      </c>
      <c r="J71" s="9"/>
      <c r="K71" s="11" t="s">
        <v>6</v>
      </c>
      <c r="L71" s="20" t="s">
        <v>3</v>
      </c>
      <c r="M71" s="17">
        <f>(C69+C71+C78)</f>
        <v>5302</v>
      </c>
      <c r="N71" s="14">
        <f>SUM(M71/M76)</f>
        <v>0.2925725637346871</v>
      </c>
      <c r="O71" s="2">
        <v>2</v>
      </c>
    </row>
    <row r="72" spans="1:16" s="2" customFormat="1" ht="17.45" customHeight="1" thickBot="1">
      <c r="A72" s="7" t="s">
        <v>382</v>
      </c>
      <c r="B72" s="12" t="s">
        <v>5</v>
      </c>
      <c r="C72" s="10">
        <v>1776</v>
      </c>
      <c r="D72" s="10">
        <v>1981</v>
      </c>
      <c r="E72" s="10">
        <v>2012</v>
      </c>
      <c r="F72" s="10">
        <v>2067</v>
      </c>
      <c r="G72" s="10">
        <v>2205</v>
      </c>
      <c r="H72" s="9">
        <v>3118</v>
      </c>
      <c r="I72" s="10"/>
      <c r="J72" s="10"/>
      <c r="K72" s="11" t="s">
        <v>8</v>
      </c>
      <c r="L72" s="21" t="s">
        <v>16</v>
      </c>
      <c r="M72" s="17">
        <f>(C75+C77+C79)</f>
        <v>3671</v>
      </c>
      <c r="N72" s="14">
        <f>SUM(M72/M76)</f>
        <v>0.2025714601037413</v>
      </c>
      <c r="O72" s="2">
        <v>1</v>
      </c>
    </row>
    <row r="73" spans="1:16" s="2" customFormat="1" ht="17.45" customHeight="1" thickBot="1">
      <c r="A73" s="7" t="s">
        <v>385</v>
      </c>
      <c r="B73" s="80" t="s">
        <v>21</v>
      </c>
      <c r="C73" s="10">
        <v>1767</v>
      </c>
      <c r="D73" s="10">
        <v>1795</v>
      </c>
      <c r="E73" s="10">
        <v>1858</v>
      </c>
      <c r="F73" s="10">
        <v>1920</v>
      </c>
      <c r="G73" s="10">
        <v>2313</v>
      </c>
      <c r="H73" s="10">
        <v>2397</v>
      </c>
      <c r="I73" s="10">
        <v>2469</v>
      </c>
      <c r="J73" s="9">
        <v>2497</v>
      </c>
      <c r="K73" s="11" t="s">
        <v>10</v>
      </c>
      <c r="L73" s="78" t="s">
        <v>30</v>
      </c>
      <c r="M73" s="17">
        <v>2018</v>
      </c>
      <c r="N73" s="14">
        <f>SUM(M73/M76)</f>
        <v>0.1113563624324026</v>
      </c>
      <c r="O73" s="2">
        <v>1</v>
      </c>
    </row>
    <row r="74" spans="1:16" s="2" customFormat="1" ht="17.45" customHeight="1" thickBot="1">
      <c r="A74" s="18" t="s">
        <v>95</v>
      </c>
      <c r="B74" s="23" t="s">
        <v>351</v>
      </c>
      <c r="C74" s="10">
        <v>1439</v>
      </c>
      <c r="D74" s="10">
        <v>1450</v>
      </c>
      <c r="E74" s="10">
        <v>1502</v>
      </c>
      <c r="F74" s="10">
        <v>1527</v>
      </c>
      <c r="G74" s="10" t="s">
        <v>20</v>
      </c>
      <c r="L74" s="48" t="s">
        <v>21</v>
      </c>
      <c r="M74" s="17">
        <v>1767</v>
      </c>
      <c r="N74" s="14">
        <f>SUM(M74/M76)</f>
        <v>9.7505794062465512E-2</v>
      </c>
      <c r="O74" s="2">
        <v>1</v>
      </c>
      <c r="P74" s="14"/>
    </row>
    <row r="75" spans="1:16" s="2" customFormat="1" ht="17.45" customHeight="1" thickBot="1">
      <c r="A75" s="18" t="s">
        <v>387</v>
      </c>
      <c r="B75" s="22" t="s">
        <v>16</v>
      </c>
      <c r="C75" s="10">
        <v>1420</v>
      </c>
      <c r="D75" s="10">
        <v>1444</v>
      </c>
      <c r="E75" s="10">
        <v>1655</v>
      </c>
      <c r="F75" s="10">
        <v>1751</v>
      </c>
      <c r="G75" s="10">
        <v>1967</v>
      </c>
      <c r="H75" s="10">
        <v>2082</v>
      </c>
      <c r="I75" s="10">
        <v>2124</v>
      </c>
      <c r="J75" s="10">
        <v>2167</v>
      </c>
      <c r="K75" s="11"/>
      <c r="L75" s="13" t="s">
        <v>17</v>
      </c>
      <c r="M75" s="17">
        <v>1439</v>
      </c>
      <c r="N75" s="14">
        <f>SUM(M75/M76)</f>
        <v>7.9406246551153289E-2</v>
      </c>
    </row>
    <row r="76" spans="1:16" s="2" customFormat="1" ht="17.45" customHeight="1" thickBot="1">
      <c r="A76" s="18" t="s">
        <v>388</v>
      </c>
      <c r="B76" s="19" t="s">
        <v>5</v>
      </c>
      <c r="C76" s="10">
        <v>1399</v>
      </c>
      <c r="D76" s="10">
        <v>1626</v>
      </c>
      <c r="E76" s="10">
        <v>1642</v>
      </c>
      <c r="F76" s="10">
        <v>1664</v>
      </c>
      <c r="G76" s="10">
        <v>1736</v>
      </c>
      <c r="H76" s="10" t="s">
        <v>20</v>
      </c>
      <c r="M76" s="24">
        <v>18122</v>
      </c>
    </row>
    <row r="77" spans="1:16" s="2" customFormat="1" ht="17.45" customHeight="1" thickBot="1">
      <c r="A77" s="7" t="s">
        <v>89</v>
      </c>
      <c r="B77" s="43" t="s">
        <v>16</v>
      </c>
      <c r="C77" s="10">
        <v>1346</v>
      </c>
      <c r="D77" s="10">
        <v>1364</v>
      </c>
      <c r="E77" s="10">
        <v>1748</v>
      </c>
      <c r="F77" s="10">
        <v>1816</v>
      </c>
      <c r="G77" s="10">
        <v>2117</v>
      </c>
      <c r="H77" s="10">
        <v>2207</v>
      </c>
      <c r="I77" s="10">
        <v>2274</v>
      </c>
      <c r="J77" s="9">
        <v>2288</v>
      </c>
      <c r="K77" s="11" t="s">
        <v>15</v>
      </c>
    </row>
    <row r="78" spans="1:16" s="2" customFormat="1" ht="17.45" customHeight="1" thickBot="1">
      <c r="A78" s="18" t="s">
        <v>383</v>
      </c>
      <c r="B78" s="28" t="s">
        <v>3</v>
      </c>
      <c r="C78" s="10">
        <v>1156</v>
      </c>
      <c r="D78" s="10">
        <v>1179</v>
      </c>
      <c r="E78" s="10">
        <v>1201</v>
      </c>
      <c r="F78" s="10" t="s">
        <v>20</v>
      </c>
    </row>
    <row r="79" spans="1:16" s="2" customFormat="1" ht="17.45" customHeight="1" thickBot="1">
      <c r="A79" s="18" t="s">
        <v>384</v>
      </c>
      <c r="B79" s="22" t="s">
        <v>16</v>
      </c>
      <c r="C79" s="10">
        <v>905</v>
      </c>
      <c r="D79" s="10">
        <v>914</v>
      </c>
      <c r="E79" s="10" t="s">
        <v>20</v>
      </c>
    </row>
    <row r="80" spans="1:16" s="2" customFormat="1" ht="17.45" customHeight="1" thickBot="1">
      <c r="A80" s="18" t="s">
        <v>389</v>
      </c>
      <c r="B80" s="19" t="s">
        <v>5</v>
      </c>
      <c r="C80" s="10">
        <v>750</v>
      </c>
      <c r="D80" s="10" t="s">
        <v>20</v>
      </c>
      <c r="F80" s="13"/>
    </row>
    <row r="82" spans="1:19" s="32" customFormat="1" ht="15" customHeight="1">
      <c r="B82" s="36" t="s">
        <v>19</v>
      </c>
      <c r="C82" s="38" t="s">
        <v>5</v>
      </c>
      <c r="D82" s="39" t="s">
        <v>3</v>
      </c>
      <c r="E82" s="40" t="s">
        <v>16</v>
      </c>
      <c r="F82" s="41" t="s">
        <v>18</v>
      </c>
      <c r="G82" s="49" t="s">
        <v>21</v>
      </c>
      <c r="H82" s="82" t="s">
        <v>30</v>
      </c>
      <c r="I82" s="36" t="s">
        <v>17</v>
      </c>
      <c r="Q82" s="33"/>
      <c r="R82" s="34"/>
      <c r="S82" s="35"/>
    </row>
    <row r="83" spans="1:19" s="32" customFormat="1" ht="15" customHeight="1">
      <c r="A83" s="32" t="s">
        <v>11</v>
      </c>
      <c r="B83" s="37">
        <f>SUM(J12+J52+K24+K64+M76+O38)</f>
        <v>81537</v>
      </c>
      <c r="C83" s="34">
        <f>SUM(M70+K58+K19+J47+O31+J5)</f>
        <v>20267</v>
      </c>
      <c r="D83" s="34">
        <f>SUM(M71+K59+K20+J48+O32+J6)</f>
        <v>19613</v>
      </c>
      <c r="E83" s="34">
        <f>SUM(M72+K60+K21+J49+O33+J7)</f>
        <v>16549</v>
      </c>
      <c r="F83" s="34">
        <f>(J50+O36+J10)</f>
        <v>2984</v>
      </c>
      <c r="G83" s="34">
        <f>SUM(M74+K62+K23+J51+O35+J9)</f>
        <v>8432</v>
      </c>
      <c r="H83" s="34">
        <f>(M73+K61+O34+K22+J8)</f>
        <v>6851</v>
      </c>
      <c r="I83" s="34">
        <f>(M75+K63+O37+J11)</f>
        <v>6831</v>
      </c>
      <c r="Q83" s="36"/>
      <c r="R83" s="37"/>
      <c r="S83" s="35"/>
    </row>
    <row r="84" spans="1:19" s="32" customFormat="1" ht="15" customHeight="1">
      <c r="A84" s="32" t="s">
        <v>12</v>
      </c>
      <c r="B84" s="42">
        <v>1</v>
      </c>
      <c r="C84" s="35">
        <f t="shared" ref="C84:I84" si="0">SUM(C83/$B$83)</f>
        <v>0.24856200252646038</v>
      </c>
      <c r="D84" s="35">
        <f t="shared" si="0"/>
        <v>0.24054110403865731</v>
      </c>
      <c r="E84" s="35">
        <f t="shared" si="0"/>
        <v>0.2029630719795921</v>
      </c>
      <c r="F84" s="35">
        <f t="shared" si="0"/>
        <v>3.6596882396948624E-2</v>
      </c>
      <c r="G84" s="35">
        <f t="shared" si="0"/>
        <v>0.10341317438708807</v>
      </c>
      <c r="H84" s="35">
        <f t="shared" si="0"/>
        <v>8.4023204189509051E-2</v>
      </c>
      <c r="I84" s="35">
        <f t="shared" si="0"/>
        <v>8.3777916773979916E-2</v>
      </c>
    </row>
    <row r="85" spans="1:19" s="32" customFormat="1" ht="15" customHeight="1">
      <c r="A85" s="32" t="s">
        <v>13</v>
      </c>
      <c r="B85" s="36">
        <v>28</v>
      </c>
      <c r="C85" s="32">
        <v>7</v>
      </c>
      <c r="D85" s="32">
        <v>9</v>
      </c>
      <c r="E85" s="32">
        <v>6</v>
      </c>
      <c r="F85" s="32">
        <v>0</v>
      </c>
      <c r="G85" s="32">
        <v>4</v>
      </c>
      <c r="H85" s="32">
        <v>1</v>
      </c>
      <c r="I85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0"/>
  <dimension ref="A1:R86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4" s="2" customFormat="1" ht="16.5" customHeight="1">
      <c r="A1" s="1" t="s">
        <v>100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(13628/29622)</f>
        <v>0.46006346634258322</v>
      </c>
    </row>
    <row r="4" spans="1:14" s="2" customFormat="1" ht="16.5" customHeight="1" thickBot="1">
      <c r="A4" s="7" t="s">
        <v>106</v>
      </c>
      <c r="B4" s="15" t="s">
        <v>107</v>
      </c>
      <c r="C4" s="9">
        <v>3787</v>
      </c>
      <c r="D4" s="10"/>
      <c r="E4" s="9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4" s="2" customFormat="1" ht="16.5" customHeight="1" thickBot="1">
      <c r="A5" s="7" t="s">
        <v>101</v>
      </c>
      <c r="B5" s="8" t="s">
        <v>3</v>
      </c>
      <c r="C5" s="9">
        <v>3028</v>
      </c>
      <c r="D5" s="10"/>
      <c r="E5" s="10"/>
      <c r="F5" s="9"/>
      <c r="G5" s="9"/>
      <c r="H5" s="9"/>
      <c r="I5" s="11" t="s">
        <v>8</v>
      </c>
      <c r="J5" s="16" t="s">
        <v>5</v>
      </c>
      <c r="K5" s="17">
        <f>(C7+C9)</f>
        <v>2616</v>
      </c>
      <c r="L5" s="14">
        <f>SUM(K5/K11)</f>
        <v>0.19392142327650111</v>
      </c>
      <c r="M5" s="2">
        <v>1</v>
      </c>
    </row>
    <row r="6" spans="1:14" s="2" customFormat="1" ht="16.5" customHeight="1" thickBot="1">
      <c r="A6" s="7" t="s">
        <v>103</v>
      </c>
      <c r="B6" s="43" t="s">
        <v>16</v>
      </c>
      <c r="C6" s="10">
        <v>2201</v>
      </c>
      <c r="D6" s="9">
        <v>2753</v>
      </c>
      <c r="E6" s="10"/>
      <c r="F6" s="9"/>
      <c r="G6" s="9"/>
      <c r="H6" s="9"/>
      <c r="I6" s="11" t="s">
        <v>7</v>
      </c>
      <c r="J6" s="20" t="s">
        <v>3</v>
      </c>
      <c r="K6" s="17">
        <v>3028</v>
      </c>
      <c r="L6" s="14">
        <f>SUM(K6/K11)</f>
        <v>0.22446256486286137</v>
      </c>
      <c r="M6" s="2">
        <v>1</v>
      </c>
    </row>
    <row r="7" spans="1:14" s="2" customFormat="1" ht="16.5" customHeight="1" thickBot="1">
      <c r="A7" s="7" t="s">
        <v>102</v>
      </c>
      <c r="B7" s="12" t="s">
        <v>5</v>
      </c>
      <c r="C7" s="10">
        <v>1678</v>
      </c>
      <c r="D7" s="10">
        <v>1766</v>
      </c>
      <c r="E7" s="10">
        <v>1787</v>
      </c>
      <c r="F7" s="10">
        <v>1869</v>
      </c>
      <c r="G7" s="10">
        <v>1952</v>
      </c>
      <c r="H7" s="9">
        <v>2692</v>
      </c>
      <c r="I7" s="11" t="s">
        <v>6</v>
      </c>
      <c r="J7" s="21" t="s">
        <v>16</v>
      </c>
      <c r="K7" s="17">
        <v>2201</v>
      </c>
      <c r="L7" s="14">
        <f>SUM(K7/K11)</f>
        <v>0.16315789473684211</v>
      </c>
      <c r="M7" s="2">
        <v>1</v>
      </c>
    </row>
    <row r="8" spans="1:14" s="2" customFormat="1" ht="16.5" customHeight="1" thickBot="1">
      <c r="A8" s="18" t="s">
        <v>105</v>
      </c>
      <c r="B8" s="47" t="s">
        <v>21</v>
      </c>
      <c r="C8" s="10">
        <v>1238</v>
      </c>
      <c r="D8" s="10">
        <v>1413</v>
      </c>
      <c r="E8" s="10">
        <v>1458</v>
      </c>
      <c r="F8" s="10">
        <v>1649</v>
      </c>
      <c r="G8" s="10">
        <v>1851</v>
      </c>
      <c r="H8" s="10">
        <v>2030</v>
      </c>
      <c r="I8" s="11"/>
      <c r="J8" s="26" t="s">
        <v>18</v>
      </c>
      <c r="K8" s="17">
        <v>484</v>
      </c>
      <c r="L8" s="14">
        <f>SUM(K8/K11)</f>
        <v>3.5878428465530021E-2</v>
      </c>
    </row>
    <row r="9" spans="1:14" s="2" customFormat="1" ht="16.5" customHeight="1" thickBot="1">
      <c r="A9" s="18" t="s">
        <v>104</v>
      </c>
      <c r="B9" s="19" t="s">
        <v>5</v>
      </c>
      <c r="C9" s="10">
        <v>938</v>
      </c>
      <c r="D9" s="10">
        <v>983</v>
      </c>
      <c r="E9" s="10">
        <v>997</v>
      </c>
      <c r="F9" s="10">
        <v>1033</v>
      </c>
      <c r="G9" s="10">
        <v>1077</v>
      </c>
      <c r="H9" s="10" t="s">
        <v>20</v>
      </c>
      <c r="J9" s="48" t="s">
        <v>21</v>
      </c>
      <c r="K9" s="17">
        <v>1238</v>
      </c>
      <c r="L9" s="14">
        <f>SUM(K9/K11)</f>
        <v>9.1771682727946627E-2</v>
      </c>
    </row>
    <row r="10" spans="1:14" s="2" customFormat="1" ht="16.5" customHeight="1" thickBot="1">
      <c r="A10" s="18" t="s">
        <v>108</v>
      </c>
      <c r="B10" s="27" t="s">
        <v>18</v>
      </c>
      <c r="C10" s="10">
        <v>484</v>
      </c>
      <c r="D10" s="10">
        <v>657</v>
      </c>
      <c r="E10" s="10">
        <v>694</v>
      </c>
      <c r="F10" s="10">
        <v>714</v>
      </c>
      <c r="G10" s="10" t="s">
        <v>20</v>
      </c>
      <c r="J10" s="13" t="s">
        <v>17</v>
      </c>
      <c r="K10" s="17">
        <f>(C4+C11)</f>
        <v>3923</v>
      </c>
      <c r="L10" s="14">
        <f>SUM(K10/K11)</f>
        <v>0.29080800593031875</v>
      </c>
      <c r="M10" s="2">
        <v>1</v>
      </c>
    </row>
    <row r="11" spans="1:14" s="2" customFormat="1" ht="16.5" customHeight="1" thickBot="1">
      <c r="A11" s="18" t="s">
        <v>109</v>
      </c>
      <c r="B11" s="23" t="s">
        <v>14</v>
      </c>
      <c r="C11" s="10">
        <v>136</v>
      </c>
      <c r="D11" s="10">
        <v>191</v>
      </c>
      <c r="E11" s="10" t="s">
        <v>20</v>
      </c>
      <c r="K11" s="24">
        <v>13490</v>
      </c>
    </row>
    <row r="12" spans="1:14" s="2" customFormat="1" ht="10.5" customHeight="1">
      <c r="A12" s="1"/>
    </row>
    <row r="13" spans="1:14" s="2" customFormat="1" ht="17.45" customHeight="1">
      <c r="A13" s="1" t="s">
        <v>110</v>
      </c>
    </row>
    <row r="14" spans="1:14" s="2" customFormat="1" ht="10.5" customHeight="1" thickBot="1">
      <c r="A14" s="1"/>
    </row>
    <row r="15" spans="1:14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6"/>
      <c r="K15" s="13" t="s">
        <v>9</v>
      </c>
      <c r="L15" s="14">
        <f>(13427/30735)</f>
        <v>0.43686351065560436</v>
      </c>
    </row>
    <row r="16" spans="1:14" s="2" customFormat="1" ht="16.5" customHeight="1" thickBot="1">
      <c r="A16" s="7" t="s">
        <v>120</v>
      </c>
      <c r="B16" s="43" t="s">
        <v>16</v>
      </c>
      <c r="C16" s="10">
        <v>1898</v>
      </c>
      <c r="D16" s="10">
        <v>1924</v>
      </c>
      <c r="E16" s="10">
        <v>1957</v>
      </c>
      <c r="F16" s="10">
        <v>1965</v>
      </c>
      <c r="G16" s="10">
        <v>2014</v>
      </c>
      <c r="H16" s="10">
        <v>2065</v>
      </c>
      <c r="I16" s="9">
        <v>2178</v>
      </c>
      <c r="J16" s="11" t="s">
        <v>7</v>
      </c>
      <c r="L16" s="13" t="s">
        <v>11</v>
      </c>
      <c r="M16" s="13" t="s">
        <v>12</v>
      </c>
      <c r="N16" s="13" t="s">
        <v>13</v>
      </c>
    </row>
    <row r="17" spans="1:17" s="2" customFormat="1" ht="16.5" customHeight="1" thickBot="1">
      <c r="A17" s="7" t="s">
        <v>116</v>
      </c>
      <c r="B17" s="15" t="s">
        <v>107</v>
      </c>
      <c r="C17" s="10">
        <v>1705</v>
      </c>
      <c r="D17" s="10">
        <v>1733</v>
      </c>
      <c r="E17" s="10">
        <v>1784</v>
      </c>
      <c r="F17" s="10">
        <v>1795</v>
      </c>
      <c r="G17" s="9">
        <v>2241</v>
      </c>
      <c r="H17" s="9"/>
      <c r="I17" s="9"/>
      <c r="J17" s="11" t="s">
        <v>4</v>
      </c>
      <c r="K17" s="16" t="s">
        <v>5</v>
      </c>
      <c r="L17" s="17">
        <f>(C21+C23+C25)</f>
        <v>2537</v>
      </c>
      <c r="M17" s="14">
        <f>SUM(L17/L22)</f>
        <v>0.1913994718973972</v>
      </c>
      <c r="N17" s="2">
        <v>1</v>
      </c>
    </row>
    <row r="18" spans="1:17" s="2" customFormat="1" ht="16.5" customHeight="1" thickBot="1">
      <c r="A18" s="7" t="s">
        <v>121</v>
      </c>
      <c r="B18" s="43" t="s">
        <v>16</v>
      </c>
      <c r="C18" s="10">
        <v>1696</v>
      </c>
      <c r="D18" s="10">
        <v>1708</v>
      </c>
      <c r="E18" s="10">
        <v>1749</v>
      </c>
      <c r="F18" s="10">
        <v>1758</v>
      </c>
      <c r="G18" s="10">
        <v>1785</v>
      </c>
      <c r="H18" s="10">
        <v>1845</v>
      </c>
      <c r="I18" s="9">
        <v>1987</v>
      </c>
      <c r="J18" s="11" t="s">
        <v>10</v>
      </c>
      <c r="K18" s="20" t="s">
        <v>3</v>
      </c>
      <c r="L18" s="17">
        <f>(C19+C22)</f>
        <v>2614</v>
      </c>
      <c r="M18" s="14">
        <f>SUM(L18/L22)</f>
        <v>0.1972086005281026</v>
      </c>
      <c r="N18" s="2">
        <v>1</v>
      </c>
    </row>
    <row r="19" spans="1:17" s="2" customFormat="1" ht="16.5" customHeight="1" thickBot="1">
      <c r="A19" s="7" t="s">
        <v>114</v>
      </c>
      <c r="B19" s="8" t="s">
        <v>3</v>
      </c>
      <c r="C19" s="10">
        <v>1649</v>
      </c>
      <c r="D19" s="10">
        <v>1661</v>
      </c>
      <c r="E19" s="10">
        <v>1698</v>
      </c>
      <c r="F19" s="10">
        <v>1707</v>
      </c>
      <c r="G19" s="10">
        <v>1726</v>
      </c>
      <c r="H19" s="10">
        <v>1803</v>
      </c>
      <c r="I19" s="9">
        <v>2320</v>
      </c>
      <c r="J19" s="11" t="s">
        <v>8</v>
      </c>
      <c r="K19" s="21" t="s">
        <v>16</v>
      </c>
      <c r="L19" s="17">
        <f>(C16+C18)</f>
        <v>3594</v>
      </c>
      <c r="M19" s="14">
        <f>SUM(L19/L22)</f>
        <v>0.27114296491889855</v>
      </c>
      <c r="N19" s="2">
        <v>2</v>
      </c>
    </row>
    <row r="20" spans="1:17" s="2" customFormat="1" ht="16.5" customHeight="1" thickBot="1">
      <c r="A20" s="18" t="s">
        <v>122</v>
      </c>
      <c r="B20" s="27" t="s">
        <v>18</v>
      </c>
      <c r="C20" s="10">
        <v>1517</v>
      </c>
      <c r="D20" s="10">
        <v>1532</v>
      </c>
      <c r="E20" s="10">
        <v>1557</v>
      </c>
      <c r="F20" s="10">
        <v>1565</v>
      </c>
      <c r="G20" s="10">
        <v>1641</v>
      </c>
      <c r="H20" s="10">
        <v>1672</v>
      </c>
      <c r="I20" s="10">
        <v>1699</v>
      </c>
      <c r="J20" s="11"/>
      <c r="K20" s="26" t="s">
        <v>18</v>
      </c>
      <c r="L20" s="17">
        <v>1517</v>
      </c>
      <c r="M20" s="14">
        <f>SUM(L20/L22)</f>
        <v>0.11444737834779328</v>
      </c>
    </row>
    <row r="21" spans="1:17" s="2" customFormat="1" ht="16.5" customHeight="1" thickBot="1">
      <c r="A21" s="7" t="s">
        <v>111</v>
      </c>
      <c r="B21" s="12" t="s">
        <v>5</v>
      </c>
      <c r="C21" s="10">
        <v>1203</v>
      </c>
      <c r="D21" s="10">
        <v>1213</v>
      </c>
      <c r="E21" s="10">
        <v>1225</v>
      </c>
      <c r="F21" s="10">
        <v>1337</v>
      </c>
      <c r="G21" s="10">
        <v>1347</v>
      </c>
      <c r="H21" s="10">
        <v>1850</v>
      </c>
      <c r="I21" s="9">
        <v>1999</v>
      </c>
      <c r="J21" s="11" t="s">
        <v>6</v>
      </c>
      <c r="K21" s="13" t="s">
        <v>17</v>
      </c>
      <c r="L21" s="17">
        <f>(C17+C24+C26+C27)</f>
        <v>2993</v>
      </c>
      <c r="M21" s="14">
        <f>SUM(L21/L22)</f>
        <v>0.22580158430780836</v>
      </c>
      <c r="N21" s="2">
        <v>1</v>
      </c>
    </row>
    <row r="22" spans="1:17" s="2" customFormat="1" ht="16.5" customHeight="1" thickBot="1">
      <c r="A22" s="18" t="s">
        <v>115</v>
      </c>
      <c r="B22" s="28" t="s">
        <v>3</v>
      </c>
      <c r="C22" s="10">
        <v>965</v>
      </c>
      <c r="D22" s="10">
        <v>974</v>
      </c>
      <c r="E22" s="10">
        <v>1083</v>
      </c>
      <c r="F22" s="10">
        <v>1294</v>
      </c>
      <c r="G22" s="10">
        <v>1297</v>
      </c>
      <c r="H22" s="10">
        <v>1368</v>
      </c>
      <c r="I22" s="10" t="s">
        <v>20</v>
      </c>
      <c r="L22" s="24">
        <v>13255</v>
      </c>
    </row>
    <row r="23" spans="1:17" s="2" customFormat="1" ht="16.5" customHeight="1" thickBot="1">
      <c r="A23" s="18" t="s">
        <v>112</v>
      </c>
      <c r="B23" s="19" t="s">
        <v>5</v>
      </c>
      <c r="C23" s="10">
        <v>723</v>
      </c>
      <c r="D23" s="10">
        <v>729</v>
      </c>
      <c r="E23" s="10">
        <v>760</v>
      </c>
      <c r="F23" s="10">
        <v>885</v>
      </c>
      <c r="G23" s="10">
        <v>890</v>
      </c>
      <c r="H23" s="10" t="s">
        <v>20</v>
      </c>
    </row>
    <row r="24" spans="1:17" s="2" customFormat="1" ht="16.5" customHeight="1" thickBot="1">
      <c r="A24" s="18" t="s">
        <v>117</v>
      </c>
      <c r="B24" s="23" t="s">
        <v>107</v>
      </c>
      <c r="C24" s="10">
        <v>642</v>
      </c>
      <c r="D24" s="10">
        <v>656</v>
      </c>
      <c r="E24" s="10">
        <v>667</v>
      </c>
      <c r="F24" s="10">
        <v>667</v>
      </c>
      <c r="G24" s="10" t="s">
        <v>20</v>
      </c>
    </row>
    <row r="25" spans="1:17" s="2" customFormat="1" ht="16.5" customHeight="1" thickBot="1">
      <c r="A25" s="18" t="s">
        <v>113</v>
      </c>
      <c r="B25" s="19" t="s">
        <v>5</v>
      </c>
      <c r="C25" s="10">
        <v>611</v>
      </c>
      <c r="D25" s="10">
        <v>611</v>
      </c>
      <c r="E25" s="10">
        <v>653</v>
      </c>
      <c r="F25" s="10" t="s">
        <v>20</v>
      </c>
    </row>
    <row r="26" spans="1:17" s="2" customFormat="1" ht="16.5" customHeight="1" thickBot="1">
      <c r="A26" s="18" t="s">
        <v>119</v>
      </c>
      <c r="B26" s="23" t="s">
        <v>14</v>
      </c>
      <c r="C26" s="10">
        <v>464</v>
      </c>
      <c r="D26" s="10">
        <v>491</v>
      </c>
      <c r="E26" s="10" t="s">
        <v>20</v>
      </c>
      <c r="G26" s="17"/>
    </row>
    <row r="27" spans="1:17" s="2" customFormat="1" ht="16.5" customHeight="1" thickBot="1">
      <c r="A27" s="18" t="s">
        <v>118</v>
      </c>
      <c r="B27" s="23" t="s">
        <v>14</v>
      </c>
      <c r="C27" s="10">
        <v>182</v>
      </c>
      <c r="D27" s="10" t="s">
        <v>20</v>
      </c>
      <c r="G27" s="17"/>
    </row>
    <row r="28" spans="1:17" s="2" customFormat="1" ht="11.25" customHeight="1">
      <c r="A28" s="29"/>
      <c r="B28" s="30"/>
      <c r="C28" s="45"/>
      <c r="D28" s="45"/>
      <c r="E28" s="45"/>
      <c r="F28" s="17"/>
      <c r="G28" s="17"/>
      <c r="H28" s="17"/>
      <c r="I28" s="17"/>
      <c r="J28" s="17"/>
      <c r="K28" s="17"/>
      <c r="L28" s="17"/>
      <c r="M28" s="17"/>
      <c r="N28" s="44"/>
    </row>
    <row r="29" spans="1:17" s="2" customFormat="1" ht="17.45" customHeight="1">
      <c r="A29" s="1" t="s">
        <v>123</v>
      </c>
    </row>
    <row r="30" spans="1:17" s="2" customFormat="1" ht="10.5" customHeight="1" thickBot="1">
      <c r="A30" s="1"/>
    </row>
    <row r="31" spans="1:17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>
        <v>9</v>
      </c>
      <c r="L31" s="5">
        <v>10</v>
      </c>
      <c r="M31" s="6"/>
      <c r="N31" s="13" t="s">
        <v>9</v>
      </c>
      <c r="O31" s="14">
        <f>(15742/35652)</f>
        <v>0.44154605632222599</v>
      </c>
    </row>
    <row r="32" spans="1:17" s="2" customFormat="1" ht="16.5" customHeight="1" thickBot="1">
      <c r="A32" s="7" t="s">
        <v>131</v>
      </c>
      <c r="B32" s="15" t="s">
        <v>107</v>
      </c>
      <c r="C32" s="9">
        <v>3192</v>
      </c>
      <c r="D32" s="10"/>
      <c r="E32" s="10"/>
      <c r="F32" s="10"/>
      <c r="G32" s="10"/>
      <c r="H32" s="10"/>
      <c r="I32" s="10"/>
      <c r="J32" s="10"/>
      <c r="K32" s="10"/>
      <c r="L32" s="10"/>
      <c r="M32" s="11" t="s">
        <v>4</v>
      </c>
      <c r="O32" s="13" t="s">
        <v>11</v>
      </c>
      <c r="P32" s="13" t="s">
        <v>12</v>
      </c>
      <c r="Q32" s="13" t="s">
        <v>13</v>
      </c>
    </row>
    <row r="33" spans="1:17" s="2" customFormat="1" ht="16.5" customHeight="1" thickBot="1">
      <c r="A33" s="7" t="s">
        <v>136</v>
      </c>
      <c r="B33" s="43" t="s">
        <v>16</v>
      </c>
      <c r="C33" s="10">
        <v>1572</v>
      </c>
      <c r="D33" s="10">
        <v>1617</v>
      </c>
      <c r="E33" s="10">
        <v>1623</v>
      </c>
      <c r="F33" s="10">
        <v>1678</v>
      </c>
      <c r="G33" s="10">
        <v>1737</v>
      </c>
      <c r="H33" s="10">
        <v>1848</v>
      </c>
      <c r="I33" s="10">
        <v>1923</v>
      </c>
      <c r="J33" s="10">
        <v>2322</v>
      </c>
      <c r="K33" s="10">
        <v>2433</v>
      </c>
      <c r="L33" s="9">
        <v>2670</v>
      </c>
      <c r="M33" s="11" t="s">
        <v>8</v>
      </c>
      <c r="N33" s="16" t="s">
        <v>5</v>
      </c>
      <c r="O33" s="17">
        <f>(C35+C39)</f>
        <v>2419</v>
      </c>
      <c r="P33" s="14">
        <f>SUM(O33/O39)</f>
        <v>0.15521334616618543</v>
      </c>
      <c r="Q33" s="2">
        <v>1</v>
      </c>
    </row>
    <row r="34" spans="1:17" s="2" customFormat="1" ht="16.5" customHeight="1" thickBot="1">
      <c r="A34" s="7" t="s">
        <v>135</v>
      </c>
      <c r="B34" s="43" t="s">
        <v>16</v>
      </c>
      <c r="C34" s="10">
        <v>1561</v>
      </c>
      <c r="D34" s="10">
        <v>1637</v>
      </c>
      <c r="E34" s="10">
        <v>1658</v>
      </c>
      <c r="F34" s="10">
        <v>1705</v>
      </c>
      <c r="G34" s="10">
        <v>1790</v>
      </c>
      <c r="H34" s="10">
        <v>1916</v>
      </c>
      <c r="I34" s="10">
        <v>1993</v>
      </c>
      <c r="J34" s="10">
        <v>2221</v>
      </c>
      <c r="K34" s="10">
        <v>2342</v>
      </c>
      <c r="L34" s="9">
        <v>2616</v>
      </c>
      <c r="M34" s="11" t="s">
        <v>7</v>
      </c>
      <c r="N34" s="20" t="s">
        <v>3</v>
      </c>
      <c r="O34" s="17">
        <f>(C36+C37+C38)</f>
        <v>3537</v>
      </c>
      <c r="P34" s="14">
        <f>SUM(O34/O39)</f>
        <v>0.22694898941289701</v>
      </c>
      <c r="Q34" s="2">
        <v>1</v>
      </c>
    </row>
    <row r="35" spans="1:17" s="2" customFormat="1" ht="16.5" customHeight="1" thickBot="1">
      <c r="A35" s="7" t="s">
        <v>124</v>
      </c>
      <c r="B35" s="12" t="s">
        <v>5</v>
      </c>
      <c r="C35" s="10">
        <v>1487</v>
      </c>
      <c r="D35" s="10">
        <v>1508</v>
      </c>
      <c r="E35" s="10">
        <v>1517</v>
      </c>
      <c r="F35" s="10">
        <v>1525</v>
      </c>
      <c r="G35" s="10">
        <v>1590</v>
      </c>
      <c r="H35" s="10">
        <v>1628</v>
      </c>
      <c r="I35" s="10">
        <v>2154</v>
      </c>
      <c r="J35" s="10">
        <v>2212</v>
      </c>
      <c r="K35" s="10">
        <v>2285</v>
      </c>
      <c r="L35" s="9">
        <v>2448</v>
      </c>
      <c r="M35" s="11" t="s">
        <v>6</v>
      </c>
      <c r="N35" s="21" t="s">
        <v>16</v>
      </c>
      <c r="O35" s="17">
        <f>(C33+C34+C40)</f>
        <v>3954</v>
      </c>
      <c r="P35" s="14">
        <f>SUM(O35/O39)</f>
        <v>0.25370548604427334</v>
      </c>
      <c r="Q35" s="2">
        <v>2</v>
      </c>
    </row>
    <row r="36" spans="1:17" s="2" customFormat="1" ht="16.5" customHeight="1" thickBot="1">
      <c r="A36" s="7" t="s">
        <v>127</v>
      </c>
      <c r="B36" s="8" t="s">
        <v>3</v>
      </c>
      <c r="C36" s="10">
        <v>1364</v>
      </c>
      <c r="D36" s="10">
        <v>1404</v>
      </c>
      <c r="E36" s="10">
        <v>1426</v>
      </c>
      <c r="F36" s="10">
        <v>1440</v>
      </c>
      <c r="G36" s="10">
        <v>1496</v>
      </c>
      <c r="H36" s="10">
        <v>1539</v>
      </c>
      <c r="I36" s="10">
        <v>1601</v>
      </c>
      <c r="J36" s="10">
        <v>1659</v>
      </c>
      <c r="K36" s="10">
        <v>2028</v>
      </c>
      <c r="L36" s="9">
        <v>2155</v>
      </c>
      <c r="M36" s="11" t="s">
        <v>10</v>
      </c>
      <c r="N36" s="26" t="s">
        <v>18</v>
      </c>
      <c r="O36" s="17">
        <v>721</v>
      </c>
      <c r="P36" s="14">
        <f>SUM(O36/O39)</f>
        <v>4.626243182547321E-2</v>
      </c>
    </row>
    <row r="37" spans="1:17" s="2" customFormat="1" ht="16.5" customHeight="1" thickBot="1">
      <c r="A37" s="18" t="s">
        <v>128</v>
      </c>
      <c r="B37" s="28" t="s">
        <v>3</v>
      </c>
      <c r="C37" s="10">
        <v>1234</v>
      </c>
      <c r="D37" s="10">
        <v>1257</v>
      </c>
      <c r="E37" s="10">
        <v>1262</v>
      </c>
      <c r="F37" s="10">
        <v>1266</v>
      </c>
      <c r="G37" s="10">
        <v>1300</v>
      </c>
      <c r="H37" s="10">
        <v>1323</v>
      </c>
      <c r="I37" s="10">
        <v>1353</v>
      </c>
      <c r="J37" s="10">
        <v>1375</v>
      </c>
      <c r="K37" s="10">
        <v>1645</v>
      </c>
      <c r="L37" s="10">
        <v>1728</v>
      </c>
      <c r="M37" s="11"/>
      <c r="N37" s="48" t="s">
        <v>21</v>
      </c>
      <c r="O37" s="17">
        <v>514</v>
      </c>
      <c r="P37" s="14">
        <f>SUM(O37/O39)</f>
        <v>3.2980429900545394E-2</v>
      </c>
    </row>
    <row r="38" spans="1:17" s="2" customFormat="1" ht="16.5" customHeight="1" thickBot="1">
      <c r="A38" s="18" t="s">
        <v>129</v>
      </c>
      <c r="B38" s="28" t="s">
        <v>3</v>
      </c>
      <c r="C38" s="10">
        <v>939</v>
      </c>
      <c r="D38" s="10">
        <v>960</v>
      </c>
      <c r="E38" s="10">
        <v>971</v>
      </c>
      <c r="F38" s="10">
        <v>986</v>
      </c>
      <c r="G38" s="10">
        <v>1030</v>
      </c>
      <c r="H38" s="10">
        <v>1056</v>
      </c>
      <c r="I38" s="10">
        <v>1104</v>
      </c>
      <c r="J38" s="10">
        <v>1164</v>
      </c>
      <c r="K38" s="10" t="s">
        <v>20</v>
      </c>
      <c r="N38" s="13" t="s">
        <v>17</v>
      </c>
      <c r="O38" s="17">
        <f>(C32+C41+C44+C45)</f>
        <v>4440</v>
      </c>
      <c r="P38" s="14">
        <f>SUM(O38/O39)</f>
        <v>0.28488931665062561</v>
      </c>
      <c r="Q38" s="2">
        <v>1</v>
      </c>
    </row>
    <row r="39" spans="1:17" s="2" customFormat="1" ht="16.5" customHeight="1" thickBot="1">
      <c r="A39" s="18" t="s">
        <v>125</v>
      </c>
      <c r="B39" s="19" t="s">
        <v>5</v>
      </c>
      <c r="C39" s="10">
        <v>932</v>
      </c>
      <c r="D39" s="10">
        <v>951</v>
      </c>
      <c r="E39" s="10">
        <v>961</v>
      </c>
      <c r="F39" s="10">
        <v>969</v>
      </c>
      <c r="G39" s="10">
        <v>996</v>
      </c>
      <c r="H39" s="10">
        <v>1031</v>
      </c>
      <c r="I39" s="10" t="s">
        <v>20</v>
      </c>
      <c r="J39" s="44"/>
      <c r="K39" s="17"/>
      <c r="L39" s="44"/>
      <c r="O39" s="24">
        <v>15585</v>
      </c>
    </row>
    <row r="40" spans="1:17" s="2" customFormat="1" ht="16.5" customHeight="1" thickBot="1">
      <c r="A40" s="18" t="s">
        <v>126</v>
      </c>
      <c r="B40" s="22" t="s">
        <v>16</v>
      </c>
      <c r="C40" s="10">
        <v>821</v>
      </c>
      <c r="D40" s="10">
        <v>861</v>
      </c>
      <c r="E40" s="10">
        <v>868</v>
      </c>
      <c r="F40" s="10">
        <v>921</v>
      </c>
      <c r="G40" s="10">
        <v>957</v>
      </c>
      <c r="H40" s="10">
        <v>1043</v>
      </c>
      <c r="I40" s="10">
        <v>1081</v>
      </c>
      <c r="J40" s="10" t="s">
        <v>20</v>
      </c>
      <c r="K40" s="46"/>
      <c r="L40" s="46"/>
      <c r="M40"/>
    </row>
    <row r="41" spans="1:17" s="2" customFormat="1" ht="16.5" customHeight="1" thickBot="1">
      <c r="A41" s="18" t="s">
        <v>134</v>
      </c>
      <c r="B41" s="23" t="s">
        <v>14</v>
      </c>
      <c r="C41" s="10">
        <v>733</v>
      </c>
      <c r="D41" s="10">
        <v>773</v>
      </c>
      <c r="E41" s="10">
        <v>883</v>
      </c>
      <c r="F41" s="10">
        <v>919</v>
      </c>
      <c r="G41" s="10">
        <v>982</v>
      </c>
      <c r="H41" s="10">
        <v>1153</v>
      </c>
      <c r="I41" s="10">
        <v>1221</v>
      </c>
      <c r="J41" s="10">
        <v>1309</v>
      </c>
      <c r="K41" s="10">
        <v>1390</v>
      </c>
      <c r="L41" s="10" t="s">
        <v>20</v>
      </c>
      <c r="O41" s="24"/>
    </row>
    <row r="42" spans="1:17" s="2" customFormat="1" ht="16.5" customHeight="1" thickBot="1">
      <c r="A42" s="18" t="s">
        <v>137</v>
      </c>
      <c r="B42" s="27" t="s">
        <v>18</v>
      </c>
      <c r="C42" s="10">
        <v>721</v>
      </c>
      <c r="D42" s="10">
        <v>776</v>
      </c>
      <c r="E42" s="10">
        <v>788</v>
      </c>
      <c r="F42" s="10">
        <v>863</v>
      </c>
      <c r="G42" s="10">
        <v>895</v>
      </c>
      <c r="H42" s="10" t="s">
        <v>20</v>
      </c>
      <c r="I42" s="46"/>
      <c r="J42" s="46"/>
      <c r="K42" s="46"/>
      <c r="L42" s="46"/>
      <c r="M42"/>
    </row>
    <row r="43" spans="1:17" s="2" customFormat="1" ht="16.5" customHeight="1" thickBot="1">
      <c r="A43" s="18" t="s">
        <v>130</v>
      </c>
      <c r="B43" s="47" t="s">
        <v>21</v>
      </c>
      <c r="C43" s="10">
        <v>514</v>
      </c>
      <c r="D43" s="10">
        <v>542</v>
      </c>
      <c r="E43" s="10">
        <v>569</v>
      </c>
      <c r="F43" s="10">
        <v>584</v>
      </c>
      <c r="G43" s="10" t="s">
        <v>20</v>
      </c>
      <c r="H43" s="17"/>
      <c r="I43" s="17"/>
      <c r="J43" s="17"/>
    </row>
    <row r="44" spans="1:17" s="2" customFormat="1" ht="16.5" customHeight="1" thickBot="1">
      <c r="A44" s="18" t="s">
        <v>133</v>
      </c>
      <c r="B44" s="23" t="s">
        <v>107</v>
      </c>
      <c r="C44" s="10">
        <v>262</v>
      </c>
      <c r="D44" s="10">
        <v>421</v>
      </c>
      <c r="E44" s="10">
        <v>433</v>
      </c>
      <c r="F44" s="10" t="s">
        <v>20</v>
      </c>
      <c r="G44" s="17"/>
      <c r="H44" s="17"/>
      <c r="I44" s="17"/>
      <c r="J44" s="44"/>
    </row>
    <row r="45" spans="1:17" s="2" customFormat="1" ht="16.5" customHeight="1" thickBot="1">
      <c r="A45" s="18" t="s">
        <v>132</v>
      </c>
      <c r="B45" s="23" t="s">
        <v>14</v>
      </c>
      <c r="C45" s="10">
        <v>253</v>
      </c>
      <c r="D45" s="10">
        <v>280</v>
      </c>
      <c r="E45" s="10" t="s">
        <v>20</v>
      </c>
      <c r="F45" s="17"/>
      <c r="G45" s="17"/>
      <c r="H45" s="24"/>
      <c r="I45" s="46"/>
      <c r="J45" s="46"/>
      <c r="K45"/>
    </row>
    <row r="47" spans="1:17" s="2" customFormat="1" ht="17.45" customHeight="1">
      <c r="A47" s="1" t="s">
        <v>138</v>
      </c>
    </row>
    <row r="48" spans="1:17" s="2" customFormat="1" ht="10.5" customHeight="1" thickBot="1">
      <c r="A48" s="1"/>
    </row>
    <row r="49" spans="1:16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>
        <v>8</v>
      </c>
      <c r="K49" s="5">
        <v>9</v>
      </c>
      <c r="L49" s="6"/>
      <c r="M49" s="13" t="s">
        <v>9</v>
      </c>
      <c r="N49" s="14">
        <f>(17949/36258)</f>
        <v>0.49503557835512163</v>
      </c>
    </row>
    <row r="50" spans="1:16" s="2" customFormat="1" ht="16.5" customHeight="1" thickBot="1">
      <c r="A50" s="7" t="s">
        <v>148</v>
      </c>
      <c r="B50" s="43" t="s">
        <v>16</v>
      </c>
      <c r="C50" s="9">
        <v>3388</v>
      </c>
      <c r="D50" s="10"/>
      <c r="E50" s="10"/>
      <c r="F50" s="10"/>
      <c r="G50" s="10"/>
      <c r="H50" s="10"/>
      <c r="I50" s="10"/>
      <c r="J50" s="10"/>
      <c r="K50" s="9"/>
      <c r="L50" s="11" t="s">
        <v>4</v>
      </c>
      <c r="N50" s="13" t="s">
        <v>11</v>
      </c>
      <c r="O50" s="13" t="s">
        <v>12</v>
      </c>
      <c r="P50" s="13" t="s">
        <v>13</v>
      </c>
    </row>
    <row r="51" spans="1:16" s="2" customFormat="1" ht="16.5" customHeight="1" thickBot="1">
      <c r="A51" s="7" t="s">
        <v>145</v>
      </c>
      <c r="B51" s="15" t="s">
        <v>14</v>
      </c>
      <c r="C51" s="10">
        <v>2291</v>
      </c>
      <c r="D51" s="10">
        <v>2346</v>
      </c>
      <c r="E51" s="10">
        <v>2388</v>
      </c>
      <c r="F51" s="10">
        <v>2454</v>
      </c>
      <c r="G51" s="10">
        <v>2541</v>
      </c>
      <c r="H51" s="10">
        <v>2623</v>
      </c>
      <c r="I51" s="10">
        <v>2800</v>
      </c>
      <c r="J51" s="9">
        <v>3035</v>
      </c>
      <c r="K51" s="9"/>
      <c r="L51" s="11" t="s">
        <v>8</v>
      </c>
      <c r="M51" s="16" t="s">
        <v>5</v>
      </c>
      <c r="N51" s="17">
        <f>(C58+C60)</f>
        <v>1833</v>
      </c>
      <c r="O51" s="14">
        <f>SUM(N51/N57)</f>
        <v>0.10355347155527936</v>
      </c>
    </row>
    <row r="52" spans="1:16" s="2" customFormat="1" ht="16.5" customHeight="1" thickBot="1">
      <c r="A52" s="7" t="s">
        <v>141</v>
      </c>
      <c r="B52" s="8" t="s">
        <v>3</v>
      </c>
      <c r="C52" s="10">
        <v>1833</v>
      </c>
      <c r="D52" s="10">
        <v>1874</v>
      </c>
      <c r="E52" s="10">
        <v>1903</v>
      </c>
      <c r="F52" s="10">
        <v>1926</v>
      </c>
      <c r="G52" s="10">
        <v>2005</v>
      </c>
      <c r="H52" s="10">
        <v>2513</v>
      </c>
      <c r="I52" s="10">
        <v>2586</v>
      </c>
      <c r="J52" s="10">
        <v>2689</v>
      </c>
      <c r="K52" s="9">
        <v>2877</v>
      </c>
      <c r="L52" s="11" t="s">
        <v>7</v>
      </c>
      <c r="M52" s="20" t="s">
        <v>3</v>
      </c>
      <c r="N52" s="17">
        <f>(C52+C57)</f>
        <v>2843</v>
      </c>
      <c r="O52" s="14">
        <f>SUM(N52/N57)</f>
        <v>0.16061239477995592</v>
      </c>
      <c r="P52" s="2">
        <v>1</v>
      </c>
    </row>
    <row r="53" spans="1:16" s="2" customFormat="1" ht="16.5" customHeight="1" thickBot="1">
      <c r="A53" s="18" t="s">
        <v>143</v>
      </c>
      <c r="B53" s="47" t="s">
        <v>21</v>
      </c>
      <c r="C53" s="10">
        <v>1531</v>
      </c>
      <c r="D53" s="10">
        <v>1581</v>
      </c>
      <c r="E53" s="10">
        <v>1610</v>
      </c>
      <c r="F53" s="10">
        <v>1671</v>
      </c>
      <c r="G53" s="10">
        <v>1766</v>
      </c>
      <c r="H53" s="10">
        <v>1817</v>
      </c>
      <c r="I53" s="10">
        <v>1928</v>
      </c>
      <c r="J53" s="10">
        <v>2040</v>
      </c>
      <c r="K53" s="10">
        <v>2306</v>
      </c>
      <c r="L53" s="11"/>
      <c r="M53" s="21" t="s">
        <v>16</v>
      </c>
      <c r="N53" s="17">
        <f>(C50+C54+C62)</f>
        <v>5331</v>
      </c>
      <c r="O53" s="14">
        <f>SUM(N53/N57)</f>
        <v>0.30116942545618891</v>
      </c>
      <c r="P53" s="2">
        <v>2</v>
      </c>
    </row>
    <row r="54" spans="1:16" s="2" customFormat="1" ht="16.5" customHeight="1" thickBot="1">
      <c r="A54" s="7" t="s">
        <v>147</v>
      </c>
      <c r="B54" s="43" t="s">
        <v>16</v>
      </c>
      <c r="C54" s="10">
        <v>1420</v>
      </c>
      <c r="D54" s="10">
        <v>1515</v>
      </c>
      <c r="E54" s="10">
        <v>1752</v>
      </c>
      <c r="F54" s="10">
        <v>1857</v>
      </c>
      <c r="G54" s="10">
        <v>1887</v>
      </c>
      <c r="H54" s="10">
        <v>1975</v>
      </c>
      <c r="I54" s="10">
        <v>2238</v>
      </c>
      <c r="J54" s="10">
        <v>2447</v>
      </c>
      <c r="K54" s="9">
        <v>2585</v>
      </c>
      <c r="L54" s="11" t="s">
        <v>6</v>
      </c>
      <c r="M54" s="26" t="s">
        <v>18</v>
      </c>
      <c r="N54" s="17">
        <v>677</v>
      </c>
      <c r="O54" s="14">
        <f>SUM(N54/N57)</f>
        <v>3.8246426755550532E-2</v>
      </c>
    </row>
    <row r="55" spans="1:16" s="2" customFormat="1" ht="16.5" customHeight="1" thickBot="1">
      <c r="A55" s="7" t="s">
        <v>144</v>
      </c>
      <c r="B55" s="15" t="s">
        <v>14</v>
      </c>
      <c r="C55" s="10">
        <v>1238</v>
      </c>
      <c r="D55" s="10">
        <v>1249</v>
      </c>
      <c r="E55" s="10">
        <v>1315</v>
      </c>
      <c r="F55" s="10">
        <v>1366</v>
      </c>
      <c r="G55" s="10">
        <v>1401</v>
      </c>
      <c r="H55" s="10">
        <v>1514</v>
      </c>
      <c r="I55" s="10">
        <v>1636</v>
      </c>
      <c r="J55" s="10">
        <v>2040</v>
      </c>
      <c r="K55" s="9">
        <v>2432</v>
      </c>
      <c r="L55" s="11" t="s">
        <v>10</v>
      </c>
      <c r="M55" s="48" t="s">
        <v>21</v>
      </c>
      <c r="N55" s="17">
        <v>1531</v>
      </c>
      <c r="O55" s="14">
        <f>SUM(N55/N57)</f>
        <v>8.6492288571267159E-2</v>
      </c>
    </row>
    <row r="56" spans="1:16" s="2" customFormat="1" ht="16.5" customHeight="1" thickBot="1">
      <c r="A56" s="18" t="s">
        <v>146</v>
      </c>
      <c r="B56" s="23" t="s">
        <v>14</v>
      </c>
      <c r="C56" s="10">
        <v>1075</v>
      </c>
      <c r="D56" s="10">
        <v>1082</v>
      </c>
      <c r="E56" s="10">
        <v>1125</v>
      </c>
      <c r="F56" s="10">
        <v>1200</v>
      </c>
      <c r="G56" s="10">
        <v>1211</v>
      </c>
      <c r="H56" s="10">
        <v>1300</v>
      </c>
      <c r="I56" s="10">
        <v>1424</v>
      </c>
      <c r="J56" s="10" t="s">
        <v>20</v>
      </c>
      <c r="M56" s="13" t="s">
        <v>17</v>
      </c>
      <c r="N56" s="17">
        <f>(C51+C55+C56+C59)</f>
        <v>5486</v>
      </c>
      <c r="O56" s="14">
        <f>SUM(N56/N57)</f>
        <v>0.30992599288175809</v>
      </c>
      <c r="P56" s="2">
        <v>2</v>
      </c>
    </row>
    <row r="57" spans="1:16" s="2" customFormat="1" ht="16.5" customHeight="1" thickBot="1">
      <c r="A57" s="18" t="s">
        <v>142</v>
      </c>
      <c r="B57" s="28" t="s">
        <v>3</v>
      </c>
      <c r="C57" s="10">
        <v>1010</v>
      </c>
      <c r="D57" s="10">
        <v>1024</v>
      </c>
      <c r="E57" s="10">
        <v>1059</v>
      </c>
      <c r="F57" s="10">
        <v>1087</v>
      </c>
      <c r="G57" s="10">
        <v>1108</v>
      </c>
      <c r="H57" s="10" t="s">
        <v>20</v>
      </c>
      <c r="N57" s="24">
        <v>17701</v>
      </c>
    </row>
    <row r="58" spans="1:16" s="2" customFormat="1" ht="16.5" customHeight="1" thickBot="1">
      <c r="A58" s="18" t="s">
        <v>139</v>
      </c>
      <c r="B58" s="19" t="s">
        <v>5</v>
      </c>
      <c r="C58" s="10">
        <v>985</v>
      </c>
      <c r="D58" s="10">
        <v>993</v>
      </c>
      <c r="E58" s="10">
        <v>1012</v>
      </c>
      <c r="F58" s="10">
        <v>1046</v>
      </c>
      <c r="G58" s="10">
        <v>1491</v>
      </c>
      <c r="H58" s="10">
        <v>1551</v>
      </c>
      <c r="I58" s="10">
        <v>1584</v>
      </c>
      <c r="J58" s="10">
        <v>1694</v>
      </c>
      <c r="K58" s="10" t="s">
        <v>20</v>
      </c>
    </row>
    <row r="59" spans="1:16" s="2" customFormat="1" ht="16.5" customHeight="1" thickBot="1">
      <c r="A59" s="18" t="s">
        <v>151</v>
      </c>
      <c r="B59" s="23" t="s">
        <v>107</v>
      </c>
      <c r="C59" s="10">
        <v>882</v>
      </c>
      <c r="D59" s="10">
        <v>905</v>
      </c>
      <c r="E59" s="10">
        <v>941</v>
      </c>
      <c r="F59" s="10">
        <v>1097</v>
      </c>
      <c r="G59" s="10">
        <v>1109</v>
      </c>
      <c r="H59" s="10">
        <v>1136</v>
      </c>
      <c r="I59" s="10" t="s">
        <v>20</v>
      </c>
    </row>
    <row r="60" spans="1:16" s="2" customFormat="1" ht="16.5" customHeight="1" thickBot="1">
      <c r="A60" s="18" t="s">
        <v>140</v>
      </c>
      <c r="B60" s="19" t="s">
        <v>5</v>
      </c>
      <c r="C60" s="10">
        <v>848</v>
      </c>
      <c r="D60" s="10">
        <v>894</v>
      </c>
      <c r="E60" s="10">
        <v>898</v>
      </c>
      <c r="F60" s="10">
        <v>911</v>
      </c>
      <c r="G60" s="10" t="s">
        <v>20</v>
      </c>
      <c r="I60" s="17"/>
      <c r="J60" s="17"/>
      <c r="K60" s="17"/>
      <c r="L60" s="17"/>
      <c r="M60" s="17"/>
    </row>
    <row r="61" spans="1:16" s="2" customFormat="1" ht="16.5" customHeight="1" thickBot="1">
      <c r="A61" s="18" t="s">
        <v>149</v>
      </c>
      <c r="B61" s="27" t="s">
        <v>18</v>
      </c>
      <c r="C61" s="10">
        <v>677</v>
      </c>
      <c r="D61" s="10">
        <v>691</v>
      </c>
      <c r="E61" s="10">
        <v>710</v>
      </c>
      <c r="F61" s="10" t="s">
        <v>20</v>
      </c>
      <c r="I61" s="17"/>
      <c r="J61" s="17"/>
      <c r="K61" s="17"/>
      <c r="L61" s="17"/>
      <c r="M61" s="17"/>
    </row>
    <row r="62" spans="1:16" s="2" customFormat="1" ht="16.5" customHeight="1" thickBot="1">
      <c r="A62" s="18" t="s">
        <v>150</v>
      </c>
      <c r="B62" s="22" t="s">
        <v>16</v>
      </c>
      <c r="C62" s="10">
        <v>523</v>
      </c>
      <c r="D62" s="10">
        <v>596</v>
      </c>
      <c r="E62" s="10" t="s">
        <v>20</v>
      </c>
      <c r="G62" s="17"/>
      <c r="H62" s="17"/>
      <c r="I62" s="17"/>
      <c r="J62" s="17"/>
      <c r="K62" s="17"/>
      <c r="L62" s="17"/>
      <c r="M62" s="17"/>
      <c r="N62" s="44"/>
    </row>
    <row r="63" spans="1:16" s="2" customFormat="1" ht="11.25" customHeight="1">
      <c r="A63" s="29"/>
      <c r="B63" s="30"/>
      <c r="C63" s="29"/>
      <c r="D63" s="29"/>
      <c r="E63" s="29"/>
      <c r="N63" s="14"/>
    </row>
    <row r="64" spans="1:16" s="2" customFormat="1" ht="17.45" customHeight="1">
      <c r="A64" s="1" t="s">
        <v>152</v>
      </c>
    </row>
    <row r="65" spans="1:18" s="2" customFormat="1" ht="8.25" customHeight="1" thickBot="1">
      <c r="A65" s="1"/>
    </row>
    <row r="66" spans="1:18" s="2" customFormat="1" ht="17.45" customHeight="1" thickBot="1">
      <c r="A66" s="4" t="s">
        <v>0</v>
      </c>
      <c r="B66" s="5" t="s">
        <v>1</v>
      </c>
      <c r="C66" s="5" t="s">
        <v>2</v>
      </c>
      <c r="D66" s="5">
        <v>2</v>
      </c>
      <c r="E66" s="5">
        <v>3</v>
      </c>
      <c r="F66" s="5">
        <v>4</v>
      </c>
      <c r="G66" s="5">
        <v>5</v>
      </c>
      <c r="H66" s="5">
        <v>6</v>
      </c>
      <c r="I66" s="5">
        <v>7</v>
      </c>
      <c r="J66" s="5">
        <v>8</v>
      </c>
      <c r="K66" s="5">
        <v>9</v>
      </c>
      <c r="L66" s="5">
        <v>10</v>
      </c>
      <c r="M66" s="5"/>
      <c r="N66" s="13" t="s">
        <v>9</v>
      </c>
      <c r="O66" s="14">
        <f>(22452/41843)</f>
        <v>0.53657720526730879</v>
      </c>
    </row>
    <row r="67" spans="1:18" s="2" customFormat="1" ht="17.45" customHeight="1" thickBot="1">
      <c r="A67" s="7" t="s">
        <v>157</v>
      </c>
      <c r="B67" s="43" t="s">
        <v>16</v>
      </c>
      <c r="C67" s="9">
        <v>3781</v>
      </c>
      <c r="D67" s="10"/>
      <c r="E67" s="9"/>
      <c r="F67" s="10"/>
      <c r="G67" s="10"/>
      <c r="H67" s="9"/>
      <c r="I67" s="10"/>
      <c r="J67" s="10"/>
      <c r="K67" s="10"/>
      <c r="L67" s="10"/>
      <c r="M67" s="11" t="s">
        <v>4</v>
      </c>
      <c r="O67" s="13" t="s">
        <v>11</v>
      </c>
      <c r="P67" s="13" t="s">
        <v>12</v>
      </c>
      <c r="Q67" s="13" t="s">
        <v>13</v>
      </c>
      <c r="R67" s="13"/>
    </row>
    <row r="68" spans="1:18" s="2" customFormat="1" ht="17.45" customHeight="1" thickBot="1">
      <c r="A68" s="7" t="s">
        <v>155</v>
      </c>
      <c r="B68" s="8" t="s">
        <v>3</v>
      </c>
      <c r="C68" s="10">
        <v>2739</v>
      </c>
      <c r="D68" s="10">
        <v>2754</v>
      </c>
      <c r="E68" s="10">
        <v>2795</v>
      </c>
      <c r="F68" s="10">
        <v>2832</v>
      </c>
      <c r="G68" s="10">
        <v>2859</v>
      </c>
      <c r="H68" s="10">
        <v>2948</v>
      </c>
      <c r="I68" s="10">
        <v>3002</v>
      </c>
      <c r="J68" s="10">
        <v>3161</v>
      </c>
      <c r="K68" s="10">
        <v>3387</v>
      </c>
      <c r="L68" s="9">
        <v>3499</v>
      </c>
      <c r="M68" s="11" t="s">
        <v>6</v>
      </c>
      <c r="N68" s="16" t="s">
        <v>5</v>
      </c>
      <c r="O68" s="17">
        <f>(C70+C73)</f>
        <v>3942</v>
      </c>
      <c r="P68" s="14">
        <f>SUM(O68/O74)</f>
        <v>0.17716057705271673</v>
      </c>
      <c r="Q68" s="2">
        <v>1</v>
      </c>
    </row>
    <row r="69" spans="1:18" s="2" customFormat="1" ht="17.45" customHeight="1" thickBot="1">
      <c r="A69" s="7" t="s">
        <v>156</v>
      </c>
      <c r="B69" s="8" t="s">
        <v>3</v>
      </c>
      <c r="C69" s="10">
        <v>2372</v>
      </c>
      <c r="D69" s="10">
        <v>2376</v>
      </c>
      <c r="E69" s="10">
        <v>2383</v>
      </c>
      <c r="F69" s="10">
        <v>2454</v>
      </c>
      <c r="G69" s="10">
        <v>2478</v>
      </c>
      <c r="H69" s="10">
        <v>2515</v>
      </c>
      <c r="I69" s="10">
        <v>2582</v>
      </c>
      <c r="J69" s="10">
        <v>2821</v>
      </c>
      <c r="K69" s="10">
        <v>3058</v>
      </c>
      <c r="L69" s="9">
        <v>3283</v>
      </c>
      <c r="M69" s="11" t="s">
        <v>10</v>
      </c>
      <c r="N69" s="20" t="s">
        <v>3</v>
      </c>
      <c r="O69" s="17">
        <f>(C68+C69)</f>
        <v>5111</v>
      </c>
      <c r="P69" s="14">
        <f>SUM(O69/O74)</f>
        <v>0.22969754168351983</v>
      </c>
      <c r="Q69" s="2">
        <v>2</v>
      </c>
    </row>
    <row r="70" spans="1:18" s="2" customFormat="1" ht="17.45" customHeight="1" thickBot="1">
      <c r="A70" s="7" t="s">
        <v>153</v>
      </c>
      <c r="B70" s="12" t="s">
        <v>5</v>
      </c>
      <c r="C70" s="10">
        <v>2283</v>
      </c>
      <c r="D70" s="10">
        <v>2288</v>
      </c>
      <c r="E70" s="10">
        <v>2311</v>
      </c>
      <c r="F70" s="10">
        <v>2338</v>
      </c>
      <c r="G70" s="10">
        <v>2360</v>
      </c>
      <c r="H70" s="10">
        <v>2421</v>
      </c>
      <c r="I70" s="10">
        <v>2440</v>
      </c>
      <c r="J70" s="10">
        <v>2500</v>
      </c>
      <c r="K70" s="10">
        <v>2592</v>
      </c>
      <c r="L70" s="9">
        <v>3634</v>
      </c>
      <c r="M70" s="11" t="s">
        <v>7</v>
      </c>
      <c r="N70" s="21" t="s">
        <v>16</v>
      </c>
      <c r="O70" s="17">
        <f>(C67+C71)</f>
        <v>6037</v>
      </c>
      <c r="P70" s="14">
        <f>SUM(O70/O74)</f>
        <v>0.27131364882477194</v>
      </c>
      <c r="Q70" s="2">
        <v>2</v>
      </c>
    </row>
    <row r="71" spans="1:18" s="2" customFormat="1" ht="17.45" customHeight="1" thickBot="1">
      <c r="A71" s="7" t="s">
        <v>160</v>
      </c>
      <c r="B71" s="43" t="s">
        <v>16</v>
      </c>
      <c r="C71" s="10">
        <v>2256</v>
      </c>
      <c r="D71" s="10">
        <v>2275</v>
      </c>
      <c r="E71" s="10">
        <v>2283</v>
      </c>
      <c r="F71" s="10">
        <v>2354</v>
      </c>
      <c r="G71" s="10">
        <v>2458</v>
      </c>
      <c r="H71" s="10">
        <v>2507</v>
      </c>
      <c r="I71" s="10">
        <v>2859</v>
      </c>
      <c r="J71" s="10">
        <v>3251</v>
      </c>
      <c r="K71" s="10">
        <v>3610</v>
      </c>
      <c r="L71" s="9">
        <v>3818</v>
      </c>
      <c r="M71" s="11" t="s">
        <v>8</v>
      </c>
      <c r="N71" s="26" t="s">
        <v>18</v>
      </c>
      <c r="O71" s="17">
        <v>638</v>
      </c>
      <c r="P71" s="14">
        <f>SUM(O71/O74)</f>
        <v>2.8672868635117522E-2</v>
      </c>
    </row>
    <row r="72" spans="1:18" s="2" customFormat="1" ht="17.45" customHeight="1" thickBot="1">
      <c r="A72" s="18" t="s">
        <v>163</v>
      </c>
      <c r="B72" s="23" t="s">
        <v>14</v>
      </c>
      <c r="C72" s="10">
        <v>1814</v>
      </c>
      <c r="D72" s="10">
        <v>1820</v>
      </c>
      <c r="E72" s="10">
        <v>1842</v>
      </c>
      <c r="F72" s="10">
        <v>1984</v>
      </c>
      <c r="G72" s="10">
        <v>2062</v>
      </c>
      <c r="H72" s="10">
        <v>2099</v>
      </c>
      <c r="I72" s="10">
        <v>2279</v>
      </c>
      <c r="J72" s="10">
        <v>2445</v>
      </c>
      <c r="K72" s="10">
        <v>2871</v>
      </c>
      <c r="L72" s="10">
        <v>3052</v>
      </c>
      <c r="M72" s="11"/>
      <c r="N72" s="48" t="s">
        <v>21</v>
      </c>
      <c r="O72" s="17">
        <f>(C76+C78)</f>
        <v>1578</v>
      </c>
      <c r="P72" s="14">
        <f>SUM(O72/O74)</f>
        <v>7.0918160981528922E-2</v>
      </c>
      <c r="R72" s="14"/>
    </row>
    <row r="73" spans="1:18" s="2" customFormat="1" ht="17.45" customHeight="1" thickBot="1">
      <c r="A73" s="18" t="s">
        <v>154</v>
      </c>
      <c r="B73" s="19" t="s">
        <v>5</v>
      </c>
      <c r="C73" s="10">
        <v>1659</v>
      </c>
      <c r="D73" s="10">
        <v>1662</v>
      </c>
      <c r="E73" s="10">
        <v>1669</v>
      </c>
      <c r="F73" s="10">
        <v>1710</v>
      </c>
      <c r="G73" s="10">
        <v>1743</v>
      </c>
      <c r="H73" s="10">
        <v>1766</v>
      </c>
      <c r="I73" s="10">
        <v>1826</v>
      </c>
      <c r="J73" s="10">
        <v>1923</v>
      </c>
      <c r="K73" s="10">
        <v>2033</v>
      </c>
      <c r="L73" s="10" t="s">
        <v>20</v>
      </c>
      <c r="N73" s="13" t="s">
        <v>17</v>
      </c>
      <c r="O73" s="17">
        <f>(C72+C74+C75+C79+C80+C81)</f>
        <v>4945</v>
      </c>
      <c r="P73" s="14">
        <f>SUM(O73/O74)</f>
        <v>0.22223720282234508</v>
      </c>
    </row>
    <row r="74" spans="1:18" s="2" customFormat="1" ht="17.45" customHeight="1" thickBot="1">
      <c r="A74" s="18" t="s">
        <v>167</v>
      </c>
      <c r="B74" s="23" t="s">
        <v>168</v>
      </c>
      <c r="C74" s="10">
        <v>1319</v>
      </c>
      <c r="D74" s="10">
        <v>1325</v>
      </c>
      <c r="E74" s="10">
        <v>1345</v>
      </c>
      <c r="F74" s="10">
        <v>1422</v>
      </c>
      <c r="G74" s="10">
        <v>1501</v>
      </c>
      <c r="H74" s="10">
        <v>1537</v>
      </c>
      <c r="I74" s="10">
        <v>1721</v>
      </c>
      <c r="J74" s="10">
        <v>1835</v>
      </c>
      <c r="K74" s="10" t="s">
        <v>20</v>
      </c>
      <c r="O74" s="24">
        <v>22251</v>
      </c>
    </row>
    <row r="75" spans="1:18" s="2" customFormat="1" ht="17.45" customHeight="1" thickBot="1">
      <c r="A75" s="18" t="s">
        <v>162</v>
      </c>
      <c r="B75" s="23" t="s">
        <v>107</v>
      </c>
      <c r="C75" s="10">
        <v>1032</v>
      </c>
      <c r="D75" s="10">
        <v>1036</v>
      </c>
      <c r="E75" s="10">
        <v>1044</v>
      </c>
      <c r="F75" s="10">
        <v>1063</v>
      </c>
      <c r="G75" s="10">
        <v>1207</v>
      </c>
      <c r="H75" s="10">
        <v>1229</v>
      </c>
      <c r="I75" s="10" t="s">
        <v>20</v>
      </c>
      <c r="J75" s="13"/>
      <c r="L75" s="14"/>
    </row>
    <row r="76" spans="1:18" s="2" customFormat="1" ht="17.45" customHeight="1" thickBot="1">
      <c r="A76" s="18" t="s">
        <v>158</v>
      </c>
      <c r="B76" s="47" t="s">
        <v>21</v>
      </c>
      <c r="C76" s="10">
        <v>962</v>
      </c>
      <c r="D76" s="10">
        <v>965</v>
      </c>
      <c r="E76" s="10">
        <v>972</v>
      </c>
      <c r="F76" s="10">
        <v>1009</v>
      </c>
      <c r="G76" s="10">
        <v>1041</v>
      </c>
      <c r="H76" s="10">
        <v>1329</v>
      </c>
      <c r="I76" s="10">
        <v>1450</v>
      </c>
      <c r="J76" s="10" t="s">
        <v>20</v>
      </c>
      <c r="K76" s="13"/>
      <c r="M76" s="14"/>
    </row>
    <row r="77" spans="1:18" s="2" customFormat="1" ht="17.45" customHeight="1" thickBot="1">
      <c r="A77" s="18" t="s">
        <v>161</v>
      </c>
      <c r="B77" s="27" t="s">
        <v>18</v>
      </c>
      <c r="C77" s="10">
        <v>638</v>
      </c>
      <c r="D77" s="10">
        <v>639</v>
      </c>
      <c r="E77" s="10">
        <v>643</v>
      </c>
      <c r="F77" s="10">
        <v>653</v>
      </c>
      <c r="G77" s="10" t="s">
        <v>20</v>
      </c>
      <c r="L77" s="24"/>
    </row>
    <row r="78" spans="1:18" s="2" customFormat="1" ht="17.45" customHeight="1" thickBot="1">
      <c r="A78" s="18" t="s">
        <v>159</v>
      </c>
      <c r="B78" s="47" t="s">
        <v>21</v>
      </c>
      <c r="C78" s="10">
        <v>616</v>
      </c>
      <c r="D78" s="10">
        <v>619</v>
      </c>
      <c r="E78" s="10">
        <v>632</v>
      </c>
      <c r="F78" s="10">
        <v>661</v>
      </c>
      <c r="G78" s="10">
        <v>683</v>
      </c>
      <c r="H78" s="10" t="s">
        <v>20</v>
      </c>
      <c r="J78" s="13"/>
      <c r="L78" s="14"/>
    </row>
    <row r="79" spans="1:18" s="2" customFormat="1" ht="17.45" customHeight="1" thickBot="1">
      <c r="A79" s="18" t="s">
        <v>165</v>
      </c>
      <c r="B79" s="23" t="s">
        <v>14</v>
      </c>
      <c r="C79" s="10">
        <v>341</v>
      </c>
      <c r="D79" s="10">
        <v>342</v>
      </c>
      <c r="E79" s="10">
        <v>359</v>
      </c>
      <c r="F79" s="10" t="s">
        <v>20</v>
      </c>
      <c r="G79" s="17"/>
      <c r="J79" s="13"/>
      <c r="L79" s="14"/>
    </row>
    <row r="80" spans="1:18" s="2" customFormat="1" ht="17.45" customHeight="1" thickBot="1">
      <c r="A80" s="18" t="s">
        <v>166</v>
      </c>
      <c r="B80" s="23" t="s">
        <v>14</v>
      </c>
      <c r="C80" s="10">
        <v>237</v>
      </c>
      <c r="D80" s="10">
        <v>238</v>
      </c>
      <c r="E80" s="10">
        <v>251</v>
      </c>
      <c r="F80" s="10" t="s">
        <v>20</v>
      </c>
      <c r="G80" s="17"/>
      <c r="J80" s="13"/>
      <c r="L80" s="14"/>
    </row>
    <row r="81" spans="1:18" s="2" customFormat="1" ht="17.45" customHeight="1" thickBot="1">
      <c r="A81" s="18" t="s">
        <v>164</v>
      </c>
      <c r="B81" s="23" t="s">
        <v>14</v>
      </c>
      <c r="C81" s="10">
        <v>202</v>
      </c>
      <c r="D81" s="10">
        <v>203</v>
      </c>
      <c r="E81" s="10" t="s">
        <v>20</v>
      </c>
      <c r="F81" s="17"/>
      <c r="G81" s="17"/>
      <c r="J81" s="13"/>
      <c r="L81" s="14"/>
    </row>
    <row r="83" spans="1:18" s="32" customFormat="1" ht="15" customHeight="1">
      <c r="B83" s="36" t="s">
        <v>19</v>
      </c>
      <c r="C83" s="38" t="s">
        <v>5</v>
      </c>
      <c r="D83" s="39" t="s">
        <v>3</v>
      </c>
      <c r="E83" s="40" t="s">
        <v>16</v>
      </c>
      <c r="F83" s="41" t="s">
        <v>18</v>
      </c>
      <c r="G83" s="49" t="s">
        <v>21</v>
      </c>
      <c r="H83" s="36" t="s">
        <v>17</v>
      </c>
      <c r="P83" s="33"/>
      <c r="Q83" s="34"/>
      <c r="R83" s="35"/>
    </row>
    <row r="84" spans="1:18" s="32" customFormat="1" ht="15" customHeight="1">
      <c r="A84" s="32" t="s">
        <v>11</v>
      </c>
      <c r="B84" s="37">
        <f>SUM(K11+O39+N57+O74+L22)</f>
        <v>82282</v>
      </c>
      <c r="C84" s="34">
        <f>SUM(O68+N51+O33+L17+K5)</f>
        <v>13347</v>
      </c>
      <c r="D84" s="34">
        <f>SUM(O69+N52+O34+L18+K6)</f>
        <v>17133</v>
      </c>
      <c r="E84" s="34">
        <f>SUM(O70+N53+O35+L19+K7)</f>
        <v>21117</v>
      </c>
      <c r="F84" s="34">
        <f>SUM(O71+N54+O36+L20+K8)</f>
        <v>4037</v>
      </c>
      <c r="G84" s="34">
        <f>(O72+N55+O37+K9)</f>
        <v>4861</v>
      </c>
      <c r="H84" s="34">
        <f>SUM(O73+N56+O38+L21+K10)</f>
        <v>21787</v>
      </c>
      <c r="J84" s="34"/>
      <c r="P84" s="36"/>
      <c r="Q84" s="37"/>
      <c r="R84" s="35"/>
    </row>
    <row r="85" spans="1:18" s="32" customFormat="1" ht="15" customHeight="1">
      <c r="A85" s="32" t="s">
        <v>12</v>
      </c>
      <c r="B85" s="42">
        <v>1</v>
      </c>
      <c r="C85" s="35">
        <f t="shared" ref="C85:H85" si="0">SUM(C84/$B$84)</f>
        <v>0.16221044699934373</v>
      </c>
      <c r="D85" s="35">
        <f t="shared" si="0"/>
        <v>0.20822294061884739</v>
      </c>
      <c r="E85" s="35">
        <f t="shared" si="0"/>
        <v>0.25664179285870542</v>
      </c>
      <c r="F85" s="35">
        <f t="shared" si="0"/>
        <v>4.9062978537225639E-2</v>
      </c>
      <c r="G85" s="35">
        <f t="shared" si="0"/>
        <v>5.9077319462336839E-2</v>
      </c>
      <c r="H85" s="35">
        <f t="shared" si="0"/>
        <v>0.26478452152354098</v>
      </c>
      <c r="J85" s="34"/>
    </row>
    <row r="86" spans="1:18" s="32" customFormat="1" ht="15" customHeight="1">
      <c r="A86" s="32" t="s">
        <v>13</v>
      </c>
      <c r="B86" s="36">
        <v>24</v>
      </c>
      <c r="C86" s="32">
        <v>4</v>
      </c>
      <c r="D86" s="32">
        <v>6</v>
      </c>
      <c r="E86" s="32">
        <v>9</v>
      </c>
      <c r="F86" s="32">
        <v>0</v>
      </c>
      <c r="G86" s="32">
        <v>0</v>
      </c>
      <c r="H86" s="32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11"/>
  <dimension ref="A1:R87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8" s="2" customFormat="1" ht="16.5" customHeight="1">
      <c r="A1" s="1" t="s">
        <v>169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(15603/30945)</f>
        <v>0.5042171594764906</v>
      </c>
    </row>
    <row r="4" spans="1:18" s="2" customFormat="1" ht="16.5" customHeight="1" thickBot="1">
      <c r="A4" s="7" t="s">
        <v>172</v>
      </c>
      <c r="B4" s="8" t="s">
        <v>3</v>
      </c>
      <c r="C4" s="9">
        <v>4146</v>
      </c>
      <c r="D4" s="10"/>
      <c r="E4" s="10"/>
      <c r="F4" s="10"/>
      <c r="G4" s="10"/>
      <c r="H4" s="10"/>
      <c r="I4" s="10"/>
      <c r="J4" s="9"/>
      <c r="K4" s="9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176</v>
      </c>
      <c r="B5" s="15" t="s">
        <v>14</v>
      </c>
      <c r="C5" s="10">
        <v>2143</v>
      </c>
      <c r="D5" s="10">
        <v>2244</v>
      </c>
      <c r="E5" s="10">
        <v>2253</v>
      </c>
      <c r="F5" s="10">
        <v>2316</v>
      </c>
      <c r="G5" s="10">
        <v>2402</v>
      </c>
      <c r="H5" s="10">
        <v>2526</v>
      </c>
      <c r="I5" s="9">
        <v>2689</v>
      </c>
      <c r="J5" s="10"/>
      <c r="K5" s="9"/>
      <c r="L5" s="9"/>
      <c r="M5" s="9"/>
      <c r="N5" s="11" t="s">
        <v>8</v>
      </c>
      <c r="O5" s="16" t="s">
        <v>5</v>
      </c>
      <c r="P5" s="17">
        <f>(C8+C10+C16)</f>
        <v>2070</v>
      </c>
      <c r="Q5" s="14">
        <f>SUM(P5/P12)</f>
        <v>0.13419773095623988</v>
      </c>
    </row>
    <row r="6" spans="1:18" s="2" customFormat="1" ht="16.5" customHeight="1" thickBot="1">
      <c r="A6" s="7" t="s">
        <v>180</v>
      </c>
      <c r="B6" s="43" t="s">
        <v>16</v>
      </c>
      <c r="C6" s="10">
        <v>1799</v>
      </c>
      <c r="D6" s="10">
        <v>2123</v>
      </c>
      <c r="E6" s="10">
        <v>2155</v>
      </c>
      <c r="F6" s="10">
        <v>2206</v>
      </c>
      <c r="G6" s="10">
        <v>2269</v>
      </c>
      <c r="H6" s="10">
        <v>2438</v>
      </c>
      <c r="I6" s="10">
        <v>2493</v>
      </c>
      <c r="J6" s="10">
        <v>2511</v>
      </c>
      <c r="K6" s="9">
        <v>2727</v>
      </c>
      <c r="L6" s="9"/>
      <c r="M6" s="9"/>
      <c r="N6" s="11" t="s">
        <v>7</v>
      </c>
      <c r="O6" s="20" t="s">
        <v>3</v>
      </c>
      <c r="P6" s="17">
        <f>(C4+C7)</f>
        <v>5453</v>
      </c>
      <c r="Q6" s="14">
        <f>SUM(P6/P12)</f>
        <v>0.353517017828201</v>
      </c>
      <c r="R6" s="2">
        <v>2</v>
      </c>
    </row>
    <row r="7" spans="1:18" s="2" customFormat="1" ht="16.5" customHeight="1" thickBot="1">
      <c r="A7" s="7" t="s">
        <v>173</v>
      </c>
      <c r="B7" s="8" t="s">
        <v>3</v>
      </c>
      <c r="C7" s="10">
        <v>1307</v>
      </c>
      <c r="D7" s="10">
        <v>1939</v>
      </c>
      <c r="E7" s="10">
        <v>1957</v>
      </c>
      <c r="F7" s="10">
        <v>2022</v>
      </c>
      <c r="G7" s="10">
        <v>2057</v>
      </c>
      <c r="H7" s="10">
        <v>2122</v>
      </c>
      <c r="I7" s="10">
        <v>2191</v>
      </c>
      <c r="J7" s="10">
        <v>2207</v>
      </c>
      <c r="K7" s="10">
        <v>2340</v>
      </c>
      <c r="L7" s="9">
        <v>2608</v>
      </c>
      <c r="M7" s="9"/>
      <c r="N7" s="11" t="s">
        <v>6</v>
      </c>
      <c r="O7" s="21" t="s">
        <v>16</v>
      </c>
      <c r="P7" s="17">
        <f>(C6+C9)</f>
        <v>2655</v>
      </c>
      <c r="Q7" s="14">
        <f>SUM(P7/P12)</f>
        <v>0.17212317666126417</v>
      </c>
      <c r="R7" s="2">
        <v>2</v>
      </c>
    </row>
    <row r="8" spans="1:18" s="2" customFormat="1" ht="16.5" customHeight="1" thickBot="1">
      <c r="A8" s="18" t="s">
        <v>174</v>
      </c>
      <c r="B8" s="19" t="s">
        <v>5</v>
      </c>
      <c r="C8" s="10">
        <v>868</v>
      </c>
      <c r="D8" s="10">
        <v>939</v>
      </c>
      <c r="E8" s="10">
        <v>994</v>
      </c>
      <c r="F8" s="10">
        <v>1013</v>
      </c>
      <c r="G8" s="10">
        <v>1029</v>
      </c>
      <c r="H8" s="10">
        <v>1062</v>
      </c>
      <c r="I8" s="10">
        <v>1495</v>
      </c>
      <c r="J8" s="10">
        <v>1537</v>
      </c>
      <c r="K8" s="10">
        <v>1625</v>
      </c>
      <c r="L8" s="10">
        <v>1810</v>
      </c>
      <c r="M8" s="10">
        <v>1834</v>
      </c>
      <c r="N8" s="11"/>
      <c r="O8" s="26" t="s">
        <v>18</v>
      </c>
      <c r="P8" s="17">
        <v>568</v>
      </c>
      <c r="Q8" s="14">
        <f>SUM(P8/P12)</f>
        <v>3.682333873581848E-2</v>
      </c>
    </row>
    <row r="9" spans="1:18" s="2" customFormat="1" ht="16.5" customHeight="1" thickBot="1">
      <c r="A9" s="7" t="s">
        <v>179</v>
      </c>
      <c r="B9" s="43" t="s">
        <v>16</v>
      </c>
      <c r="C9" s="10">
        <v>856</v>
      </c>
      <c r="D9" s="10">
        <v>969</v>
      </c>
      <c r="E9" s="10">
        <v>1006</v>
      </c>
      <c r="F9" s="10">
        <v>1054</v>
      </c>
      <c r="G9" s="10">
        <v>1132</v>
      </c>
      <c r="H9" s="10">
        <v>1257</v>
      </c>
      <c r="I9" s="10">
        <v>1309</v>
      </c>
      <c r="J9" s="10">
        <v>1319</v>
      </c>
      <c r="K9" s="10">
        <v>1471</v>
      </c>
      <c r="L9" s="10">
        <v>1944</v>
      </c>
      <c r="M9" s="9">
        <v>2040</v>
      </c>
      <c r="N9" s="11" t="s">
        <v>10</v>
      </c>
      <c r="O9" s="48" t="s">
        <v>21</v>
      </c>
      <c r="P9" s="17">
        <v>736</v>
      </c>
      <c r="Q9" s="14">
        <f>SUM(P9/P12)</f>
        <v>4.771474878444084E-2</v>
      </c>
    </row>
    <row r="10" spans="1:18" s="2" customFormat="1" ht="16.5" customHeight="1" thickBot="1">
      <c r="A10" s="18" t="s">
        <v>171</v>
      </c>
      <c r="B10" s="19" t="s">
        <v>5</v>
      </c>
      <c r="C10" s="10">
        <v>754</v>
      </c>
      <c r="D10" s="10">
        <v>783</v>
      </c>
      <c r="E10" s="10">
        <v>940</v>
      </c>
      <c r="F10" s="10">
        <v>946</v>
      </c>
      <c r="G10" s="10">
        <v>968</v>
      </c>
      <c r="H10" s="10">
        <v>985</v>
      </c>
      <c r="I10" s="10" t="s">
        <v>20</v>
      </c>
      <c r="O10" s="75" t="s">
        <v>31</v>
      </c>
      <c r="P10" s="17">
        <v>705</v>
      </c>
      <c r="Q10" s="14">
        <f>SUM(P10/P12)</f>
        <v>4.5705024311183146E-2</v>
      </c>
    </row>
    <row r="11" spans="1:18" s="2" customFormat="1" ht="16.5" customHeight="1" thickBot="1">
      <c r="A11" s="18" t="s">
        <v>175</v>
      </c>
      <c r="B11" s="47" t="s">
        <v>21</v>
      </c>
      <c r="C11" s="10">
        <v>736</v>
      </c>
      <c r="D11" s="10">
        <v>840</v>
      </c>
      <c r="E11" s="10">
        <v>865</v>
      </c>
      <c r="F11" s="10">
        <v>936</v>
      </c>
      <c r="G11" s="10">
        <v>994</v>
      </c>
      <c r="H11" s="10">
        <v>1057</v>
      </c>
      <c r="I11" s="10">
        <v>1125</v>
      </c>
      <c r="J11" s="10">
        <v>1139</v>
      </c>
      <c r="K11" s="10">
        <v>1310</v>
      </c>
      <c r="L11" s="10" t="s">
        <v>20</v>
      </c>
      <c r="O11" s="13" t="s">
        <v>17</v>
      </c>
      <c r="P11" s="17">
        <f>(C5+C13+C15)</f>
        <v>3238</v>
      </c>
      <c r="Q11" s="14">
        <f>SUM(P11/P12)</f>
        <v>0.20991896272285251</v>
      </c>
      <c r="R11" s="2">
        <v>1</v>
      </c>
    </row>
    <row r="12" spans="1:18" s="2" customFormat="1" ht="16.5" customHeight="1" thickBot="1">
      <c r="A12" s="18" t="s">
        <v>182</v>
      </c>
      <c r="B12" s="76" t="s">
        <v>31</v>
      </c>
      <c r="C12" s="10">
        <v>705</v>
      </c>
      <c r="D12" s="10">
        <v>745</v>
      </c>
      <c r="E12" s="10">
        <v>752</v>
      </c>
      <c r="F12" s="10">
        <v>774</v>
      </c>
      <c r="G12" s="10">
        <v>871</v>
      </c>
      <c r="H12" s="10" t="s">
        <v>20</v>
      </c>
      <c r="M12" s="17"/>
      <c r="P12" s="24">
        <v>15425</v>
      </c>
    </row>
    <row r="13" spans="1:18" s="2" customFormat="1" ht="16.5" customHeight="1" thickBot="1">
      <c r="A13" s="18" t="s">
        <v>178</v>
      </c>
      <c r="B13" s="23" t="s">
        <v>14</v>
      </c>
      <c r="C13" s="10">
        <v>572</v>
      </c>
      <c r="D13" s="10">
        <v>632</v>
      </c>
      <c r="E13" s="10">
        <v>638</v>
      </c>
      <c r="F13" s="10">
        <v>811</v>
      </c>
      <c r="G13" s="10">
        <v>885</v>
      </c>
      <c r="H13" s="10">
        <v>1037</v>
      </c>
      <c r="I13" s="10">
        <v>1081</v>
      </c>
      <c r="J13" s="10">
        <v>1088</v>
      </c>
      <c r="K13" s="10" t="s">
        <v>20</v>
      </c>
      <c r="O13" s="13"/>
      <c r="P13" s="17"/>
      <c r="Q13" s="14"/>
    </row>
    <row r="14" spans="1:18" s="2" customFormat="1" ht="16.5" customHeight="1" thickBot="1">
      <c r="A14" s="18" t="s">
        <v>181</v>
      </c>
      <c r="B14" s="27" t="s">
        <v>18</v>
      </c>
      <c r="C14" s="10">
        <v>568</v>
      </c>
      <c r="D14" s="10">
        <v>588</v>
      </c>
      <c r="E14" s="10">
        <v>597</v>
      </c>
      <c r="F14" s="10">
        <v>610</v>
      </c>
      <c r="G14" s="10" t="s">
        <v>20</v>
      </c>
      <c r="K14" s="24"/>
    </row>
    <row r="15" spans="1:18" s="2" customFormat="1" ht="16.5" customHeight="1" thickBot="1">
      <c r="A15" s="18" t="s">
        <v>177</v>
      </c>
      <c r="B15" s="23" t="s">
        <v>14</v>
      </c>
      <c r="C15" s="10">
        <v>523</v>
      </c>
      <c r="D15" s="10">
        <v>587</v>
      </c>
      <c r="E15" s="10">
        <v>594</v>
      </c>
      <c r="F15" s="10" t="s">
        <v>20</v>
      </c>
    </row>
    <row r="16" spans="1:18" s="2" customFormat="1" ht="16.5" customHeight="1" thickBot="1">
      <c r="A16" s="18" t="s">
        <v>170</v>
      </c>
      <c r="B16" s="19" t="s">
        <v>5</v>
      </c>
      <c r="C16" s="10">
        <v>448</v>
      </c>
      <c r="D16" s="10">
        <v>465</v>
      </c>
      <c r="E16" s="10" t="s">
        <v>20</v>
      </c>
      <c r="H16" s="17"/>
    </row>
    <row r="17" spans="1:17" s="2" customFormat="1" ht="10.5" customHeight="1">
      <c r="A17" s="1"/>
    </row>
    <row r="18" spans="1:17" s="2" customFormat="1" ht="17.45" customHeight="1">
      <c r="A18" s="1" t="s">
        <v>183</v>
      </c>
    </row>
    <row r="19" spans="1:17" s="2" customFormat="1" ht="10.5" customHeight="1" thickBot="1">
      <c r="A19" s="1"/>
    </row>
    <row r="20" spans="1:17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5">
        <v>10</v>
      </c>
      <c r="M20" s="6"/>
      <c r="N20" s="13" t="s">
        <v>9</v>
      </c>
      <c r="O20" s="14">
        <f>(15929/36859)</f>
        <v>0.43216039501885561</v>
      </c>
    </row>
    <row r="21" spans="1:17" s="2" customFormat="1" ht="16.5" customHeight="1" thickBot="1">
      <c r="A21" s="7" t="s">
        <v>189</v>
      </c>
      <c r="B21" s="43" t="s">
        <v>16</v>
      </c>
      <c r="C21" s="9">
        <v>2449</v>
      </c>
      <c r="D21" s="10"/>
      <c r="E21" s="10"/>
      <c r="F21" s="10"/>
      <c r="G21" s="10"/>
      <c r="H21" s="10"/>
      <c r="I21" s="10"/>
      <c r="J21" s="10"/>
      <c r="K21" s="10"/>
      <c r="L21" s="10"/>
      <c r="M21" s="11" t="s">
        <v>4</v>
      </c>
      <c r="O21" s="13" t="s">
        <v>11</v>
      </c>
      <c r="P21" s="13" t="s">
        <v>12</v>
      </c>
      <c r="Q21" s="13" t="s">
        <v>13</v>
      </c>
    </row>
    <row r="22" spans="1:17" s="2" customFormat="1" ht="16.5" customHeight="1" thickBot="1">
      <c r="A22" s="7" t="s">
        <v>186</v>
      </c>
      <c r="B22" s="8" t="s">
        <v>3</v>
      </c>
      <c r="C22" s="10">
        <v>1725</v>
      </c>
      <c r="D22" s="10">
        <v>1754</v>
      </c>
      <c r="E22" s="10">
        <v>1780</v>
      </c>
      <c r="F22" s="10">
        <v>1792</v>
      </c>
      <c r="G22" s="10">
        <v>1916</v>
      </c>
      <c r="H22" s="10">
        <v>2018</v>
      </c>
      <c r="I22" s="10">
        <v>2057</v>
      </c>
      <c r="J22" s="9">
        <v>2258</v>
      </c>
      <c r="K22" s="9"/>
      <c r="L22" s="9"/>
      <c r="M22" s="11" t="s">
        <v>8</v>
      </c>
      <c r="N22" s="16" t="s">
        <v>5</v>
      </c>
      <c r="O22" s="17">
        <f>(C25+C28+C30)</f>
        <v>3022</v>
      </c>
      <c r="P22" s="14">
        <f>SUM(O22/O28)</f>
        <v>0.19329666112319305</v>
      </c>
      <c r="Q22" s="2">
        <v>1</v>
      </c>
    </row>
    <row r="23" spans="1:17" s="2" customFormat="1" ht="16.5" customHeight="1" thickBot="1">
      <c r="A23" s="7" t="s">
        <v>187</v>
      </c>
      <c r="B23" s="8" t="s">
        <v>3</v>
      </c>
      <c r="C23" s="10">
        <v>1575</v>
      </c>
      <c r="D23" s="10">
        <v>1600</v>
      </c>
      <c r="E23" s="10">
        <v>1623</v>
      </c>
      <c r="F23" s="10">
        <v>1657</v>
      </c>
      <c r="G23" s="10">
        <v>1742</v>
      </c>
      <c r="H23" s="10">
        <v>1813</v>
      </c>
      <c r="I23" s="10">
        <v>1857</v>
      </c>
      <c r="J23" s="10">
        <v>2092</v>
      </c>
      <c r="K23" s="10">
        <v>2188</v>
      </c>
      <c r="L23" s="9">
        <v>2294</v>
      </c>
      <c r="M23" s="11" t="s">
        <v>6</v>
      </c>
      <c r="N23" s="20" t="s">
        <v>3</v>
      </c>
      <c r="O23" s="17">
        <f>(C23+C22)</f>
        <v>3300</v>
      </c>
      <c r="P23" s="14">
        <f>SUM(O23/O28)</f>
        <v>0.21107841883075348</v>
      </c>
      <c r="Q23" s="2">
        <v>2</v>
      </c>
    </row>
    <row r="24" spans="1:17" s="2" customFormat="1" ht="16.5" customHeight="1" thickBot="1">
      <c r="A24" s="7" t="s">
        <v>192</v>
      </c>
      <c r="B24" s="31" t="s">
        <v>18</v>
      </c>
      <c r="C24" s="10">
        <v>1502</v>
      </c>
      <c r="D24" s="10">
        <v>1507</v>
      </c>
      <c r="E24" s="10">
        <v>1511</v>
      </c>
      <c r="F24" s="10">
        <v>1546</v>
      </c>
      <c r="G24" s="10">
        <v>1564</v>
      </c>
      <c r="H24" s="10">
        <v>1574</v>
      </c>
      <c r="I24" s="10">
        <v>1767</v>
      </c>
      <c r="J24" s="10">
        <v>1936</v>
      </c>
      <c r="K24" s="9">
        <v>2896</v>
      </c>
      <c r="L24" s="9"/>
      <c r="M24" s="11" t="s">
        <v>7</v>
      </c>
      <c r="N24" s="21" t="s">
        <v>16</v>
      </c>
      <c r="O24" s="17">
        <f>(C21+C29)</f>
        <v>3371</v>
      </c>
      <c r="P24" s="14">
        <f>SUM(O24/O28)</f>
        <v>0.21561980299347575</v>
      </c>
      <c r="Q24" s="2">
        <v>1</v>
      </c>
    </row>
    <row r="25" spans="1:17" s="2" customFormat="1" ht="16.5" customHeight="1" thickBot="1">
      <c r="A25" s="18" t="s">
        <v>22</v>
      </c>
      <c r="B25" s="19" t="s">
        <v>5</v>
      </c>
      <c r="C25" s="10">
        <v>1254</v>
      </c>
      <c r="D25" s="10">
        <v>1256</v>
      </c>
      <c r="E25" s="10">
        <v>1267</v>
      </c>
      <c r="F25" s="10">
        <v>1268</v>
      </c>
      <c r="G25" s="10">
        <v>1372</v>
      </c>
      <c r="H25" s="10">
        <v>1531</v>
      </c>
      <c r="I25" s="10">
        <v>1541</v>
      </c>
      <c r="J25" s="10">
        <v>1568</v>
      </c>
      <c r="K25" s="10">
        <v>1595</v>
      </c>
      <c r="L25" s="10">
        <v>1617</v>
      </c>
      <c r="M25" s="11"/>
      <c r="N25" s="26" t="s">
        <v>18</v>
      </c>
      <c r="O25" s="17">
        <f>(C24+C26)</f>
        <v>2723</v>
      </c>
      <c r="P25" s="14">
        <f>SUM(O25/O28)</f>
        <v>0.17417167711398235</v>
      </c>
      <c r="Q25" s="2">
        <v>1</v>
      </c>
    </row>
    <row r="26" spans="1:17" s="2" customFormat="1" ht="16.5" customHeight="1" thickBot="1">
      <c r="A26" s="18" t="s">
        <v>197</v>
      </c>
      <c r="B26" s="27" t="s">
        <v>18</v>
      </c>
      <c r="C26" s="10">
        <v>1221</v>
      </c>
      <c r="D26" s="10">
        <v>1227</v>
      </c>
      <c r="E26" s="10">
        <v>1250</v>
      </c>
      <c r="F26" s="10">
        <v>1278</v>
      </c>
      <c r="G26" s="10">
        <v>1311</v>
      </c>
      <c r="H26" s="10">
        <v>1324</v>
      </c>
      <c r="I26" s="10">
        <v>1402</v>
      </c>
      <c r="J26" s="10">
        <v>1489</v>
      </c>
      <c r="K26" s="10" t="s">
        <v>20</v>
      </c>
      <c r="N26" s="48" t="s">
        <v>21</v>
      </c>
      <c r="O26" s="17">
        <v>683</v>
      </c>
      <c r="P26" s="14">
        <f>SUM(O26/O28)</f>
        <v>4.3686836382243827E-2</v>
      </c>
    </row>
    <row r="27" spans="1:17" s="2" customFormat="1" ht="16.5" customHeight="1" thickBot="1">
      <c r="A27" s="7" t="s">
        <v>190</v>
      </c>
      <c r="B27" s="15" t="s">
        <v>40</v>
      </c>
      <c r="C27" s="10">
        <v>1137</v>
      </c>
      <c r="D27" s="10">
        <v>1151</v>
      </c>
      <c r="E27" s="10">
        <v>1179</v>
      </c>
      <c r="F27" s="10">
        <v>1218</v>
      </c>
      <c r="G27" s="10">
        <v>1270</v>
      </c>
      <c r="H27" s="10">
        <v>1292</v>
      </c>
      <c r="I27" s="10">
        <v>1471</v>
      </c>
      <c r="J27" s="10">
        <v>1703</v>
      </c>
      <c r="K27" s="10">
        <v>1838</v>
      </c>
      <c r="L27" s="9">
        <v>2203</v>
      </c>
      <c r="M27" s="11" t="s">
        <v>10</v>
      </c>
      <c r="N27" s="13" t="s">
        <v>17</v>
      </c>
      <c r="O27" s="17">
        <f>(C27+C32+C33+C34+C35)</f>
        <v>2535</v>
      </c>
      <c r="P27" s="14">
        <f>SUM(O27/O28)</f>
        <v>0.16214660355635155</v>
      </c>
      <c r="Q27" s="2">
        <v>1</v>
      </c>
    </row>
    <row r="28" spans="1:17" s="2" customFormat="1" ht="16.5" customHeight="1" thickBot="1">
      <c r="A28" s="7" t="s">
        <v>184</v>
      </c>
      <c r="B28" s="12" t="s">
        <v>5</v>
      </c>
      <c r="C28" s="10">
        <v>1034</v>
      </c>
      <c r="D28" s="10">
        <v>1046</v>
      </c>
      <c r="E28" s="10">
        <v>1079</v>
      </c>
      <c r="F28" s="10">
        <v>1104</v>
      </c>
      <c r="G28" s="10">
        <v>1174</v>
      </c>
      <c r="H28" s="10">
        <v>1476</v>
      </c>
      <c r="I28" s="10">
        <v>1513</v>
      </c>
      <c r="J28" s="10">
        <v>1587</v>
      </c>
      <c r="K28" s="10">
        <v>1652</v>
      </c>
      <c r="L28" s="9">
        <v>1713</v>
      </c>
      <c r="M28" s="11" t="s">
        <v>15</v>
      </c>
      <c r="O28" s="24">
        <v>15634</v>
      </c>
    </row>
    <row r="29" spans="1:17" s="2" customFormat="1" ht="16.5" customHeight="1" thickBot="1">
      <c r="A29" s="18" t="s">
        <v>191</v>
      </c>
      <c r="B29" s="22" t="s">
        <v>16</v>
      </c>
      <c r="C29" s="10">
        <v>922</v>
      </c>
      <c r="D29" s="10">
        <v>1019</v>
      </c>
      <c r="E29" s="10">
        <v>1055</v>
      </c>
      <c r="F29" s="10">
        <v>1088</v>
      </c>
      <c r="G29" s="10">
        <v>1200</v>
      </c>
      <c r="H29" s="10">
        <v>1224</v>
      </c>
      <c r="I29" s="10">
        <v>1324</v>
      </c>
      <c r="J29" s="10" t="s">
        <v>20</v>
      </c>
      <c r="K29" s="46"/>
      <c r="L29" s="46"/>
      <c r="M29"/>
    </row>
    <row r="30" spans="1:17" s="2" customFormat="1" ht="16.5" customHeight="1" thickBot="1">
      <c r="A30" s="18" t="s">
        <v>185</v>
      </c>
      <c r="B30" s="19" t="s">
        <v>5</v>
      </c>
      <c r="C30" s="10">
        <v>734</v>
      </c>
      <c r="D30" s="10">
        <v>740</v>
      </c>
      <c r="E30" s="10">
        <v>762</v>
      </c>
      <c r="F30" s="10">
        <v>769</v>
      </c>
      <c r="G30" s="10">
        <v>792</v>
      </c>
      <c r="H30" s="10" t="s">
        <v>20</v>
      </c>
      <c r="I30" s="17"/>
      <c r="J30" s="17"/>
    </row>
    <row r="31" spans="1:17" s="2" customFormat="1" ht="16.5" customHeight="1" thickBot="1">
      <c r="A31" s="18" t="s">
        <v>188</v>
      </c>
      <c r="B31" s="47" t="s">
        <v>21</v>
      </c>
      <c r="C31" s="10">
        <v>683</v>
      </c>
      <c r="D31" s="10">
        <v>690</v>
      </c>
      <c r="E31" s="10">
        <v>718</v>
      </c>
      <c r="F31" s="10">
        <v>725</v>
      </c>
      <c r="G31" s="10" t="s">
        <v>20</v>
      </c>
      <c r="H31" s="17"/>
      <c r="I31" s="17"/>
      <c r="J31" s="44"/>
    </row>
    <row r="32" spans="1:17" s="2" customFormat="1" ht="16.5" customHeight="1" thickBot="1">
      <c r="A32" s="18" t="s">
        <v>193</v>
      </c>
      <c r="B32" s="23" t="s">
        <v>14</v>
      </c>
      <c r="C32" s="10">
        <v>658</v>
      </c>
      <c r="D32" s="10">
        <v>663</v>
      </c>
      <c r="E32" s="10">
        <v>692</v>
      </c>
      <c r="F32" s="10">
        <v>897</v>
      </c>
      <c r="G32" s="10">
        <v>917</v>
      </c>
      <c r="H32" s="10">
        <v>932</v>
      </c>
      <c r="I32" s="10" t="s">
        <v>20</v>
      </c>
      <c r="J32" s="46"/>
      <c r="K32"/>
    </row>
    <row r="33" spans="1:13" s="2" customFormat="1" ht="16.5" customHeight="1" thickBot="1">
      <c r="A33" s="18" t="s">
        <v>196</v>
      </c>
      <c r="B33" s="23" t="s">
        <v>14</v>
      </c>
      <c r="C33" s="10">
        <v>410</v>
      </c>
      <c r="D33" s="10">
        <v>413</v>
      </c>
      <c r="E33" s="10">
        <v>453</v>
      </c>
      <c r="F33" s="10" t="s">
        <v>20</v>
      </c>
      <c r="G33" s="17"/>
      <c r="H33" s="17"/>
      <c r="I33" s="17"/>
      <c r="J33" s="17"/>
    </row>
    <row r="34" spans="1:13" s="2" customFormat="1" ht="16.5" customHeight="1" thickBot="1">
      <c r="A34" s="18" t="s">
        <v>194</v>
      </c>
      <c r="B34" s="23" t="s">
        <v>14</v>
      </c>
      <c r="C34" s="10">
        <v>179</v>
      </c>
      <c r="D34" s="10">
        <v>182</v>
      </c>
      <c r="E34" s="10" t="s">
        <v>20</v>
      </c>
      <c r="F34" s="17"/>
      <c r="G34" s="17"/>
      <c r="H34" s="17"/>
      <c r="I34" s="17"/>
      <c r="J34" s="44"/>
    </row>
    <row r="35" spans="1:13" s="2" customFormat="1" ht="16.5" customHeight="1" thickBot="1">
      <c r="A35" s="18" t="s">
        <v>195</v>
      </c>
      <c r="B35" s="23" t="s">
        <v>14</v>
      </c>
      <c r="C35" s="10">
        <v>151</v>
      </c>
      <c r="D35" s="10">
        <v>152</v>
      </c>
      <c r="E35" s="10" t="s">
        <v>20</v>
      </c>
      <c r="F35" s="17"/>
      <c r="G35" s="17"/>
      <c r="H35" s="24"/>
      <c r="I35" s="46"/>
      <c r="J35" s="46"/>
      <c r="K35"/>
    </row>
    <row r="37" spans="1:13" s="2" customFormat="1" ht="17.45" customHeight="1">
      <c r="A37" s="1" t="s">
        <v>198</v>
      </c>
    </row>
    <row r="38" spans="1:13" s="2" customFormat="1" ht="10.5" customHeight="1" thickBot="1">
      <c r="A38" s="1"/>
    </row>
    <row r="39" spans="1:13" s="2" customFormat="1" ht="16.5" customHeight="1" thickBot="1">
      <c r="A39" s="4" t="s">
        <v>0</v>
      </c>
      <c r="B39" s="5" t="s">
        <v>1</v>
      </c>
      <c r="C39" s="5" t="s">
        <v>2</v>
      </c>
      <c r="D39" s="5">
        <v>2</v>
      </c>
      <c r="E39" s="5">
        <v>3</v>
      </c>
      <c r="F39" s="5">
        <v>4</v>
      </c>
      <c r="G39" s="5">
        <v>5</v>
      </c>
      <c r="H39" s="5">
        <v>6</v>
      </c>
      <c r="I39" s="6"/>
      <c r="J39" s="13" t="s">
        <v>9</v>
      </c>
      <c r="K39" s="14">
        <f>(17514/32136)</f>
        <v>0.54499626587005223</v>
      </c>
    </row>
    <row r="40" spans="1:13" s="2" customFormat="1" ht="16.5" customHeight="1" thickBot="1">
      <c r="A40" s="7" t="s">
        <v>202</v>
      </c>
      <c r="B40" s="8" t="s">
        <v>3</v>
      </c>
      <c r="C40" s="9">
        <v>3639</v>
      </c>
      <c r="D40" s="10"/>
      <c r="E40" s="10"/>
      <c r="F40" s="10"/>
      <c r="G40" s="10"/>
      <c r="H40" s="9"/>
      <c r="I40" s="11" t="s">
        <v>4</v>
      </c>
      <c r="K40" s="13" t="s">
        <v>11</v>
      </c>
      <c r="L40" s="13" t="s">
        <v>12</v>
      </c>
      <c r="M40" s="13" t="s">
        <v>13</v>
      </c>
    </row>
    <row r="41" spans="1:13" s="2" customFormat="1" ht="16.5" customHeight="1" thickBot="1">
      <c r="A41" s="7" t="s">
        <v>199</v>
      </c>
      <c r="B41" s="12" t="s">
        <v>5</v>
      </c>
      <c r="C41" s="9">
        <v>3605</v>
      </c>
      <c r="D41" s="10"/>
      <c r="E41" s="10"/>
      <c r="F41" s="9"/>
      <c r="G41" s="10"/>
      <c r="H41" s="10"/>
      <c r="I41" s="11" t="s">
        <v>8</v>
      </c>
      <c r="J41" s="16" t="s">
        <v>5</v>
      </c>
      <c r="K41" s="17">
        <f>(C41+C46)</f>
        <v>4202</v>
      </c>
      <c r="L41" s="14">
        <f>SUM(K41/K47)</f>
        <v>0.2425536827522512</v>
      </c>
      <c r="M41" s="2">
        <v>1</v>
      </c>
    </row>
    <row r="42" spans="1:13" s="2" customFormat="1" ht="16.5" customHeight="1" thickBot="1">
      <c r="A42" s="7" t="s">
        <v>207</v>
      </c>
      <c r="B42" s="43" t="s">
        <v>16</v>
      </c>
      <c r="C42" s="10">
        <v>3431</v>
      </c>
      <c r="D42" s="10">
        <v>3460</v>
      </c>
      <c r="E42" s="9">
        <v>3482</v>
      </c>
      <c r="F42" s="9"/>
      <c r="G42" s="10"/>
      <c r="H42" s="9"/>
      <c r="I42" s="11" t="s">
        <v>7</v>
      </c>
      <c r="J42" s="20" t="s">
        <v>3</v>
      </c>
      <c r="K42" s="17">
        <f>(C40+C43)</f>
        <v>6661</v>
      </c>
      <c r="L42" s="14">
        <f>SUM(K42/K47)</f>
        <v>0.38449549757561763</v>
      </c>
      <c r="M42" s="2">
        <v>2</v>
      </c>
    </row>
    <row r="43" spans="1:13" s="2" customFormat="1" ht="16.5" customHeight="1" thickBot="1">
      <c r="A43" s="7" t="s">
        <v>201</v>
      </c>
      <c r="B43" s="8" t="s">
        <v>3</v>
      </c>
      <c r="C43" s="10">
        <v>3022</v>
      </c>
      <c r="D43" s="10">
        <v>3138</v>
      </c>
      <c r="E43" s="10">
        <v>3158</v>
      </c>
      <c r="F43" s="10">
        <v>3230</v>
      </c>
      <c r="G43" s="10">
        <v>3330</v>
      </c>
      <c r="H43" s="9">
        <v>3516</v>
      </c>
      <c r="I43" s="11" t="s">
        <v>6</v>
      </c>
      <c r="J43" s="21" t="s">
        <v>16</v>
      </c>
      <c r="K43" s="17">
        <v>3431</v>
      </c>
      <c r="L43" s="14">
        <f>SUM(K43/K47)</f>
        <v>0.19804894943431078</v>
      </c>
      <c r="M43" s="2">
        <v>1</v>
      </c>
    </row>
    <row r="44" spans="1:13" s="2" customFormat="1" ht="16.5" customHeight="1" thickBot="1">
      <c r="A44" s="18" t="s">
        <v>205</v>
      </c>
      <c r="B44" s="23" t="s">
        <v>14</v>
      </c>
      <c r="C44" s="10">
        <v>1093</v>
      </c>
      <c r="D44" s="10">
        <v>1100</v>
      </c>
      <c r="E44" s="10">
        <v>1110</v>
      </c>
      <c r="F44" s="10">
        <v>1282</v>
      </c>
      <c r="G44" s="10">
        <v>1435</v>
      </c>
      <c r="H44" s="10">
        <v>1509</v>
      </c>
      <c r="I44" s="11"/>
      <c r="J44" s="26" t="s">
        <v>18</v>
      </c>
      <c r="K44" s="17">
        <v>551</v>
      </c>
      <c r="L44" s="14">
        <f>SUM(K44/K47)</f>
        <v>3.1805587624105285E-2</v>
      </c>
    </row>
    <row r="45" spans="1:13" s="2" customFormat="1" ht="16.5" customHeight="1" thickBot="1">
      <c r="A45" s="18" t="s">
        <v>203</v>
      </c>
      <c r="B45" s="47" t="s">
        <v>21</v>
      </c>
      <c r="C45" s="10">
        <v>981</v>
      </c>
      <c r="D45" s="10">
        <v>992</v>
      </c>
      <c r="E45" s="10">
        <v>1006</v>
      </c>
      <c r="F45" s="10">
        <v>1056</v>
      </c>
      <c r="G45" s="10">
        <v>1172</v>
      </c>
      <c r="H45" s="10">
        <v>1348</v>
      </c>
      <c r="I45" s="10"/>
      <c r="J45" s="48" t="s">
        <v>21</v>
      </c>
      <c r="K45" s="17">
        <v>981</v>
      </c>
      <c r="L45" s="14">
        <f>SUM(K45/K47)</f>
        <v>5.6626645116601246E-2</v>
      </c>
    </row>
    <row r="46" spans="1:13" s="2" customFormat="1" ht="16.5" customHeight="1" thickBot="1">
      <c r="A46" s="18" t="s">
        <v>200</v>
      </c>
      <c r="B46" s="19" t="s">
        <v>5</v>
      </c>
      <c r="C46" s="10">
        <v>597</v>
      </c>
      <c r="D46" s="10">
        <v>603</v>
      </c>
      <c r="E46" s="10">
        <v>670</v>
      </c>
      <c r="F46" s="10">
        <v>687</v>
      </c>
      <c r="G46" s="10">
        <v>720</v>
      </c>
      <c r="H46" s="10" t="s">
        <v>20</v>
      </c>
      <c r="J46" s="13" t="s">
        <v>17</v>
      </c>
      <c r="K46" s="17">
        <f>(C44+C48+C49)</f>
        <v>1498</v>
      </c>
      <c r="L46" s="14">
        <f>SUM(K46/K47)</f>
        <v>8.6469637497113824E-2</v>
      </c>
    </row>
    <row r="47" spans="1:13" s="2" customFormat="1" ht="16.5" customHeight="1" thickBot="1">
      <c r="A47" s="18" t="s">
        <v>208</v>
      </c>
      <c r="B47" s="27" t="s">
        <v>18</v>
      </c>
      <c r="C47" s="10">
        <v>551</v>
      </c>
      <c r="D47" s="10">
        <v>553</v>
      </c>
      <c r="E47" s="10">
        <v>556</v>
      </c>
      <c r="F47" s="10">
        <v>586</v>
      </c>
      <c r="G47" s="10" t="s">
        <v>20</v>
      </c>
      <c r="K47" s="24">
        <v>17324</v>
      </c>
    </row>
    <row r="48" spans="1:13" s="2" customFormat="1" ht="16.5" customHeight="1" thickBot="1">
      <c r="A48" s="18" t="s">
        <v>204</v>
      </c>
      <c r="B48" s="23" t="s">
        <v>14</v>
      </c>
      <c r="C48" s="10">
        <v>228</v>
      </c>
      <c r="D48" s="10">
        <v>229</v>
      </c>
      <c r="E48" s="10">
        <v>231</v>
      </c>
      <c r="F48" s="10" t="s">
        <v>20</v>
      </c>
    </row>
    <row r="49" spans="1:16" s="2" customFormat="1" ht="16.5" customHeight="1" thickBot="1">
      <c r="A49" s="18" t="s">
        <v>206</v>
      </c>
      <c r="B49" s="23" t="s">
        <v>14</v>
      </c>
      <c r="C49" s="10">
        <v>177</v>
      </c>
      <c r="D49" s="10">
        <v>179</v>
      </c>
      <c r="E49" s="10">
        <v>181</v>
      </c>
      <c r="F49" s="10" t="s">
        <v>20</v>
      </c>
    </row>
    <row r="50" spans="1:16" s="2" customFormat="1" ht="11.25" customHeight="1">
      <c r="A50" s="29"/>
      <c r="B50" s="30"/>
      <c r="C50" s="45"/>
      <c r="D50" s="45"/>
      <c r="E50" s="45"/>
      <c r="F50" s="17"/>
      <c r="G50" s="17"/>
      <c r="H50" s="17"/>
      <c r="I50" s="17"/>
      <c r="J50" s="17"/>
      <c r="K50" s="17"/>
      <c r="L50" s="17"/>
      <c r="M50" s="17"/>
      <c r="N50" s="44"/>
    </row>
    <row r="51" spans="1:16" s="2" customFormat="1" ht="17.45" customHeight="1">
      <c r="A51" s="1" t="s">
        <v>209</v>
      </c>
    </row>
    <row r="52" spans="1:16" s="2" customFormat="1" ht="10.5" customHeight="1" thickBot="1">
      <c r="A52" s="1"/>
    </row>
    <row r="53" spans="1:16" s="2" customFormat="1" ht="16.5" customHeight="1" thickBot="1">
      <c r="A53" s="4" t="s">
        <v>0</v>
      </c>
      <c r="B53" s="5" t="s">
        <v>1</v>
      </c>
      <c r="C53" s="5" t="s">
        <v>2</v>
      </c>
      <c r="D53" s="5">
        <v>2</v>
      </c>
      <c r="E53" s="5">
        <v>3</v>
      </c>
      <c r="F53" s="5">
        <v>4</v>
      </c>
      <c r="G53" s="5">
        <v>5</v>
      </c>
      <c r="H53" s="5">
        <v>6</v>
      </c>
      <c r="I53" s="5">
        <v>7</v>
      </c>
      <c r="J53" s="5">
        <v>8</v>
      </c>
      <c r="K53" s="5">
        <v>9</v>
      </c>
      <c r="L53" s="6"/>
      <c r="M53" s="13" t="s">
        <v>9</v>
      </c>
      <c r="N53" s="14">
        <f>(24026/44783)</f>
        <v>0.5364982247727933</v>
      </c>
    </row>
    <row r="54" spans="1:16" s="2" customFormat="1" ht="16.5" customHeight="1" thickBot="1">
      <c r="A54" s="7" t="s">
        <v>214</v>
      </c>
      <c r="B54" s="43" t="s">
        <v>16</v>
      </c>
      <c r="C54" s="10">
        <v>3125</v>
      </c>
      <c r="D54" s="10">
        <v>3151</v>
      </c>
      <c r="E54" s="10">
        <v>3206</v>
      </c>
      <c r="F54" s="10">
        <v>3287</v>
      </c>
      <c r="G54" s="10">
        <v>3373</v>
      </c>
      <c r="H54" s="9">
        <v>3460</v>
      </c>
      <c r="I54" s="10"/>
      <c r="J54" s="10"/>
      <c r="K54" s="10"/>
      <c r="L54" s="11" t="s">
        <v>4</v>
      </c>
      <c r="N54" s="13" t="s">
        <v>11</v>
      </c>
      <c r="O54" s="13" t="s">
        <v>12</v>
      </c>
      <c r="P54" s="13" t="s">
        <v>13</v>
      </c>
    </row>
    <row r="55" spans="1:16" s="2" customFormat="1" ht="16.5" customHeight="1" thickBot="1">
      <c r="A55" s="7" t="s">
        <v>212</v>
      </c>
      <c r="B55" s="8" t="s">
        <v>3</v>
      </c>
      <c r="C55" s="10">
        <v>3085</v>
      </c>
      <c r="D55" s="10">
        <v>3094</v>
      </c>
      <c r="E55" s="10">
        <v>3170</v>
      </c>
      <c r="F55" s="10">
        <v>3211</v>
      </c>
      <c r="G55" s="10">
        <v>3307</v>
      </c>
      <c r="H55" s="10">
        <v>3369</v>
      </c>
      <c r="I55" s="10">
        <v>3378</v>
      </c>
      <c r="J55" s="9">
        <v>4270</v>
      </c>
      <c r="K55" s="9"/>
      <c r="L55" s="11" t="s">
        <v>8</v>
      </c>
      <c r="M55" s="16" t="s">
        <v>5</v>
      </c>
      <c r="N55" s="17">
        <f>(C60+C62)</f>
        <v>3348</v>
      </c>
      <c r="O55" s="14">
        <f>SUM(N55/N61)</f>
        <v>0.14086166273981823</v>
      </c>
      <c r="P55" s="2">
        <v>1</v>
      </c>
    </row>
    <row r="56" spans="1:16" s="2" customFormat="1" ht="16.5" customHeight="1" thickBot="1">
      <c r="A56" s="7" t="s">
        <v>218</v>
      </c>
      <c r="B56" s="31" t="s">
        <v>18</v>
      </c>
      <c r="C56" s="10">
        <v>2715</v>
      </c>
      <c r="D56" s="10">
        <v>2759</v>
      </c>
      <c r="E56" s="10">
        <v>2787</v>
      </c>
      <c r="F56" s="10">
        <v>2844</v>
      </c>
      <c r="G56" s="10">
        <v>2961</v>
      </c>
      <c r="H56" s="10">
        <v>3022</v>
      </c>
      <c r="I56" s="10">
        <v>3034</v>
      </c>
      <c r="J56" s="10">
        <v>3217</v>
      </c>
      <c r="K56" s="9">
        <v>3311</v>
      </c>
      <c r="L56" s="11" t="s">
        <v>10</v>
      </c>
      <c r="M56" s="20" t="s">
        <v>3</v>
      </c>
      <c r="N56" s="17">
        <f>(C55+C61)</f>
        <v>4753</v>
      </c>
      <c r="O56" s="14">
        <f>SUM(N56/N61)</f>
        <v>0.19997475597441938</v>
      </c>
      <c r="P56" s="2">
        <v>1</v>
      </c>
    </row>
    <row r="57" spans="1:16" s="2" customFormat="1" ht="16.5" customHeight="1" thickBot="1">
      <c r="A57" s="7" t="s">
        <v>215</v>
      </c>
      <c r="B57" s="43" t="s">
        <v>16</v>
      </c>
      <c r="C57" s="10">
        <v>2643</v>
      </c>
      <c r="D57" s="10">
        <v>2664</v>
      </c>
      <c r="E57" s="10">
        <v>2733</v>
      </c>
      <c r="F57" s="10">
        <v>2808</v>
      </c>
      <c r="G57" s="10">
        <v>2970</v>
      </c>
      <c r="H57" s="10">
        <v>3014</v>
      </c>
      <c r="I57" s="10">
        <v>3025</v>
      </c>
      <c r="J57" s="10">
        <v>3158</v>
      </c>
      <c r="K57" s="9">
        <v>3405</v>
      </c>
      <c r="L57" s="11" t="s">
        <v>7</v>
      </c>
      <c r="M57" s="21" t="s">
        <v>16</v>
      </c>
      <c r="N57" s="17">
        <f>(C54+C57+C58)</f>
        <v>8097</v>
      </c>
      <c r="O57" s="14">
        <f>SUM(N57/N61)</f>
        <v>0.34066812521036688</v>
      </c>
      <c r="P57" s="2">
        <v>3</v>
      </c>
    </row>
    <row r="58" spans="1:16" s="2" customFormat="1" ht="16.5" customHeight="1" thickBot="1">
      <c r="A58" s="7" t="s">
        <v>217</v>
      </c>
      <c r="B58" s="43" t="s">
        <v>16</v>
      </c>
      <c r="C58" s="10">
        <v>2329</v>
      </c>
      <c r="D58" s="10">
        <v>2346</v>
      </c>
      <c r="E58" s="10">
        <v>2382</v>
      </c>
      <c r="F58" s="10">
        <v>2418</v>
      </c>
      <c r="G58" s="10">
        <v>2849</v>
      </c>
      <c r="H58" s="10">
        <v>2894</v>
      </c>
      <c r="I58" s="10">
        <v>2902</v>
      </c>
      <c r="J58" s="10">
        <v>3105</v>
      </c>
      <c r="K58" s="9">
        <v>3318</v>
      </c>
      <c r="L58" s="11" t="s">
        <v>6</v>
      </c>
      <c r="M58" s="26" t="s">
        <v>18</v>
      </c>
      <c r="N58" s="17">
        <v>2715</v>
      </c>
      <c r="O58" s="14">
        <f>SUM(N58/N61)</f>
        <v>0.11422921575227196</v>
      </c>
      <c r="P58" s="2">
        <v>1</v>
      </c>
    </row>
    <row r="59" spans="1:16" s="2" customFormat="1" ht="16.5" customHeight="1" thickBot="1">
      <c r="A59" s="18" t="s">
        <v>222</v>
      </c>
      <c r="B59" s="23" t="s">
        <v>107</v>
      </c>
      <c r="C59" s="10">
        <v>2159</v>
      </c>
      <c r="D59" s="10">
        <v>2205</v>
      </c>
      <c r="E59" s="10">
        <v>2226</v>
      </c>
      <c r="F59" s="10">
        <v>2320</v>
      </c>
      <c r="G59" s="10">
        <v>2628</v>
      </c>
      <c r="H59" s="10">
        <v>2684</v>
      </c>
      <c r="I59" s="10">
        <v>2692</v>
      </c>
      <c r="J59" s="10">
        <v>2883</v>
      </c>
      <c r="K59" s="10">
        <v>2940</v>
      </c>
      <c r="L59" s="11"/>
      <c r="M59" s="48" t="s">
        <v>21</v>
      </c>
      <c r="N59" s="17">
        <v>479</v>
      </c>
      <c r="O59" s="14">
        <f>SUM(N59/N61)</f>
        <v>2.0153147088522384E-2</v>
      </c>
    </row>
    <row r="60" spans="1:16" s="2" customFormat="1" ht="16.5" customHeight="1" thickBot="1">
      <c r="A60" s="7" t="s">
        <v>210</v>
      </c>
      <c r="B60" s="12" t="s">
        <v>5</v>
      </c>
      <c r="C60" s="10">
        <v>1768</v>
      </c>
      <c r="D60" s="10">
        <v>1777</v>
      </c>
      <c r="E60" s="10">
        <v>1816</v>
      </c>
      <c r="F60" s="10">
        <v>1851</v>
      </c>
      <c r="G60" s="10">
        <v>1899</v>
      </c>
      <c r="H60" s="10">
        <v>3098</v>
      </c>
      <c r="I60" s="10">
        <v>3108</v>
      </c>
      <c r="J60" s="10">
        <v>3195</v>
      </c>
      <c r="K60" s="9">
        <v>3241</v>
      </c>
      <c r="L60" s="11" t="s">
        <v>15</v>
      </c>
      <c r="M60" s="13" t="s">
        <v>17</v>
      </c>
      <c r="N60" s="17">
        <f>(C59+C63+C64+C66)</f>
        <v>4376</v>
      </c>
      <c r="O60" s="14">
        <f>SUM(N60/N61)</f>
        <v>0.18411309323460115</v>
      </c>
    </row>
    <row r="61" spans="1:16" s="2" customFormat="1" ht="16.5" customHeight="1" thickBot="1">
      <c r="A61" s="18" t="s">
        <v>213</v>
      </c>
      <c r="B61" s="28" t="s">
        <v>3</v>
      </c>
      <c r="C61" s="10">
        <v>1668</v>
      </c>
      <c r="D61" s="10">
        <v>1682</v>
      </c>
      <c r="E61" s="10">
        <v>1706</v>
      </c>
      <c r="F61" s="10">
        <v>1737</v>
      </c>
      <c r="G61" s="10">
        <v>1794</v>
      </c>
      <c r="H61" s="10">
        <v>1848</v>
      </c>
      <c r="I61" s="10">
        <v>1854</v>
      </c>
      <c r="J61" s="10" t="s">
        <v>20</v>
      </c>
      <c r="N61" s="24">
        <v>23768</v>
      </c>
    </row>
    <row r="62" spans="1:16" s="2" customFormat="1" ht="16.5" customHeight="1" thickBot="1">
      <c r="A62" s="18" t="s">
        <v>211</v>
      </c>
      <c r="B62" s="19" t="s">
        <v>5</v>
      </c>
      <c r="C62" s="10">
        <v>1580</v>
      </c>
      <c r="D62" s="10">
        <v>1594</v>
      </c>
      <c r="E62" s="10">
        <v>1621</v>
      </c>
      <c r="F62" s="10">
        <v>1653</v>
      </c>
      <c r="G62" s="10">
        <v>1700</v>
      </c>
      <c r="H62" s="10" t="s">
        <v>20</v>
      </c>
      <c r="K62" s="17"/>
    </row>
    <row r="63" spans="1:16" s="2" customFormat="1" ht="16.5" customHeight="1" thickBot="1">
      <c r="A63" s="18" t="s">
        <v>219</v>
      </c>
      <c r="B63" s="23" t="s">
        <v>40</v>
      </c>
      <c r="C63" s="10">
        <v>1346</v>
      </c>
      <c r="D63" s="10">
        <v>1357</v>
      </c>
      <c r="E63" s="10">
        <v>1404</v>
      </c>
      <c r="F63" s="10">
        <v>1495</v>
      </c>
      <c r="G63" s="10" t="s">
        <v>20</v>
      </c>
    </row>
    <row r="64" spans="1:16" s="2" customFormat="1" ht="16.5" customHeight="1" thickBot="1">
      <c r="A64" s="18" t="s">
        <v>220</v>
      </c>
      <c r="B64" s="23" t="s">
        <v>14</v>
      </c>
      <c r="C64" s="10">
        <v>562</v>
      </c>
      <c r="D64" s="10">
        <v>630</v>
      </c>
      <c r="E64" s="10">
        <v>655</v>
      </c>
      <c r="F64" s="10" t="s">
        <v>20</v>
      </c>
      <c r="I64" s="17"/>
      <c r="J64" s="17"/>
      <c r="K64" s="17"/>
      <c r="L64" s="17"/>
      <c r="M64" s="17"/>
    </row>
    <row r="65" spans="1:16" s="2" customFormat="1" ht="16.5" customHeight="1" thickBot="1">
      <c r="A65" s="18" t="s">
        <v>216</v>
      </c>
      <c r="B65" s="47" t="s">
        <v>21</v>
      </c>
      <c r="C65" s="10">
        <v>479</v>
      </c>
      <c r="D65" s="10">
        <v>488</v>
      </c>
      <c r="E65" s="10" t="s">
        <v>20</v>
      </c>
      <c r="I65" s="17"/>
      <c r="J65" s="17"/>
      <c r="K65" s="17"/>
      <c r="L65" s="17"/>
      <c r="M65" s="17"/>
    </row>
    <row r="66" spans="1:16" s="2" customFormat="1" ht="16.5" customHeight="1" thickBot="1">
      <c r="A66" s="18" t="s">
        <v>221</v>
      </c>
      <c r="B66" s="23" t="s">
        <v>14</v>
      </c>
      <c r="C66" s="10">
        <v>309</v>
      </c>
      <c r="D66" s="10" t="s">
        <v>20</v>
      </c>
      <c r="G66" s="17"/>
      <c r="H66" s="17"/>
      <c r="I66" s="17"/>
      <c r="J66" s="17"/>
      <c r="K66" s="17"/>
      <c r="L66" s="17"/>
      <c r="M66" s="17"/>
      <c r="N66" s="44"/>
    </row>
    <row r="67" spans="1:16" s="2" customFormat="1" ht="11.25" customHeight="1">
      <c r="A67" s="29"/>
      <c r="B67" s="30"/>
      <c r="C67" s="29"/>
      <c r="D67" s="29"/>
      <c r="E67" s="29"/>
      <c r="N67" s="14"/>
    </row>
    <row r="68" spans="1:16" s="2" customFormat="1" ht="17.45" customHeight="1">
      <c r="A68" s="1" t="s">
        <v>223</v>
      </c>
    </row>
    <row r="69" spans="1:16" s="2" customFormat="1" ht="8.25" customHeight="1" thickBot="1">
      <c r="A69" s="1"/>
    </row>
    <row r="70" spans="1:16" s="2" customFormat="1" ht="17.45" customHeight="1" thickBot="1">
      <c r="A70" s="4" t="s">
        <v>0</v>
      </c>
      <c r="B70" s="5" t="s">
        <v>1</v>
      </c>
      <c r="C70" s="5" t="s">
        <v>2</v>
      </c>
      <c r="D70" s="5">
        <v>2</v>
      </c>
      <c r="E70" s="5">
        <v>3</v>
      </c>
      <c r="F70" s="5">
        <v>4</v>
      </c>
      <c r="G70" s="5">
        <v>5</v>
      </c>
      <c r="H70" s="5">
        <v>6</v>
      </c>
      <c r="I70" s="5">
        <v>7</v>
      </c>
      <c r="J70" s="5">
        <v>8</v>
      </c>
      <c r="K70" s="5"/>
      <c r="L70" s="13" t="s">
        <v>9</v>
      </c>
      <c r="M70" s="14">
        <f>(15437/35324)</f>
        <v>0.43701166345827197</v>
      </c>
    </row>
    <row r="71" spans="1:16" s="2" customFormat="1" ht="17.45" customHeight="1" thickBot="1">
      <c r="A71" s="7" t="s">
        <v>233</v>
      </c>
      <c r="B71" s="43" t="s">
        <v>16</v>
      </c>
      <c r="C71" s="10">
        <v>2344</v>
      </c>
      <c r="D71" s="10">
        <v>2377</v>
      </c>
      <c r="E71" s="10">
        <v>2445</v>
      </c>
      <c r="F71" s="10">
        <v>2499</v>
      </c>
      <c r="G71" s="9">
        <v>2540</v>
      </c>
      <c r="H71" s="10"/>
      <c r="I71" s="10"/>
      <c r="J71" s="9"/>
      <c r="K71" s="11" t="s">
        <v>8</v>
      </c>
      <c r="M71" s="13" t="s">
        <v>11</v>
      </c>
      <c r="N71" s="13" t="s">
        <v>12</v>
      </c>
      <c r="O71" s="13" t="s">
        <v>13</v>
      </c>
      <c r="P71" s="13"/>
    </row>
    <row r="72" spans="1:16" s="2" customFormat="1" ht="17.45" customHeight="1" thickBot="1">
      <c r="A72" s="7" t="s">
        <v>234</v>
      </c>
      <c r="B72" s="31" t="s">
        <v>18</v>
      </c>
      <c r="C72" s="10">
        <v>2312</v>
      </c>
      <c r="D72" s="10">
        <v>2347</v>
      </c>
      <c r="E72" s="10">
        <v>2376</v>
      </c>
      <c r="F72" s="10">
        <v>2427</v>
      </c>
      <c r="G72" s="9">
        <v>2981</v>
      </c>
      <c r="H72" s="10"/>
      <c r="I72" s="10"/>
      <c r="J72" s="9"/>
      <c r="K72" s="11" t="s">
        <v>4</v>
      </c>
      <c r="L72" s="16" t="s">
        <v>5</v>
      </c>
      <c r="M72" s="17">
        <f>(C76+C79+C81)</f>
        <v>2648</v>
      </c>
      <c r="N72" s="14">
        <f>SUM(M72/M78)</f>
        <v>0.17398160315374508</v>
      </c>
      <c r="O72" s="2">
        <v>1</v>
      </c>
    </row>
    <row r="73" spans="1:16" s="2" customFormat="1" ht="17.45" customHeight="1" thickBot="1">
      <c r="A73" s="7" t="s">
        <v>228</v>
      </c>
      <c r="B73" s="8" t="s">
        <v>3</v>
      </c>
      <c r="C73" s="10">
        <v>1926</v>
      </c>
      <c r="D73" s="10">
        <v>1962</v>
      </c>
      <c r="E73" s="10">
        <v>1997</v>
      </c>
      <c r="F73" s="10">
        <v>2042</v>
      </c>
      <c r="G73" s="10">
        <v>2076</v>
      </c>
      <c r="H73" s="10">
        <v>2105</v>
      </c>
      <c r="I73" s="10">
        <v>2219</v>
      </c>
      <c r="J73" s="9">
        <v>2296</v>
      </c>
      <c r="K73" s="11" t="s">
        <v>6</v>
      </c>
      <c r="L73" s="20" t="s">
        <v>3</v>
      </c>
      <c r="M73" s="17">
        <f>(C73+C75)</f>
        <v>3581</v>
      </c>
      <c r="N73" s="14">
        <f>SUM(M73/M78)</f>
        <v>0.23528252299605781</v>
      </c>
      <c r="O73" s="2">
        <v>1</v>
      </c>
    </row>
    <row r="74" spans="1:16" s="2" customFormat="1" ht="17.45" customHeight="1" thickBot="1">
      <c r="A74" s="7" t="s">
        <v>227</v>
      </c>
      <c r="B74" s="43" t="s">
        <v>16</v>
      </c>
      <c r="C74" s="10">
        <v>1915</v>
      </c>
      <c r="D74" s="10">
        <v>2000</v>
      </c>
      <c r="E74" s="10">
        <v>2148</v>
      </c>
      <c r="F74" s="10">
        <v>2193</v>
      </c>
      <c r="G74" s="10">
        <v>2318</v>
      </c>
      <c r="H74" s="10">
        <v>2452</v>
      </c>
      <c r="I74" s="9">
        <v>2799</v>
      </c>
      <c r="J74" s="9"/>
      <c r="K74" s="11" t="s">
        <v>7</v>
      </c>
      <c r="L74" s="21" t="s">
        <v>16</v>
      </c>
      <c r="M74" s="17">
        <f>(C71+C74)</f>
        <v>4259</v>
      </c>
      <c r="N74" s="14">
        <f>SUM(M74/M78)</f>
        <v>0.27982917214191855</v>
      </c>
      <c r="O74" s="2">
        <v>2</v>
      </c>
    </row>
    <row r="75" spans="1:16" s="2" customFormat="1" ht="17.45" customHeight="1" thickBot="1">
      <c r="A75" s="18" t="s">
        <v>229</v>
      </c>
      <c r="B75" s="28" t="s">
        <v>3</v>
      </c>
      <c r="C75" s="10">
        <v>1655</v>
      </c>
      <c r="D75" s="10">
        <v>1680</v>
      </c>
      <c r="E75" s="10">
        <v>1724</v>
      </c>
      <c r="F75" s="10">
        <v>1793</v>
      </c>
      <c r="G75" s="10">
        <v>1816</v>
      </c>
      <c r="H75" s="10">
        <v>1863</v>
      </c>
      <c r="I75" s="10">
        <v>2108</v>
      </c>
      <c r="J75" s="10">
        <v>2196</v>
      </c>
      <c r="K75" s="25"/>
      <c r="L75" s="26" t="s">
        <v>18</v>
      </c>
      <c r="M75" s="17">
        <f>(C72+C78)</f>
        <v>3104</v>
      </c>
      <c r="N75" s="14">
        <f>SUM(M75/M78)</f>
        <v>0.20394218134034164</v>
      </c>
      <c r="O75" s="2">
        <v>1</v>
      </c>
    </row>
    <row r="76" spans="1:16" s="2" customFormat="1" ht="17.45" customHeight="1" thickBot="1">
      <c r="A76" s="7" t="s">
        <v>224</v>
      </c>
      <c r="B76" s="12" t="s">
        <v>5</v>
      </c>
      <c r="C76" s="10">
        <v>1542</v>
      </c>
      <c r="D76" s="10">
        <v>1616</v>
      </c>
      <c r="E76" s="10">
        <v>1647</v>
      </c>
      <c r="F76" s="10">
        <v>2038</v>
      </c>
      <c r="G76" s="10">
        <v>2060</v>
      </c>
      <c r="H76" s="10">
        <v>2087</v>
      </c>
      <c r="I76" s="10">
        <v>2167</v>
      </c>
      <c r="J76" s="9">
        <v>2211</v>
      </c>
      <c r="K76" s="11" t="s">
        <v>10</v>
      </c>
      <c r="L76" s="48" t="s">
        <v>21</v>
      </c>
      <c r="M76" s="17">
        <v>636</v>
      </c>
      <c r="N76" s="14">
        <f>SUM(M76/M78)</f>
        <v>4.1787122207621548E-2</v>
      </c>
      <c r="P76" s="14"/>
    </row>
    <row r="77" spans="1:16" s="2" customFormat="1" ht="17.45" customHeight="1" thickBot="1">
      <c r="A77" s="18" t="s">
        <v>232</v>
      </c>
      <c r="B77" s="23" t="s">
        <v>14</v>
      </c>
      <c r="C77" s="10">
        <v>799</v>
      </c>
      <c r="D77" s="10">
        <v>877</v>
      </c>
      <c r="E77" s="10">
        <v>1032</v>
      </c>
      <c r="F77" s="10">
        <v>1091</v>
      </c>
      <c r="G77" s="10">
        <v>1118</v>
      </c>
      <c r="H77" s="10">
        <v>1216</v>
      </c>
      <c r="I77" s="10" t="s">
        <v>20</v>
      </c>
      <c r="L77" s="13" t="s">
        <v>17</v>
      </c>
      <c r="M77" s="17">
        <f>(C77+C82)</f>
        <v>992</v>
      </c>
      <c r="N77" s="14">
        <f>SUM(M77/M78)</f>
        <v>6.517739816031537E-2</v>
      </c>
    </row>
    <row r="78" spans="1:16" s="2" customFormat="1" ht="17.45" customHeight="1" thickBot="1">
      <c r="A78" s="18" t="s">
        <v>230</v>
      </c>
      <c r="B78" s="27" t="s">
        <v>18</v>
      </c>
      <c r="C78" s="10">
        <v>792</v>
      </c>
      <c r="D78" s="10">
        <v>817</v>
      </c>
      <c r="E78" s="10">
        <v>844</v>
      </c>
      <c r="F78" s="10">
        <v>878</v>
      </c>
      <c r="G78" s="10" t="s">
        <v>20</v>
      </c>
      <c r="M78" s="24">
        <v>15220</v>
      </c>
    </row>
    <row r="79" spans="1:16" s="2" customFormat="1" ht="17.45" customHeight="1" thickBot="1">
      <c r="A79" s="18" t="s">
        <v>225</v>
      </c>
      <c r="B79" s="19" t="s">
        <v>5</v>
      </c>
      <c r="C79" s="10">
        <v>710</v>
      </c>
      <c r="D79" s="10">
        <v>804</v>
      </c>
      <c r="E79" s="10">
        <v>828</v>
      </c>
      <c r="F79" s="10" t="s">
        <v>20</v>
      </c>
      <c r="J79" s="13"/>
      <c r="L79" s="14"/>
    </row>
    <row r="80" spans="1:16" s="2" customFormat="1" ht="17.45" customHeight="1" thickBot="1">
      <c r="A80" s="18" t="s">
        <v>231</v>
      </c>
      <c r="B80" s="47" t="s">
        <v>21</v>
      </c>
      <c r="C80" s="10">
        <v>636</v>
      </c>
      <c r="D80" s="10">
        <v>674</v>
      </c>
      <c r="E80" s="10" t="s">
        <v>20</v>
      </c>
      <c r="K80" s="13"/>
      <c r="M80" s="14"/>
    </row>
    <row r="81" spans="1:18" s="2" customFormat="1" ht="17.45" customHeight="1" thickBot="1">
      <c r="A81" s="18" t="s">
        <v>226</v>
      </c>
      <c r="B81" s="19" t="s">
        <v>5</v>
      </c>
      <c r="C81" s="10">
        <v>396</v>
      </c>
      <c r="D81" s="10" t="s">
        <v>20</v>
      </c>
      <c r="L81" s="24"/>
    </row>
    <row r="82" spans="1:18" s="2" customFormat="1" ht="17.45" customHeight="1" thickBot="1">
      <c r="A82" s="18" t="s">
        <v>206</v>
      </c>
      <c r="B82" s="23" t="s">
        <v>14</v>
      </c>
      <c r="C82" s="10">
        <v>193</v>
      </c>
      <c r="D82" s="10" t="s">
        <v>20</v>
      </c>
      <c r="G82" s="17"/>
      <c r="J82" s="13"/>
      <c r="L82" s="14"/>
    </row>
    <row r="84" spans="1:18" s="32" customFormat="1" ht="15" customHeight="1">
      <c r="B84" s="36" t="s">
        <v>19</v>
      </c>
      <c r="C84" s="38" t="s">
        <v>5</v>
      </c>
      <c r="D84" s="39" t="s">
        <v>3</v>
      </c>
      <c r="E84" s="40" t="s">
        <v>16</v>
      </c>
      <c r="F84" s="41" t="s">
        <v>18</v>
      </c>
      <c r="G84" s="49" t="s">
        <v>21</v>
      </c>
      <c r="H84" s="36" t="s">
        <v>17</v>
      </c>
      <c r="P84" s="33"/>
      <c r="Q84" s="34"/>
      <c r="R84" s="35"/>
    </row>
    <row r="85" spans="1:18" s="32" customFormat="1" ht="15" customHeight="1">
      <c r="A85" s="32" t="s">
        <v>11</v>
      </c>
      <c r="B85" s="37">
        <f>(N61+K47+O28+P12+M78)</f>
        <v>87371</v>
      </c>
      <c r="C85" s="34">
        <f>(M72+N55+K41+O22+P5)</f>
        <v>15290</v>
      </c>
      <c r="D85" s="34">
        <f>(M73+N56+K42+O23+P6)</f>
        <v>23748</v>
      </c>
      <c r="E85" s="34">
        <f>(M74+N57+K43+O24+P7)</f>
        <v>21813</v>
      </c>
      <c r="F85" s="34">
        <f>(M75+N58+K44+O25+P8)</f>
        <v>9661</v>
      </c>
      <c r="G85" s="34">
        <f>(M76+N59+K45+O26+P9)</f>
        <v>3515</v>
      </c>
      <c r="H85" s="34">
        <f>(M77+N60+K46+O27+P11+P10)</f>
        <v>13344</v>
      </c>
      <c r="P85" s="36"/>
      <c r="Q85" s="37"/>
      <c r="R85" s="35"/>
    </row>
    <row r="86" spans="1:18" s="32" customFormat="1" ht="15" customHeight="1">
      <c r="A86" s="32" t="s">
        <v>12</v>
      </c>
      <c r="B86" s="42">
        <v>1</v>
      </c>
      <c r="C86" s="35">
        <f t="shared" ref="C86:H86" si="0">SUM(C85/$B$85)</f>
        <v>0.17500085840839638</v>
      </c>
      <c r="D86" s="35">
        <f t="shared" si="0"/>
        <v>0.27180643462933923</v>
      </c>
      <c r="E86" s="35">
        <f t="shared" si="0"/>
        <v>0.24965949800276979</v>
      </c>
      <c r="F86" s="35">
        <f t="shared" si="0"/>
        <v>0.11057444689885659</v>
      </c>
      <c r="G86" s="35">
        <f t="shared" si="0"/>
        <v>4.0230740176946583E-2</v>
      </c>
      <c r="H86" s="35">
        <f t="shared" si="0"/>
        <v>0.15272802188369139</v>
      </c>
    </row>
    <row r="87" spans="1:18" s="32" customFormat="1" ht="15" customHeight="1">
      <c r="A87" s="32" t="s">
        <v>13</v>
      </c>
      <c r="B87" s="36">
        <v>26</v>
      </c>
      <c r="C87" s="32">
        <v>4</v>
      </c>
      <c r="D87" s="32">
        <v>8</v>
      </c>
      <c r="E87" s="32">
        <v>9</v>
      </c>
      <c r="F87" s="32">
        <v>3</v>
      </c>
      <c r="G87" s="32">
        <v>0</v>
      </c>
      <c r="H87" s="32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2"/>
  <dimension ref="A1:S89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28515625" customWidth="1"/>
    <col min="4" max="18" width="8.7109375" customWidth="1"/>
  </cols>
  <sheetData>
    <row r="1" spans="1:12" s="2" customFormat="1" ht="16.5" customHeight="1">
      <c r="A1" s="1" t="s">
        <v>32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(14154/25994)</f>
        <v>0.54451027160113874</v>
      </c>
    </row>
    <row r="4" spans="1:12" s="2" customFormat="1" ht="16.5" customHeight="1" thickBot="1">
      <c r="A4" s="7" t="s">
        <v>37</v>
      </c>
      <c r="B4" s="43" t="s">
        <v>16</v>
      </c>
      <c r="C4" s="9">
        <v>2543</v>
      </c>
      <c r="D4" s="10"/>
      <c r="E4" s="9"/>
      <c r="F4" s="10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35</v>
      </c>
      <c r="B5" s="8" t="s">
        <v>3</v>
      </c>
      <c r="C5" s="10">
        <v>2298</v>
      </c>
      <c r="D5" s="10">
        <v>2314</v>
      </c>
      <c r="E5" s="9">
        <v>2353</v>
      </c>
      <c r="F5" s="9"/>
      <c r="G5" s="9"/>
      <c r="H5" s="11" t="s">
        <v>6</v>
      </c>
      <c r="I5" s="16" t="s">
        <v>5</v>
      </c>
      <c r="J5" s="17">
        <f>(C9+C11)</f>
        <v>1591</v>
      </c>
      <c r="K5" s="14">
        <f>SUM(J5/J11)</f>
        <v>0.11356174161313348</v>
      </c>
    </row>
    <row r="6" spans="1:12" s="2" customFormat="1" ht="16.5" customHeight="1" thickBot="1">
      <c r="A6" s="7" t="s">
        <v>41</v>
      </c>
      <c r="B6" s="43" t="s">
        <v>16</v>
      </c>
      <c r="C6" s="10">
        <v>2210</v>
      </c>
      <c r="D6" s="9">
        <v>2350</v>
      </c>
      <c r="E6" s="10"/>
      <c r="F6" s="9"/>
      <c r="G6" s="9"/>
      <c r="H6" s="11" t="s">
        <v>8</v>
      </c>
      <c r="I6" s="20" t="s">
        <v>3</v>
      </c>
      <c r="J6" s="17">
        <f>(C5+C8)</f>
        <v>4255</v>
      </c>
      <c r="K6" s="14">
        <f>SUM(J6/J11)</f>
        <v>0.30371163454675232</v>
      </c>
      <c r="L6" s="2">
        <v>2</v>
      </c>
    </row>
    <row r="7" spans="1:12" s="2" customFormat="1" ht="16.5" customHeight="1" thickBot="1">
      <c r="A7" s="7" t="s">
        <v>39</v>
      </c>
      <c r="B7" s="15" t="s">
        <v>40</v>
      </c>
      <c r="C7" s="10">
        <v>2175</v>
      </c>
      <c r="D7" s="10">
        <v>2194</v>
      </c>
      <c r="E7" s="9">
        <v>2450</v>
      </c>
      <c r="F7" s="10"/>
      <c r="G7" s="10"/>
      <c r="H7" s="11" t="s">
        <v>7</v>
      </c>
      <c r="I7" s="21" t="s">
        <v>16</v>
      </c>
      <c r="J7" s="17">
        <f>(C4+C6)</f>
        <v>4753</v>
      </c>
      <c r="K7" s="14">
        <f>SUM(J7/J11)</f>
        <v>0.33925767309064953</v>
      </c>
      <c r="L7" s="2">
        <v>2</v>
      </c>
    </row>
    <row r="8" spans="1:12" s="2" customFormat="1" ht="16.5" customHeight="1" thickBot="1">
      <c r="A8" s="7" t="s">
        <v>36</v>
      </c>
      <c r="B8" s="8" t="s">
        <v>3</v>
      </c>
      <c r="C8" s="10">
        <v>1957</v>
      </c>
      <c r="D8" s="10">
        <v>1968</v>
      </c>
      <c r="E8" s="10">
        <v>1999</v>
      </c>
      <c r="F8" s="10">
        <v>2074</v>
      </c>
      <c r="G8" s="9">
        <v>2455</v>
      </c>
      <c r="H8" s="11" t="s">
        <v>10</v>
      </c>
      <c r="I8" s="48" t="s">
        <v>21</v>
      </c>
      <c r="J8" s="17">
        <v>732</v>
      </c>
      <c r="K8" s="14">
        <f>SUM(J8/J11)</f>
        <v>5.2248394004282654E-2</v>
      </c>
    </row>
    <row r="9" spans="1:12" s="2" customFormat="1" ht="16.5" customHeight="1" thickBot="1">
      <c r="A9" s="18" t="s">
        <v>33</v>
      </c>
      <c r="B9" s="19" t="s">
        <v>5</v>
      </c>
      <c r="C9" s="10">
        <v>1053</v>
      </c>
      <c r="D9" s="10">
        <v>1057</v>
      </c>
      <c r="E9" s="10">
        <v>1077</v>
      </c>
      <c r="F9" s="10">
        <v>1428</v>
      </c>
      <c r="G9" s="10">
        <v>1605</v>
      </c>
      <c r="H9" s="11"/>
      <c r="I9" s="26" t="s">
        <v>18</v>
      </c>
      <c r="J9" s="17">
        <v>504</v>
      </c>
      <c r="K9" s="14">
        <f>SUM(J9/J11)</f>
        <v>3.5974304068522485E-2</v>
      </c>
    </row>
    <row r="10" spans="1:12" s="2" customFormat="1" ht="16.5" customHeight="1" thickBot="1">
      <c r="A10" s="18" t="s">
        <v>38</v>
      </c>
      <c r="B10" s="47" t="s">
        <v>21</v>
      </c>
      <c r="C10" s="10">
        <v>732</v>
      </c>
      <c r="D10" s="10">
        <v>739</v>
      </c>
      <c r="E10" s="10">
        <v>779</v>
      </c>
      <c r="F10" s="10">
        <v>846</v>
      </c>
      <c r="G10" s="10" t="s">
        <v>20</v>
      </c>
      <c r="I10" s="13" t="s">
        <v>17</v>
      </c>
      <c r="J10" s="17">
        <v>2175</v>
      </c>
      <c r="K10" s="14">
        <f>SUM(J10/J11)</f>
        <v>0.15524625267665954</v>
      </c>
      <c r="L10" s="2">
        <v>1</v>
      </c>
    </row>
    <row r="11" spans="1:12" s="2" customFormat="1" ht="16.5" customHeight="1" thickBot="1">
      <c r="A11" s="18" t="s">
        <v>34</v>
      </c>
      <c r="B11" s="19" t="s">
        <v>5</v>
      </c>
      <c r="C11" s="10">
        <v>538</v>
      </c>
      <c r="D11" s="10">
        <v>541</v>
      </c>
      <c r="E11" s="10">
        <v>555</v>
      </c>
      <c r="F11" s="10" t="s">
        <v>20</v>
      </c>
      <c r="J11" s="24">
        <v>14010</v>
      </c>
    </row>
    <row r="12" spans="1:12" s="2" customFormat="1" ht="16.5" customHeight="1" thickBot="1">
      <c r="A12" s="18" t="s">
        <v>42</v>
      </c>
      <c r="B12" s="27" t="s">
        <v>18</v>
      </c>
      <c r="C12" s="10">
        <v>504</v>
      </c>
      <c r="D12" s="10">
        <v>511</v>
      </c>
      <c r="E12" s="10" t="s">
        <v>20</v>
      </c>
    </row>
    <row r="13" spans="1:12" s="2" customFormat="1" ht="10.5" customHeight="1">
      <c r="A13" s="1"/>
    </row>
    <row r="14" spans="1:12" s="2" customFormat="1" ht="17.45" customHeight="1">
      <c r="A14" s="1" t="s">
        <v>43</v>
      </c>
    </row>
    <row r="15" spans="1:12" s="2" customFormat="1" ht="10.5" customHeight="1" thickBot="1">
      <c r="A15" s="1"/>
    </row>
    <row r="16" spans="1:12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6"/>
      <c r="J16" s="13" t="s">
        <v>9</v>
      </c>
      <c r="K16" s="14">
        <f>(12179/21619)</f>
        <v>0.56334705583051947</v>
      </c>
    </row>
    <row r="17" spans="1:15" s="2" customFormat="1" ht="16.5" customHeight="1" thickBot="1">
      <c r="A17" s="7" t="s">
        <v>44</v>
      </c>
      <c r="B17" s="8" t="s">
        <v>3</v>
      </c>
      <c r="C17" s="9">
        <v>2855</v>
      </c>
      <c r="D17" s="10"/>
      <c r="E17" s="9"/>
      <c r="F17" s="10"/>
      <c r="G17" s="10"/>
      <c r="H17" s="10"/>
      <c r="I17" s="11" t="s">
        <v>4</v>
      </c>
      <c r="K17" s="13" t="s">
        <v>11</v>
      </c>
      <c r="L17" s="13" t="s">
        <v>12</v>
      </c>
      <c r="M17" s="13" t="s">
        <v>13</v>
      </c>
    </row>
    <row r="18" spans="1:15" s="2" customFormat="1" ht="16.5" customHeight="1" thickBot="1">
      <c r="A18" s="7" t="s">
        <v>45</v>
      </c>
      <c r="B18" s="8" t="s">
        <v>3</v>
      </c>
      <c r="C18" s="10">
        <v>1966</v>
      </c>
      <c r="D18" s="10">
        <v>2211</v>
      </c>
      <c r="E18" s="10">
        <v>2368</v>
      </c>
      <c r="F18" s="9">
        <v>2503</v>
      </c>
      <c r="G18" s="9"/>
      <c r="H18" s="9"/>
      <c r="I18" s="11" t="s">
        <v>7</v>
      </c>
      <c r="J18" s="16" t="s">
        <v>5</v>
      </c>
      <c r="K18" s="17">
        <f>(C21+C22)</f>
        <v>2142</v>
      </c>
      <c r="L18" s="14">
        <f>SUM(K18/K23)</f>
        <v>0.17714191200793913</v>
      </c>
    </row>
    <row r="19" spans="1:15" s="2" customFormat="1" ht="16.5" customHeight="1" thickBot="1">
      <c r="A19" s="7" t="s">
        <v>47</v>
      </c>
      <c r="B19" s="43" t="s">
        <v>16</v>
      </c>
      <c r="C19" s="10">
        <v>1782</v>
      </c>
      <c r="D19" s="10">
        <v>1868</v>
      </c>
      <c r="E19" s="10">
        <v>2076</v>
      </c>
      <c r="F19" s="10">
        <v>2172</v>
      </c>
      <c r="G19" s="9">
        <v>2918</v>
      </c>
      <c r="H19" s="9"/>
      <c r="I19" s="11" t="s">
        <v>8</v>
      </c>
      <c r="J19" s="20" t="s">
        <v>3</v>
      </c>
      <c r="K19" s="17">
        <f>(C17+C18)</f>
        <v>4821</v>
      </c>
      <c r="L19" s="14">
        <f>SUM(K19/K23)</f>
        <v>0.39869335097585179</v>
      </c>
      <c r="M19" s="2">
        <v>2</v>
      </c>
    </row>
    <row r="20" spans="1:15" s="2" customFormat="1" ht="16.5" customHeight="1" thickBot="1">
      <c r="A20" s="7" t="s">
        <v>49</v>
      </c>
      <c r="B20" s="15" t="s">
        <v>14</v>
      </c>
      <c r="C20" s="10">
        <v>1602</v>
      </c>
      <c r="D20" s="10">
        <v>1635</v>
      </c>
      <c r="E20" s="10">
        <v>1775</v>
      </c>
      <c r="F20" s="10">
        <v>1880</v>
      </c>
      <c r="G20" s="10">
        <v>2070</v>
      </c>
      <c r="H20" s="9">
        <v>2416</v>
      </c>
      <c r="I20" s="9" t="s">
        <v>6</v>
      </c>
      <c r="J20" s="21" t="s">
        <v>16</v>
      </c>
      <c r="K20" s="17">
        <f>(C19+C23)</f>
        <v>2718</v>
      </c>
      <c r="L20" s="14">
        <f>SUM(K20/K23)</f>
        <v>0.22477671187562023</v>
      </c>
      <c r="M20" s="2">
        <v>1</v>
      </c>
    </row>
    <row r="21" spans="1:15" s="2" customFormat="1" ht="16.5" customHeight="1" thickBot="1">
      <c r="A21" s="18" t="s">
        <v>46</v>
      </c>
      <c r="B21" s="19" t="s">
        <v>5</v>
      </c>
      <c r="C21" s="10">
        <v>1204</v>
      </c>
      <c r="D21" s="10">
        <v>1223</v>
      </c>
      <c r="E21" s="10">
        <v>1285</v>
      </c>
      <c r="F21" s="10">
        <v>1820</v>
      </c>
      <c r="G21" s="10">
        <v>1871</v>
      </c>
      <c r="H21" s="10">
        <v>1934</v>
      </c>
      <c r="I21" s="11"/>
      <c r="J21" s="48" t="s">
        <v>21</v>
      </c>
      <c r="K21" s="17">
        <v>809</v>
      </c>
      <c r="L21" s="14">
        <f>SUM(K21/K23)</f>
        <v>6.6903738008600722E-2</v>
      </c>
    </row>
    <row r="22" spans="1:15" s="2" customFormat="1" ht="16.5" customHeight="1" thickBot="1">
      <c r="A22" s="18" t="s">
        <v>48</v>
      </c>
      <c r="B22" s="19" t="s">
        <v>5</v>
      </c>
      <c r="C22" s="10">
        <v>938</v>
      </c>
      <c r="D22" s="10">
        <v>948</v>
      </c>
      <c r="E22" s="10">
        <v>994</v>
      </c>
      <c r="F22" s="10" t="s">
        <v>20</v>
      </c>
      <c r="J22" s="13" t="s">
        <v>17</v>
      </c>
      <c r="K22" s="17">
        <v>1602</v>
      </c>
      <c r="L22" s="14">
        <f>SUM(K22/K23)</f>
        <v>0.13248428713198809</v>
      </c>
      <c r="M22" s="2">
        <v>1</v>
      </c>
    </row>
    <row r="23" spans="1:15" s="2" customFormat="1" ht="16.5" customHeight="1" thickBot="1">
      <c r="A23" s="18" t="s">
        <v>50</v>
      </c>
      <c r="B23" s="22" t="s">
        <v>16</v>
      </c>
      <c r="C23" s="10">
        <v>936</v>
      </c>
      <c r="D23" s="10">
        <v>957</v>
      </c>
      <c r="E23" s="10">
        <v>1105</v>
      </c>
      <c r="F23" s="10">
        <v>1151</v>
      </c>
      <c r="G23" s="10" t="s">
        <v>20</v>
      </c>
      <c r="H23"/>
      <c r="I23"/>
      <c r="K23" s="24">
        <v>12092</v>
      </c>
    </row>
    <row r="24" spans="1:15" s="2" customFormat="1" ht="16.5" customHeight="1" thickBot="1">
      <c r="A24" s="18" t="s">
        <v>51</v>
      </c>
      <c r="B24" s="47" t="s">
        <v>21</v>
      </c>
      <c r="C24" s="10">
        <v>809</v>
      </c>
      <c r="D24" s="10">
        <v>831</v>
      </c>
      <c r="E24" s="10" t="s">
        <v>20</v>
      </c>
      <c r="F24" s="17"/>
      <c r="G24" s="17"/>
      <c r="H24"/>
      <c r="I24"/>
    </row>
    <row r="26" spans="1:15" s="2" customFormat="1" ht="17.45" customHeight="1">
      <c r="A26" s="1" t="s">
        <v>52</v>
      </c>
    </row>
    <row r="27" spans="1:15" s="2" customFormat="1" ht="10.5" customHeight="1" thickBot="1">
      <c r="A27" s="1"/>
    </row>
    <row r="28" spans="1:15" s="2" customFormat="1" ht="16.5" customHeight="1" thickBot="1">
      <c r="A28" s="4" t="s">
        <v>0</v>
      </c>
      <c r="B28" s="5" t="s">
        <v>1</v>
      </c>
      <c r="C28" s="5" t="s">
        <v>2</v>
      </c>
      <c r="D28" s="5">
        <v>2</v>
      </c>
      <c r="E28" s="5">
        <v>3</v>
      </c>
      <c r="F28" s="5">
        <v>4</v>
      </c>
      <c r="G28" s="5">
        <v>5</v>
      </c>
      <c r="H28" s="5">
        <v>6</v>
      </c>
      <c r="I28" s="5">
        <v>7</v>
      </c>
      <c r="J28" s="5">
        <v>8</v>
      </c>
      <c r="K28" s="6"/>
      <c r="L28" s="13" t="s">
        <v>9</v>
      </c>
      <c r="M28" s="14">
        <f>(17635/29556)</f>
        <v>0.59666395994045207</v>
      </c>
    </row>
    <row r="29" spans="1:15" s="2" customFormat="1" ht="16.5" customHeight="1" thickBot="1">
      <c r="A29" s="7" t="s">
        <v>56</v>
      </c>
      <c r="B29" s="8" t="s">
        <v>3</v>
      </c>
      <c r="C29" s="9">
        <v>3583</v>
      </c>
      <c r="D29" s="10"/>
      <c r="E29" s="10"/>
      <c r="F29" s="10"/>
      <c r="G29" s="10"/>
      <c r="H29" s="10"/>
      <c r="I29" s="10"/>
      <c r="J29" s="9"/>
      <c r="K29" s="11" t="s">
        <v>4</v>
      </c>
      <c r="M29" s="13" t="s">
        <v>11</v>
      </c>
      <c r="N29" s="13" t="s">
        <v>12</v>
      </c>
      <c r="O29" s="13" t="s">
        <v>13</v>
      </c>
    </row>
    <row r="30" spans="1:15" s="2" customFormat="1" ht="16.5" customHeight="1" thickBot="1">
      <c r="A30" s="7" t="s">
        <v>62</v>
      </c>
      <c r="B30" s="43" t="s">
        <v>16</v>
      </c>
      <c r="C30" s="10">
        <v>2727</v>
      </c>
      <c r="D30" s="10">
        <v>2817</v>
      </c>
      <c r="E30" s="9">
        <v>2925</v>
      </c>
      <c r="F30" s="9"/>
      <c r="G30" s="10"/>
      <c r="H30" s="10"/>
      <c r="I30" s="9"/>
      <c r="J30" s="9"/>
      <c r="K30" s="11" t="s">
        <v>8</v>
      </c>
      <c r="L30" s="16" t="s">
        <v>5</v>
      </c>
      <c r="M30" s="17">
        <f>(C32+C35)</f>
        <v>3068</v>
      </c>
      <c r="N30" s="14">
        <f>SUM(M30/M36)</f>
        <v>0.17624080882352941</v>
      </c>
      <c r="O30" s="2">
        <v>1</v>
      </c>
    </row>
    <row r="31" spans="1:15" s="2" customFormat="1" ht="16.5" customHeight="1" thickBot="1">
      <c r="A31" s="7" t="s">
        <v>55</v>
      </c>
      <c r="B31" s="8" t="s">
        <v>3</v>
      </c>
      <c r="C31" s="10">
        <v>2347</v>
      </c>
      <c r="D31" s="10">
        <v>2751</v>
      </c>
      <c r="E31" s="10">
        <v>2832</v>
      </c>
      <c r="F31" s="10">
        <v>2878</v>
      </c>
      <c r="G31" s="9">
        <v>3012</v>
      </c>
      <c r="H31" s="10"/>
      <c r="I31" s="9"/>
      <c r="J31" s="9"/>
      <c r="K31" s="11" t="s">
        <v>7</v>
      </c>
      <c r="L31" s="20" t="s">
        <v>3</v>
      </c>
      <c r="M31" s="17">
        <f>(C29+C31)</f>
        <v>5930</v>
      </c>
      <c r="N31" s="14">
        <f>SUM(M31/M36)</f>
        <v>0.34064797794117646</v>
      </c>
      <c r="O31" s="2">
        <v>2</v>
      </c>
    </row>
    <row r="32" spans="1:15" s="2" customFormat="1" ht="16.5" customHeight="1" thickBot="1">
      <c r="A32" s="7" t="s">
        <v>53</v>
      </c>
      <c r="B32" s="12" t="s">
        <v>5</v>
      </c>
      <c r="C32" s="10">
        <v>2233</v>
      </c>
      <c r="D32" s="10">
        <v>2259</v>
      </c>
      <c r="E32" s="10">
        <v>2309</v>
      </c>
      <c r="F32" s="10">
        <v>2363</v>
      </c>
      <c r="G32" s="10">
        <v>2422</v>
      </c>
      <c r="H32" s="10">
        <v>2854</v>
      </c>
      <c r="I32" s="10">
        <v>2864</v>
      </c>
      <c r="J32" s="9">
        <v>2958</v>
      </c>
      <c r="K32" s="11" t="s">
        <v>6</v>
      </c>
      <c r="L32" s="21" t="s">
        <v>16</v>
      </c>
      <c r="M32" s="17">
        <f>(C30+C36)</f>
        <v>3441</v>
      </c>
      <c r="N32" s="14">
        <f>SUM(M32/M36)</f>
        <v>0.19766773897058823</v>
      </c>
      <c r="O32" s="2">
        <v>1</v>
      </c>
    </row>
    <row r="33" spans="1:15" s="2" customFormat="1" ht="16.5" customHeight="1" thickBot="1">
      <c r="A33" s="7" t="s">
        <v>59</v>
      </c>
      <c r="B33" s="15" t="s">
        <v>14</v>
      </c>
      <c r="C33" s="10">
        <v>1792</v>
      </c>
      <c r="D33" s="10">
        <v>1819</v>
      </c>
      <c r="E33" s="10">
        <v>1894</v>
      </c>
      <c r="F33" s="10">
        <v>1999</v>
      </c>
      <c r="G33" s="10">
        <v>2195</v>
      </c>
      <c r="H33" s="10">
        <v>2307</v>
      </c>
      <c r="I33" s="10">
        <v>2330</v>
      </c>
      <c r="J33" s="9">
        <v>2552</v>
      </c>
      <c r="K33" s="11" t="s">
        <v>10</v>
      </c>
      <c r="L33" s="48" t="s">
        <v>21</v>
      </c>
      <c r="M33" s="17">
        <v>1367</v>
      </c>
      <c r="N33" s="14">
        <f>SUM(M33/M36)</f>
        <v>7.852711397058823E-2</v>
      </c>
    </row>
    <row r="34" spans="1:15" s="2" customFormat="1" ht="16.5" customHeight="1" thickBot="1">
      <c r="A34" s="18" t="s">
        <v>58</v>
      </c>
      <c r="B34" s="47" t="s">
        <v>21</v>
      </c>
      <c r="C34" s="10">
        <v>1367</v>
      </c>
      <c r="D34" s="10">
        <v>1407</v>
      </c>
      <c r="E34" s="10">
        <v>1451</v>
      </c>
      <c r="F34" s="10">
        <v>1511</v>
      </c>
      <c r="G34" s="10">
        <v>1654</v>
      </c>
      <c r="H34" s="10">
        <v>1757</v>
      </c>
      <c r="I34" s="10">
        <v>1780</v>
      </c>
      <c r="J34" s="10">
        <v>2163</v>
      </c>
      <c r="K34" s="11"/>
      <c r="L34" s="26" t="s">
        <v>18</v>
      </c>
      <c r="M34" s="17">
        <v>619</v>
      </c>
      <c r="N34" s="14">
        <f>SUM(M34/M36)</f>
        <v>3.5558363970588237E-2</v>
      </c>
    </row>
    <row r="35" spans="1:15" s="2" customFormat="1" ht="16.5" customHeight="1" thickBot="1">
      <c r="A35" s="18" t="s">
        <v>54</v>
      </c>
      <c r="B35" s="19" t="s">
        <v>5</v>
      </c>
      <c r="C35" s="10">
        <v>835</v>
      </c>
      <c r="D35" s="10">
        <v>855</v>
      </c>
      <c r="E35" s="10">
        <v>877</v>
      </c>
      <c r="F35" s="10">
        <v>894</v>
      </c>
      <c r="G35" s="10">
        <v>915</v>
      </c>
      <c r="H35" s="10" t="s">
        <v>20</v>
      </c>
      <c r="L35" s="13" t="s">
        <v>17</v>
      </c>
      <c r="M35" s="17">
        <f>(C33+C38+C39)</f>
        <v>2983</v>
      </c>
      <c r="N35" s="14">
        <f>SUM(M35/M36)</f>
        <v>0.17135799632352941</v>
      </c>
      <c r="O35" s="2">
        <v>1</v>
      </c>
    </row>
    <row r="36" spans="1:15" s="2" customFormat="1" ht="16.5" customHeight="1" thickBot="1">
      <c r="A36" s="18" t="s">
        <v>61</v>
      </c>
      <c r="B36" s="22" t="s">
        <v>16</v>
      </c>
      <c r="C36" s="10">
        <v>714</v>
      </c>
      <c r="D36" s="10">
        <v>749</v>
      </c>
      <c r="E36" s="10">
        <v>777</v>
      </c>
      <c r="F36" s="10">
        <v>916</v>
      </c>
      <c r="G36" s="10">
        <v>1063</v>
      </c>
      <c r="H36" s="10">
        <v>1135</v>
      </c>
      <c r="I36" s="10">
        <v>1173</v>
      </c>
      <c r="J36" s="10" t="s">
        <v>20</v>
      </c>
      <c r="M36" s="24">
        <v>17408</v>
      </c>
    </row>
    <row r="37" spans="1:15" s="2" customFormat="1" ht="16.5" customHeight="1" thickBot="1">
      <c r="A37" s="18" t="s">
        <v>63</v>
      </c>
      <c r="B37" s="27" t="s">
        <v>18</v>
      </c>
      <c r="C37" s="10">
        <v>619</v>
      </c>
      <c r="D37" s="10">
        <v>623</v>
      </c>
      <c r="E37" s="10">
        <v>654</v>
      </c>
      <c r="F37" s="10" t="s">
        <v>20</v>
      </c>
    </row>
    <row r="38" spans="1:15" s="2" customFormat="1" ht="16.5" customHeight="1" thickBot="1">
      <c r="A38" s="18" t="s">
        <v>57</v>
      </c>
      <c r="B38" s="23" t="s">
        <v>14</v>
      </c>
      <c r="C38" s="10">
        <v>603</v>
      </c>
      <c r="D38" s="10">
        <v>619</v>
      </c>
      <c r="E38" s="10">
        <v>738</v>
      </c>
      <c r="F38" s="10">
        <v>843</v>
      </c>
      <c r="G38" s="10" t="s">
        <v>20</v>
      </c>
    </row>
    <row r="39" spans="1:15" s="2" customFormat="1" ht="16.5" customHeight="1" thickBot="1">
      <c r="A39" s="18" t="s">
        <v>60</v>
      </c>
      <c r="B39" s="23" t="s">
        <v>14</v>
      </c>
      <c r="C39" s="10">
        <v>588</v>
      </c>
      <c r="D39" s="10">
        <v>607</v>
      </c>
      <c r="E39" s="10" t="s">
        <v>20</v>
      </c>
      <c r="G39" s="17"/>
    </row>
    <row r="40" spans="1:15" s="2" customFormat="1" ht="11.25" customHeight="1">
      <c r="A40" s="29"/>
      <c r="B40" s="30"/>
      <c r="C40" s="45"/>
      <c r="D40" s="45"/>
      <c r="E40" s="45"/>
      <c r="F40" s="17"/>
      <c r="G40" s="17"/>
      <c r="H40" s="17"/>
      <c r="I40" s="17"/>
      <c r="J40" s="17"/>
      <c r="K40" s="17"/>
      <c r="L40" s="17"/>
      <c r="M40" s="17"/>
      <c r="N40" s="44"/>
    </row>
    <row r="41" spans="1:15" s="2" customFormat="1" ht="17.45" customHeight="1">
      <c r="A41" s="1" t="s">
        <v>64</v>
      </c>
    </row>
    <row r="42" spans="1:15" s="2" customFormat="1" ht="10.5" customHeight="1" thickBot="1">
      <c r="A42" s="1"/>
    </row>
    <row r="43" spans="1:15" s="2" customFormat="1" ht="16.5" customHeight="1" thickBot="1">
      <c r="A43" s="4" t="s">
        <v>0</v>
      </c>
      <c r="B43" s="5" t="s">
        <v>1</v>
      </c>
      <c r="C43" s="5" t="s">
        <v>2</v>
      </c>
      <c r="D43" s="5">
        <v>2</v>
      </c>
      <c r="E43" s="5">
        <v>3</v>
      </c>
      <c r="F43" s="5">
        <v>4</v>
      </c>
      <c r="G43" s="5">
        <v>5</v>
      </c>
      <c r="H43" s="5">
        <v>6</v>
      </c>
      <c r="I43" s="6"/>
      <c r="J43" s="13" t="s">
        <v>9</v>
      </c>
      <c r="K43" s="14">
        <f>(10957/20556)</f>
        <v>0.53303171823311923</v>
      </c>
    </row>
    <row r="44" spans="1:15" s="2" customFormat="1" ht="16.5" customHeight="1" thickBot="1">
      <c r="A44" s="7" t="s">
        <v>67</v>
      </c>
      <c r="B44" s="43" t="s">
        <v>16</v>
      </c>
      <c r="C44" s="9">
        <v>2818</v>
      </c>
      <c r="D44" s="10"/>
      <c r="E44" s="10"/>
      <c r="F44" s="10"/>
      <c r="G44" s="10"/>
      <c r="H44" s="10"/>
      <c r="I44" s="11" t="s">
        <v>4</v>
      </c>
      <c r="K44" s="13" t="s">
        <v>11</v>
      </c>
      <c r="L44" s="13" t="s">
        <v>12</v>
      </c>
      <c r="M44" s="13" t="s">
        <v>13</v>
      </c>
    </row>
    <row r="45" spans="1:15" s="2" customFormat="1" ht="16.5" customHeight="1" thickBot="1">
      <c r="A45" s="7" t="s">
        <v>69</v>
      </c>
      <c r="B45" s="8" t="s">
        <v>3</v>
      </c>
      <c r="C45" s="10">
        <v>1859</v>
      </c>
      <c r="D45" s="10">
        <v>1944</v>
      </c>
      <c r="E45" s="10">
        <v>1956</v>
      </c>
      <c r="F45" s="10">
        <v>2008</v>
      </c>
      <c r="G45" s="9">
        <v>2183</v>
      </c>
      <c r="H45" s="10"/>
      <c r="I45" s="11" t="s">
        <v>8</v>
      </c>
      <c r="J45" s="16" t="s">
        <v>5</v>
      </c>
      <c r="K45" s="17">
        <f>(C47+C48)</f>
        <v>2208</v>
      </c>
      <c r="L45" s="14">
        <f>SUM(K45/K51)</f>
        <v>0.20353982300884957</v>
      </c>
      <c r="M45" s="2">
        <v>1</v>
      </c>
    </row>
    <row r="46" spans="1:15" s="2" customFormat="1" ht="16.5" customHeight="1" thickBot="1">
      <c r="A46" s="7" t="s">
        <v>65</v>
      </c>
      <c r="B46" s="8" t="s">
        <v>3</v>
      </c>
      <c r="C46" s="10">
        <v>1720</v>
      </c>
      <c r="D46" s="10">
        <v>1830</v>
      </c>
      <c r="E46" s="10">
        <v>1843</v>
      </c>
      <c r="F46" s="10">
        <v>1894</v>
      </c>
      <c r="G46" s="10">
        <v>2028</v>
      </c>
      <c r="H46" s="9">
        <v>2238</v>
      </c>
      <c r="I46" s="11" t="s">
        <v>7</v>
      </c>
      <c r="J46" s="20" t="s">
        <v>3</v>
      </c>
      <c r="K46" s="17">
        <f>(C45+C46)</f>
        <v>3579</v>
      </c>
      <c r="L46" s="14">
        <f>SUM(K46/K51)</f>
        <v>0.32992256637168144</v>
      </c>
      <c r="M46" s="2">
        <v>2</v>
      </c>
    </row>
    <row r="47" spans="1:15" s="2" customFormat="1" ht="16.5" customHeight="1" thickBot="1">
      <c r="A47" s="7" t="s">
        <v>71</v>
      </c>
      <c r="B47" s="12" t="s">
        <v>5</v>
      </c>
      <c r="C47" s="10">
        <v>1236</v>
      </c>
      <c r="D47" s="10">
        <v>1293</v>
      </c>
      <c r="E47" s="10">
        <v>1297</v>
      </c>
      <c r="F47" s="10">
        <v>1352</v>
      </c>
      <c r="G47" s="10">
        <v>1437</v>
      </c>
      <c r="H47" s="9">
        <v>2122</v>
      </c>
      <c r="I47" s="11" t="s">
        <v>6</v>
      </c>
      <c r="J47" s="21" t="s">
        <v>16</v>
      </c>
      <c r="K47" s="17">
        <f>(C44+C49)</f>
        <v>3596</v>
      </c>
      <c r="L47" s="14">
        <f>SUM(K47/K51)</f>
        <v>0.33148967551622421</v>
      </c>
      <c r="M47" s="2">
        <v>1</v>
      </c>
    </row>
    <row r="48" spans="1:15" s="2" customFormat="1" ht="16.5" customHeight="1" thickBot="1">
      <c r="A48" s="18" t="s">
        <v>72</v>
      </c>
      <c r="B48" s="19" t="s">
        <v>5</v>
      </c>
      <c r="C48" s="10">
        <v>972</v>
      </c>
      <c r="D48" s="10">
        <v>1017</v>
      </c>
      <c r="E48" s="10">
        <v>1028</v>
      </c>
      <c r="F48" s="10">
        <v>1088</v>
      </c>
      <c r="G48" s="10">
        <v>1168</v>
      </c>
      <c r="H48" s="10" t="s">
        <v>20</v>
      </c>
      <c r="J48" s="26" t="s">
        <v>18</v>
      </c>
      <c r="K48" s="17">
        <v>641</v>
      </c>
      <c r="L48" s="14">
        <f>SUM(K48/K51)</f>
        <v>5.908923303834808E-2</v>
      </c>
    </row>
    <row r="49" spans="1:14" s="2" customFormat="1" ht="16.5" customHeight="1" thickBot="1">
      <c r="A49" s="18" t="s">
        <v>70</v>
      </c>
      <c r="B49" s="22" t="s">
        <v>16</v>
      </c>
      <c r="C49" s="10">
        <v>778</v>
      </c>
      <c r="D49" s="10">
        <v>1035</v>
      </c>
      <c r="E49" s="10">
        <v>1069</v>
      </c>
      <c r="F49" s="10">
        <v>1217</v>
      </c>
      <c r="G49" s="10">
        <v>1484</v>
      </c>
      <c r="H49" s="10">
        <v>1570</v>
      </c>
      <c r="I49" s="11"/>
      <c r="J49" s="48" t="s">
        <v>21</v>
      </c>
      <c r="K49" s="17">
        <v>655</v>
      </c>
      <c r="L49" s="14">
        <f>SUM(K49/K51)</f>
        <v>6.0379793510324485E-2</v>
      </c>
    </row>
    <row r="50" spans="1:14" s="2" customFormat="1" ht="16.5" customHeight="1" thickBot="1">
      <c r="A50" s="18" t="s">
        <v>73</v>
      </c>
      <c r="B50" s="47" t="s">
        <v>21</v>
      </c>
      <c r="C50" s="10">
        <v>655</v>
      </c>
      <c r="D50" s="10">
        <v>717</v>
      </c>
      <c r="E50" s="10">
        <v>776</v>
      </c>
      <c r="F50" s="10">
        <v>901</v>
      </c>
      <c r="G50" s="10" t="s">
        <v>20</v>
      </c>
      <c r="J50" s="13" t="s">
        <v>17</v>
      </c>
      <c r="K50" s="17">
        <v>169</v>
      </c>
      <c r="L50" s="14">
        <f>SUM(K50/K51)</f>
        <v>1.5578908554572271E-2</v>
      </c>
    </row>
    <row r="51" spans="1:14" s="2" customFormat="1" ht="16.5" customHeight="1" thickBot="1">
      <c r="A51" s="18" t="s">
        <v>68</v>
      </c>
      <c r="B51" s="27" t="s">
        <v>18</v>
      </c>
      <c r="C51" s="10">
        <v>641</v>
      </c>
      <c r="D51" s="10">
        <v>664</v>
      </c>
      <c r="E51" s="10">
        <v>678</v>
      </c>
      <c r="F51" s="10" t="s">
        <v>20</v>
      </c>
      <c r="K51" s="24">
        <v>10848</v>
      </c>
    </row>
    <row r="52" spans="1:14" s="2" customFormat="1" ht="16.5" customHeight="1" thickBot="1">
      <c r="A52" s="18" t="s">
        <v>66</v>
      </c>
      <c r="B52" s="23" t="s">
        <v>14</v>
      </c>
      <c r="C52" s="10">
        <v>169</v>
      </c>
      <c r="D52" s="10">
        <v>178</v>
      </c>
      <c r="E52" s="10" t="s">
        <v>20</v>
      </c>
      <c r="G52" s="17"/>
      <c r="H52" s="17"/>
      <c r="I52" s="17"/>
      <c r="J52" s="17"/>
    </row>
    <row r="54" spans="1:14" s="2" customFormat="1" ht="17.45" customHeight="1">
      <c r="A54" s="1" t="s">
        <v>74</v>
      </c>
    </row>
    <row r="55" spans="1:14" s="2" customFormat="1" ht="10.5" customHeight="1" thickBot="1">
      <c r="A55" s="1"/>
    </row>
    <row r="56" spans="1:14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6"/>
      <c r="K56" s="13" t="s">
        <v>9</v>
      </c>
      <c r="L56" s="14">
        <f>(11515/19760)</f>
        <v>0.58274291497975705</v>
      </c>
    </row>
    <row r="57" spans="1:14" s="2" customFormat="1" ht="16.5" customHeight="1" thickBot="1">
      <c r="A57" s="7" t="s">
        <v>76</v>
      </c>
      <c r="B57" s="8" t="s">
        <v>3</v>
      </c>
      <c r="C57" s="9">
        <v>2602</v>
      </c>
      <c r="D57" s="10"/>
      <c r="E57" s="10"/>
      <c r="F57" s="10"/>
      <c r="G57" s="10"/>
      <c r="H57" s="10"/>
      <c r="I57" s="9"/>
      <c r="J57" s="11" t="s">
        <v>4</v>
      </c>
      <c r="L57" s="13" t="s">
        <v>11</v>
      </c>
      <c r="M57" s="13" t="s">
        <v>12</v>
      </c>
      <c r="N57" s="13" t="s">
        <v>13</v>
      </c>
    </row>
    <row r="58" spans="1:14" s="2" customFormat="1" ht="16.5" customHeight="1" thickBot="1">
      <c r="A58" s="7" t="s">
        <v>373</v>
      </c>
      <c r="B58" s="15" t="s">
        <v>14</v>
      </c>
      <c r="C58" s="9">
        <v>2383</v>
      </c>
      <c r="D58" s="10"/>
      <c r="E58" s="10"/>
      <c r="F58" s="9"/>
      <c r="G58" s="10"/>
      <c r="H58" s="9"/>
      <c r="I58" s="9"/>
      <c r="J58" s="11" t="s">
        <v>8</v>
      </c>
      <c r="K58" s="16" t="s">
        <v>5</v>
      </c>
      <c r="L58" s="17">
        <f>(C61+C62)</f>
        <v>2129</v>
      </c>
      <c r="M58" s="14">
        <f>SUM(L58/L64)</f>
        <v>0.18649264190609671</v>
      </c>
      <c r="N58" s="2">
        <v>1</v>
      </c>
    </row>
    <row r="59" spans="1:14" s="2" customFormat="1" ht="16.5" customHeight="1" thickBot="1">
      <c r="A59" s="7" t="s">
        <v>78</v>
      </c>
      <c r="B59" s="43" t="s">
        <v>16</v>
      </c>
      <c r="C59" s="10">
        <v>1687</v>
      </c>
      <c r="D59" s="10">
        <v>1736</v>
      </c>
      <c r="E59" s="10">
        <v>1776</v>
      </c>
      <c r="F59" s="10">
        <v>1800</v>
      </c>
      <c r="G59" s="10">
        <v>1940</v>
      </c>
      <c r="H59" s="10">
        <v>2206</v>
      </c>
      <c r="I59" s="9">
        <v>2319</v>
      </c>
      <c r="J59" s="11" t="s">
        <v>7</v>
      </c>
      <c r="K59" s="20" t="s">
        <v>3</v>
      </c>
      <c r="L59" s="17">
        <f>(C57+C60)</f>
        <v>3843</v>
      </c>
      <c r="M59" s="14">
        <f>SUM(L59/L64)</f>
        <v>0.33663279607568325</v>
      </c>
      <c r="N59" s="2">
        <v>1</v>
      </c>
    </row>
    <row r="60" spans="1:14" s="2" customFormat="1" ht="16.5" customHeight="1" thickBot="1">
      <c r="A60" s="18" t="s">
        <v>77</v>
      </c>
      <c r="B60" s="28" t="s">
        <v>3</v>
      </c>
      <c r="C60" s="10">
        <v>1241</v>
      </c>
      <c r="D60" s="10">
        <v>1441</v>
      </c>
      <c r="E60" s="10">
        <v>1447</v>
      </c>
      <c r="F60" s="10">
        <v>1474</v>
      </c>
      <c r="G60" s="10">
        <v>1614</v>
      </c>
      <c r="H60" s="10">
        <v>1851</v>
      </c>
      <c r="I60" s="10">
        <v>1971</v>
      </c>
      <c r="J60" s="11"/>
      <c r="K60" s="21" t="s">
        <v>16</v>
      </c>
      <c r="L60" s="17">
        <v>1687</v>
      </c>
      <c r="M60" s="14">
        <f>SUM(L60/L64)</f>
        <v>0.14777505255781359</v>
      </c>
      <c r="N60" s="2">
        <v>1</v>
      </c>
    </row>
    <row r="61" spans="1:14" s="2" customFormat="1" ht="16.5" customHeight="1" thickBot="1">
      <c r="A61" s="7" t="s">
        <v>75</v>
      </c>
      <c r="B61" s="12" t="s">
        <v>5</v>
      </c>
      <c r="C61" s="10">
        <v>1135</v>
      </c>
      <c r="D61" s="10">
        <v>1151</v>
      </c>
      <c r="E61" s="10">
        <v>1167</v>
      </c>
      <c r="F61" s="10">
        <v>1180</v>
      </c>
      <c r="G61" s="10">
        <v>1258</v>
      </c>
      <c r="H61" s="10">
        <v>1328</v>
      </c>
      <c r="I61" s="9">
        <v>2075</v>
      </c>
      <c r="J61" s="11" t="s">
        <v>6</v>
      </c>
      <c r="K61" s="26" t="s">
        <v>18</v>
      </c>
      <c r="L61" s="17">
        <v>154</v>
      </c>
      <c r="M61" s="14">
        <f>SUM(L61/L64)</f>
        <v>1.3489838822704976E-2</v>
      </c>
    </row>
    <row r="62" spans="1:14" s="2" customFormat="1" ht="16.5" customHeight="1" thickBot="1">
      <c r="A62" s="18" t="s">
        <v>81</v>
      </c>
      <c r="B62" s="19" t="s">
        <v>5</v>
      </c>
      <c r="C62" s="10">
        <v>994</v>
      </c>
      <c r="D62" s="10">
        <v>1004</v>
      </c>
      <c r="E62" s="10">
        <v>1015</v>
      </c>
      <c r="F62" s="10">
        <v>1022</v>
      </c>
      <c r="G62" s="10">
        <v>1056</v>
      </c>
      <c r="H62" s="10">
        <v>1149</v>
      </c>
      <c r="I62" s="10" t="s">
        <v>20</v>
      </c>
      <c r="K62" s="48" t="s">
        <v>21</v>
      </c>
      <c r="L62" s="17">
        <v>655</v>
      </c>
      <c r="M62" s="14">
        <f>SUM(L62/L64)</f>
        <v>5.7375613174491941E-2</v>
      </c>
    </row>
    <row r="63" spans="1:14" s="2" customFormat="1" ht="16.5" customHeight="1" thickBot="1">
      <c r="A63" s="18" t="s">
        <v>82</v>
      </c>
      <c r="B63" s="47" t="s">
        <v>21</v>
      </c>
      <c r="C63" s="10">
        <v>655</v>
      </c>
      <c r="D63" s="10">
        <v>678</v>
      </c>
      <c r="E63" s="10">
        <v>705</v>
      </c>
      <c r="F63" s="10">
        <v>719</v>
      </c>
      <c r="G63" s="10">
        <v>831</v>
      </c>
      <c r="H63" s="10" t="s">
        <v>20</v>
      </c>
      <c r="K63" s="13" t="s">
        <v>17</v>
      </c>
      <c r="L63" s="17">
        <f>(C58+C64)</f>
        <v>2948</v>
      </c>
      <c r="M63" s="14">
        <f>SUM(L63/L64)</f>
        <v>0.25823405746320954</v>
      </c>
      <c r="N63" s="2">
        <v>1</v>
      </c>
    </row>
    <row r="64" spans="1:14" s="2" customFormat="1" ht="16.5" customHeight="1" thickBot="1">
      <c r="A64" s="18" t="s">
        <v>83</v>
      </c>
      <c r="B64" s="23" t="s">
        <v>14</v>
      </c>
      <c r="C64" s="10">
        <v>565</v>
      </c>
      <c r="D64" s="10">
        <v>581</v>
      </c>
      <c r="E64" s="10">
        <v>611</v>
      </c>
      <c r="F64" s="10">
        <v>625</v>
      </c>
      <c r="G64" s="10" t="s">
        <v>20</v>
      </c>
      <c r="L64" s="24">
        <v>11416</v>
      </c>
    </row>
    <row r="65" spans="1:19" s="2" customFormat="1" ht="16.5" customHeight="1" thickBot="1">
      <c r="A65" s="18" t="s">
        <v>79</v>
      </c>
      <c r="B65" s="27" t="s">
        <v>18</v>
      </c>
      <c r="C65" s="10">
        <v>154</v>
      </c>
      <c r="D65" s="10">
        <v>158</v>
      </c>
      <c r="E65" s="10" t="s">
        <v>20</v>
      </c>
    </row>
    <row r="66" spans="1:19" s="2" customFormat="1" ht="11.25" customHeight="1">
      <c r="A66" s="29"/>
      <c r="B66" s="30"/>
      <c r="C66" s="29"/>
      <c r="D66" s="29"/>
      <c r="E66" s="29"/>
      <c r="N66" s="14"/>
    </row>
    <row r="67" spans="1:19" s="2" customFormat="1" ht="17.45" customHeight="1">
      <c r="A67" s="1" t="s">
        <v>84</v>
      </c>
    </row>
    <row r="68" spans="1:19" s="2" customFormat="1" ht="8.25" customHeight="1" thickBot="1">
      <c r="A68" s="1"/>
    </row>
    <row r="69" spans="1:19" s="2" customFormat="1" ht="17.45" customHeight="1" thickBot="1">
      <c r="A69" s="4" t="s">
        <v>0</v>
      </c>
      <c r="B69" s="5" t="s">
        <v>1</v>
      </c>
      <c r="C69" s="5" t="s">
        <v>2</v>
      </c>
      <c r="D69" s="5">
        <v>2</v>
      </c>
      <c r="E69" s="5">
        <v>3</v>
      </c>
      <c r="F69" s="5">
        <v>4</v>
      </c>
      <c r="G69" s="5">
        <v>5</v>
      </c>
      <c r="H69" s="5">
        <v>6</v>
      </c>
      <c r="I69" s="5">
        <v>7</v>
      </c>
      <c r="J69" s="5">
        <v>8</v>
      </c>
      <c r="K69" s="5">
        <v>9</v>
      </c>
      <c r="L69" s="5">
        <v>10</v>
      </c>
      <c r="M69" s="5">
        <v>11</v>
      </c>
      <c r="N69" s="5"/>
      <c r="O69" s="13" t="s">
        <v>9</v>
      </c>
      <c r="P69" s="14">
        <f>(18130/32655)</f>
        <v>0.55519828510182212</v>
      </c>
    </row>
    <row r="70" spans="1:19" s="2" customFormat="1" ht="17.45" customHeight="1" thickBot="1">
      <c r="A70" s="7" t="s">
        <v>95</v>
      </c>
      <c r="B70" s="15" t="s">
        <v>40</v>
      </c>
      <c r="C70" s="9">
        <v>4091</v>
      </c>
      <c r="D70" s="10"/>
      <c r="E70" s="9"/>
      <c r="F70" s="10"/>
      <c r="G70" s="10"/>
      <c r="H70" s="9"/>
      <c r="I70" s="10"/>
      <c r="J70" s="10"/>
      <c r="K70" s="9"/>
      <c r="L70" s="9"/>
      <c r="M70" s="10"/>
      <c r="N70" s="11" t="s">
        <v>4</v>
      </c>
      <c r="P70" s="13" t="s">
        <v>11</v>
      </c>
      <c r="Q70" s="13" t="s">
        <v>12</v>
      </c>
      <c r="R70" s="13" t="s">
        <v>13</v>
      </c>
      <c r="S70" s="13"/>
    </row>
    <row r="71" spans="1:19" s="2" customFormat="1" ht="17.45" customHeight="1" thickBot="1">
      <c r="A71" s="7" t="s">
        <v>90</v>
      </c>
      <c r="B71" s="8" t="s">
        <v>3</v>
      </c>
      <c r="C71" s="9">
        <v>3058</v>
      </c>
      <c r="D71" s="10"/>
      <c r="E71" s="10"/>
      <c r="F71" s="9"/>
      <c r="G71" s="9"/>
      <c r="H71" s="10"/>
      <c r="I71" s="9"/>
      <c r="J71" s="9"/>
      <c r="K71" s="10"/>
      <c r="L71" s="9"/>
      <c r="M71" s="9"/>
      <c r="N71" s="11" t="s">
        <v>8</v>
      </c>
      <c r="O71" s="16" t="s">
        <v>5</v>
      </c>
      <c r="P71" s="17">
        <f>(C73+C80)</f>
        <v>1978</v>
      </c>
      <c r="Q71" s="14">
        <f>SUM(P71/P77)</f>
        <v>0.11029329764692762</v>
      </c>
      <c r="R71" s="2">
        <v>1</v>
      </c>
    </row>
    <row r="72" spans="1:19" s="2" customFormat="1" ht="17.45" customHeight="1" thickBot="1">
      <c r="A72" s="7" t="s">
        <v>91</v>
      </c>
      <c r="B72" s="8" t="s">
        <v>3</v>
      </c>
      <c r="C72" s="10">
        <v>2031</v>
      </c>
      <c r="D72" s="10">
        <v>2203</v>
      </c>
      <c r="E72" s="10">
        <v>2394</v>
      </c>
      <c r="F72" s="10">
        <v>2403</v>
      </c>
      <c r="G72" s="10">
        <v>2418</v>
      </c>
      <c r="H72" s="10">
        <v>2476</v>
      </c>
      <c r="I72" s="10">
        <v>2543</v>
      </c>
      <c r="J72" s="9">
        <v>2633</v>
      </c>
      <c r="K72" s="10"/>
      <c r="L72" s="9"/>
      <c r="M72" s="9"/>
      <c r="N72" s="11" t="s">
        <v>7</v>
      </c>
      <c r="O72" s="20" t="s">
        <v>3</v>
      </c>
      <c r="P72" s="17">
        <f>(C71+C72+C74)</f>
        <v>6326</v>
      </c>
      <c r="Q72" s="14">
        <f>SUM(P72/P77)</f>
        <v>0.35273781643805063</v>
      </c>
      <c r="R72" s="2">
        <v>2</v>
      </c>
    </row>
    <row r="73" spans="1:19" s="2" customFormat="1" ht="17.45" customHeight="1" thickBot="1">
      <c r="A73" s="7" t="s">
        <v>85</v>
      </c>
      <c r="B73" s="12" t="s">
        <v>5</v>
      </c>
      <c r="C73" s="10">
        <v>1331</v>
      </c>
      <c r="D73" s="10">
        <v>1440</v>
      </c>
      <c r="E73" s="10">
        <v>1480</v>
      </c>
      <c r="F73" s="10">
        <v>1485</v>
      </c>
      <c r="G73" s="10">
        <v>1508</v>
      </c>
      <c r="H73" s="10">
        <v>1525</v>
      </c>
      <c r="I73" s="10">
        <v>1906</v>
      </c>
      <c r="J73" s="10">
        <v>1943</v>
      </c>
      <c r="K73" s="10">
        <v>1950</v>
      </c>
      <c r="L73" s="10">
        <v>2105</v>
      </c>
      <c r="M73" s="9">
        <v>2292</v>
      </c>
      <c r="N73" s="11" t="s">
        <v>10</v>
      </c>
      <c r="O73" s="21" t="s">
        <v>16</v>
      </c>
      <c r="P73" s="17">
        <f>(C75+C78+C79)</f>
        <v>2899</v>
      </c>
      <c r="Q73" s="14">
        <f>SUM(P73/P77)</f>
        <v>0.16164826586372255</v>
      </c>
      <c r="R73" s="2">
        <v>2</v>
      </c>
    </row>
    <row r="74" spans="1:19" s="2" customFormat="1" ht="17.45" customHeight="1" thickBot="1">
      <c r="A74" s="18" t="s">
        <v>92</v>
      </c>
      <c r="B74" s="28" t="s">
        <v>3</v>
      </c>
      <c r="C74" s="10">
        <v>1237</v>
      </c>
      <c r="D74" s="10">
        <v>1307</v>
      </c>
      <c r="E74" s="10">
        <v>1390</v>
      </c>
      <c r="F74" s="10">
        <v>1394</v>
      </c>
      <c r="G74" s="10">
        <v>1400</v>
      </c>
      <c r="H74" s="10">
        <v>1425</v>
      </c>
      <c r="I74" s="10">
        <v>1457</v>
      </c>
      <c r="J74" s="10">
        <v>1501</v>
      </c>
      <c r="K74" s="10">
        <v>1513</v>
      </c>
      <c r="L74" s="10">
        <v>1806</v>
      </c>
      <c r="M74" s="10">
        <v>2084</v>
      </c>
      <c r="N74" s="11"/>
      <c r="O74" s="26" t="s">
        <v>18</v>
      </c>
      <c r="P74" s="17">
        <v>239</v>
      </c>
      <c r="Q74" s="14">
        <f>SUM(P74/P77)</f>
        <v>1.332664213226274E-2</v>
      </c>
    </row>
    <row r="75" spans="1:19" s="2" customFormat="1" ht="17.45" customHeight="1" thickBot="1">
      <c r="A75" s="7" t="s">
        <v>98</v>
      </c>
      <c r="B75" s="43" t="s">
        <v>16</v>
      </c>
      <c r="C75" s="10">
        <v>1154</v>
      </c>
      <c r="D75" s="10">
        <v>1362</v>
      </c>
      <c r="E75" s="10">
        <v>1408</v>
      </c>
      <c r="F75" s="10">
        <v>1416</v>
      </c>
      <c r="G75" s="10">
        <v>1453</v>
      </c>
      <c r="H75" s="10">
        <v>1489</v>
      </c>
      <c r="I75" s="10">
        <v>1514</v>
      </c>
      <c r="J75" s="10">
        <v>1888</v>
      </c>
      <c r="K75" s="10">
        <v>1907</v>
      </c>
      <c r="L75" s="10">
        <v>2165</v>
      </c>
      <c r="M75" s="9">
        <v>2536</v>
      </c>
      <c r="N75" s="11" t="s">
        <v>6</v>
      </c>
      <c r="O75" s="48" t="s">
        <v>21</v>
      </c>
      <c r="P75" s="17">
        <v>1042</v>
      </c>
      <c r="Q75" s="14">
        <f>SUM(P75/P77)</f>
        <v>5.8101929296308689E-2</v>
      </c>
      <c r="S75" s="14"/>
    </row>
    <row r="76" spans="1:19" s="2" customFormat="1" ht="17.45" customHeight="1" thickBot="1">
      <c r="A76" s="18" t="s">
        <v>94</v>
      </c>
      <c r="B76" s="47" t="s">
        <v>21</v>
      </c>
      <c r="C76" s="10">
        <v>1042</v>
      </c>
      <c r="D76" s="10">
        <v>1216</v>
      </c>
      <c r="E76" s="10">
        <v>1241</v>
      </c>
      <c r="F76" s="10">
        <v>1246</v>
      </c>
      <c r="G76" s="10">
        <v>1273</v>
      </c>
      <c r="H76" s="10">
        <v>1329</v>
      </c>
      <c r="I76" s="10">
        <v>1367</v>
      </c>
      <c r="J76" s="10">
        <v>1441</v>
      </c>
      <c r="K76" s="10">
        <v>1453</v>
      </c>
      <c r="L76" s="10">
        <v>1637</v>
      </c>
      <c r="M76" s="10" t="s">
        <v>20</v>
      </c>
      <c r="O76" s="13" t="s">
        <v>17</v>
      </c>
      <c r="P76" s="17">
        <f>(C70+C77+C81+C83+C84)</f>
        <v>5450</v>
      </c>
      <c r="Q76" s="14">
        <f>SUM(P76/P77)</f>
        <v>0.30389204862272778</v>
      </c>
      <c r="R76" s="2">
        <v>1</v>
      </c>
    </row>
    <row r="77" spans="1:19" s="2" customFormat="1" ht="17.45" customHeight="1" thickBot="1">
      <c r="A77" s="18" t="s">
        <v>96</v>
      </c>
      <c r="B77" s="23" t="s">
        <v>14</v>
      </c>
      <c r="C77" s="10">
        <v>1002</v>
      </c>
      <c r="D77" s="10">
        <v>1131</v>
      </c>
      <c r="E77" s="10">
        <v>1150</v>
      </c>
      <c r="F77" s="10">
        <v>1187</v>
      </c>
      <c r="G77" s="10">
        <v>1219</v>
      </c>
      <c r="H77" s="10">
        <v>1311</v>
      </c>
      <c r="I77" s="10">
        <v>1351</v>
      </c>
      <c r="J77" s="10">
        <v>1385</v>
      </c>
      <c r="K77" s="10">
        <v>1388</v>
      </c>
      <c r="L77" s="10" t="s">
        <v>20</v>
      </c>
      <c r="P77" s="24">
        <v>17934</v>
      </c>
    </row>
    <row r="78" spans="1:19" s="2" customFormat="1" ht="17.45" customHeight="1" thickBot="1">
      <c r="A78" s="7" t="s">
        <v>89</v>
      </c>
      <c r="B78" s="43" t="s">
        <v>16</v>
      </c>
      <c r="C78" s="10">
        <v>974</v>
      </c>
      <c r="D78" s="10">
        <v>1232</v>
      </c>
      <c r="E78" s="10">
        <v>1282</v>
      </c>
      <c r="F78" s="10">
        <v>1289</v>
      </c>
      <c r="G78" s="10">
        <v>1328</v>
      </c>
      <c r="H78" s="10">
        <v>1365</v>
      </c>
      <c r="I78" s="10">
        <v>1394</v>
      </c>
      <c r="J78" s="10">
        <v>1670</v>
      </c>
      <c r="K78" s="10">
        <v>1687</v>
      </c>
      <c r="L78" s="10">
        <v>1863</v>
      </c>
      <c r="M78" s="9">
        <v>2229</v>
      </c>
      <c r="N78" s="11" t="s">
        <v>15</v>
      </c>
      <c r="O78" s="14"/>
    </row>
    <row r="79" spans="1:19" s="2" customFormat="1" ht="17.45" customHeight="1" thickBot="1">
      <c r="A79" s="18" t="s">
        <v>88</v>
      </c>
      <c r="B79" s="22" t="s">
        <v>16</v>
      </c>
      <c r="C79" s="10">
        <v>771</v>
      </c>
      <c r="D79" s="10">
        <v>912</v>
      </c>
      <c r="E79" s="10">
        <v>928</v>
      </c>
      <c r="F79" s="10">
        <v>942</v>
      </c>
      <c r="G79" s="10">
        <v>971</v>
      </c>
      <c r="H79" s="10">
        <v>1002</v>
      </c>
      <c r="I79" s="10">
        <v>1027</v>
      </c>
      <c r="J79" s="10" t="s">
        <v>20</v>
      </c>
      <c r="K79" s="13"/>
      <c r="M79" s="14"/>
    </row>
    <row r="80" spans="1:19" s="2" customFormat="1" ht="17.45" customHeight="1" thickBot="1">
      <c r="A80" s="18" t="s">
        <v>86</v>
      </c>
      <c r="B80" s="19" t="s">
        <v>5</v>
      </c>
      <c r="C80" s="10">
        <v>647</v>
      </c>
      <c r="D80" s="10">
        <v>678</v>
      </c>
      <c r="E80" s="10">
        <v>687</v>
      </c>
      <c r="F80" s="10">
        <v>691</v>
      </c>
      <c r="G80" s="10">
        <v>696</v>
      </c>
      <c r="H80" s="10">
        <v>709</v>
      </c>
      <c r="I80" s="10" t="s">
        <v>20</v>
      </c>
      <c r="L80" s="24"/>
    </row>
    <row r="81" spans="1:18" s="2" customFormat="1" ht="17.45" customHeight="1" thickBot="1">
      <c r="A81" s="18" t="s">
        <v>87</v>
      </c>
      <c r="B81" s="23" t="s">
        <v>14</v>
      </c>
      <c r="C81" s="10">
        <v>279</v>
      </c>
      <c r="D81" s="10">
        <v>368</v>
      </c>
      <c r="E81" s="10">
        <v>379</v>
      </c>
      <c r="F81" s="10">
        <v>389</v>
      </c>
      <c r="G81" s="10">
        <v>421</v>
      </c>
      <c r="H81" s="10" t="s">
        <v>20</v>
      </c>
      <c r="J81" s="13"/>
      <c r="L81" s="14"/>
    </row>
    <row r="82" spans="1:18" s="2" customFormat="1" ht="17.45" customHeight="1" thickBot="1">
      <c r="A82" s="18" t="s">
        <v>99</v>
      </c>
      <c r="B82" s="27" t="s">
        <v>18</v>
      </c>
      <c r="C82" s="10">
        <v>239</v>
      </c>
      <c r="D82" s="10">
        <v>337</v>
      </c>
      <c r="E82" s="10">
        <v>341</v>
      </c>
      <c r="F82" s="10">
        <v>344</v>
      </c>
      <c r="G82" s="10" t="s">
        <v>20</v>
      </c>
      <c r="L82" s="24"/>
    </row>
    <row r="83" spans="1:18" s="2" customFormat="1" ht="17.45" customHeight="1" thickBot="1">
      <c r="A83" s="18" t="s">
        <v>97</v>
      </c>
      <c r="B83" s="23" t="s">
        <v>14</v>
      </c>
      <c r="C83" s="10">
        <v>42</v>
      </c>
      <c r="D83" s="10">
        <v>63</v>
      </c>
      <c r="E83" s="10">
        <v>63</v>
      </c>
      <c r="F83" s="10" t="s">
        <v>20</v>
      </c>
      <c r="G83" s="17"/>
      <c r="J83" s="13"/>
      <c r="L83" s="14"/>
    </row>
    <row r="84" spans="1:18" s="2" customFormat="1" ht="17.45" customHeight="1" thickBot="1">
      <c r="A84" s="18" t="s">
        <v>93</v>
      </c>
      <c r="B84" s="23" t="s">
        <v>14</v>
      </c>
      <c r="C84" s="10">
        <v>36</v>
      </c>
      <c r="D84" s="10">
        <v>64</v>
      </c>
      <c r="E84" s="10">
        <v>65</v>
      </c>
      <c r="F84" s="10" t="s">
        <v>20</v>
      </c>
      <c r="G84" s="17"/>
      <c r="J84" s="13"/>
      <c r="L84" s="14"/>
    </row>
    <row r="86" spans="1:18" s="32" customFormat="1" ht="15" customHeight="1">
      <c r="B86" s="36" t="s">
        <v>19</v>
      </c>
      <c r="C86" s="38" t="s">
        <v>5</v>
      </c>
      <c r="D86" s="39" t="s">
        <v>3</v>
      </c>
      <c r="E86" s="40" t="s">
        <v>16</v>
      </c>
      <c r="F86" s="41" t="s">
        <v>18</v>
      </c>
      <c r="G86" s="49" t="s">
        <v>21</v>
      </c>
      <c r="H86" s="36" t="s">
        <v>17</v>
      </c>
      <c r="P86" s="33"/>
      <c r="Q86" s="34"/>
      <c r="R86" s="35"/>
    </row>
    <row r="87" spans="1:18" s="32" customFormat="1" ht="15" customHeight="1">
      <c r="A87" s="32" t="s">
        <v>11</v>
      </c>
      <c r="B87" s="37">
        <f>SUM(J11+K51+K23+L64+P77+M36)</f>
        <v>83708</v>
      </c>
      <c r="C87" s="34">
        <f>SUM(P71+L58+K18+K45+M30+J5)</f>
        <v>13116</v>
      </c>
      <c r="D87" s="34">
        <f>SUM(P72+L59+K19+K46+M31+J6)</f>
        <v>28754</v>
      </c>
      <c r="E87" s="34">
        <f>SUM(P73+L60+K20+K47+M32+J7)</f>
        <v>19094</v>
      </c>
      <c r="F87" s="34">
        <f>SUM(P74+L61+K48+M34+J9)</f>
        <v>2157</v>
      </c>
      <c r="G87" s="34">
        <f>SUM(P75+L62+K21+K49+M33+J8)</f>
        <v>5260</v>
      </c>
      <c r="H87" s="34">
        <f>SUM(P76+L63+K22+K50+M35+J10)</f>
        <v>15327</v>
      </c>
      <c r="P87" s="36"/>
      <c r="Q87" s="37"/>
      <c r="R87" s="35"/>
    </row>
    <row r="88" spans="1:18" s="32" customFormat="1" ht="15" customHeight="1">
      <c r="A88" s="32" t="s">
        <v>12</v>
      </c>
      <c r="B88" s="42">
        <v>1</v>
      </c>
      <c r="C88" s="35">
        <f t="shared" ref="C88:H88" si="0">SUM(C87/$B$87)</f>
        <v>0.15668753285229609</v>
      </c>
      <c r="D88" s="35">
        <f t="shared" si="0"/>
        <v>0.34350360777942374</v>
      </c>
      <c r="E88" s="35">
        <f t="shared" si="0"/>
        <v>0.2281024513786018</v>
      </c>
      <c r="F88" s="35">
        <f t="shared" si="0"/>
        <v>2.5768146413723898E-2</v>
      </c>
      <c r="G88" s="35">
        <f t="shared" si="0"/>
        <v>6.2837482677880252E-2</v>
      </c>
      <c r="H88" s="35">
        <f t="shared" si="0"/>
        <v>0.18310077889807425</v>
      </c>
    </row>
    <row r="89" spans="1:18" s="32" customFormat="1" ht="15" customHeight="1">
      <c r="A89" s="32" t="s">
        <v>13</v>
      </c>
      <c r="B89" s="36">
        <v>28</v>
      </c>
      <c r="C89" s="32">
        <v>4</v>
      </c>
      <c r="D89" s="32">
        <v>11</v>
      </c>
      <c r="E89" s="32">
        <v>8</v>
      </c>
      <c r="F89" s="32">
        <v>0</v>
      </c>
      <c r="G89" s="32">
        <v>0</v>
      </c>
      <c r="H89" s="32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4"/>
  <dimension ref="A1:O31"/>
  <sheetViews>
    <sheetView workbookViewId="0">
      <selection activeCell="M15" sqref="M15"/>
    </sheetView>
  </sheetViews>
  <sheetFormatPr defaultRowHeight="12.75"/>
  <cols>
    <col min="1" max="1" width="14.85546875" style="36" customWidth="1"/>
    <col min="2" max="2" width="7.85546875" customWidth="1"/>
    <col min="3" max="3" width="9.28515625" bestFit="1" customWidth="1"/>
    <col min="8" max="8" width="9.28515625" bestFit="1" customWidth="1"/>
    <col min="10" max="10" width="9.140625" style="74"/>
  </cols>
  <sheetData>
    <row r="1" spans="1:15" s="36" customFormat="1">
      <c r="A1" s="36" t="s">
        <v>25</v>
      </c>
      <c r="B1" s="36" t="s">
        <v>13</v>
      </c>
      <c r="C1" s="38" t="s">
        <v>5</v>
      </c>
      <c r="D1" s="39" t="s">
        <v>3</v>
      </c>
      <c r="E1" s="40" t="s">
        <v>16</v>
      </c>
      <c r="F1" s="41" t="s">
        <v>18</v>
      </c>
      <c r="G1" s="49" t="s">
        <v>21</v>
      </c>
      <c r="H1" s="36" t="s">
        <v>17</v>
      </c>
      <c r="I1" s="71" t="s">
        <v>30</v>
      </c>
      <c r="J1" s="72" t="s">
        <v>31</v>
      </c>
      <c r="K1" s="70" t="s">
        <v>29</v>
      </c>
      <c r="L1" s="69" t="s">
        <v>28</v>
      </c>
    </row>
    <row r="2" spans="1:15">
      <c r="A2" s="36">
        <v>1925</v>
      </c>
      <c r="C2" s="73" t="s">
        <v>20</v>
      </c>
      <c r="D2" s="73" t="s">
        <v>20</v>
      </c>
      <c r="E2" s="73" t="s">
        <v>20</v>
      </c>
      <c r="F2" s="73" t="s">
        <v>20</v>
      </c>
      <c r="G2" s="73" t="s">
        <v>20</v>
      </c>
      <c r="H2" s="73" t="s">
        <v>20</v>
      </c>
      <c r="I2" s="73" t="s">
        <v>20</v>
      </c>
      <c r="J2" s="73" t="s">
        <v>20</v>
      </c>
      <c r="K2" s="73" t="s">
        <v>20</v>
      </c>
      <c r="L2" s="73" t="s">
        <v>20</v>
      </c>
    </row>
    <row r="3" spans="1:15">
      <c r="A3" s="36">
        <v>1928</v>
      </c>
      <c r="C3" s="73" t="s">
        <v>20</v>
      </c>
      <c r="D3" s="73" t="s">
        <v>20</v>
      </c>
      <c r="E3" s="73" t="s">
        <v>20</v>
      </c>
      <c r="F3" s="73" t="s">
        <v>20</v>
      </c>
      <c r="G3" s="73" t="s">
        <v>20</v>
      </c>
      <c r="H3" s="73" t="s">
        <v>20</v>
      </c>
      <c r="I3" s="73" t="s">
        <v>20</v>
      </c>
      <c r="J3" s="73" t="s">
        <v>20</v>
      </c>
      <c r="K3" s="73" t="s">
        <v>20</v>
      </c>
      <c r="L3" s="73" t="s">
        <v>20</v>
      </c>
    </row>
    <row r="4" spans="1:15">
      <c r="A4" s="36">
        <v>1934</v>
      </c>
      <c r="C4" s="73" t="s">
        <v>20</v>
      </c>
      <c r="D4" s="73" t="s">
        <v>20</v>
      </c>
      <c r="E4" s="73" t="s">
        <v>20</v>
      </c>
      <c r="F4" s="73" t="s">
        <v>20</v>
      </c>
      <c r="G4" s="73" t="s">
        <v>20</v>
      </c>
      <c r="H4" s="73" t="s">
        <v>20</v>
      </c>
      <c r="I4" s="73" t="s">
        <v>20</v>
      </c>
      <c r="J4" s="73" t="s">
        <v>20</v>
      </c>
      <c r="K4" s="73" t="s">
        <v>20</v>
      </c>
      <c r="L4" s="73" t="s">
        <v>20</v>
      </c>
    </row>
    <row r="5" spans="1:15">
      <c r="A5" s="36">
        <v>1942</v>
      </c>
      <c r="B5">
        <v>25</v>
      </c>
      <c r="C5" s="73" t="s">
        <v>20</v>
      </c>
      <c r="D5" s="73" t="s">
        <v>20</v>
      </c>
      <c r="E5" s="73" t="s">
        <v>20</v>
      </c>
      <c r="F5" s="73" t="s">
        <v>20</v>
      </c>
      <c r="G5" s="73" t="s">
        <v>20</v>
      </c>
      <c r="H5" s="73" t="s">
        <v>20</v>
      </c>
      <c r="I5" s="73" t="s">
        <v>20</v>
      </c>
      <c r="J5" s="73" t="s">
        <v>20</v>
      </c>
      <c r="K5" s="73" t="s">
        <v>20</v>
      </c>
      <c r="L5" s="73" t="s">
        <v>20</v>
      </c>
    </row>
    <row r="6" spans="1:15">
      <c r="A6" s="36">
        <v>1945</v>
      </c>
      <c r="B6">
        <v>25</v>
      </c>
      <c r="C6" s="73" t="s">
        <v>20</v>
      </c>
      <c r="D6" s="73" t="s">
        <v>20</v>
      </c>
      <c r="E6" s="73" t="s">
        <v>20</v>
      </c>
      <c r="F6" s="73" t="s">
        <v>20</v>
      </c>
      <c r="G6" s="73" t="s">
        <v>20</v>
      </c>
      <c r="H6" s="73" t="s">
        <v>20</v>
      </c>
      <c r="I6" s="73" t="s">
        <v>20</v>
      </c>
      <c r="J6" s="73" t="s">
        <v>20</v>
      </c>
      <c r="K6" s="73" t="s">
        <v>20</v>
      </c>
      <c r="L6" s="73" t="s">
        <v>20</v>
      </c>
    </row>
    <row r="7" spans="1:15">
      <c r="A7" s="36">
        <v>1950</v>
      </c>
      <c r="B7">
        <v>25</v>
      </c>
      <c r="C7" s="73" t="s">
        <v>20</v>
      </c>
      <c r="D7" s="73" t="s">
        <v>20</v>
      </c>
      <c r="E7" s="73" t="s">
        <v>20</v>
      </c>
      <c r="F7" s="73" t="s">
        <v>20</v>
      </c>
      <c r="G7" s="73" t="s">
        <v>20</v>
      </c>
      <c r="H7" s="73" t="s">
        <v>20</v>
      </c>
      <c r="I7" s="73" t="s">
        <v>20</v>
      </c>
      <c r="J7" s="73" t="s">
        <v>20</v>
      </c>
      <c r="K7" s="73" t="s">
        <v>20</v>
      </c>
      <c r="L7" s="73" t="s">
        <v>20</v>
      </c>
    </row>
    <row r="8" spans="1:15">
      <c r="A8" s="36">
        <v>1955</v>
      </c>
      <c r="B8">
        <v>25</v>
      </c>
      <c r="C8" s="73" t="s">
        <v>20</v>
      </c>
      <c r="D8" s="73" t="s">
        <v>20</v>
      </c>
      <c r="E8" s="73" t="s">
        <v>20</v>
      </c>
      <c r="F8" s="73" t="s">
        <v>20</v>
      </c>
      <c r="G8" s="73" t="s">
        <v>20</v>
      </c>
      <c r="H8" s="73" t="s">
        <v>20</v>
      </c>
      <c r="I8" s="73" t="s">
        <v>20</v>
      </c>
      <c r="J8" s="73" t="s">
        <v>20</v>
      </c>
      <c r="K8" s="73" t="s">
        <v>20</v>
      </c>
      <c r="L8" s="73" t="s">
        <v>20</v>
      </c>
    </row>
    <row r="9" spans="1:15">
      <c r="A9" s="36">
        <v>1960</v>
      </c>
      <c r="B9">
        <v>25</v>
      </c>
      <c r="C9" s="73" t="s">
        <v>20</v>
      </c>
      <c r="D9" s="73" t="s">
        <v>20</v>
      </c>
      <c r="E9" s="73" t="s">
        <v>20</v>
      </c>
      <c r="F9" s="73" t="s">
        <v>20</v>
      </c>
      <c r="G9" s="73" t="s">
        <v>20</v>
      </c>
      <c r="H9" s="73" t="s">
        <v>20</v>
      </c>
      <c r="I9" s="73" t="s">
        <v>20</v>
      </c>
      <c r="J9" s="73" t="s">
        <v>20</v>
      </c>
      <c r="K9" s="73" t="s">
        <v>20</v>
      </c>
      <c r="L9" s="73" t="s">
        <v>20</v>
      </c>
    </row>
    <row r="10" spans="1:15">
      <c r="A10" s="36">
        <v>1967</v>
      </c>
      <c r="B10">
        <v>25</v>
      </c>
      <c r="C10" s="73">
        <v>0.32669999999999999</v>
      </c>
      <c r="D10" s="73">
        <v>0.38200000000000001</v>
      </c>
      <c r="E10" s="73">
        <v>0.20799999999999999</v>
      </c>
      <c r="F10" s="73">
        <v>5.7000000000000002E-3</v>
      </c>
      <c r="G10" s="73" t="s">
        <v>20</v>
      </c>
      <c r="H10" s="73">
        <v>7.7600000000000002E-2</v>
      </c>
      <c r="I10" s="73" t="s">
        <v>20</v>
      </c>
      <c r="J10" s="73" t="s">
        <v>20</v>
      </c>
      <c r="K10" s="73" t="s">
        <v>20</v>
      </c>
      <c r="L10" s="73" t="s">
        <v>20</v>
      </c>
    </row>
    <row r="11" spans="1:15">
      <c r="A11" s="36">
        <v>1974</v>
      </c>
      <c r="B11">
        <v>25</v>
      </c>
      <c r="C11" s="73">
        <v>0.31059999999999999</v>
      </c>
      <c r="D11" s="73">
        <v>0.35410000000000003</v>
      </c>
      <c r="E11" s="73">
        <v>0.22819999999999999</v>
      </c>
      <c r="F11" s="74" t="s">
        <v>20</v>
      </c>
      <c r="G11" s="73" t="s">
        <v>20</v>
      </c>
      <c r="H11" s="73">
        <v>8.9499999999999996E-2</v>
      </c>
      <c r="I11" s="73" t="s">
        <v>20</v>
      </c>
      <c r="J11" s="73">
        <v>2.3999999999999998E-3</v>
      </c>
      <c r="K11" s="73" t="s">
        <v>20</v>
      </c>
      <c r="L11" s="73" t="s">
        <v>20</v>
      </c>
    </row>
    <row r="12" spans="1:15">
      <c r="A12" s="36">
        <v>1979</v>
      </c>
      <c r="B12">
        <v>36</v>
      </c>
      <c r="C12" s="73">
        <v>0.30280000000000001</v>
      </c>
      <c r="D12" s="73">
        <v>0.3795</v>
      </c>
      <c r="E12" s="73">
        <v>0.2218</v>
      </c>
      <c r="F12" s="74" t="s">
        <v>20</v>
      </c>
      <c r="G12" s="73" t="s">
        <v>20</v>
      </c>
      <c r="H12" s="73">
        <v>8.7999999999999995E-2</v>
      </c>
      <c r="I12" s="73" t="s">
        <v>20</v>
      </c>
      <c r="J12" s="73">
        <v>7.9000000000000008E-3</v>
      </c>
      <c r="K12" s="73" t="s">
        <v>20</v>
      </c>
      <c r="L12" s="73" t="s">
        <v>20</v>
      </c>
    </row>
    <row r="13" spans="1:15">
      <c r="A13" s="36">
        <v>1985</v>
      </c>
      <c r="B13">
        <v>78</v>
      </c>
      <c r="C13" s="73">
        <v>0.41410000000000002</v>
      </c>
      <c r="D13" s="73">
        <v>0.29310000000000003</v>
      </c>
      <c r="E13" s="73">
        <v>0.11840000000000001</v>
      </c>
      <c r="F13" s="73">
        <v>3.0800000000000001E-2</v>
      </c>
      <c r="G13" s="73" t="s">
        <v>20</v>
      </c>
      <c r="H13" s="73">
        <v>9.0200000000000002E-2</v>
      </c>
      <c r="I13" s="73" t="s">
        <v>20</v>
      </c>
      <c r="J13" s="73">
        <v>5.3400000000000003E-2</v>
      </c>
      <c r="K13" s="73" t="s">
        <v>20</v>
      </c>
      <c r="L13" s="73" t="s">
        <v>20</v>
      </c>
      <c r="O13" t="s">
        <v>238</v>
      </c>
    </row>
    <row r="14" spans="1:15">
      <c r="A14" s="36" t="s">
        <v>235</v>
      </c>
    </row>
    <row r="15" spans="1:15">
      <c r="A15" s="36">
        <v>1985</v>
      </c>
      <c r="B15">
        <v>24</v>
      </c>
      <c r="C15" s="73">
        <v>0.45329999999999998</v>
      </c>
      <c r="D15" s="73">
        <v>0.27639999999999998</v>
      </c>
      <c r="E15" s="73">
        <v>0.11310000000000001</v>
      </c>
      <c r="F15" s="73">
        <v>9.1999999999999998E-3</v>
      </c>
      <c r="G15" s="73">
        <v>1.3299999999999999E-2</v>
      </c>
      <c r="H15" s="73">
        <v>9.4600000000000004E-2</v>
      </c>
      <c r="I15" s="73" t="s">
        <v>20</v>
      </c>
      <c r="J15" s="73">
        <v>4.0099999999999997E-2</v>
      </c>
      <c r="K15" s="73"/>
      <c r="L15" s="73"/>
    </row>
    <row r="16" spans="1:15">
      <c r="A16" s="36">
        <v>1991</v>
      </c>
      <c r="B16">
        <v>24</v>
      </c>
      <c r="C16" s="73">
        <v>0.3165</v>
      </c>
      <c r="D16" s="73">
        <v>0.20219999999999999</v>
      </c>
      <c r="E16" s="73">
        <v>0.1749</v>
      </c>
      <c r="F16" s="73">
        <v>5.4999999999999997E-3</v>
      </c>
      <c r="G16" s="73">
        <v>8.4599999999999995E-2</v>
      </c>
      <c r="H16" s="73">
        <v>0.10390000000000001</v>
      </c>
      <c r="I16" s="73">
        <v>7.1099999999999997E-2</v>
      </c>
      <c r="J16" s="73">
        <v>4.1300000000000003E-2</v>
      </c>
      <c r="K16" s="73"/>
      <c r="L16" s="73"/>
    </row>
    <row r="17" spans="1:13">
      <c r="A17" s="36">
        <v>1999</v>
      </c>
      <c r="B17">
        <v>24</v>
      </c>
      <c r="C17" s="73">
        <v>0.27210000000000001</v>
      </c>
      <c r="D17" s="73">
        <v>0.20760000000000001</v>
      </c>
      <c r="E17" s="73">
        <v>0.19159999999999999</v>
      </c>
      <c r="F17" s="73">
        <v>1.41E-2</v>
      </c>
      <c r="G17" s="73">
        <v>8.2900000000000001E-2</v>
      </c>
      <c r="H17" s="73">
        <v>0.2041</v>
      </c>
      <c r="I17" s="73">
        <v>2.75E-2</v>
      </c>
      <c r="J17" s="73" t="s">
        <v>20</v>
      </c>
      <c r="K17" s="73"/>
      <c r="L17" s="73"/>
    </row>
    <row r="18" spans="1:13">
      <c r="A18" s="36">
        <v>2004</v>
      </c>
      <c r="B18">
        <v>24</v>
      </c>
      <c r="C18" s="73">
        <v>0.2147</v>
      </c>
      <c r="D18" s="73">
        <v>0.2253</v>
      </c>
      <c r="E18" s="73">
        <v>0.18709999999999999</v>
      </c>
      <c r="F18" s="73">
        <v>5.1999999999999998E-2</v>
      </c>
      <c r="G18" s="73">
        <v>8.2000000000000003E-2</v>
      </c>
      <c r="H18" s="73">
        <v>0.17899999999999999</v>
      </c>
      <c r="I18" s="73">
        <v>5.9799999999999999E-2</v>
      </c>
      <c r="J18" s="73" t="s">
        <v>20</v>
      </c>
      <c r="K18" s="73"/>
      <c r="L18" s="73"/>
    </row>
    <row r="19" spans="1:13">
      <c r="A19" s="36">
        <v>2009</v>
      </c>
      <c r="B19">
        <v>24</v>
      </c>
      <c r="C19" s="73">
        <v>0.16220000000000001</v>
      </c>
      <c r="D19" s="73">
        <v>0.2082</v>
      </c>
      <c r="E19" s="73">
        <v>0.25659999999999999</v>
      </c>
      <c r="F19" s="73">
        <v>4.9099999999999998E-2</v>
      </c>
      <c r="G19" s="73">
        <v>5.91E-2</v>
      </c>
      <c r="H19" s="73">
        <v>0.26479999999999998</v>
      </c>
      <c r="I19" s="73" t="s">
        <v>20</v>
      </c>
      <c r="J19" s="73" t="s">
        <v>20</v>
      </c>
      <c r="K19" s="73"/>
      <c r="L19" s="73"/>
    </row>
    <row r="20" spans="1:13">
      <c r="A20" s="36" t="s">
        <v>236</v>
      </c>
    </row>
    <row r="21" spans="1:13">
      <c r="A21" s="36">
        <v>1985</v>
      </c>
      <c r="B21">
        <v>26</v>
      </c>
      <c r="C21" s="73">
        <v>0.42099999999999999</v>
      </c>
      <c r="D21" s="73">
        <v>0.25359999999999999</v>
      </c>
      <c r="E21" s="73">
        <v>0.1196</v>
      </c>
      <c r="F21" s="73">
        <v>4.5900000000000003E-2</v>
      </c>
      <c r="G21" s="73">
        <v>2.1000000000000001E-2</v>
      </c>
      <c r="H21" s="73">
        <v>6.7699999999999996E-2</v>
      </c>
      <c r="I21" s="73" t="s">
        <v>20</v>
      </c>
      <c r="J21" s="73">
        <v>7.1099999999999997E-2</v>
      </c>
      <c r="K21" s="73"/>
      <c r="L21" s="73"/>
    </row>
    <row r="22" spans="1:13">
      <c r="A22" s="36">
        <v>1991</v>
      </c>
      <c r="B22">
        <v>26</v>
      </c>
      <c r="C22" s="73">
        <v>0.29060000000000002</v>
      </c>
      <c r="D22" s="73">
        <v>0.18279999999999999</v>
      </c>
      <c r="E22" s="73">
        <v>0.17599999999999999</v>
      </c>
      <c r="F22" s="73">
        <v>3.6600000000000001E-2</v>
      </c>
      <c r="G22" s="73">
        <v>5.9200000000000003E-2</v>
      </c>
      <c r="H22" s="73">
        <v>7.7100000000000002E-2</v>
      </c>
      <c r="I22" s="73">
        <v>9.1300000000000006E-2</v>
      </c>
      <c r="J22" s="73">
        <v>8.6999999999999994E-2</v>
      </c>
      <c r="K22" s="73"/>
      <c r="L22" s="73"/>
    </row>
    <row r="23" spans="1:13">
      <c r="A23" s="36">
        <v>1999</v>
      </c>
      <c r="B23">
        <v>26</v>
      </c>
      <c r="C23" s="73">
        <v>0.29759999999999998</v>
      </c>
      <c r="D23" s="73">
        <v>0.1595</v>
      </c>
      <c r="E23" s="73">
        <v>0.15890000000000001</v>
      </c>
      <c r="F23" s="73">
        <v>8.77E-2</v>
      </c>
      <c r="G23" s="73">
        <v>5.7700000000000001E-2</v>
      </c>
      <c r="H23" s="73">
        <v>0.14760000000000001</v>
      </c>
      <c r="I23" s="73">
        <v>8.6099999999999996E-2</v>
      </c>
      <c r="J23" s="73">
        <v>1.4800000000000001E-2</v>
      </c>
      <c r="K23" s="73"/>
      <c r="L23" s="73"/>
    </row>
    <row r="24" spans="1:13">
      <c r="A24" s="36">
        <v>2004</v>
      </c>
      <c r="B24">
        <v>26</v>
      </c>
      <c r="C24" s="73">
        <v>0.25700000000000001</v>
      </c>
      <c r="D24" s="73">
        <v>0.13700000000000001</v>
      </c>
      <c r="E24" s="73">
        <v>0.18490000000000001</v>
      </c>
      <c r="F24" s="73">
        <v>0.13450000000000001</v>
      </c>
      <c r="G24" s="73">
        <v>8.3799999999999999E-2</v>
      </c>
      <c r="H24" s="73">
        <v>0.1358</v>
      </c>
      <c r="I24" s="73">
        <v>6.7000000000000004E-2</v>
      </c>
      <c r="J24" s="73" t="s">
        <v>20</v>
      </c>
      <c r="K24" s="73"/>
      <c r="L24" s="73"/>
      <c r="M24" s="77"/>
    </row>
    <row r="25" spans="1:13">
      <c r="A25" s="36">
        <v>2009</v>
      </c>
      <c r="B25">
        <v>26</v>
      </c>
      <c r="C25" s="73">
        <v>0.17499999999999999</v>
      </c>
      <c r="D25" s="73">
        <v>0.27179999999999999</v>
      </c>
      <c r="E25" s="73">
        <v>0.24970000000000001</v>
      </c>
      <c r="F25" s="73">
        <v>0.1106</v>
      </c>
      <c r="G25" s="73">
        <v>4.02E-2</v>
      </c>
      <c r="H25" s="73">
        <v>0.1527</v>
      </c>
      <c r="I25" s="73" t="s">
        <v>20</v>
      </c>
      <c r="J25" s="73" t="s">
        <v>20</v>
      </c>
      <c r="K25" s="73"/>
      <c r="L25" s="73"/>
    </row>
    <row r="26" spans="1:13">
      <c r="A26" s="36" t="s">
        <v>237</v>
      </c>
    </row>
    <row r="27" spans="1:13">
      <c r="A27" s="36">
        <v>1985</v>
      </c>
      <c r="B27">
        <v>28</v>
      </c>
      <c r="C27" s="73">
        <v>0.38080000000000003</v>
      </c>
      <c r="D27" s="73">
        <v>0.34110000000000001</v>
      </c>
      <c r="E27" s="73">
        <v>0.12089999999999999</v>
      </c>
      <c r="F27" s="73">
        <v>3.1699999999999999E-2</v>
      </c>
      <c r="G27" s="73">
        <v>3.9899999999999998E-2</v>
      </c>
      <c r="H27" s="73">
        <v>3.95E-2</v>
      </c>
      <c r="I27" s="73" t="s">
        <v>20</v>
      </c>
      <c r="J27" s="73">
        <v>4.6199999999999998E-2</v>
      </c>
      <c r="K27" s="73"/>
      <c r="L27" s="73"/>
    </row>
    <row r="28" spans="1:13">
      <c r="A28" s="36">
        <v>1991</v>
      </c>
      <c r="B28">
        <v>28</v>
      </c>
      <c r="C28" s="73">
        <v>0.30299999999999999</v>
      </c>
      <c r="D28" s="73">
        <v>0.23799999999999999</v>
      </c>
      <c r="E28" s="73">
        <v>0.1263</v>
      </c>
      <c r="F28" s="73">
        <v>1.17E-2</v>
      </c>
      <c r="G28" s="73">
        <v>0.1145</v>
      </c>
      <c r="H28" s="73">
        <v>1.61E-2</v>
      </c>
      <c r="I28" s="74">
        <v>8.1900000000000001E-2</v>
      </c>
      <c r="J28" s="73">
        <v>0.1086</v>
      </c>
      <c r="K28" s="73"/>
      <c r="L28" s="73"/>
    </row>
    <row r="29" spans="1:13">
      <c r="A29" s="36">
        <v>1999</v>
      </c>
      <c r="B29">
        <v>28</v>
      </c>
      <c r="C29" s="73">
        <v>0.31580000000000003</v>
      </c>
      <c r="D29" s="73">
        <v>0.27310000000000001</v>
      </c>
      <c r="E29" s="73">
        <v>0.18079999999999999</v>
      </c>
      <c r="F29" s="73">
        <v>1.2200000000000001E-2</v>
      </c>
      <c r="G29" s="73">
        <v>7.3400000000000007E-2</v>
      </c>
      <c r="H29" s="73">
        <v>6.5000000000000002E-2</v>
      </c>
      <c r="I29" s="73">
        <v>7.9799999999999996E-2</v>
      </c>
      <c r="J29" s="73" t="s">
        <v>20</v>
      </c>
      <c r="K29" s="73"/>
      <c r="L29" s="73"/>
    </row>
    <row r="30" spans="1:13">
      <c r="A30" s="36">
        <v>2004</v>
      </c>
      <c r="B30">
        <v>28</v>
      </c>
      <c r="C30" s="73">
        <v>0.24859999999999999</v>
      </c>
      <c r="D30" s="73">
        <v>0.24049999999999999</v>
      </c>
      <c r="E30" s="73">
        <v>0.20300000000000001</v>
      </c>
      <c r="F30" s="73">
        <v>3.6600000000000001E-2</v>
      </c>
      <c r="G30" s="73">
        <v>0.10340000000000001</v>
      </c>
      <c r="H30" s="73">
        <v>8.3799999999999999E-2</v>
      </c>
      <c r="I30" s="73">
        <v>8.4000000000000005E-2</v>
      </c>
      <c r="J30" s="73" t="s">
        <v>20</v>
      </c>
      <c r="K30" s="73"/>
      <c r="L30" s="73"/>
    </row>
    <row r="31" spans="1:13">
      <c r="A31" s="36">
        <v>2009</v>
      </c>
      <c r="B31">
        <v>28</v>
      </c>
      <c r="C31" s="73">
        <v>0.15670000000000001</v>
      </c>
      <c r="D31" s="73">
        <v>0.34350000000000003</v>
      </c>
      <c r="E31" s="73">
        <v>0.2281</v>
      </c>
      <c r="F31" s="73">
        <v>2.58E-2</v>
      </c>
      <c r="G31" s="73">
        <v>6.2799999999999995E-2</v>
      </c>
      <c r="H31" s="73">
        <v>0.18310000000000001</v>
      </c>
      <c r="I31" s="73" t="s">
        <v>20</v>
      </c>
      <c r="J31" s="73" t="s">
        <v>20</v>
      </c>
      <c r="K31" s="73"/>
      <c r="L31" s="73"/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3"/>
  <dimension ref="B1:H63"/>
  <sheetViews>
    <sheetView workbookViewId="0">
      <selection activeCell="J2" sqref="J2"/>
    </sheetView>
  </sheetViews>
  <sheetFormatPr defaultRowHeight="12.75"/>
  <cols>
    <col min="1" max="1" width="7" customWidth="1"/>
    <col min="2" max="2" width="9.140625" style="37"/>
    <col min="3" max="3" width="24.7109375" customWidth="1"/>
    <col min="5" max="5" width="18.140625" customWidth="1"/>
    <col min="6" max="6" width="9.140625" style="36"/>
    <col min="7" max="7" width="9.140625" style="46"/>
    <col min="8" max="8" width="12.7109375" style="68" customWidth="1"/>
    <col min="9" max="9" width="11.28515625" customWidth="1"/>
  </cols>
  <sheetData>
    <row r="1" spans="2:8" s="51" customFormat="1" ht="8.25" customHeight="1" thickBot="1">
      <c r="B1" s="50"/>
      <c r="F1" s="52"/>
      <c r="G1" s="53"/>
      <c r="H1" s="54"/>
    </row>
    <row r="2" spans="2:8" s="51" customFormat="1" ht="16.5" customHeight="1" thickBot="1">
      <c r="B2" s="55" t="s">
        <v>23</v>
      </c>
      <c r="C2" s="56" t="s">
        <v>0</v>
      </c>
      <c r="D2" s="56" t="s">
        <v>1</v>
      </c>
      <c r="E2" s="56" t="s">
        <v>24</v>
      </c>
      <c r="F2" s="56" t="s">
        <v>25</v>
      </c>
      <c r="G2" s="57" t="s">
        <v>26</v>
      </c>
      <c r="H2" s="58" t="s">
        <v>27</v>
      </c>
    </row>
    <row r="3" spans="2:8" s="51" customFormat="1" ht="16.5" customHeight="1" thickBot="1">
      <c r="B3" s="59"/>
      <c r="C3" s="60"/>
      <c r="D3" s="61"/>
      <c r="E3" s="60"/>
      <c r="F3" s="62"/>
      <c r="G3" s="63"/>
      <c r="H3" s="58"/>
    </row>
    <row r="4" spans="2:8" s="51" customFormat="1" ht="16.5" customHeight="1" thickBot="1">
      <c r="B4" s="59"/>
      <c r="C4" s="60"/>
      <c r="D4" s="61"/>
      <c r="E4" s="60"/>
      <c r="F4" s="62"/>
      <c r="G4" s="63"/>
      <c r="H4" s="58"/>
    </row>
    <row r="5" spans="2:8" s="51" customFormat="1" ht="16.5" customHeight="1" thickBot="1">
      <c r="B5" s="59"/>
      <c r="C5" s="60"/>
      <c r="D5" s="61"/>
      <c r="E5" s="60"/>
      <c r="F5" s="62"/>
      <c r="G5" s="63"/>
      <c r="H5" s="58"/>
    </row>
    <row r="6" spans="2:8" s="51" customFormat="1" ht="16.5" customHeight="1" thickBot="1">
      <c r="B6" s="59"/>
      <c r="C6" s="60"/>
      <c r="D6" s="61"/>
      <c r="E6" s="60"/>
      <c r="F6" s="62"/>
      <c r="G6" s="63"/>
      <c r="H6" s="58"/>
    </row>
    <row r="7" spans="2:8" s="51" customFormat="1" ht="16.5" customHeight="1" thickBot="1">
      <c r="B7" s="59"/>
      <c r="C7" s="60"/>
      <c r="D7" s="64"/>
      <c r="E7" s="60"/>
      <c r="F7" s="62"/>
      <c r="G7" s="63"/>
      <c r="H7" s="58"/>
    </row>
    <row r="8" spans="2:8" s="51" customFormat="1" ht="16.5" customHeight="1" thickBot="1">
      <c r="B8" s="59"/>
      <c r="C8" s="60"/>
      <c r="D8" s="64"/>
      <c r="E8" s="60"/>
      <c r="F8" s="62"/>
      <c r="G8" s="63"/>
      <c r="H8" s="58"/>
    </row>
    <row r="9" spans="2:8" s="51" customFormat="1" ht="16.5" customHeight="1" thickBot="1">
      <c r="B9" s="59"/>
      <c r="C9" s="60"/>
      <c r="D9" s="64"/>
      <c r="E9" s="60"/>
      <c r="F9" s="62"/>
      <c r="G9" s="63"/>
      <c r="H9" s="58"/>
    </row>
    <row r="10" spans="2:8" s="51" customFormat="1" ht="16.5" customHeight="1" thickBot="1">
      <c r="B10" s="59"/>
      <c r="C10" s="60"/>
      <c r="D10" s="61"/>
      <c r="E10" s="60"/>
      <c r="F10" s="62"/>
      <c r="G10" s="63"/>
      <c r="H10" s="58"/>
    </row>
    <row r="11" spans="2:8" s="51" customFormat="1" ht="16.5" customHeight="1" thickBot="1">
      <c r="B11" s="59"/>
      <c r="C11" s="60"/>
      <c r="D11" s="65"/>
      <c r="E11" s="60"/>
      <c r="F11" s="62"/>
      <c r="G11" s="63"/>
      <c r="H11" s="58"/>
    </row>
    <row r="12" spans="2:8" s="51" customFormat="1" ht="16.5" customHeight="1" thickBot="1">
      <c r="B12" s="59"/>
      <c r="C12" s="60"/>
      <c r="D12" s="64"/>
      <c r="E12" s="60"/>
      <c r="F12" s="62"/>
      <c r="G12" s="63"/>
      <c r="H12" s="58"/>
    </row>
    <row r="13" spans="2:8" s="51" customFormat="1" ht="16.5" thickBot="1">
      <c r="B13" s="59"/>
      <c r="C13" s="60"/>
      <c r="D13" s="64"/>
      <c r="E13" s="60"/>
      <c r="F13" s="62"/>
      <c r="G13" s="63"/>
      <c r="H13" s="58"/>
    </row>
    <row r="14" spans="2:8" s="51" customFormat="1" ht="16.5" thickBot="1">
      <c r="B14" s="59"/>
      <c r="C14" s="60"/>
      <c r="D14" s="64"/>
      <c r="E14" s="60"/>
      <c r="F14" s="62"/>
      <c r="G14" s="63"/>
      <c r="H14" s="58"/>
    </row>
    <row r="15" spans="2:8" s="51" customFormat="1" ht="16.5" thickBot="1">
      <c r="B15" s="59"/>
      <c r="C15" s="60"/>
      <c r="D15" s="64"/>
      <c r="E15" s="60"/>
      <c r="F15" s="62"/>
      <c r="G15" s="63"/>
      <c r="H15" s="58"/>
    </row>
    <row r="16" spans="2:8" s="51" customFormat="1" ht="16.5" thickBot="1">
      <c r="B16" s="59"/>
      <c r="C16" s="60"/>
      <c r="D16" s="64"/>
      <c r="E16" s="60"/>
      <c r="F16" s="62"/>
      <c r="G16" s="63"/>
      <c r="H16" s="58"/>
    </row>
    <row r="17" spans="2:8" s="51" customFormat="1" ht="16.5" thickBot="1">
      <c r="B17" s="59"/>
      <c r="C17" s="60"/>
      <c r="D17" s="61"/>
      <c r="E17" s="60"/>
      <c r="F17" s="62"/>
      <c r="G17" s="63"/>
      <c r="H17" s="58"/>
    </row>
    <row r="18" spans="2:8" s="51" customFormat="1" ht="16.5" thickBot="1">
      <c r="B18" s="59"/>
      <c r="C18" s="60"/>
      <c r="D18" s="64"/>
      <c r="E18" s="60"/>
      <c r="F18" s="62"/>
      <c r="G18" s="63"/>
      <c r="H18" s="58"/>
    </row>
    <row r="19" spans="2:8" s="51" customFormat="1" ht="16.5" thickBot="1">
      <c r="B19" s="59"/>
      <c r="C19" s="60"/>
      <c r="D19" s="64"/>
      <c r="E19" s="60"/>
      <c r="F19" s="62"/>
      <c r="G19" s="63"/>
      <c r="H19" s="58"/>
    </row>
    <row r="20" spans="2:8" s="51" customFormat="1" ht="16.5" thickBot="1">
      <c r="B20" s="59"/>
      <c r="C20" s="60"/>
      <c r="D20" s="61"/>
      <c r="E20" s="60"/>
      <c r="F20" s="62"/>
      <c r="G20" s="63"/>
      <c r="H20" s="58"/>
    </row>
    <row r="21" spans="2:8" s="51" customFormat="1" ht="16.5" thickBot="1">
      <c r="B21" s="59"/>
      <c r="C21" s="60"/>
      <c r="D21" s="64"/>
      <c r="E21" s="60"/>
      <c r="F21" s="62"/>
      <c r="G21" s="63"/>
      <c r="H21" s="58"/>
    </row>
    <row r="22" spans="2:8" s="51" customFormat="1" ht="16.5" thickBot="1">
      <c r="B22" s="59"/>
      <c r="C22" s="60"/>
      <c r="D22" s="64"/>
      <c r="E22" s="60"/>
      <c r="F22" s="62"/>
      <c r="G22" s="63"/>
      <c r="H22" s="58"/>
    </row>
    <row r="23" spans="2:8" s="51" customFormat="1" ht="16.5" thickBot="1">
      <c r="B23" s="59"/>
      <c r="C23" s="60"/>
      <c r="D23" s="64"/>
      <c r="E23" s="60"/>
      <c r="F23" s="62"/>
      <c r="G23" s="63"/>
      <c r="H23" s="58"/>
    </row>
    <row r="24" spans="2:8" s="51" customFormat="1" ht="16.5" thickBot="1">
      <c r="B24" s="59"/>
      <c r="C24" s="60"/>
      <c r="D24" s="66"/>
      <c r="E24" s="60"/>
      <c r="F24" s="62"/>
      <c r="G24" s="63"/>
      <c r="H24" s="58"/>
    </row>
    <row r="25" spans="2:8" s="51" customFormat="1" ht="16.5" thickBot="1">
      <c r="B25" s="59"/>
      <c r="C25" s="60"/>
      <c r="D25" s="64"/>
      <c r="E25" s="60"/>
      <c r="F25" s="62"/>
      <c r="G25" s="63"/>
      <c r="H25" s="58"/>
    </row>
    <row r="26" spans="2:8" s="51" customFormat="1" ht="16.5" thickBot="1">
      <c r="B26" s="59"/>
      <c r="C26" s="60"/>
      <c r="D26" s="64"/>
      <c r="E26" s="60"/>
      <c r="F26" s="62"/>
      <c r="G26" s="63"/>
      <c r="H26" s="58"/>
    </row>
    <row r="27" spans="2:8" s="51" customFormat="1" ht="16.5" thickBot="1">
      <c r="B27" s="59"/>
      <c r="C27" s="60"/>
      <c r="D27" s="61"/>
      <c r="E27" s="60"/>
      <c r="F27" s="62"/>
      <c r="G27" s="63"/>
      <c r="H27" s="58"/>
    </row>
    <row r="28" spans="2:8" s="51" customFormat="1" ht="16.5" thickBot="1">
      <c r="B28" s="59"/>
      <c r="C28" s="60"/>
      <c r="D28" s="64"/>
      <c r="E28" s="60"/>
      <c r="F28" s="62"/>
      <c r="G28" s="63"/>
      <c r="H28" s="58"/>
    </row>
    <row r="29" spans="2:8" s="51" customFormat="1" ht="16.5" thickBot="1">
      <c r="B29" s="59"/>
      <c r="C29" s="60"/>
      <c r="D29" s="61"/>
      <c r="E29" s="60"/>
      <c r="F29" s="62"/>
      <c r="G29" s="63"/>
      <c r="H29" s="58"/>
    </row>
    <row r="30" spans="2:8" s="51" customFormat="1" ht="16.5" thickBot="1">
      <c r="B30" s="59"/>
      <c r="C30" s="60"/>
      <c r="D30" s="65"/>
      <c r="E30" s="60"/>
      <c r="F30" s="62"/>
      <c r="G30" s="63"/>
      <c r="H30" s="67"/>
    </row>
    <row r="31" spans="2:8" s="51" customFormat="1" ht="16.5" thickBot="1">
      <c r="B31" s="59"/>
      <c r="C31" s="60"/>
      <c r="D31" s="61"/>
      <c r="E31" s="60"/>
      <c r="F31" s="62"/>
      <c r="G31" s="63"/>
      <c r="H31" s="58"/>
    </row>
    <row r="32" spans="2:8" s="51" customFormat="1" ht="16.5" thickBot="1">
      <c r="B32" s="59"/>
      <c r="C32" s="60"/>
      <c r="D32" s="61"/>
      <c r="E32" s="60"/>
      <c r="F32" s="62"/>
      <c r="G32" s="63"/>
      <c r="H32" s="58"/>
    </row>
    <row r="33" spans="2:8" s="51" customFormat="1" ht="16.5" thickBot="1">
      <c r="B33" s="59"/>
      <c r="C33" s="60"/>
      <c r="D33" s="64"/>
      <c r="E33" s="60"/>
      <c r="F33" s="62"/>
      <c r="G33" s="63"/>
      <c r="H33" s="58"/>
    </row>
    <row r="34" spans="2:8" s="51" customFormat="1" ht="16.5" thickBot="1">
      <c r="B34" s="59"/>
      <c r="C34" s="60"/>
      <c r="D34" s="61"/>
      <c r="E34" s="60"/>
      <c r="F34" s="62"/>
      <c r="G34" s="63"/>
      <c r="H34" s="58"/>
    </row>
    <row r="35" spans="2:8" s="51" customFormat="1" ht="16.5" thickBot="1">
      <c r="B35" s="59"/>
      <c r="C35" s="60"/>
      <c r="D35" s="61"/>
      <c r="E35" s="60"/>
      <c r="F35" s="62"/>
      <c r="G35" s="63"/>
      <c r="H35" s="58"/>
    </row>
    <row r="36" spans="2:8" s="51" customFormat="1" ht="16.5" thickBot="1">
      <c r="B36" s="59"/>
      <c r="C36" s="60"/>
      <c r="D36" s="64"/>
      <c r="E36" s="60"/>
      <c r="F36" s="62"/>
      <c r="G36" s="63"/>
      <c r="H36" s="58"/>
    </row>
    <row r="37" spans="2:8" s="51" customFormat="1" ht="16.5" thickBot="1">
      <c r="B37" s="59"/>
      <c r="C37" s="60"/>
      <c r="D37" s="64"/>
      <c r="E37" s="60"/>
      <c r="F37" s="62"/>
      <c r="G37" s="63"/>
      <c r="H37" s="58"/>
    </row>
    <row r="38" spans="2:8" s="51" customFormat="1" ht="16.5" thickBot="1">
      <c r="B38" s="59"/>
      <c r="C38" s="60"/>
      <c r="D38" s="64"/>
      <c r="E38" s="60"/>
      <c r="F38" s="62"/>
      <c r="G38" s="63"/>
      <c r="H38" s="58"/>
    </row>
    <row r="39" spans="2:8" s="51" customFormat="1" ht="16.5" thickBot="1">
      <c r="B39" s="59"/>
      <c r="C39" s="60"/>
      <c r="D39" s="61"/>
      <c r="E39" s="60"/>
      <c r="F39" s="62"/>
      <c r="G39" s="63"/>
      <c r="H39" s="58"/>
    </row>
    <row r="40" spans="2:8" s="51" customFormat="1" ht="16.5" thickBot="1">
      <c r="B40" s="59"/>
      <c r="C40" s="60"/>
      <c r="D40" s="61"/>
      <c r="E40" s="60"/>
      <c r="F40" s="62"/>
      <c r="G40" s="63"/>
      <c r="H40" s="58"/>
    </row>
    <row r="41" spans="2:8" s="51" customFormat="1" ht="16.5" thickBot="1">
      <c r="B41" s="59"/>
      <c r="C41" s="60"/>
      <c r="D41" s="61"/>
      <c r="E41" s="60"/>
      <c r="F41" s="62"/>
      <c r="G41" s="63"/>
      <c r="H41" s="58"/>
    </row>
    <row r="42" spans="2:8" s="51" customFormat="1" ht="16.5" thickBot="1">
      <c r="B42" s="59"/>
      <c r="C42" s="60"/>
      <c r="D42" s="64"/>
      <c r="E42" s="60"/>
      <c r="F42" s="62"/>
      <c r="G42" s="63"/>
      <c r="H42" s="58"/>
    </row>
    <row r="43" spans="2:8" s="51" customFormat="1" ht="16.5" thickBot="1">
      <c r="B43" s="59"/>
      <c r="C43" s="60"/>
      <c r="D43" s="64"/>
      <c r="E43" s="60"/>
      <c r="F43" s="62"/>
      <c r="G43" s="63"/>
      <c r="H43" s="58"/>
    </row>
    <row r="44" spans="2:8" s="51" customFormat="1" ht="16.5" thickBot="1">
      <c r="B44" s="59"/>
      <c r="C44" s="60"/>
      <c r="D44" s="61"/>
      <c r="E44" s="60"/>
      <c r="F44" s="62"/>
      <c r="G44" s="63"/>
      <c r="H44" s="58"/>
    </row>
    <row r="45" spans="2:8" s="51" customFormat="1" ht="16.5" thickBot="1">
      <c r="B45" s="59"/>
      <c r="C45" s="60"/>
      <c r="D45" s="61"/>
      <c r="E45" s="60"/>
      <c r="F45" s="62"/>
      <c r="G45" s="63"/>
      <c r="H45" s="58"/>
    </row>
    <row r="46" spans="2:8" s="51" customFormat="1" ht="16.5" thickBot="1">
      <c r="B46" s="59"/>
      <c r="C46" s="60"/>
      <c r="D46" s="64"/>
      <c r="E46" s="60"/>
      <c r="F46" s="62"/>
      <c r="G46" s="63"/>
      <c r="H46" s="58"/>
    </row>
    <row r="47" spans="2:8" s="51" customFormat="1" ht="16.5" thickBot="1">
      <c r="B47" s="59"/>
      <c r="C47" s="60"/>
      <c r="D47" s="61"/>
      <c r="E47" s="60"/>
      <c r="F47" s="62"/>
      <c r="G47" s="63"/>
      <c r="H47" s="58"/>
    </row>
    <row r="48" spans="2:8" s="51" customFormat="1" ht="16.5" thickBot="1">
      <c r="B48" s="59"/>
      <c r="C48" s="60"/>
      <c r="D48" s="61"/>
      <c r="E48" s="60"/>
      <c r="F48" s="62"/>
      <c r="G48" s="63"/>
      <c r="H48" s="58"/>
    </row>
    <row r="49" spans="2:8" s="51" customFormat="1" ht="16.5" thickBot="1">
      <c r="B49" s="59"/>
      <c r="C49" s="60"/>
      <c r="D49" s="64"/>
      <c r="E49" s="60"/>
      <c r="F49" s="62"/>
      <c r="G49" s="63"/>
      <c r="H49" s="58"/>
    </row>
    <row r="50" spans="2:8" s="51" customFormat="1" ht="16.5" thickBot="1">
      <c r="B50" s="59"/>
      <c r="C50" s="60"/>
      <c r="D50" s="61"/>
      <c r="E50" s="60"/>
      <c r="F50" s="62"/>
      <c r="G50" s="63"/>
      <c r="H50" s="58"/>
    </row>
    <row r="51" spans="2:8" s="51" customFormat="1" ht="16.5" thickBot="1">
      <c r="B51" s="59"/>
      <c r="C51" s="60"/>
      <c r="D51" s="64"/>
      <c r="E51" s="60"/>
      <c r="F51" s="62"/>
      <c r="G51" s="63"/>
      <c r="H51" s="58"/>
    </row>
    <row r="52" spans="2:8" s="51" customFormat="1" ht="16.5" thickBot="1">
      <c r="B52" s="59"/>
      <c r="C52" s="60"/>
      <c r="D52" s="64"/>
      <c r="E52" s="60"/>
      <c r="F52" s="62"/>
      <c r="G52" s="63"/>
      <c r="H52" s="58"/>
    </row>
    <row r="53" spans="2:8" s="51" customFormat="1" ht="16.5" thickBot="1">
      <c r="B53" s="59"/>
      <c r="C53" s="60"/>
      <c r="D53" s="64"/>
      <c r="E53" s="60"/>
      <c r="F53" s="62"/>
      <c r="G53" s="63"/>
      <c r="H53" s="58"/>
    </row>
    <row r="54" spans="2:8" s="51" customFormat="1" ht="16.5" thickBot="1">
      <c r="B54" s="59"/>
      <c r="C54" s="60"/>
      <c r="D54" s="61"/>
      <c r="E54" s="60"/>
      <c r="F54" s="62"/>
      <c r="G54" s="63"/>
      <c r="H54" s="58"/>
    </row>
    <row r="55" spans="2:8" s="51" customFormat="1" ht="16.5" thickBot="1">
      <c r="B55" s="59"/>
      <c r="C55" s="60"/>
      <c r="D55" s="64"/>
      <c r="E55" s="60"/>
      <c r="F55" s="62"/>
      <c r="G55" s="63"/>
      <c r="H55" s="58"/>
    </row>
    <row r="56" spans="2:8" s="51" customFormat="1" ht="16.5" thickBot="1">
      <c r="B56" s="59"/>
      <c r="C56" s="60"/>
      <c r="D56" s="61"/>
      <c r="E56" s="60"/>
      <c r="F56" s="62"/>
      <c r="G56" s="63"/>
      <c r="H56" s="58"/>
    </row>
    <row r="57" spans="2:8" s="51" customFormat="1" ht="16.5" thickBot="1">
      <c r="B57" s="59"/>
      <c r="C57" s="60"/>
      <c r="D57" s="64"/>
      <c r="E57" s="60"/>
      <c r="F57" s="62"/>
      <c r="G57" s="63"/>
      <c r="H57" s="58"/>
    </row>
    <row r="58" spans="2:8" s="51" customFormat="1" ht="16.5" thickBot="1">
      <c r="B58" s="59"/>
      <c r="C58" s="60"/>
      <c r="D58" s="64"/>
      <c r="E58" s="60"/>
      <c r="F58" s="62"/>
      <c r="G58" s="63"/>
      <c r="H58" s="58"/>
    </row>
    <row r="59" spans="2:8" s="51" customFormat="1" ht="16.5" thickBot="1">
      <c r="B59" s="59"/>
      <c r="C59" s="60"/>
      <c r="D59" s="61"/>
      <c r="E59" s="60"/>
      <c r="F59" s="62"/>
      <c r="G59" s="63"/>
      <c r="H59" s="58"/>
    </row>
    <row r="60" spans="2:8" s="51" customFormat="1" ht="16.5" thickBot="1">
      <c r="B60" s="59"/>
      <c r="C60" s="60"/>
      <c r="D60" s="64"/>
      <c r="E60" s="60"/>
      <c r="F60" s="62"/>
      <c r="G60" s="63"/>
      <c r="H60" s="58"/>
    </row>
    <row r="61" spans="2:8" s="51" customFormat="1" ht="16.5" thickBot="1">
      <c r="B61" s="59"/>
      <c r="C61" s="60"/>
      <c r="D61" s="61"/>
      <c r="E61" s="60"/>
      <c r="F61" s="62"/>
      <c r="G61" s="63"/>
      <c r="H61" s="58"/>
    </row>
    <row r="62" spans="2:8" s="51" customFormat="1" ht="16.5" thickBot="1">
      <c r="B62" s="59"/>
      <c r="C62" s="60"/>
      <c r="D62" s="64"/>
      <c r="E62" s="60"/>
      <c r="F62" s="62"/>
      <c r="G62" s="63"/>
      <c r="H62" s="58"/>
    </row>
    <row r="63" spans="2:8" s="51" customFormat="1" ht="16.5" thickBot="1">
      <c r="B63" s="59"/>
      <c r="C63" s="60"/>
      <c r="D63" s="61"/>
      <c r="E63" s="60"/>
      <c r="F63" s="62"/>
      <c r="G63" s="63"/>
      <c r="H63" s="58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1967</vt:lpstr>
      <vt:lpstr>1974</vt:lpstr>
      <vt:lpstr>1979</vt:lpstr>
      <vt:lpstr>1985Fing</vt:lpstr>
      <vt:lpstr>1985Sth</vt:lpstr>
      <vt:lpstr>1985DLR</vt:lpstr>
      <vt:lpstr>1991Fing</vt:lpstr>
      <vt:lpstr>1991Sth</vt:lpstr>
      <vt:lpstr>1991DLR</vt:lpstr>
      <vt:lpstr>1999Fing</vt:lpstr>
      <vt:lpstr>1999Sth</vt:lpstr>
      <vt:lpstr>1999DLR</vt:lpstr>
      <vt:lpstr>2004Fing</vt:lpstr>
      <vt:lpstr>2004Sth</vt:lpstr>
      <vt:lpstr>2004DLR</vt:lpstr>
      <vt:lpstr>2009Fing</vt:lpstr>
      <vt:lpstr>2009Sth</vt:lpstr>
      <vt:lpstr>2009DLR</vt:lpstr>
      <vt:lpstr>Party%</vt:lpstr>
      <vt:lpstr>HighVotes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2011-07-19T09:06:20Z</dcterms:modified>
</cp:coreProperties>
</file>